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120" windowWidth="15600" windowHeight="11760" tabRatio="922" firstSheet="4" activeTab="14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CNKT Đ1" sheetId="99" r:id="rId5"/>
    <sheet name="CNKT Đ2" sheetId="100" r:id="rId6"/>
    <sheet name="CNKT Đ3" sheetId="101" r:id="rId7"/>
    <sheet name="CNKTĐ4 " sheetId="102" r:id="rId8"/>
    <sheet name="CNKT " sheetId="151" r:id="rId9"/>
    <sheet name="Lương bảo vệ " sheetId="135" r:id="rId10"/>
    <sheet name="Trạm cán " sheetId="152" r:id="rId11"/>
    <sheet name="lương gián tiếp" sheetId="136" r:id="rId12"/>
    <sheet name="LƯƠNG CN TRỰC TIẾP " sheetId="132" r:id="rId13"/>
    <sheet name="Tỉ lệ hoàn thành " sheetId="153" state="hidden" r:id="rId14"/>
    <sheet name="Phân toán  " sheetId="154" r:id="rId15"/>
    <sheet name="BTH CVK" sheetId="157" state="hidden" r:id="rId16"/>
    <sheet name="TT CVK" sheetId="158" state="hidden" r:id="rId17"/>
    <sheet name="PLcon (2)" sheetId="170" state="hidden" r:id="rId18"/>
    <sheet name="DSN Thuê" sheetId="167" state="hidden" r:id="rId19"/>
    <sheet name="tiền TB " sheetId="159" state="hidden" r:id="rId20"/>
    <sheet name="Hổ trợ vi gô " sheetId="160" state="hidden" r:id="rId21"/>
    <sheet name="Thanh toán XX" sheetId="137" state="hidden" r:id="rId22"/>
    <sheet name="PC xăng xe T2" sheetId="138" state="hidden" r:id="rId23"/>
    <sheet name="PC xăng xe T1" sheetId="177" state="hidden" r:id="rId24"/>
    <sheet name="Thanh toán BVTV" sheetId="172" state="hidden" r:id="rId25"/>
    <sheet name="Bảng CCBV thời vụ " sheetId="173" state="hidden" r:id="rId26"/>
    <sheet name="Lương thuế" sheetId="113" state="hidden" r:id="rId27"/>
    <sheet name="BL Bảo vệ,tạp vụ" sheetId="166" state="hidden" r:id="rId28"/>
    <sheet name="PLcon NT" sheetId="59" state="hidden" r:id="rId29"/>
    <sheet name="Phân Toán CVK" sheetId="79" state="hidden" r:id="rId30"/>
    <sheet name="CC PCC" sheetId="143" state="hidden" r:id="rId31"/>
    <sheet name="Khối lượng TC" sheetId="32" state="hidden" r:id="rId32"/>
    <sheet name="Bảng CC TX, BV  " sheetId="161" state="hidden" r:id="rId33"/>
    <sheet name="Bảng ĐP - BV  " sheetId="162" state="hidden" r:id="rId34"/>
    <sheet name="Bảng CC vn " sheetId="163" state="hidden" r:id="rId35"/>
    <sheet name="Sheet1" sheetId="168" state="hidden" r:id="rId36"/>
    <sheet name="Sheet2" sheetId="174" state="hidden" r:id="rId37"/>
    <sheet name="Sheet3" sheetId="175" state="hidden" r:id="rId38"/>
    <sheet name="Sheet4" sheetId="176" state="hidden" r:id="rId39"/>
  </sheets>
  <externalReferences>
    <externalReference r:id="rId40"/>
    <externalReference r:id="rId41"/>
    <externalReference r:id="rId42"/>
    <externalReference r:id="rId43"/>
    <externalReference r:id="rId44"/>
  </externalReferences>
  <definedNames>
    <definedName name="_xlnm._FilterDatabase" localSheetId="2" hidden="1">'BTH mủ Sỉum'!#REF!</definedName>
    <definedName name="_xlnm._FilterDatabase" localSheetId="1" hidden="1">'BTH mủ tạp'!$B$2:$AK$357</definedName>
    <definedName name="_xlnm._FilterDatabase" localSheetId="8" hidden="1">'CNKT '!$A$6:$G$7</definedName>
    <definedName name="_xlnm._FilterDatabase" localSheetId="0" hidden="1">'Chấm công KT'!$B$1:$AU$313</definedName>
    <definedName name="_xlnm._FilterDatabase" localSheetId="3" hidden="1">TONGHOPCONGDOI!$A$10:$AT$324</definedName>
    <definedName name="_xlnm.Print_Area" localSheetId="2">'BTH mủ Sỉum'!#REF!</definedName>
    <definedName name="_xlnm.Print_Area" localSheetId="1">'BTH mủ tạp'!$A$2:$AM$370</definedName>
    <definedName name="_xlnm.Print_Area" localSheetId="8">'CNKT '!$A$3:$AC$341</definedName>
    <definedName name="_xlnm.Print_Area" localSheetId="9">'Lương bảo vệ '!#REF!</definedName>
    <definedName name="_xlnm.Print_Area" localSheetId="26">'Lương thuế'!#REF!</definedName>
    <definedName name="_xlnm.Print_Area" localSheetId="3">TONGHOPCONGDOI!$A$1:$AE$335</definedName>
    <definedName name="_xlnm.Print_Area" localSheetId="10">'Trạm cán '!$A$2:$S$45</definedName>
    <definedName name="_xlnm.Print_Titles" localSheetId="32">'Bảng CC TX, BV  '!$10:$11</definedName>
    <definedName name="_xlnm.Print_Titles" localSheetId="34">'Bảng CC vn '!$10:$11</definedName>
    <definedName name="_xlnm.Print_Titles" localSheetId="25">'Bảng CCBV thời vụ '!$10:$11</definedName>
    <definedName name="_xlnm.Print_Titles" localSheetId="33">'Bảng ĐP - BV  '!$10:$11</definedName>
    <definedName name="_xlnm.Print_Titles" localSheetId="2">'BTH mủ Sỉum'!#REF!</definedName>
    <definedName name="_xlnm.Print_Titles" localSheetId="1">'BTH mủ tạp'!$11:$12</definedName>
    <definedName name="_xlnm.Print_Titles" localSheetId="30">'CC PCC'!$10:$11</definedName>
    <definedName name="_xlnm.Print_Titles" localSheetId="8">'CNKT '!$12:$14</definedName>
    <definedName name="_xlnm.Print_Titles" localSheetId="4">'CNKT Đ1'!$13:$15</definedName>
    <definedName name="_xlnm.Print_Titles" localSheetId="5">'CNKT Đ2'!$14:$16</definedName>
    <definedName name="_xlnm.Print_Titles" localSheetId="6">'CNKT Đ3'!$14:$16</definedName>
    <definedName name="_xlnm.Print_Titles" localSheetId="7">'CNKTĐ4 '!$12:$14</definedName>
    <definedName name="_xlnm.Print_Titles" localSheetId="0">'Chấm công KT'!$8:$9</definedName>
    <definedName name="_xlnm.Print_Titles" localSheetId="31">'Khối lượng TC'!$12:$13</definedName>
    <definedName name="_xlnm.Print_Titles" localSheetId="9">'Lương bảo vệ '!#REF!</definedName>
    <definedName name="_xlnm.Print_Titles" localSheetId="12">'LƯƠNG CN TRỰC TIẾP '!$11:$12</definedName>
    <definedName name="_xlnm.Print_Titles" localSheetId="26">'Lương thuế'!#REF!</definedName>
    <definedName name="_xlnm.Print_Titles" localSheetId="23">'PC xăng xe T1'!#REF!</definedName>
    <definedName name="_xlnm.Print_Titles" localSheetId="22">'PC xăng xe T2'!$11:$12</definedName>
    <definedName name="_xlnm.Print_Titles" localSheetId="14">'Phân toán  '!$12:$12</definedName>
    <definedName name="_xlnm.Print_Titles" localSheetId="29">'Phân Toán CVK'!$12:$12</definedName>
    <definedName name="_xlnm.Print_Titles" localSheetId="35">Sheet1!#REF!</definedName>
    <definedName name="_xlnm.Print_Titles" localSheetId="19">'tiền TB '!$10:$10</definedName>
    <definedName name="_xlnm.Print_Titles" localSheetId="3">TONGHOPCONGDOI!$6:$8</definedName>
    <definedName name="_xlnm.Print_Titles" localSheetId="24">'Thanh toán BVTV'!$12:$13</definedName>
    <definedName name="_xlnm.Print_Titles" localSheetId="21">'Thanh toán XX'!$12:$13</definedName>
    <definedName name="_xlnm.Print_Titles" localSheetId="10">'Trạm cán '!$13:$15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36" l="1"/>
  <c r="F15" i="136"/>
  <c r="F16" i="136"/>
  <c r="F17" i="136"/>
  <c r="F14" i="136"/>
  <c r="F21" i="153"/>
  <c r="F20" i="153"/>
  <c r="G19" i="153"/>
  <c r="H19" i="153" s="1"/>
  <c r="F19" i="153"/>
  <c r="F18" i="153"/>
  <c r="F17" i="153" s="1"/>
  <c r="H16" i="153"/>
  <c r="G16" i="153"/>
  <c r="G21" i="153" s="1"/>
  <c r="H21" i="153" s="1"/>
  <c r="G15" i="153"/>
  <c r="G20" i="153" s="1"/>
  <c r="H20" i="153" s="1"/>
  <c r="H14" i="153"/>
  <c r="G14" i="153"/>
  <c r="G13" i="153"/>
  <c r="H13" i="153" s="1"/>
  <c r="H12" i="153"/>
  <c r="G12" i="153"/>
  <c r="F12" i="153"/>
  <c r="G18" i="153" l="1"/>
  <c r="H15" i="153"/>
  <c r="H18" i="153" l="1"/>
  <c r="G17" i="153"/>
  <c r="H17" i="153" s="1"/>
  <c r="E13" i="135" l="1"/>
  <c r="F83" i="102"/>
  <c r="F80" i="101"/>
  <c r="F103" i="100"/>
  <c r="F97" i="99"/>
  <c r="L35" i="152" l="1"/>
  <c r="AK16" i="32"/>
  <c r="Y105" i="100"/>
  <c r="C13" i="169"/>
  <c r="D13" i="169"/>
  <c r="E13" i="169"/>
  <c r="F13" i="169"/>
  <c r="G13" i="169"/>
  <c r="H13" i="169"/>
  <c r="I13" i="169"/>
  <c r="J13" i="169"/>
  <c r="K13" i="169"/>
  <c r="L13" i="169"/>
  <c r="M13" i="169"/>
  <c r="N13" i="169"/>
  <c r="O13" i="169"/>
  <c r="P13" i="169"/>
  <c r="Q13" i="169"/>
  <c r="R13" i="169"/>
  <c r="S13" i="169"/>
  <c r="T13" i="169"/>
  <c r="U13" i="169"/>
  <c r="V13" i="169"/>
  <c r="W13" i="169"/>
  <c r="X13" i="169"/>
  <c r="Y13" i="169"/>
  <c r="Z13" i="169"/>
  <c r="AA13" i="169"/>
  <c r="AB13" i="169"/>
  <c r="AC13" i="169"/>
  <c r="AD13" i="169"/>
  <c r="AE13" i="169"/>
  <c r="AF13" i="169"/>
  <c r="AJ14" i="138" l="1"/>
  <c r="AJ15" i="138"/>
  <c r="AJ16" i="138"/>
  <c r="AJ17" i="138"/>
  <c r="AJ18" i="138"/>
  <c r="AJ19" i="138"/>
  <c r="AJ20" i="138"/>
  <c r="AJ21" i="138"/>
  <c r="AJ22" i="138"/>
  <c r="AJ23" i="138"/>
  <c r="AJ24" i="138"/>
  <c r="AJ25" i="138"/>
  <c r="AJ26" i="138"/>
  <c r="AJ27" i="138"/>
  <c r="AJ28" i="138"/>
  <c r="AJ29" i="138"/>
  <c r="AJ30" i="138"/>
  <c r="AJ31" i="138"/>
  <c r="AJ32" i="138"/>
  <c r="AJ33" i="138"/>
  <c r="AJ34" i="138"/>
  <c r="AJ35" i="138"/>
  <c r="AJ36" i="138"/>
  <c r="AJ13" i="138"/>
  <c r="O37" i="172" l="1"/>
  <c r="P39" i="172" s="1"/>
  <c r="AL30" i="32"/>
  <c r="J98" i="132" l="1"/>
  <c r="J39" i="143" l="1"/>
  <c r="L39" i="143"/>
  <c r="N39" i="143"/>
  <c r="P39" i="143"/>
  <c r="R39" i="143"/>
  <c r="S39" i="143"/>
  <c r="T39" i="143"/>
  <c r="U39" i="143"/>
  <c r="W39" i="143"/>
  <c r="X39" i="143"/>
  <c r="Y39" i="143"/>
  <c r="AA39" i="143"/>
  <c r="AC39" i="143"/>
  <c r="AD39" i="143"/>
  <c r="AE39" i="143"/>
  <c r="AH39" i="143"/>
  <c r="E39" i="143"/>
  <c r="G39" i="143"/>
  <c r="D25" i="143"/>
  <c r="AF25" i="143"/>
  <c r="AF39" i="143" s="1"/>
  <c r="H32" i="143"/>
  <c r="M32" i="143"/>
  <c r="AB32" i="143"/>
  <c r="AB39" i="143" s="1"/>
  <c r="AG32" i="143"/>
  <c r="AH15" i="32"/>
  <c r="AK15" i="32" s="1"/>
  <c r="M23" i="152" l="1"/>
  <c r="B13" i="135"/>
  <c r="C14" i="158"/>
  <c r="J187" i="132"/>
  <c r="L187" i="132"/>
  <c r="J253" i="132"/>
  <c r="L253" i="132"/>
  <c r="G324" i="132"/>
  <c r="H324" i="132"/>
  <c r="L324" i="132"/>
  <c r="G341" i="132"/>
  <c r="J341" i="132"/>
  <c r="L341" i="132"/>
  <c r="G346" i="132"/>
  <c r="H346" i="132"/>
  <c r="L346" i="132"/>
  <c r="G353" i="132"/>
  <c r="J353" i="132"/>
  <c r="L353" i="132"/>
  <c r="V81" i="101"/>
  <c r="L356" i="151"/>
  <c r="AI248" i="128"/>
  <c r="AI249" i="128"/>
  <c r="AI250" i="128"/>
  <c r="AI251" i="128"/>
  <c r="AI252" i="128"/>
  <c r="AI253" i="128"/>
  <c r="AI254" i="128"/>
  <c r="AI255" i="128"/>
  <c r="AI256" i="128"/>
  <c r="AI257" i="128"/>
  <c r="AI258" i="128"/>
  <c r="AI259" i="128"/>
  <c r="AI260" i="128"/>
  <c r="AI261" i="128"/>
  <c r="AI262" i="128"/>
  <c r="AI263" i="128"/>
  <c r="AI264" i="128"/>
  <c r="AI265" i="128"/>
  <c r="AI266" i="128"/>
  <c r="AI267" i="128"/>
  <c r="AI268" i="128"/>
  <c r="AI269" i="128"/>
  <c r="AI270" i="128"/>
  <c r="AI271" i="128"/>
  <c r="AI272" i="128"/>
  <c r="AI273" i="128"/>
  <c r="AI274" i="128"/>
  <c r="AI275" i="128"/>
  <c r="AI276" i="128"/>
  <c r="AI277" i="128"/>
  <c r="AI278" i="128"/>
  <c r="AI279" i="128"/>
  <c r="AI280" i="128"/>
  <c r="AI281" i="128"/>
  <c r="AI282" i="128"/>
  <c r="AI283" i="128"/>
  <c r="AI284" i="128"/>
  <c r="AI285" i="128"/>
  <c r="AI286" i="128"/>
  <c r="AI287" i="128"/>
  <c r="AI288" i="128"/>
  <c r="AI289" i="128"/>
  <c r="AI290" i="128"/>
  <c r="AI291" i="128"/>
  <c r="AI292" i="128"/>
  <c r="AI293" i="128"/>
  <c r="AI294" i="128"/>
  <c r="AI295" i="128"/>
  <c r="AI296" i="128"/>
  <c r="AI297" i="128"/>
  <c r="AI298" i="128"/>
  <c r="AI299" i="128"/>
  <c r="AI300" i="128"/>
  <c r="AI301" i="128"/>
  <c r="AI302" i="128"/>
  <c r="AI303" i="128"/>
  <c r="AI304" i="128"/>
  <c r="AI305" i="128"/>
  <c r="AI306" i="128"/>
  <c r="AI307" i="128"/>
  <c r="AI308" i="128"/>
  <c r="AI309" i="128"/>
  <c r="AI310" i="128"/>
  <c r="AI311" i="128"/>
  <c r="AI312" i="128"/>
  <c r="AI313" i="128"/>
  <c r="AI247" i="128"/>
  <c r="AF19" i="169"/>
  <c r="AE19" i="169"/>
  <c r="AF17" i="169"/>
  <c r="AE17" i="169"/>
  <c r="AF15" i="169"/>
  <c r="AE15" i="169"/>
  <c r="AE21" i="169" s="1"/>
  <c r="AH14" i="169"/>
  <c r="AH13" i="169" s="1"/>
  <c r="E246" i="128"/>
  <c r="F246" i="128"/>
  <c r="G246" i="128"/>
  <c r="H246" i="128"/>
  <c r="I246" i="128"/>
  <c r="J246" i="128"/>
  <c r="K246" i="128"/>
  <c r="L246" i="128"/>
  <c r="M246" i="128"/>
  <c r="N246" i="128"/>
  <c r="O246" i="128"/>
  <c r="P246" i="128"/>
  <c r="Q246" i="128"/>
  <c r="R246" i="128"/>
  <c r="S246" i="128"/>
  <c r="T246" i="128"/>
  <c r="U246" i="128"/>
  <c r="V246" i="128"/>
  <c r="W246" i="128"/>
  <c r="X246" i="128"/>
  <c r="Y246" i="128"/>
  <c r="Z246" i="128"/>
  <c r="AA246" i="128"/>
  <c r="AB246" i="128"/>
  <c r="AC246" i="128"/>
  <c r="AD246" i="128"/>
  <c r="AE246" i="128"/>
  <c r="AF246" i="128"/>
  <c r="AG246" i="128"/>
  <c r="D246" i="128"/>
  <c r="E182" i="128"/>
  <c r="F182" i="128"/>
  <c r="G182" i="128"/>
  <c r="H182" i="128"/>
  <c r="I182" i="128"/>
  <c r="J182" i="128"/>
  <c r="K182" i="128"/>
  <c r="L182" i="128"/>
  <c r="M182" i="128"/>
  <c r="N182" i="128"/>
  <c r="O182" i="128"/>
  <c r="P182" i="128"/>
  <c r="Q182" i="128"/>
  <c r="R182" i="128"/>
  <c r="S182" i="128"/>
  <c r="T182" i="128"/>
  <c r="U182" i="128"/>
  <c r="V182" i="128"/>
  <c r="W182" i="128"/>
  <c r="X182" i="128"/>
  <c r="Y182" i="128"/>
  <c r="Z182" i="128"/>
  <c r="AA182" i="128"/>
  <c r="AB182" i="128"/>
  <c r="AC182" i="128"/>
  <c r="AD182" i="128"/>
  <c r="AE182" i="128"/>
  <c r="AF182" i="128"/>
  <c r="AG182" i="128"/>
  <c r="D182" i="128"/>
  <c r="D96" i="128"/>
  <c r="P318" i="9" l="1"/>
  <c r="F17" i="177"/>
  <c r="G17" i="177"/>
  <c r="H17" i="177"/>
  <c r="I17" i="177"/>
  <c r="J17" i="177"/>
  <c r="K17" i="177"/>
  <c r="L17" i="177"/>
  <c r="M17" i="177"/>
  <c r="N17" i="177"/>
  <c r="O17" i="177"/>
  <c r="P17" i="177"/>
  <c r="Q17" i="177"/>
  <c r="R17" i="177"/>
  <c r="S17" i="177"/>
  <c r="T17" i="177"/>
  <c r="U17" i="177"/>
  <c r="V17" i="177"/>
  <c r="W17" i="177"/>
  <c r="X17" i="177"/>
  <c r="Y17" i="177"/>
  <c r="Z17" i="177"/>
  <c r="AA17" i="177"/>
  <c r="AB17" i="177"/>
  <c r="AC17" i="177"/>
  <c r="AD17" i="177"/>
  <c r="AE17" i="177"/>
  <c r="AF17" i="177"/>
  <c r="AG17" i="177"/>
  <c r="AH17" i="177"/>
  <c r="AI17" i="177"/>
  <c r="E17" i="177"/>
  <c r="E37" i="138"/>
  <c r="F37" i="138"/>
  <c r="G37" i="138"/>
  <c r="H37" i="138"/>
  <c r="I37" i="138"/>
  <c r="J37" i="138"/>
  <c r="K37" i="138"/>
  <c r="L37" i="138"/>
  <c r="M37" i="138"/>
  <c r="N37" i="138"/>
  <c r="O37" i="138"/>
  <c r="P37" i="138"/>
  <c r="Q37" i="138"/>
  <c r="R37" i="138"/>
  <c r="S37" i="138"/>
  <c r="T37" i="138"/>
  <c r="U37" i="138"/>
  <c r="V37" i="138"/>
  <c r="W37" i="138"/>
  <c r="X37" i="138"/>
  <c r="Y37" i="138"/>
  <c r="Z37" i="138"/>
  <c r="AA37" i="138"/>
  <c r="AB37" i="138"/>
  <c r="AC37" i="138"/>
  <c r="AD37" i="138"/>
  <c r="AE37" i="138"/>
  <c r="AF37" i="138"/>
  <c r="N33" i="172"/>
  <c r="C16" i="172"/>
  <c r="E356" i="132" s="1"/>
  <c r="C17" i="172"/>
  <c r="E357" i="132" s="1"/>
  <c r="D15" i="172"/>
  <c r="F15" i="172"/>
  <c r="D16" i="172"/>
  <c r="F16" i="172"/>
  <c r="D17" i="172"/>
  <c r="F17" i="172"/>
  <c r="D18" i="172"/>
  <c r="F18" i="172"/>
  <c r="D19" i="172"/>
  <c r="F19" i="172"/>
  <c r="D20" i="172"/>
  <c r="F20" i="172"/>
  <c r="D21" i="172"/>
  <c r="F21" i="172"/>
  <c r="D22" i="172"/>
  <c r="F22" i="172"/>
  <c r="D23" i="172"/>
  <c r="F23" i="172"/>
  <c r="D24" i="172"/>
  <c r="F24" i="172"/>
  <c r="D25" i="172"/>
  <c r="F25" i="172"/>
  <c r="D26" i="172"/>
  <c r="F26" i="172"/>
  <c r="D27" i="172"/>
  <c r="F27" i="172"/>
  <c r="D28" i="172"/>
  <c r="F28" i="172"/>
  <c r="D29" i="172"/>
  <c r="F29" i="172"/>
  <c r="D30" i="172"/>
  <c r="F30" i="172"/>
  <c r="D31" i="172"/>
  <c r="F31" i="172"/>
  <c r="D32" i="172"/>
  <c r="F32" i="172"/>
  <c r="D33" i="172"/>
  <c r="F33" i="172"/>
  <c r="D34" i="172"/>
  <c r="F34" i="172"/>
  <c r="D35" i="172"/>
  <c r="F35" i="172"/>
  <c r="D36" i="172"/>
  <c r="F36" i="172"/>
  <c r="D37" i="172"/>
  <c r="F37" i="172"/>
  <c r="D38" i="172"/>
  <c r="F38" i="172"/>
  <c r="B15" i="172"/>
  <c r="D355" i="132" s="1"/>
  <c r="B16" i="172"/>
  <c r="D356" i="132" s="1"/>
  <c r="B17" i="172"/>
  <c r="D357" i="132" s="1"/>
  <c r="B18" i="172"/>
  <c r="D358" i="132" s="1"/>
  <c r="B19" i="172"/>
  <c r="D359" i="132" s="1"/>
  <c r="B20" i="172"/>
  <c r="D360" i="132" s="1"/>
  <c r="B21" i="172"/>
  <c r="D361" i="132" s="1"/>
  <c r="B22" i="172"/>
  <c r="D362" i="132" s="1"/>
  <c r="B23" i="172"/>
  <c r="D363" i="132" s="1"/>
  <c r="B24" i="172"/>
  <c r="D364" i="132" s="1"/>
  <c r="B25" i="172"/>
  <c r="D365" i="132" s="1"/>
  <c r="B26" i="172"/>
  <c r="D366" i="132" s="1"/>
  <c r="B27" i="172"/>
  <c r="D367" i="132" s="1"/>
  <c r="B28" i="172"/>
  <c r="D368" i="132" s="1"/>
  <c r="B29" i="172"/>
  <c r="D369" i="132" s="1"/>
  <c r="B30" i="172"/>
  <c r="D370" i="132" s="1"/>
  <c r="B31" i="172"/>
  <c r="D371" i="132" s="1"/>
  <c r="B32" i="172"/>
  <c r="D372" i="132" s="1"/>
  <c r="B33" i="172"/>
  <c r="D373" i="132" s="1"/>
  <c r="B34" i="172"/>
  <c r="D374" i="132" s="1"/>
  <c r="B35" i="172"/>
  <c r="D375" i="132" s="1"/>
  <c r="B36" i="172"/>
  <c r="D376" i="132" s="1"/>
  <c r="B37" i="172"/>
  <c r="D377" i="132" s="1"/>
  <c r="B38" i="172"/>
  <c r="D378" i="132" s="1"/>
  <c r="B14" i="172"/>
  <c r="AJ14" i="173"/>
  <c r="AJ15" i="173"/>
  <c r="E17" i="172" l="1"/>
  <c r="I17" i="172" s="1"/>
  <c r="H357" i="132" s="1"/>
  <c r="G17" i="172"/>
  <c r="F357" i="132" s="1"/>
  <c r="I357" i="132" s="1"/>
  <c r="K357" i="132" s="1"/>
  <c r="M357" i="132" s="1"/>
  <c r="E16" i="172"/>
  <c r="G16" i="172" s="1"/>
  <c r="F356" i="132" s="1"/>
  <c r="J17" i="172"/>
  <c r="I16" i="172" l="1"/>
  <c r="J16" i="172"/>
  <c r="H356" i="132"/>
  <c r="I356" i="132" s="1"/>
  <c r="K356" i="132" s="1"/>
  <c r="M356" i="132" s="1"/>
  <c r="O10" i="153"/>
  <c r="C34" i="137" l="1"/>
  <c r="C35" i="137"/>
  <c r="C36" i="137"/>
  <c r="C37" i="137"/>
  <c r="B34" i="137"/>
  <c r="B35" i="137"/>
  <c r="B36" i="137"/>
  <c r="B37" i="137"/>
  <c r="AP21" i="177"/>
  <c r="AO21" i="177"/>
  <c r="AN21" i="177"/>
  <c r="AL18" i="177"/>
  <c r="AJ16" i="177"/>
  <c r="D37" i="137" s="1"/>
  <c r="F37" i="137" s="1"/>
  <c r="AJ15" i="177"/>
  <c r="D36" i="137" s="1"/>
  <c r="F36" i="137" s="1"/>
  <c r="AJ14" i="177"/>
  <c r="D35" i="137" s="1"/>
  <c r="F35" i="137" s="1"/>
  <c r="AJ13" i="177"/>
  <c r="F14" i="172"/>
  <c r="AI18" i="163"/>
  <c r="AI35" i="163"/>
  <c r="AJ35" i="163" s="1"/>
  <c r="AJ34" i="163" s="1"/>
  <c r="D34" i="137" l="1"/>
  <c r="F34" i="137" s="1"/>
  <c r="AJ17" i="177"/>
  <c r="AK17" i="177" s="1"/>
  <c r="AI13" i="163"/>
  <c r="G16" i="176" l="1"/>
  <c r="G17" i="176"/>
  <c r="D16" i="176"/>
  <c r="D17" i="176"/>
  <c r="C16" i="176"/>
  <c r="C17" i="176"/>
  <c r="D38" i="176"/>
  <c r="C38" i="176"/>
  <c r="B38" i="176"/>
  <c r="D37" i="176"/>
  <c r="C37" i="176"/>
  <c r="B37" i="176"/>
  <c r="D36" i="176"/>
  <c r="C36" i="176"/>
  <c r="B36" i="176"/>
  <c r="D35" i="176"/>
  <c r="C35" i="176"/>
  <c r="B35" i="176"/>
  <c r="D34" i="176"/>
  <c r="C34" i="176"/>
  <c r="B34" i="176"/>
  <c r="D33" i="176"/>
  <c r="C33" i="176"/>
  <c r="B33" i="176"/>
  <c r="D32" i="176"/>
  <c r="C32" i="176"/>
  <c r="B32" i="176"/>
  <c r="D31" i="176"/>
  <c r="C31" i="176"/>
  <c r="B31" i="176"/>
  <c r="G31" i="176" s="1"/>
  <c r="D30" i="176"/>
  <c r="C30" i="176"/>
  <c r="B30" i="176"/>
  <c r="G30" i="176" s="1"/>
  <c r="D29" i="176"/>
  <c r="C29" i="176"/>
  <c r="B29" i="176"/>
  <c r="G29" i="176" s="1"/>
  <c r="D28" i="176"/>
  <c r="C28" i="176"/>
  <c r="B28" i="176"/>
  <c r="D27" i="176"/>
  <c r="C27" i="176"/>
  <c r="B27" i="176"/>
  <c r="G27" i="176" s="1"/>
  <c r="D26" i="176"/>
  <c r="C26" i="176"/>
  <c r="B26" i="176"/>
  <c r="G26" i="176" s="1"/>
  <c r="D25" i="176"/>
  <c r="C25" i="176"/>
  <c r="B25" i="176"/>
  <c r="D24" i="176"/>
  <c r="C24" i="176"/>
  <c r="B24" i="176"/>
  <c r="D23" i="176"/>
  <c r="C23" i="176"/>
  <c r="B23" i="176"/>
  <c r="D22" i="176"/>
  <c r="C22" i="176"/>
  <c r="B22" i="176"/>
  <c r="D21" i="176"/>
  <c r="C21" i="176"/>
  <c r="B21" i="176"/>
  <c r="D20" i="176"/>
  <c r="C20" i="176"/>
  <c r="B20" i="176"/>
  <c r="D19" i="176"/>
  <c r="C19" i="176"/>
  <c r="B19" i="176"/>
  <c r="D18" i="176"/>
  <c r="C18" i="176"/>
  <c r="B18" i="176"/>
  <c r="D15" i="176"/>
  <c r="C15" i="176"/>
  <c r="B15" i="176"/>
  <c r="D14" i="176"/>
  <c r="C14" i="176"/>
  <c r="B14" i="176"/>
  <c r="Z6" i="176"/>
  <c r="AA6" i="176" s="1"/>
  <c r="AB6" i="176" s="1"/>
  <c r="E13" i="175"/>
  <c r="E14" i="175" s="1"/>
  <c r="R65" i="59"/>
  <c r="Q3" i="59"/>
  <c r="Q17" i="59"/>
  <c r="G13" i="59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32" i="176" l="1"/>
  <c r="G36" i="176"/>
  <c r="G28" i="176"/>
  <c r="G14" i="176"/>
  <c r="E39" i="176"/>
  <c r="G18" i="176"/>
  <c r="G20" i="176"/>
  <c r="G22" i="176"/>
  <c r="G24" i="176"/>
  <c r="G25" i="176"/>
  <c r="G34" i="176"/>
  <c r="G38" i="176"/>
  <c r="G15" i="176"/>
  <c r="G19" i="176"/>
  <c r="G21" i="176"/>
  <c r="G23" i="176"/>
  <c r="G33" i="176"/>
  <c r="G35" i="176"/>
  <c r="G37" i="176"/>
  <c r="E2049" i="170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I19" i="174"/>
  <c r="E21" i="174"/>
  <c r="F18" i="174"/>
  <c r="C21" i="174"/>
  <c r="D21" i="174"/>
  <c r="K21" i="174"/>
  <c r="L21" i="174"/>
  <c r="M21" i="174"/>
  <c r="N21" i="174"/>
  <c r="B21" i="174"/>
  <c r="O19" i="174"/>
  <c r="O21" i="174" s="1"/>
  <c r="F19" i="174"/>
  <c r="F21" i="174" s="1"/>
  <c r="H19" i="174"/>
  <c r="H21" i="174" s="1"/>
  <c r="G19" i="174"/>
  <c r="G21" i="174" s="1"/>
  <c r="L98" i="132"/>
  <c r="J13" i="132"/>
  <c r="L13" i="132"/>
  <c r="Y100" i="151"/>
  <c r="AA100" i="151"/>
  <c r="AC100" i="151"/>
  <c r="Y82" i="101"/>
  <c r="C185" i="151"/>
  <c r="H1455" i="170" s="1"/>
  <c r="C186" i="151"/>
  <c r="D184" i="132" s="1"/>
  <c r="C187" i="151"/>
  <c r="C188" i="151"/>
  <c r="D186" i="132" s="1"/>
  <c r="C101" i="100"/>
  <c r="E101" i="100" s="1"/>
  <c r="F101" i="100" s="1"/>
  <c r="C102" i="100"/>
  <c r="C103" i="100"/>
  <c r="C104" i="100"/>
  <c r="S100" i="99"/>
  <c r="Y100" i="99"/>
  <c r="F250" i="9"/>
  <c r="G250" i="9"/>
  <c r="H250" i="9"/>
  <c r="I250" i="9"/>
  <c r="J250" i="9"/>
  <c r="K250" i="9"/>
  <c r="M250" i="9"/>
  <c r="N250" i="9"/>
  <c r="O250" i="9"/>
  <c r="P250" i="9"/>
  <c r="S250" i="9"/>
  <c r="Y250" i="9"/>
  <c r="Z250" i="9"/>
  <c r="AA250" i="9"/>
  <c r="AB250" i="9"/>
  <c r="E250" i="9"/>
  <c r="F184" i="9"/>
  <c r="G184" i="9"/>
  <c r="H184" i="9"/>
  <c r="I184" i="9"/>
  <c r="J184" i="9"/>
  <c r="K184" i="9"/>
  <c r="L184" i="9"/>
  <c r="M184" i="9"/>
  <c r="N184" i="9"/>
  <c r="O184" i="9"/>
  <c r="P184" i="9"/>
  <c r="S184" i="9"/>
  <c r="Y184" i="9"/>
  <c r="Z184" i="9"/>
  <c r="AA184" i="9"/>
  <c r="AB184" i="9"/>
  <c r="E184" i="9"/>
  <c r="F95" i="9"/>
  <c r="G95" i="9"/>
  <c r="H95" i="9"/>
  <c r="I95" i="9"/>
  <c r="J95" i="9"/>
  <c r="K95" i="9"/>
  <c r="L95" i="9"/>
  <c r="M95" i="9"/>
  <c r="N95" i="9"/>
  <c r="O95" i="9"/>
  <c r="P95" i="9"/>
  <c r="S95" i="9"/>
  <c r="X95" i="9"/>
  <c r="Y95" i="9"/>
  <c r="AB95" i="9"/>
  <c r="E95" i="9"/>
  <c r="F10" i="9"/>
  <c r="G10" i="9"/>
  <c r="H10" i="9"/>
  <c r="I10" i="9"/>
  <c r="J10" i="9"/>
  <c r="K10" i="9"/>
  <c r="L10" i="9"/>
  <c r="M10" i="9"/>
  <c r="N10" i="9"/>
  <c r="O10" i="9"/>
  <c r="P10" i="9"/>
  <c r="X10" i="9"/>
  <c r="Y10" i="9"/>
  <c r="AB10" i="9"/>
  <c r="E10" i="9"/>
  <c r="G39" i="176" l="1"/>
  <c r="H1473" i="170"/>
  <c r="D183" i="132"/>
  <c r="D185" i="132"/>
  <c r="J19" i="174"/>
  <c r="J21" i="174" s="1"/>
  <c r="I21" i="174"/>
  <c r="Y255" i="151"/>
  <c r="AA255" i="151"/>
  <c r="Y189" i="151"/>
  <c r="Y15" i="151"/>
  <c r="L355" i="151"/>
  <c r="L354" i="151"/>
  <c r="K39" i="176" l="1"/>
  <c r="L39" i="176"/>
  <c r="G383" i="132"/>
  <c r="J383" i="132"/>
  <c r="L383" i="132"/>
  <c r="D321" i="132"/>
  <c r="D14" i="172" l="1"/>
  <c r="C15" i="172"/>
  <c r="E355" i="132" s="1"/>
  <c r="C18" i="172"/>
  <c r="E358" i="132" s="1"/>
  <c r="C19" i="172"/>
  <c r="E359" i="132" s="1"/>
  <c r="C20" i="172"/>
  <c r="E360" i="132" s="1"/>
  <c r="C21" i="172"/>
  <c r="E361" i="132" s="1"/>
  <c r="C22" i="172"/>
  <c r="E362" i="132" s="1"/>
  <c r="C23" i="172"/>
  <c r="E363" i="132" s="1"/>
  <c r="C24" i="172"/>
  <c r="E364" i="132" s="1"/>
  <c r="C25" i="172"/>
  <c r="E365" i="132" s="1"/>
  <c r="C26" i="172"/>
  <c r="E366" i="132" s="1"/>
  <c r="C27" i="172"/>
  <c r="E367" i="132" s="1"/>
  <c r="C28" i="172"/>
  <c r="E368" i="132" s="1"/>
  <c r="C29" i="172"/>
  <c r="E369" i="132" s="1"/>
  <c r="C30" i="172"/>
  <c r="E370" i="132" s="1"/>
  <c r="C31" i="172"/>
  <c r="E371" i="132" s="1"/>
  <c r="C32" i="172"/>
  <c r="E372" i="132" s="1"/>
  <c r="C33" i="172"/>
  <c r="E373" i="132" s="1"/>
  <c r="C34" i="172"/>
  <c r="E374" i="132" s="1"/>
  <c r="C35" i="172"/>
  <c r="E375" i="132" s="1"/>
  <c r="C36" i="172"/>
  <c r="E376" i="132" s="1"/>
  <c r="C37" i="172"/>
  <c r="E377" i="132" s="1"/>
  <c r="C38" i="172"/>
  <c r="E378" i="132" s="1"/>
  <c r="C14" i="172"/>
  <c r="E354" i="132" s="1"/>
  <c r="AF37" i="173"/>
  <c r="AE37" i="173"/>
  <c r="AD37" i="173"/>
  <c r="AC37" i="173"/>
  <c r="AB37" i="173"/>
  <c r="AA37" i="173"/>
  <c r="Z37" i="173"/>
  <c r="Y37" i="173"/>
  <c r="X37" i="173"/>
  <c r="W37" i="173"/>
  <c r="V37" i="173"/>
  <c r="U37" i="173"/>
  <c r="T37" i="173"/>
  <c r="S37" i="173"/>
  <c r="R37" i="173"/>
  <c r="Q37" i="173"/>
  <c r="P37" i="173"/>
  <c r="O37" i="173"/>
  <c r="N37" i="173"/>
  <c r="M37" i="173"/>
  <c r="L37" i="173"/>
  <c r="K37" i="173"/>
  <c r="J37" i="173"/>
  <c r="I37" i="173"/>
  <c r="H37" i="173"/>
  <c r="G37" i="173"/>
  <c r="F37" i="173"/>
  <c r="E37" i="173"/>
  <c r="AJ36" i="173"/>
  <c r="E38" i="172" s="1"/>
  <c r="AJ35" i="173"/>
  <c r="E37" i="172" s="1"/>
  <c r="AJ34" i="173"/>
  <c r="E36" i="172" s="1"/>
  <c r="AJ33" i="173"/>
  <c r="E35" i="172" s="1"/>
  <c r="AJ32" i="173"/>
  <c r="E34" i="172" s="1"/>
  <c r="AJ31" i="173"/>
  <c r="E33" i="172" s="1"/>
  <c r="AJ30" i="173"/>
  <c r="E32" i="172" s="1"/>
  <c r="AJ29" i="173"/>
  <c r="E31" i="172" s="1"/>
  <c r="AJ28" i="173"/>
  <c r="E30" i="172" s="1"/>
  <c r="AJ27" i="173"/>
  <c r="E29" i="172" s="1"/>
  <c r="AJ26" i="173"/>
  <c r="E28" i="172" s="1"/>
  <c r="AJ25" i="173"/>
  <c r="E27" i="172" s="1"/>
  <c r="AJ24" i="173"/>
  <c r="E26" i="172" s="1"/>
  <c r="AJ23" i="173"/>
  <c r="E25" i="172" s="1"/>
  <c r="AJ22" i="173"/>
  <c r="E24" i="172" s="1"/>
  <c r="AJ21" i="173"/>
  <c r="E23" i="172" s="1"/>
  <c r="AJ20" i="173"/>
  <c r="E22" i="172" s="1"/>
  <c r="AJ19" i="173"/>
  <c r="E21" i="172" s="1"/>
  <c r="AJ18" i="173"/>
  <c r="E20" i="172" s="1"/>
  <c r="AJ17" i="173"/>
  <c r="E19" i="172" s="1"/>
  <c r="AJ16" i="173"/>
  <c r="E18" i="172" s="1"/>
  <c r="AJ13" i="173"/>
  <c r="E15" i="172" s="1"/>
  <c r="AJ12" i="173"/>
  <c r="AL10" i="173" s="1"/>
  <c r="AC6" i="172"/>
  <c r="AD6" i="172" s="1"/>
  <c r="AE6" i="172" s="1"/>
  <c r="B15" i="137"/>
  <c r="C15" i="137"/>
  <c r="B16" i="137"/>
  <c r="C16" i="137"/>
  <c r="B17" i="137"/>
  <c r="C17" i="137"/>
  <c r="B18" i="137"/>
  <c r="C18" i="137"/>
  <c r="B19" i="137"/>
  <c r="C19" i="137"/>
  <c r="B20" i="137"/>
  <c r="C20" i="137"/>
  <c r="B21" i="137"/>
  <c r="C21" i="137"/>
  <c r="B22" i="137"/>
  <c r="C22" i="137"/>
  <c r="B23" i="137"/>
  <c r="C23" i="137"/>
  <c r="B24" i="137"/>
  <c r="C24" i="137"/>
  <c r="B25" i="137"/>
  <c r="C25" i="137"/>
  <c r="B26" i="137"/>
  <c r="C26" i="137"/>
  <c r="B27" i="137"/>
  <c r="C27" i="137"/>
  <c r="B28" i="137"/>
  <c r="C28" i="137"/>
  <c r="B29" i="137"/>
  <c r="C29" i="137"/>
  <c r="B30" i="137"/>
  <c r="C30" i="137"/>
  <c r="B31" i="137"/>
  <c r="C31" i="137"/>
  <c r="B32" i="137"/>
  <c r="C32" i="137"/>
  <c r="B33" i="137"/>
  <c r="C33" i="137"/>
  <c r="C14" i="137"/>
  <c r="B14" i="137"/>
  <c r="AG37" i="138"/>
  <c r="AH37" i="138"/>
  <c r="AI37" i="138"/>
  <c r="D15" i="137"/>
  <c r="F15" i="137" s="1"/>
  <c r="D16" i="137"/>
  <c r="F16" i="137" s="1"/>
  <c r="D17" i="137"/>
  <c r="F17" i="137" s="1"/>
  <c r="D18" i="137"/>
  <c r="F18" i="137" s="1"/>
  <c r="D19" i="137"/>
  <c r="F19" i="137" s="1"/>
  <c r="D20" i="137"/>
  <c r="F20" i="137" s="1"/>
  <c r="D21" i="137"/>
  <c r="F21" i="137" s="1"/>
  <c r="D22" i="137"/>
  <c r="F22" i="137" s="1"/>
  <c r="D24" i="137"/>
  <c r="F24" i="137" s="1"/>
  <c r="D25" i="137"/>
  <c r="F25" i="137" s="1"/>
  <c r="D26" i="137"/>
  <c r="F26" i="137" s="1"/>
  <c r="D27" i="137"/>
  <c r="F27" i="137" s="1"/>
  <c r="D28" i="137"/>
  <c r="F28" i="137" s="1"/>
  <c r="D29" i="137"/>
  <c r="F29" i="137" s="1"/>
  <c r="D30" i="137"/>
  <c r="F30" i="137" s="1"/>
  <c r="D31" i="137"/>
  <c r="F31" i="137" s="1"/>
  <c r="D32" i="137"/>
  <c r="F32" i="137" s="1"/>
  <c r="AI27" i="143"/>
  <c r="AI28" i="143"/>
  <c r="AI29" i="143"/>
  <c r="AI30" i="143"/>
  <c r="AI31" i="143"/>
  <c r="AI33" i="143"/>
  <c r="AI34" i="143"/>
  <c r="AI35" i="143"/>
  <c r="AI36" i="143"/>
  <c r="AI37" i="143"/>
  <c r="AI38" i="143"/>
  <c r="AI26" i="143"/>
  <c r="AG25" i="143"/>
  <c r="F12" i="143"/>
  <c r="F39" i="143" s="1"/>
  <c r="H12" i="143"/>
  <c r="H39" i="143" s="1"/>
  <c r="I12" i="143"/>
  <c r="I39" i="143" s="1"/>
  <c r="K12" i="143"/>
  <c r="K39" i="143" s="1"/>
  <c r="M12" i="143"/>
  <c r="M39" i="143" s="1"/>
  <c r="O12" i="143"/>
  <c r="O39" i="143" s="1"/>
  <c r="Q12" i="143"/>
  <c r="Q39" i="143" s="1"/>
  <c r="V12" i="143"/>
  <c r="V39" i="143" s="1"/>
  <c r="Z12" i="143"/>
  <c r="Z39" i="143" s="1"/>
  <c r="AG12" i="143"/>
  <c r="D12" i="143"/>
  <c r="D39" i="143" s="1"/>
  <c r="AI36" i="163"/>
  <c r="AI34" i="163" s="1"/>
  <c r="AI31" i="163"/>
  <c r="AK31" i="163" s="1"/>
  <c r="AI32" i="163"/>
  <c r="AJ32" i="163" s="1"/>
  <c r="AI33" i="163"/>
  <c r="AJ33" i="163" s="1"/>
  <c r="AJ29" i="163" s="1"/>
  <c r="AI30" i="163"/>
  <c r="AI26" i="163"/>
  <c r="AI27" i="163"/>
  <c r="AJ27" i="163" s="1"/>
  <c r="AI28" i="163"/>
  <c r="AJ28" i="163" s="1"/>
  <c r="AI25" i="163"/>
  <c r="AI14" i="163"/>
  <c r="AJ14" i="163" s="1"/>
  <c r="AI15" i="163"/>
  <c r="AK15" i="163" s="1"/>
  <c r="AI16" i="163"/>
  <c r="AJ16" i="163" s="1"/>
  <c r="AI17" i="163"/>
  <c r="AJ17" i="163" s="1"/>
  <c r="AK18" i="163"/>
  <c r="AI19" i="163"/>
  <c r="AJ19" i="163" s="1"/>
  <c r="AI20" i="163"/>
  <c r="AI21" i="163"/>
  <c r="AJ21" i="163" s="1"/>
  <c r="AI22" i="163"/>
  <c r="AJ22" i="163" s="1"/>
  <c r="AI23" i="163"/>
  <c r="AK13" i="163"/>
  <c r="I21" i="172" l="1"/>
  <c r="H361" i="132" s="1"/>
  <c r="G21" i="172"/>
  <c r="I29" i="172"/>
  <c r="H369" i="132" s="1"/>
  <c r="G29" i="172"/>
  <c r="G18" i="172"/>
  <c r="I18" i="172"/>
  <c r="H358" i="132" s="1"/>
  <c r="G22" i="172"/>
  <c r="I22" i="172"/>
  <c r="H362" i="132" s="1"/>
  <c r="G26" i="172"/>
  <c r="I26" i="172"/>
  <c r="H366" i="132" s="1"/>
  <c r="G30" i="172"/>
  <c r="I30" i="172"/>
  <c r="H370" i="132" s="1"/>
  <c r="G34" i="172"/>
  <c r="I34" i="172"/>
  <c r="H374" i="132" s="1"/>
  <c r="G38" i="172"/>
  <c r="I38" i="172"/>
  <c r="H378" i="132" s="1"/>
  <c r="AI24" i="163"/>
  <c r="AJ25" i="163"/>
  <c r="I25" i="172"/>
  <c r="H365" i="132" s="1"/>
  <c r="G25" i="172"/>
  <c r="G37" i="172"/>
  <c r="I37" i="172"/>
  <c r="H377" i="132" s="1"/>
  <c r="AG39" i="143"/>
  <c r="I19" i="172"/>
  <c r="H359" i="132" s="1"/>
  <c r="G19" i="172"/>
  <c r="G23" i="172"/>
  <c r="I23" i="172"/>
  <c r="H363" i="132" s="1"/>
  <c r="I27" i="172"/>
  <c r="H367" i="132" s="1"/>
  <c r="G27" i="172"/>
  <c r="I31" i="172"/>
  <c r="H371" i="132" s="1"/>
  <c r="G31" i="172"/>
  <c r="I35" i="172"/>
  <c r="H375" i="132" s="1"/>
  <c r="G35" i="172"/>
  <c r="I15" i="172"/>
  <c r="H355" i="132" s="1"/>
  <c r="G15" i="172"/>
  <c r="I33" i="172"/>
  <c r="H373" i="132" s="1"/>
  <c r="G33" i="172"/>
  <c r="AJ12" i="163"/>
  <c r="G20" i="172"/>
  <c r="I20" i="172"/>
  <c r="H360" i="132" s="1"/>
  <c r="G24" i="172"/>
  <c r="I24" i="172"/>
  <c r="H364" i="132" s="1"/>
  <c r="G28" i="172"/>
  <c r="I28" i="172"/>
  <c r="H368" i="132" s="1"/>
  <c r="G32" i="172"/>
  <c r="I32" i="172"/>
  <c r="H372" i="132" s="1"/>
  <c r="G36" i="172"/>
  <c r="I36" i="172"/>
  <c r="H376" i="132" s="1"/>
  <c r="D23" i="137"/>
  <c r="AJ37" i="138"/>
  <c r="AI32" i="143"/>
  <c r="AI25" i="143"/>
  <c r="D33" i="137"/>
  <c r="F33" i="137" s="1"/>
  <c r="AK30" i="163"/>
  <c r="AI29" i="163"/>
  <c r="AK23" i="163"/>
  <c r="AI12" i="163"/>
  <c r="AJ26" i="163"/>
  <c r="AK26" i="163" s="1"/>
  <c r="AK20" i="163"/>
  <c r="D14" i="137"/>
  <c r="AJ37" i="173"/>
  <c r="E14" i="172"/>
  <c r="I14" i="172" s="1"/>
  <c r="D354" i="132"/>
  <c r="AK16" i="163"/>
  <c r="AK21" i="163"/>
  <c r="AK17" i="163"/>
  <c r="AK27" i="163"/>
  <c r="AK22" i="163"/>
  <c r="AK19" i="163"/>
  <c r="AK36" i="163"/>
  <c r="AK34" i="163" s="1"/>
  <c r="AK35" i="163"/>
  <c r="AK14" i="163"/>
  <c r="AJ24" i="163" l="1"/>
  <c r="AJ37" i="163" s="1"/>
  <c r="J23" i="172"/>
  <c r="F363" i="132"/>
  <c r="I363" i="132" s="1"/>
  <c r="K363" i="132" s="1"/>
  <c r="M363" i="132" s="1"/>
  <c r="AK25" i="163"/>
  <c r="AK24" i="163" s="1"/>
  <c r="F372" i="132"/>
  <c r="J32" i="172"/>
  <c r="F364" i="132"/>
  <c r="I364" i="132" s="1"/>
  <c r="K364" i="132" s="1"/>
  <c r="M364" i="132" s="1"/>
  <c r="J24" i="172"/>
  <c r="F373" i="132"/>
  <c r="I373" i="132" s="1"/>
  <c r="K373" i="132" s="1"/>
  <c r="M373" i="132" s="1"/>
  <c r="J33" i="172"/>
  <c r="F375" i="132"/>
  <c r="I375" i="132" s="1"/>
  <c r="K375" i="132" s="1"/>
  <c r="M375" i="132" s="1"/>
  <c r="J35" i="172"/>
  <c r="J27" i="172"/>
  <c r="F367" i="132"/>
  <c r="I367" i="132" s="1"/>
  <c r="K367" i="132" s="1"/>
  <c r="M367" i="132" s="1"/>
  <c r="F359" i="132"/>
  <c r="I359" i="132" s="1"/>
  <c r="K359" i="132" s="1"/>
  <c r="M359" i="132" s="1"/>
  <c r="J19" i="172"/>
  <c r="J37" i="172"/>
  <c r="F377" i="132"/>
  <c r="I377" i="132" s="1"/>
  <c r="K377" i="132" s="1"/>
  <c r="M377" i="132" s="1"/>
  <c r="F374" i="132"/>
  <c r="I374" i="132" s="1"/>
  <c r="K374" i="132" s="1"/>
  <c r="M374" i="132" s="1"/>
  <c r="J34" i="172"/>
  <c r="F366" i="132"/>
  <c r="I366" i="132" s="1"/>
  <c r="K366" i="132" s="1"/>
  <c r="M366" i="132" s="1"/>
  <c r="J26" i="172"/>
  <c r="F358" i="132"/>
  <c r="I358" i="132" s="1"/>
  <c r="K358" i="132" s="1"/>
  <c r="M358" i="132" s="1"/>
  <c r="J18" i="172"/>
  <c r="F361" i="132"/>
  <c r="I361" i="132" s="1"/>
  <c r="K361" i="132" s="1"/>
  <c r="M361" i="132" s="1"/>
  <c r="J21" i="172"/>
  <c r="F376" i="132"/>
  <c r="J36" i="172"/>
  <c r="F368" i="132"/>
  <c r="I368" i="132" s="1"/>
  <c r="K368" i="132" s="1"/>
  <c r="M368" i="132" s="1"/>
  <c r="J28" i="172"/>
  <c r="F360" i="132"/>
  <c r="I360" i="132" s="1"/>
  <c r="K360" i="132" s="1"/>
  <c r="M360" i="132" s="1"/>
  <c r="J20" i="172"/>
  <c r="J15" i="172"/>
  <c r="F355" i="132"/>
  <c r="I355" i="132" s="1"/>
  <c r="K355" i="132" s="1"/>
  <c r="M355" i="132" s="1"/>
  <c r="F371" i="132"/>
  <c r="I371" i="132" s="1"/>
  <c r="K371" i="132" s="1"/>
  <c r="M371" i="132" s="1"/>
  <c r="J31" i="172"/>
  <c r="F378" i="132"/>
  <c r="J38" i="172"/>
  <c r="F370" i="132"/>
  <c r="I370" i="132" s="1"/>
  <c r="K370" i="132" s="1"/>
  <c r="M370" i="132" s="1"/>
  <c r="J30" i="172"/>
  <c r="F362" i="132"/>
  <c r="I362" i="132" s="1"/>
  <c r="K362" i="132" s="1"/>
  <c r="M362" i="132" s="1"/>
  <c r="J22" i="172"/>
  <c r="F369" i="132"/>
  <c r="I369" i="132" s="1"/>
  <c r="K369" i="132" s="1"/>
  <c r="M369" i="132" s="1"/>
  <c r="J29" i="172"/>
  <c r="I372" i="132"/>
  <c r="K372" i="132" s="1"/>
  <c r="M372" i="132" s="1"/>
  <c r="AK12" i="163"/>
  <c r="I376" i="132"/>
  <c r="K376" i="132" s="1"/>
  <c r="M376" i="132" s="1"/>
  <c r="F365" i="132"/>
  <c r="I365" i="132" s="1"/>
  <c r="K365" i="132" s="1"/>
  <c r="M365" i="132" s="1"/>
  <c r="J25" i="172"/>
  <c r="I378" i="132"/>
  <c r="K378" i="132" s="1"/>
  <c r="M378" i="132" s="1"/>
  <c r="F23" i="137"/>
  <c r="D38" i="137"/>
  <c r="AI37" i="163"/>
  <c r="G14" i="172"/>
  <c r="E39" i="172"/>
  <c r="AK28" i="163"/>
  <c r="J14" i="172" l="1"/>
  <c r="J39" i="172" s="1"/>
  <c r="D32" i="154" s="1"/>
  <c r="G32" i="154" s="1"/>
  <c r="G39" i="172"/>
  <c r="F354" i="132"/>
  <c r="F353" i="132" s="1"/>
  <c r="I39" i="172"/>
  <c r="H354" i="132"/>
  <c r="AH40" i="32"/>
  <c r="AH36" i="32"/>
  <c r="AH37" i="32"/>
  <c r="AH35" i="32"/>
  <c r="AG34" i="32"/>
  <c r="AF34" i="32"/>
  <c r="AD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G27" i="32"/>
  <c r="C27" i="32"/>
  <c r="AH29" i="32"/>
  <c r="AH30" i="32"/>
  <c r="AH31" i="32"/>
  <c r="AH32" i="32"/>
  <c r="AH33" i="32"/>
  <c r="AH28" i="32"/>
  <c r="D14" i="32"/>
  <c r="D41" i="32" s="1"/>
  <c r="E14" i="32"/>
  <c r="Z14" i="32"/>
  <c r="Z41" i="32" s="1"/>
  <c r="AA14" i="32"/>
  <c r="AA41" i="32" s="1"/>
  <c r="AB14" i="32"/>
  <c r="AB41" i="32" s="1"/>
  <c r="AC14" i="32"/>
  <c r="AF14" i="32"/>
  <c r="AG14" i="32"/>
  <c r="AG41" i="32" s="1"/>
  <c r="C14" i="32"/>
  <c r="AD14" i="32"/>
  <c r="Y14" i="32"/>
  <c r="O14" i="32"/>
  <c r="O41" i="32" s="1"/>
  <c r="M14" i="32"/>
  <c r="I14" i="32"/>
  <c r="I41" i="32" s="1"/>
  <c r="U82" i="102"/>
  <c r="C79" i="101"/>
  <c r="U79" i="101"/>
  <c r="U81" i="101"/>
  <c r="U101" i="100"/>
  <c r="C96" i="99"/>
  <c r="M41" i="32" l="1"/>
  <c r="Y41" i="32"/>
  <c r="H353" i="132"/>
  <c r="H383" i="132" s="1"/>
  <c r="AD41" i="32"/>
  <c r="C41" i="32"/>
  <c r="F383" i="132"/>
  <c r="I354" i="132"/>
  <c r="I353" i="132" s="1"/>
  <c r="J14" i="32"/>
  <c r="J41" i="32" s="1"/>
  <c r="L14" i="32"/>
  <c r="L41" i="32" s="1"/>
  <c r="S14" i="32"/>
  <c r="S41" i="32" s="1"/>
  <c r="X14" i="32"/>
  <c r="X41" i="32" s="1"/>
  <c r="AE14" i="32"/>
  <c r="E41" i="32"/>
  <c r="AH38" i="32"/>
  <c r="N39" i="172"/>
  <c r="O39" i="172"/>
  <c r="AH39" i="32"/>
  <c r="AF27" i="32"/>
  <c r="AF41" i="32" s="1"/>
  <c r="H14" i="32"/>
  <c r="H41" i="32" s="1"/>
  <c r="Q14" i="32"/>
  <c r="Q41" i="32" s="1"/>
  <c r="W14" i="32"/>
  <c r="W41" i="32" s="1"/>
  <c r="N14" i="32"/>
  <c r="N41" i="32" s="1"/>
  <c r="P14" i="32"/>
  <c r="P41" i="32" s="1"/>
  <c r="R14" i="32"/>
  <c r="R41" i="32" s="1"/>
  <c r="T14" i="32"/>
  <c r="T41" i="32" s="1"/>
  <c r="V14" i="32"/>
  <c r="V41" i="32" s="1"/>
  <c r="K14" i="32"/>
  <c r="K41" i="32" s="1"/>
  <c r="U14" i="32"/>
  <c r="U41" i="32" s="1"/>
  <c r="F14" i="32"/>
  <c r="F41" i="32" s="1"/>
  <c r="AE34" i="32"/>
  <c r="AC34" i="32"/>
  <c r="AC41" i="32" s="1"/>
  <c r="AH27" i="32"/>
  <c r="G14" i="32"/>
  <c r="G41" i="32" s="1"/>
  <c r="AH20" i="169"/>
  <c r="AJ20" i="169" s="1"/>
  <c r="AJ19" i="169" s="1"/>
  <c r="J82" i="102" s="1"/>
  <c r="AN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H18" i="169"/>
  <c r="I79" i="101" s="1"/>
  <c r="AK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I101" i="100" s="1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AK13" i="169"/>
  <c r="AK21" i="169" s="1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177" i="8"/>
  <c r="C322" i="151"/>
  <c r="Y81" i="102"/>
  <c r="C81" i="102"/>
  <c r="Q317" i="9"/>
  <c r="AC317" i="9" s="1"/>
  <c r="C300" i="128"/>
  <c r="C301" i="128"/>
  <c r="C302" i="128"/>
  <c r="C303" i="128"/>
  <c r="C304" i="128"/>
  <c r="C305" i="128"/>
  <c r="C306" i="128"/>
  <c r="C307" i="128"/>
  <c r="C308" i="128"/>
  <c r="C309" i="128"/>
  <c r="C310" i="128"/>
  <c r="C311" i="128"/>
  <c r="C312" i="128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80" i="102" s="1"/>
  <c r="Q179" i="9"/>
  <c r="AC179" i="9" s="1"/>
  <c r="C171" i="9"/>
  <c r="C172" i="9"/>
  <c r="C173" i="9"/>
  <c r="C174" i="9"/>
  <c r="C175" i="9"/>
  <c r="C96" i="100" s="1"/>
  <c r="C176" i="9"/>
  <c r="C97" i="100" s="1"/>
  <c r="C177" i="9"/>
  <c r="C98" i="100" s="1"/>
  <c r="C178" i="9"/>
  <c r="C99" i="100" s="1"/>
  <c r="C179" i="9"/>
  <c r="L250" i="9"/>
  <c r="Q182" i="9"/>
  <c r="AC182" i="9" s="1"/>
  <c r="AK313" i="128"/>
  <c r="C180" i="128"/>
  <c r="AJ175" i="8"/>
  <c r="AK175" i="8"/>
  <c r="AL175" i="8"/>
  <c r="AM175" i="8"/>
  <c r="AN175" i="8"/>
  <c r="AO175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E91" i="8"/>
  <c r="O40" i="172" l="1"/>
  <c r="AH34" i="32"/>
  <c r="H13" i="157" s="1"/>
  <c r="C13" i="157" s="1"/>
  <c r="AE41" i="32"/>
  <c r="AH15" i="169"/>
  <c r="AJ13" i="169"/>
  <c r="C184" i="151"/>
  <c r="C100" i="100"/>
  <c r="E100" i="100" s="1"/>
  <c r="F100" i="100" s="1"/>
  <c r="S91" i="9"/>
  <c r="S10" i="9" s="1"/>
  <c r="E103" i="100"/>
  <c r="E187" i="151"/>
  <c r="F187" i="151" s="1"/>
  <c r="AJ176" i="8"/>
  <c r="I105" i="100"/>
  <c r="D320" i="132"/>
  <c r="H2599" i="170"/>
  <c r="AJ16" i="169"/>
  <c r="AH17" i="169"/>
  <c r="AJ18" i="169"/>
  <c r="AH19" i="169"/>
  <c r="I82" i="102" s="1"/>
  <c r="I383" i="132"/>
  <c r="K354" i="132"/>
  <c r="K353" i="132" s="1"/>
  <c r="AF21" i="169"/>
  <c r="H100" i="100"/>
  <c r="W179" i="9"/>
  <c r="AA179" i="9"/>
  <c r="V179" i="9"/>
  <c r="Z179" i="9"/>
  <c r="C79" i="102"/>
  <c r="AP175" i="8"/>
  <c r="C321" i="151"/>
  <c r="D319" i="132" s="1"/>
  <c r="C13" i="158" l="1"/>
  <c r="E13" i="157"/>
  <c r="X323" i="151"/>
  <c r="Z323" i="151" s="1"/>
  <c r="AH21" i="169"/>
  <c r="K383" i="132"/>
  <c r="M354" i="132"/>
  <c r="M353" i="132" s="1"/>
  <c r="AJ15" i="169"/>
  <c r="J101" i="100"/>
  <c r="B1455" i="170"/>
  <c r="D182" i="132"/>
  <c r="J79" i="101"/>
  <c r="AJ17" i="169"/>
  <c r="I100" i="99"/>
  <c r="AF326" i="151"/>
  <c r="J17" i="158"/>
  <c r="AD102" i="151"/>
  <c r="AD103" i="151"/>
  <c r="AD104" i="151"/>
  <c r="AD105" i="151"/>
  <c r="AD106" i="151"/>
  <c r="AD107" i="151"/>
  <c r="AD108" i="151"/>
  <c r="AD109" i="151"/>
  <c r="AD110" i="151"/>
  <c r="AD111" i="151"/>
  <c r="AD112" i="151"/>
  <c r="AD113" i="151"/>
  <c r="AD114" i="151"/>
  <c r="AD115" i="151"/>
  <c r="AD116" i="151"/>
  <c r="AD117" i="151"/>
  <c r="AD118" i="151"/>
  <c r="AD119" i="151"/>
  <c r="AD120" i="151"/>
  <c r="AD121" i="151"/>
  <c r="AD122" i="151"/>
  <c r="AD123" i="151"/>
  <c r="AD124" i="151"/>
  <c r="AD125" i="151"/>
  <c r="AD126" i="151"/>
  <c r="AD127" i="151"/>
  <c r="AD128" i="151"/>
  <c r="AD129" i="151"/>
  <c r="AD130" i="151"/>
  <c r="AD131" i="151"/>
  <c r="AD132" i="151"/>
  <c r="AD133" i="151"/>
  <c r="AD134" i="151"/>
  <c r="AD135" i="151"/>
  <c r="AD136" i="151"/>
  <c r="AD137" i="151"/>
  <c r="AD138" i="151"/>
  <c r="AD139" i="151"/>
  <c r="AD140" i="151"/>
  <c r="AD141" i="151"/>
  <c r="AD142" i="151"/>
  <c r="AD143" i="151"/>
  <c r="AD144" i="151"/>
  <c r="AD145" i="151"/>
  <c r="AD146" i="151"/>
  <c r="AD147" i="151"/>
  <c r="AD148" i="151"/>
  <c r="AD149" i="151"/>
  <c r="AD150" i="151"/>
  <c r="AD151" i="151"/>
  <c r="AD152" i="151"/>
  <c r="AD153" i="151"/>
  <c r="AD154" i="151"/>
  <c r="AD155" i="151"/>
  <c r="AD156" i="151"/>
  <c r="AD157" i="151"/>
  <c r="AD158" i="151"/>
  <c r="AD159" i="151"/>
  <c r="AD160" i="151"/>
  <c r="AD161" i="151"/>
  <c r="AD162" i="151"/>
  <c r="AD163" i="151"/>
  <c r="AD164" i="151"/>
  <c r="AD165" i="151"/>
  <c r="AD166" i="151"/>
  <c r="AD167" i="151"/>
  <c r="AD168" i="151"/>
  <c r="AD169" i="151"/>
  <c r="AD170" i="151"/>
  <c r="AD171" i="151"/>
  <c r="AD172" i="151"/>
  <c r="AD173" i="151"/>
  <c r="AD174" i="151"/>
  <c r="AD175" i="151"/>
  <c r="AD176" i="151"/>
  <c r="AD177" i="151"/>
  <c r="AD178" i="151"/>
  <c r="AD179" i="151"/>
  <c r="AD180" i="151"/>
  <c r="AD181" i="151"/>
  <c r="AD182" i="151"/>
  <c r="AD183" i="151"/>
  <c r="AD187" i="151"/>
  <c r="AD188" i="151"/>
  <c r="AD189" i="151"/>
  <c r="AD190" i="151"/>
  <c r="AD191" i="151"/>
  <c r="AD192" i="151"/>
  <c r="AD193" i="151"/>
  <c r="AD194" i="151"/>
  <c r="AD195" i="151"/>
  <c r="AD196" i="151"/>
  <c r="AD197" i="151"/>
  <c r="AD198" i="151"/>
  <c r="AD199" i="151"/>
  <c r="AD200" i="151"/>
  <c r="AD201" i="151"/>
  <c r="AD202" i="151"/>
  <c r="AD203" i="151"/>
  <c r="AD204" i="151"/>
  <c r="AD205" i="151"/>
  <c r="AD206" i="151"/>
  <c r="AD207" i="151"/>
  <c r="AD208" i="151"/>
  <c r="AD209" i="151"/>
  <c r="AD210" i="151"/>
  <c r="AD211" i="151"/>
  <c r="AD212" i="151"/>
  <c r="AD213" i="151"/>
  <c r="AD214" i="151"/>
  <c r="AD215" i="151"/>
  <c r="AD216" i="151"/>
  <c r="AD217" i="151"/>
  <c r="AD218" i="151"/>
  <c r="AD219" i="151"/>
  <c r="AD220" i="151"/>
  <c r="AD221" i="151"/>
  <c r="AD222" i="151"/>
  <c r="AD223" i="151"/>
  <c r="AD224" i="151"/>
  <c r="AD225" i="151"/>
  <c r="AD226" i="151"/>
  <c r="AD227" i="151"/>
  <c r="AD228" i="151"/>
  <c r="AD229" i="151"/>
  <c r="AD230" i="151"/>
  <c r="AD231" i="151"/>
  <c r="AD232" i="151"/>
  <c r="AD233" i="151"/>
  <c r="AD234" i="151"/>
  <c r="AD235" i="151"/>
  <c r="AD236" i="151"/>
  <c r="AD237" i="151"/>
  <c r="AD238" i="151"/>
  <c r="AD239" i="151"/>
  <c r="AD240" i="151"/>
  <c r="AD241" i="151"/>
  <c r="AD242" i="151"/>
  <c r="AD243" i="151"/>
  <c r="AD244" i="151"/>
  <c r="AD245" i="151"/>
  <c r="AD246" i="151"/>
  <c r="AD247" i="151"/>
  <c r="AD248" i="151"/>
  <c r="AD249" i="151"/>
  <c r="AD250" i="151"/>
  <c r="AD251" i="151"/>
  <c r="AD252" i="151"/>
  <c r="AD253" i="151"/>
  <c r="AD254" i="151"/>
  <c r="AD255" i="151"/>
  <c r="AD256" i="151"/>
  <c r="AD257" i="151"/>
  <c r="AD258" i="151"/>
  <c r="AD259" i="151"/>
  <c r="AD260" i="151"/>
  <c r="AD261" i="151"/>
  <c r="AD262" i="151"/>
  <c r="AD263" i="151"/>
  <c r="AD264" i="151"/>
  <c r="AD265" i="151"/>
  <c r="AD266" i="151"/>
  <c r="AD267" i="151"/>
  <c r="AD268" i="151"/>
  <c r="AD269" i="151"/>
  <c r="AD270" i="151"/>
  <c r="AD271" i="151"/>
  <c r="AD272" i="151"/>
  <c r="AD273" i="151"/>
  <c r="AD274" i="151"/>
  <c r="AD275" i="151"/>
  <c r="AD276" i="151"/>
  <c r="AD277" i="151"/>
  <c r="AD278" i="151"/>
  <c r="AD279" i="151"/>
  <c r="AD280" i="151"/>
  <c r="AD281" i="151"/>
  <c r="AD282" i="151"/>
  <c r="AD283" i="151"/>
  <c r="AD284" i="151"/>
  <c r="AD285" i="151"/>
  <c r="AD286" i="151"/>
  <c r="AD287" i="151"/>
  <c r="AD288" i="151"/>
  <c r="AD289" i="151"/>
  <c r="AD290" i="151"/>
  <c r="AD291" i="151"/>
  <c r="AD292" i="151"/>
  <c r="AD293" i="151"/>
  <c r="AD294" i="151"/>
  <c r="AD295" i="151"/>
  <c r="AD296" i="151"/>
  <c r="AD297" i="151"/>
  <c r="AD298" i="151"/>
  <c r="AD299" i="151"/>
  <c r="AD300" i="151"/>
  <c r="AD301" i="151"/>
  <c r="AD302" i="151"/>
  <c r="AD303" i="151"/>
  <c r="AD304" i="151"/>
  <c r="AD305" i="151"/>
  <c r="AD306" i="151"/>
  <c r="AD307" i="151"/>
  <c r="AD308" i="151"/>
  <c r="AD309" i="151"/>
  <c r="AD310" i="151"/>
  <c r="AD311" i="151"/>
  <c r="AD312" i="151"/>
  <c r="AD313" i="151"/>
  <c r="AD314" i="151"/>
  <c r="AD315" i="151"/>
  <c r="AD316" i="151"/>
  <c r="AD317" i="151"/>
  <c r="AD318" i="151"/>
  <c r="AD319" i="151"/>
  <c r="AD320" i="151"/>
  <c r="AD321" i="151"/>
  <c r="AD324" i="151"/>
  <c r="AD325" i="151"/>
  <c r="AD101" i="151"/>
  <c r="L2622" i="170"/>
  <c r="AJ21" i="169" l="1"/>
  <c r="J347" i="151" s="1"/>
  <c r="M383" i="132"/>
  <c r="T81" i="101"/>
  <c r="AJ288" i="8"/>
  <c r="E14" i="157"/>
  <c r="AH24" i="32"/>
  <c r="AK24" i="32" s="1"/>
  <c r="M32" i="152" s="1"/>
  <c r="AH25" i="32"/>
  <c r="AK25" i="32" s="1"/>
  <c r="M33" i="152" s="1"/>
  <c r="C315" i="151"/>
  <c r="D313" i="132" s="1"/>
  <c r="C316" i="151"/>
  <c r="D314" i="132" s="1"/>
  <c r="C317" i="151"/>
  <c r="D315" i="132" s="1"/>
  <c r="C318" i="151"/>
  <c r="D316" i="132" s="1"/>
  <c r="C319" i="151"/>
  <c r="D317" i="132" s="1"/>
  <c r="C320" i="151"/>
  <c r="D318" i="132" s="1"/>
  <c r="C324" i="151"/>
  <c r="D322" i="132" s="1"/>
  <c r="C325" i="151"/>
  <c r="D323" i="132" s="1"/>
  <c r="C253" i="151"/>
  <c r="C254" i="151"/>
  <c r="C252" i="151"/>
  <c r="B2036" i="170" s="1"/>
  <c r="C180" i="151"/>
  <c r="C181" i="151"/>
  <c r="C182" i="151"/>
  <c r="C183" i="151"/>
  <c r="C98" i="151"/>
  <c r="C99" i="151"/>
  <c r="C95" i="151"/>
  <c r="C96" i="151"/>
  <c r="C97" i="151"/>
  <c r="Y80" i="102"/>
  <c r="Y83" i="102"/>
  <c r="Y84" i="102"/>
  <c r="C74" i="102"/>
  <c r="C75" i="102"/>
  <c r="C76" i="102"/>
  <c r="C77" i="102"/>
  <c r="C78" i="102"/>
  <c r="C83" i="102"/>
  <c r="C84" i="102"/>
  <c r="C80" i="101"/>
  <c r="C81" i="101"/>
  <c r="C95" i="99"/>
  <c r="C97" i="99"/>
  <c r="C98" i="99"/>
  <c r="C99" i="99"/>
  <c r="C99" i="128"/>
  <c r="C100" i="128"/>
  <c r="C101" i="128"/>
  <c r="C102" i="128"/>
  <c r="C103" i="128"/>
  <c r="C104" i="128"/>
  <c r="C105" i="128"/>
  <c r="C106" i="128"/>
  <c r="C107" i="128"/>
  <c r="C108" i="128"/>
  <c r="C109" i="128"/>
  <c r="C110" i="128"/>
  <c r="C111" i="128"/>
  <c r="C112" i="128"/>
  <c r="C113" i="128"/>
  <c r="C114" i="128"/>
  <c r="C115" i="128"/>
  <c r="C116" i="128"/>
  <c r="C117" i="128"/>
  <c r="C118" i="128"/>
  <c r="C119" i="128"/>
  <c r="C120" i="128"/>
  <c r="C121" i="128"/>
  <c r="C122" i="128"/>
  <c r="C123" i="128"/>
  <c r="C124" i="128"/>
  <c r="C125" i="128"/>
  <c r="C126" i="128"/>
  <c r="C127" i="128"/>
  <c r="C128" i="128"/>
  <c r="C129" i="128"/>
  <c r="C130" i="128"/>
  <c r="C131" i="128"/>
  <c r="C132" i="128"/>
  <c r="C133" i="128"/>
  <c r="C134" i="128"/>
  <c r="C135" i="128"/>
  <c r="C136" i="128"/>
  <c r="C137" i="128"/>
  <c r="C138" i="128"/>
  <c r="C139" i="128"/>
  <c r="C140" i="128"/>
  <c r="C141" i="128"/>
  <c r="C142" i="128"/>
  <c r="C143" i="128"/>
  <c r="C144" i="128"/>
  <c r="C145" i="128"/>
  <c r="C146" i="128"/>
  <c r="C147" i="128"/>
  <c r="C148" i="128"/>
  <c r="C149" i="128"/>
  <c r="C150" i="128"/>
  <c r="C151" i="128"/>
  <c r="C152" i="128"/>
  <c r="C153" i="128"/>
  <c r="C154" i="128"/>
  <c r="C155" i="128"/>
  <c r="C156" i="128"/>
  <c r="C157" i="128"/>
  <c r="C158" i="128"/>
  <c r="C159" i="128"/>
  <c r="C160" i="128"/>
  <c r="C161" i="128"/>
  <c r="C162" i="128"/>
  <c r="C163" i="128"/>
  <c r="C164" i="128"/>
  <c r="C165" i="128"/>
  <c r="C166" i="128"/>
  <c r="C167" i="128"/>
  <c r="C168" i="128"/>
  <c r="C169" i="128"/>
  <c r="C170" i="128"/>
  <c r="C171" i="128"/>
  <c r="C172" i="128"/>
  <c r="C173" i="128"/>
  <c r="C174" i="128"/>
  <c r="C175" i="128"/>
  <c r="C176" i="128"/>
  <c r="C177" i="128"/>
  <c r="C178" i="128"/>
  <c r="C179" i="128"/>
  <c r="X185" i="151" l="1"/>
  <c r="Z185" i="151" s="1"/>
  <c r="E20" i="154"/>
  <c r="D181" i="132"/>
  <c r="D250" i="132"/>
  <c r="D178" i="132"/>
  <c r="D179" i="132"/>
  <c r="D180" i="132"/>
  <c r="D251" i="132"/>
  <c r="D252" i="132"/>
  <c r="AH26" i="32"/>
  <c r="AK26" i="32" s="1"/>
  <c r="M34" i="152" s="1"/>
  <c r="AH22" i="32"/>
  <c r="AK22" i="32" s="1"/>
  <c r="M30" i="152" s="1"/>
  <c r="AH23" i="32"/>
  <c r="AK23" i="32" s="1"/>
  <c r="M31" i="152" s="1"/>
  <c r="AH21" i="32"/>
  <c r="AK21" i="32" s="1"/>
  <c r="M29" i="152" s="1"/>
  <c r="L357" i="151"/>
  <c r="Q92" i="9" l="1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E80" i="102" s="1"/>
  <c r="F80" i="102" s="1"/>
  <c r="Q318" i="9"/>
  <c r="E83" i="102" s="1"/>
  <c r="Q243" i="9"/>
  <c r="Q244" i="9"/>
  <c r="Q245" i="9"/>
  <c r="Q246" i="9"/>
  <c r="Q247" i="9"/>
  <c r="Q248" i="9"/>
  <c r="Q249" i="9"/>
  <c r="Q152" i="9"/>
  <c r="Q170" i="9"/>
  <c r="Q171" i="9"/>
  <c r="Q172" i="9"/>
  <c r="Q173" i="9"/>
  <c r="Q174" i="9"/>
  <c r="Q175" i="9"/>
  <c r="Q176" i="9"/>
  <c r="Q177" i="9"/>
  <c r="Q178" i="9"/>
  <c r="Q181" i="9"/>
  <c r="Q183" i="9"/>
  <c r="Q62" i="9"/>
  <c r="Q84" i="9"/>
  <c r="Q85" i="9"/>
  <c r="Q86" i="9"/>
  <c r="Q87" i="9"/>
  <c r="Q88" i="9"/>
  <c r="Q89" i="9"/>
  <c r="Q90" i="9"/>
  <c r="Q91" i="9"/>
  <c r="Q93" i="9"/>
  <c r="Q94" i="9"/>
  <c r="Q25" i="9"/>
  <c r="Q14" i="9"/>
  <c r="Q165" i="9"/>
  <c r="Q166" i="9"/>
  <c r="Q167" i="9"/>
  <c r="Q168" i="9"/>
  <c r="Q169" i="9"/>
  <c r="Q164" i="9"/>
  <c r="Q163" i="9"/>
  <c r="Q145" i="9"/>
  <c r="Q146" i="9"/>
  <c r="Q147" i="9"/>
  <c r="Q148" i="9"/>
  <c r="Q149" i="9"/>
  <c r="Q150" i="9"/>
  <c r="Q151" i="9"/>
  <c r="Q153" i="9"/>
  <c r="Q154" i="9"/>
  <c r="Q155" i="9"/>
  <c r="Q156" i="9"/>
  <c r="Q157" i="9"/>
  <c r="Q158" i="9"/>
  <c r="Q159" i="9"/>
  <c r="Q160" i="9"/>
  <c r="Q161" i="9"/>
  <c r="Q144" i="9"/>
  <c r="Q134" i="9"/>
  <c r="Q135" i="9"/>
  <c r="Q136" i="9"/>
  <c r="Q137" i="9"/>
  <c r="Q138" i="9"/>
  <c r="Q139" i="9"/>
  <c r="Q140" i="9"/>
  <c r="Q133" i="9"/>
  <c r="Q132" i="9"/>
  <c r="Q131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18" i="9"/>
  <c r="Q117" i="9"/>
  <c r="Q116" i="9"/>
  <c r="Q115" i="9"/>
  <c r="Q111" i="9"/>
  <c r="Q110" i="9"/>
  <c r="Q109" i="9"/>
  <c r="Q108" i="9"/>
  <c r="Q107" i="9"/>
  <c r="Q106" i="9"/>
  <c r="Q105" i="9"/>
  <c r="Q103" i="9"/>
  <c r="Q99" i="9"/>
  <c r="Q81" i="9"/>
  <c r="Q80" i="9"/>
  <c r="Q79" i="9"/>
  <c r="Q77" i="9"/>
  <c r="Q74" i="9"/>
  <c r="Q75" i="9"/>
  <c r="Q76" i="9"/>
  <c r="Q73" i="9"/>
  <c r="Q72" i="9"/>
  <c r="Q70" i="9"/>
  <c r="Q69" i="9"/>
  <c r="Q66" i="9"/>
  <c r="Q67" i="9"/>
  <c r="Q65" i="9"/>
  <c r="Q64" i="9"/>
  <c r="Q63" i="9"/>
  <c r="Q61" i="9"/>
  <c r="Q60" i="9"/>
  <c r="Q59" i="9"/>
  <c r="Q58" i="9"/>
  <c r="Q56" i="9"/>
  <c r="Q57" i="9"/>
  <c r="Q55" i="9"/>
  <c r="Q54" i="9"/>
  <c r="Q51" i="9"/>
  <c r="Q52" i="9"/>
  <c r="Q53" i="9"/>
  <c r="Q50" i="9"/>
  <c r="Q48" i="9"/>
  <c r="Q49" i="9"/>
  <c r="Q47" i="9"/>
  <c r="Q43" i="9"/>
  <c r="Q44" i="9"/>
  <c r="Q45" i="9"/>
  <c r="Q46" i="9"/>
  <c r="Q42" i="9"/>
  <c r="Q41" i="9"/>
  <c r="Q37" i="9"/>
  <c r="Q38" i="9"/>
  <c r="Q39" i="9"/>
  <c r="Q40" i="9"/>
  <c r="Q36" i="9"/>
  <c r="Q35" i="9"/>
  <c r="Q32" i="9"/>
  <c r="Q33" i="9"/>
  <c r="Q34" i="9"/>
  <c r="Q31" i="9"/>
  <c r="Q30" i="9"/>
  <c r="Q29" i="9"/>
  <c r="Q23" i="9"/>
  <c r="Q22" i="9"/>
  <c r="Q21" i="9"/>
  <c r="Q16" i="9"/>
  <c r="Q17" i="9"/>
  <c r="Q18" i="9"/>
  <c r="Q19" i="9"/>
  <c r="Q20" i="9"/>
  <c r="Q15" i="9"/>
  <c r="Q12" i="9"/>
  <c r="Q11" i="9"/>
  <c r="Q319" i="9"/>
  <c r="E84" i="102" s="1"/>
  <c r="F84" i="102" s="1"/>
  <c r="E99" i="100" l="1"/>
  <c r="F99" i="100" s="1"/>
  <c r="E98" i="100"/>
  <c r="F98" i="100" s="1"/>
  <c r="E104" i="100"/>
  <c r="F104" i="100" s="1"/>
  <c r="E188" i="151"/>
  <c r="F188" i="151" s="1"/>
  <c r="E97" i="100"/>
  <c r="F97" i="100" s="1"/>
  <c r="E102" i="100"/>
  <c r="F102" i="100" s="1"/>
  <c r="E186" i="151"/>
  <c r="F186" i="151" s="1"/>
  <c r="E96" i="100"/>
  <c r="F96" i="100" s="1"/>
  <c r="AC247" i="9"/>
  <c r="X252" i="151"/>
  <c r="Z252" i="151" s="1"/>
  <c r="Q59" i="59"/>
  <c r="Q45" i="59"/>
  <c r="Q31" i="59"/>
  <c r="Q73" i="59"/>
  <c r="R79" i="59"/>
  <c r="R23" i="59"/>
  <c r="K2611" i="170"/>
  <c r="E2611" i="170"/>
  <c r="E2066" i="170"/>
  <c r="M2052" i="170"/>
  <c r="E1505" i="170"/>
  <c r="E1485" i="170"/>
  <c r="K703" i="170"/>
  <c r="E703" i="170"/>
  <c r="X186" i="151" l="1"/>
  <c r="Z186" i="151" s="1"/>
  <c r="X188" i="151"/>
  <c r="Z188" i="151" s="1"/>
  <c r="Q82" i="59"/>
  <c r="K734" i="170"/>
  <c r="E734" i="170"/>
  <c r="H2565" i="170" l="1"/>
  <c r="K2049" i="170"/>
  <c r="H2036" i="170"/>
  <c r="I2043" i="170" s="1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L347" i="151"/>
  <c r="AH16" i="32"/>
  <c r="AH17" i="32"/>
  <c r="AK17" i="32" s="1"/>
  <c r="M25" i="152" s="1"/>
  <c r="AH18" i="32"/>
  <c r="AK18" i="32" s="1"/>
  <c r="M26" i="152" s="1"/>
  <c r="AH19" i="32"/>
  <c r="AK19" i="32" s="1"/>
  <c r="M27" i="152" s="1"/>
  <c r="AH20" i="32"/>
  <c r="AK20" i="32" s="1"/>
  <c r="M28" i="152" s="1"/>
  <c r="AA15" i="151"/>
  <c r="B2019" i="170"/>
  <c r="H2019" i="170"/>
  <c r="H96" i="100"/>
  <c r="H97" i="100"/>
  <c r="B1473" i="170"/>
  <c r="H1420" i="170"/>
  <c r="AB15" i="102"/>
  <c r="Y74" i="102"/>
  <c r="Y75" i="102"/>
  <c r="Y76" i="102"/>
  <c r="Y77" i="102"/>
  <c r="Y78" i="102"/>
  <c r="Y79" i="102"/>
  <c r="AC90" i="9"/>
  <c r="AC316" i="9"/>
  <c r="U92" i="9"/>
  <c r="U93" i="9"/>
  <c r="AC176" i="9"/>
  <c r="AC177" i="9"/>
  <c r="AC178" i="9"/>
  <c r="AC181" i="9"/>
  <c r="AC311" i="9"/>
  <c r="AC312" i="9"/>
  <c r="AC313" i="9"/>
  <c r="AC315" i="9"/>
  <c r="AC91" i="9"/>
  <c r="E14" i="128"/>
  <c r="F14" i="128"/>
  <c r="G14" i="128"/>
  <c r="H14" i="128"/>
  <c r="I14" i="128"/>
  <c r="J14" i="128"/>
  <c r="K14" i="128"/>
  <c r="L14" i="128"/>
  <c r="M14" i="128"/>
  <c r="N14" i="128"/>
  <c r="O14" i="128"/>
  <c r="P14" i="128"/>
  <c r="Q14" i="128"/>
  <c r="R14" i="128"/>
  <c r="S14" i="128"/>
  <c r="T14" i="128"/>
  <c r="U14" i="128"/>
  <c r="V14" i="128"/>
  <c r="W14" i="128"/>
  <c r="X14" i="128"/>
  <c r="Y14" i="128"/>
  <c r="Z14" i="128"/>
  <c r="AA14" i="128"/>
  <c r="AB14" i="128"/>
  <c r="AC14" i="128"/>
  <c r="AD14" i="128"/>
  <c r="AE14" i="128"/>
  <c r="AF14" i="128"/>
  <c r="AG14" i="128"/>
  <c r="D14" i="128"/>
  <c r="E96" i="128"/>
  <c r="F96" i="128"/>
  <c r="G96" i="128"/>
  <c r="H96" i="128"/>
  <c r="I96" i="128"/>
  <c r="J96" i="128"/>
  <c r="K96" i="128"/>
  <c r="L96" i="128"/>
  <c r="M96" i="128"/>
  <c r="N96" i="128"/>
  <c r="O96" i="128"/>
  <c r="P96" i="128"/>
  <c r="Q96" i="128"/>
  <c r="R96" i="128"/>
  <c r="S96" i="128"/>
  <c r="T96" i="128"/>
  <c r="U96" i="128"/>
  <c r="V96" i="128"/>
  <c r="W96" i="128"/>
  <c r="X96" i="128"/>
  <c r="Y96" i="128"/>
  <c r="Z96" i="128"/>
  <c r="AA96" i="128"/>
  <c r="AB96" i="128"/>
  <c r="AC96" i="128"/>
  <c r="AD96" i="128"/>
  <c r="AE96" i="128"/>
  <c r="AF96" i="128"/>
  <c r="AG96" i="128"/>
  <c r="AK311" i="128"/>
  <c r="AK310" i="128"/>
  <c r="AK309" i="128"/>
  <c r="AK308" i="128"/>
  <c r="AK307" i="128"/>
  <c r="AK305" i="128"/>
  <c r="AK304" i="128"/>
  <c r="AK303" i="128"/>
  <c r="AK302" i="128"/>
  <c r="AK301" i="128"/>
  <c r="AK300" i="128"/>
  <c r="AK299" i="128"/>
  <c r="AK298" i="128"/>
  <c r="AK297" i="128"/>
  <c r="AK296" i="128"/>
  <c r="AK295" i="128"/>
  <c r="AK294" i="128"/>
  <c r="AK293" i="128"/>
  <c r="AK292" i="128"/>
  <c r="AK291" i="128"/>
  <c r="AK290" i="128"/>
  <c r="AK289" i="128"/>
  <c r="AK288" i="128"/>
  <c r="AK287" i="128"/>
  <c r="AK286" i="128"/>
  <c r="AK285" i="128"/>
  <c r="AK284" i="128"/>
  <c r="AK283" i="128"/>
  <c r="AK282" i="128"/>
  <c r="AK281" i="128"/>
  <c r="AK280" i="128"/>
  <c r="AK279" i="128"/>
  <c r="AK278" i="128"/>
  <c r="AK277" i="128"/>
  <c r="AK276" i="128"/>
  <c r="AK275" i="128"/>
  <c r="AK274" i="128"/>
  <c r="AK273" i="128"/>
  <c r="AK272" i="128"/>
  <c r="AK271" i="128"/>
  <c r="AK270" i="128"/>
  <c r="AK269" i="128"/>
  <c r="AK268" i="128"/>
  <c r="AK267" i="128"/>
  <c r="AK266" i="128"/>
  <c r="AK265" i="128"/>
  <c r="AK264" i="128"/>
  <c r="AK263" i="128"/>
  <c r="AK262" i="128"/>
  <c r="AK261" i="128"/>
  <c r="AK260" i="128"/>
  <c r="AK259" i="128"/>
  <c r="AK258" i="128"/>
  <c r="AK257" i="128"/>
  <c r="AK256" i="128"/>
  <c r="AK255" i="128"/>
  <c r="AK254" i="128"/>
  <c r="AK253" i="128"/>
  <c r="AK252" i="128"/>
  <c r="AK251" i="128"/>
  <c r="AK250" i="128"/>
  <c r="AK249" i="128"/>
  <c r="AK248" i="128"/>
  <c r="AI244" i="128"/>
  <c r="AK244" i="128" s="1"/>
  <c r="AI243" i="128"/>
  <c r="AK243" i="128" s="1"/>
  <c r="AI242" i="128"/>
  <c r="AK242" i="128" s="1"/>
  <c r="AI241" i="128"/>
  <c r="AK241" i="128" s="1"/>
  <c r="AI240" i="128"/>
  <c r="AK240" i="128" s="1"/>
  <c r="AI239" i="128"/>
  <c r="AK239" i="128" s="1"/>
  <c r="AI238" i="128"/>
  <c r="AK238" i="128" s="1"/>
  <c r="AI237" i="128"/>
  <c r="AK237" i="128" s="1"/>
  <c r="AI236" i="128"/>
  <c r="AK236" i="128" s="1"/>
  <c r="AI235" i="128"/>
  <c r="AK235" i="128" s="1"/>
  <c r="AI234" i="128"/>
  <c r="AK234" i="128" s="1"/>
  <c r="AI233" i="128"/>
  <c r="AK233" i="128" s="1"/>
  <c r="AI232" i="128"/>
  <c r="AK232" i="128" s="1"/>
  <c r="AI231" i="128"/>
  <c r="AK231" i="128" s="1"/>
  <c r="AI230" i="128"/>
  <c r="AK230" i="128" s="1"/>
  <c r="AI229" i="128"/>
  <c r="AK229" i="128" s="1"/>
  <c r="AI228" i="128"/>
  <c r="AK228" i="128" s="1"/>
  <c r="AI227" i="128"/>
  <c r="AK227" i="128" s="1"/>
  <c r="AI226" i="128"/>
  <c r="AK226" i="128" s="1"/>
  <c r="AI225" i="128"/>
  <c r="AK225" i="128" s="1"/>
  <c r="AI224" i="128"/>
  <c r="AK224" i="128" s="1"/>
  <c r="AI223" i="128"/>
  <c r="AK223" i="128" s="1"/>
  <c r="AI222" i="128"/>
  <c r="AK222" i="128" s="1"/>
  <c r="AI221" i="128"/>
  <c r="AK221" i="128" s="1"/>
  <c r="AI220" i="128"/>
  <c r="AK220" i="128" s="1"/>
  <c r="AI219" i="128"/>
  <c r="AK219" i="128" s="1"/>
  <c r="AI218" i="128"/>
  <c r="AK218" i="128" s="1"/>
  <c r="AI217" i="128"/>
  <c r="AK217" i="128" s="1"/>
  <c r="AI216" i="128"/>
  <c r="AK216" i="128" s="1"/>
  <c r="AI215" i="128"/>
  <c r="AK215" i="128" s="1"/>
  <c r="AI214" i="128"/>
  <c r="AK214" i="128" s="1"/>
  <c r="AI213" i="128"/>
  <c r="AK213" i="128" s="1"/>
  <c r="AI212" i="128"/>
  <c r="AK212" i="128" s="1"/>
  <c r="AI211" i="128"/>
  <c r="AK211" i="128" s="1"/>
  <c r="AI210" i="128"/>
  <c r="AK210" i="128" s="1"/>
  <c r="AI209" i="128"/>
  <c r="AK209" i="128" s="1"/>
  <c r="AI208" i="128"/>
  <c r="AK208" i="128" s="1"/>
  <c r="AI207" i="128"/>
  <c r="AK207" i="128" s="1"/>
  <c r="AI206" i="128"/>
  <c r="AK206" i="128" s="1"/>
  <c r="AI205" i="128"/>
  <c r="AK205" i="128" s="1"/>
  <c r="AI204" i="128"/>
  <c r="AK204" i="128" s="1"/>
  <c r="AI203" i="128"/>
  <c r="AK203" i="128" s="1"/>
  <c r="AI202" i="128"/>
  <c r="AK202" i="128" s="1"/>
  <c r="AI201" i="128"/>
  <c r="AK201" i="128" s="1"/>
  <c r="AI200" i="128"/>
  <c r="AK200" i="128" s="1"/>
  <c r="AI199" i="128"/>
  <c r="AK199" i="128" s="1"/>
  <c r="AI198" i="128"/>
  <c r="AK198" i="128" s="1"/>
  <c r="AI197" i="128"/>
  <c r="AK197" i="128" s="1"/>
  <c r="AI196" i="128"/>
  <c r="AK196" i="128" s="1"/>
  <c r="AI195" i="128"/>
  <c r="AK195" i="128" s="1"/>
  <c r="AI194" i="128"/>
  <c r="AK194" i="128" s="1"/>
  <c r="AI193" i="128"/>
  <c r="AK193" i="128" s="1"/>
  <c r="AI192" i="128"/>
  <c r="AK192" i="128" s="1"/>
  <c r="AI191" i="128"/>
  <c r="AK191" i="128" s="1"/>
  <c r="AI190" i="128"/>
  <c r="AK190" i="128" s="1"/>
  <c r="AI189" i="128"/>
  <c r="AK189" i="128" s="1"/>
  <c r="AI188" i="128"/>
  <c r="AK188" i="128" s="1"/>
  <c r="AI187" i="128"/>
  <c r="AK187" i="128" s="1"/>
  <c r="AI186" i="128"/>
  <c r="AK186" i="128" s="1"/>
  <c r="AI185" i="128"/>
  <c r="AK185" i="128" s="1"/>
  <c r="AI184" i="128"/>
  <c r="AK184" i="128" s="1"/>
  <c r="AI183" i="128"/>
  <c r="AK183" i="128" s="1"/>
  <c r="AI180" i="128"/>
  <c r="AK180" i="128" s="1"/>
  <c r="AI179" i="128"/>
  <c r="AI178" i="128"/>
  <c r="AI177" i="128"/>
  <c r="AK177" i="128" s="1"/>
  <c r="AI176" i="128"/>
  <c r="AK176" i="128" s="1"/>
  <c r="AI175" i="128"/>
  <c r="AK175" i="128" s="1"/>
  <c r="AI174" i="128"/>
  <c r="AK174" i="128" s="1"/>
  <c r="AI173" i="128"/>
  <c r="AK173" i="128" s="1"/>
  <c r="AI172" i="128"/>
  <c r="AK172" i="128" s="1"/>
  <c r="AI171" i="128"/>
  <c r="AK171" i="128" s="1"/>
  <c r="AI170" i="128"/>
  <c r="AK170" i="128" s="1"/>
  <c r="AI169" i="128"/>
  <c r="AK169" i="128" s="1"/>
  <c r="AI168" i="128"/>
  <c r="AK168" i="128" s="1"/>
  <c r="AI167" i="128"/>
  <c r="AK167" i="128" s="1"/>
  <c r="AI166" i="128"/>
  <c r="AK166" i="128" s="1"/>
  <c r="AI165" i="128"/>
  <c r="AK165" i="128" s="1"/>
  <c r="AI164" i="128"/>
  <c r="AK164" i="128" s="1"/>
  <c r="AI163" i="128"/>
  <c r="AK163" i="128" s="1"/>
  <c r="AI162" i="128"/>
  <c r="AK162" i="128" s="1"/>
  <c r="AI161" i="128"/>
  <c r="AK161" i="128" s="1"/>
  <c r="AI160" i="128"/>
  <c r="AK160" i="128" s="1"/>
  <c r="AI159" i="128"/>
  <c r="AK159" i="128" s="1"/>
  <c r="AI158" i="128"/>
  <c r="AK158" i="128" s="1"/>
  <c r="AI157" i="128"/>
  <c r="AK157" i="128" s="1"/>
  <c r="AI156" i="128"/>
  <c r="AK156" i="128" s="1"/>
  <c r="AI155" i="128"/>
  <c r="AK155" i="128" s="1"/>
  <c r="AI154" i="128"/>
  <c r="AK154" i="128" s="1"/>
  <c r="AI153" i="128"/>
  <c r="AK153" i="128" s="1"/>
  <c r="AI152" i="128"/>
  <c r="AK152" i="128" s="1"/>
  <c r="AI151" i="128"/>
  <c r="AK151" i="128" s="1"/>
  <c r="AI150" i="128"/>
  <c r="AK150" i="128" s="1"/>
  <c r="AI149" i="128"/>
  <c r="AK149" i="128" s="1"/>
  <c r="AI148" i="128"/>
  <c r="AK148" i="128" s="1"/>
  <c r="AI147" i="128"/>
  <c r="AK147" i="128" s="1"/>
  <c r="AI146" i="128"/>
  <c r="AK146" i="128" s="1"/>
  <c r="AI145" i="128"/>
  <c r="AK145" i="128" s="1"/>
  <c r="AI144" i="128"/>
  <c r="AK144" i="128" s="1"/>
  <c r="AI143" i="128"/>
  <c r="AK143" i="128" s="1"/>
  <c r="AI142" i="128"/>
  <c r="AK142" i="128" s="1"/>
  <c r="AI141" i="128"/>
  <c r="AK141" i="128" s="1"/>
  <c r="AI140" i="128"/>
  <c r="AK140" i="128" s="1"/>
  <c r="AI139" i="128"/>
  <c r="AK139" i="128" s="1"/>
  <c r="AI138" i="128"/>
  <c r="AK138" i="128" s="1"/>
  <c r="AI137" i="128"/>
  <c r="AK137" i="128" s="1"/>
  <c r="AI136" i="128"/>
  <c r="AK136" i="128" s="1"/>
  <c r="AI135" i="128"/>
  <c r="AK135" i="128" s="1"/>
  <c r="AI134" i="128"/>
  <c r="AK134" i="128" s="1"/>
  <c r="AI133" i="128"/>
  <c r="AK133" i="128" s="1"/>
  <c r="AI132" i="128"/>
  <c r="AK132" i="128" s="1"/>
  <c r="AI131" i="128"/>
  <c r="AK131" i="128" s="1"/>
  <c r="AI130" i="128"/>
  <c r="AK130" i="128" s="1"/>
  <c r="AI129" i="128"/>
  <c r="AK129" i="128" s="1"/>
  <c r="AI128" i="128"/>
  <c r="AK128" i="128" s="1"/>
  <c r="AI127" i="128"/>
  <c r="AK127" i="128" s="1"/>
  <c r="AI126" i="128"/>
  <c r="AK126" i="128" s="1"/>
  <c r="AI125" i="128"/>
  <c r="AK125" i="128" s="1"/>
  <c r="AI124" i="128"/>
  <c r="AK124" i="128" s="1"/>
  <c r="AI123" i="128"/>
  <c r="AK123" i="128" s="1"/>
  <c r="AI122" i="128"/>
  <c r="AK122" i="128" s="1"/>
  <c r="AI121" i="128"/>
  <c r="AK121" i="128" s="1"/>
  <c r="AI120" i="128"/>
  <c r="AK120" i="128" s="1"/>
  <c r="AI119" i="128"/>
  <c r="AK119" i="128" s="1"/>
  <c r="AI118" i="128"/>
  <c r="AK118" i="128" s="1"/>
  <c r="AI117" i="128"/>
  <c r="AK117" i="128" s="1"/>
  <c r="AI116" i="128"/>
  <c r="AK116" i="128" s="1"/>
  <c r="AI115" i="128"/>
  <c r="AK115" i="128" s="1"/>
  <c r="AI114" i="128"/>
  <c r="AK114" i="128" s="1"/>
  <c r="AI113" i="128"/>
  <c r="AK113" i="128" s="1"/>
  <c r="AI112" i="128"/>
  <c r="AK112" i="128" s="1"/>
  <c r="AI111" i="128"/>
  <c r="AK111" i="128" s="1"/>
  <c r="AI110" i="128"/>
  <c r="AK110" i="128" s="1"/>
  <c r="AI109" i="128"/>
  <c r="AK109" i="128" s="1"/>
  <c r="AI108" i="128"/>
  <c r="AK108" i="128" s="1"/>
  <c r="AI107" i="128"/>
  <c r="AK107" i="128" s="1"/>
  <c r="AI106" i="128"/>
  <c r="AK106" i="128" s="1"/>
  <c r="AI105" i="128"/>
  <c r="AK105" i="128" s="1"/>
  <c r="AI104" i="128"/>
  <c r="AK104" i="128" s="1"/>
  <c r="AI103" i="128"/>
  <c r="AK103" i="128" s="1"/>
  <c r="AI102" i="128"/>
  <c r="AK102" i="128" s="1"/>
  <c r="AI101" i="128"/>
  <c r="AK101" i="128" s="1"/>
  <c r="AI100" i="128"/>
  <c r="AK100" i="128" s="1"/>
  <c r="AI99" i="128"/>
  <c r="AK99" i="128" s="1"/>
  <c r="AI98" i="128"/>
  <c r="AK98" i="128" s="1"/>
  <c r="AI97" i="128"/>
  <c r="AK97" i="128" s="1"/>
  <c r="AI94" i="128"/>
  <c r="AK94" i="128" s="1"/>
  <c r="AI93" i="128"/>
  <c r="AK93" i="128" s="1"/>
  <c r="AI92" i="128"/>
  <c r="AK92" i="128" s="1"/>
  <c r="AI91" i="128"/>
  <c r="AK91" i="128" s="1"/>
  <c r="AI90" i="128"/>
  <c r="AK90" i="128" s="1"/>
  <c r="AI89" i="128"/>
  <c r="AK89" i="128" s="1"/>
  <c r="AI88" i="128"/>
  <c r="AI87" i="128"/>
  <c r="AK87" i="128" s="1"/>
  <c r="AI86" i="128"/>
  <c r="AK86" i="128" s="1"/>
  <c r="AI85" i="128"/>
  <c r="AK85" i="128" s="1"/>
  <c r="AI84" i="128"/>
  <c r="AK84" i="128" s="1"/>
  <c r="AI83" i="128"/>
  <c r="AK83" i="128" s="1"/>
  <c r="AI82" i="128"/>
  <c r="AK82" i="128" s="1"/>
  <c r="AI81" i="128"/>
  <c r="AK81" i="128" s="1"/>
  <c r="AI80" i="128"/>
  <c r="AK80" i="128" s="1"/>
  <c r="AI79" i="128"/>
  <c r="AK79" i="128" s="1"/>
  <c r="AI78" i="128"/>
  <c r="AK78" i="128" s="1"/>
  <c r="AI77" i="128"/>
  <c r="AK77" i="128" s="1"/>
  <c r="AI76" i="128"/>
  <c r="AK76" i="128" s="1"/>
  <c r="AI75" i="128"/>
  <c r="AK75" i="128" s="1"/>
  <c r="AI74" i="128"/>
  <c r="AK74" i="128" s="1"/>
  <c r="AI73" i="128"/>
  <c r="AK73" i="128" s="1"/>
  <c r="AI72" i="128"/>
  <c r="AK72" i="128" s="1"/>
  <c r="AI71" i="128"/>
  <c r="AK71" i="128" s="1"/>
  <c r="AI70" i="128"/>
  <c r="AK70" i="128" s="1"/>
  <c r="AI69" i="128"/>
  <c r="AK69" i="128" s="1"/>
  <c r="AI68" i="128"/>
  <c r="AK68" i="128" s="1"/>
  <c r="AI67" i="128"/>
  <c r="AK67" i="128" s="1"/>
  <c r="AI66" i="128"/>
  <c r="AK66" i="128" s="1"/>
  <c r="AI65" i="128"/>
  <c r="AK65" i="128" s="1"/>
  <c r="AI64" i="128"/>
  <c r="AK64" i="128" s="1"/>
  <c r="AI63" i="128"/>
  <c r="AK63" i="128" s="1"/>
  <c r="AI62" i="128"/>
  <c r="AK62" i="128" s="1"/>
  <c r="AI61" i="128"/>
  <c r="AK61" i="128" s="1"/>
  <c r="AI60" i="128"/>
  <c r="AK60" i="128" s="1"/>
  <c r="AI59" i="128"/>
  <c r="AK59" i="128" s="1"/>
  <c r="AI58" i="128"/>
  <c r="AK58" i="128" s="1"/>
  <c r="AI57" i="128"/>
  <c r="AK57" i="128" s="1"/>
  <c r="AI56" i="128"/>
  <c r="AK56" i="128" s="1"/>
  <c r="AI55" i="128"/>
  <c r="AK55" i="128" s="1"/>
  <c r="AI54" i="128"/>
  <c r="AK54" i="128" s="1"/>
  <c r="AI53" i="128"/>
  <c r="AK53" i="128" s="1"/>
  <c r="AI52" i="128"/>
  <c r="AK52" i="128" s="1"/>
  <c r="AI51" i="128"/>
  <c r="AK51" i="128" s="1"/>
  <c r="AI50" i="128"/>
  <c r="AK50" i="128" s="1"/>
  <c r="AI49" i="128"/>
  <c r="AK49" i="128" s="1"/>
  <c r="AI48" i="128"/>
  <c r="AK48" i="128" s="1"/>
  <c r="AI47" i="128"/>
  <c r="AK47" i="128" s="1"/>
  <c r="AI46" i="128"/>
  <c r="AK46" i="128" s="1"/>
  <c r="AI45" i="128"/>
  <c r="AK45" i="128" s="1"/>
  <c r="AI44" i="128"/>
  <c r="AK44" i="128" s="1"/>
  <c r="AI43" i="128"/>
  <c r="AK43" i="128" s="1"/>
  <c r="AI42" i="128"/>
  <c r="AK42" i="128" s="1"/>
  <c r="AI41" i="128"/>
  <c r="AK41" i="128" s="1"/>
  <c r="AI40" i="128"/>
  <c r="AK40" i="128" s="1"/>
  <c r="AI39" i="128"/>
  <c r="AK39" i="128" s="1"/>
  <c r="AI38" i="128"/>
  <c r="AK38" i="128" s="1"/>
  <c r="AI37" i="128"/>
  <c r="AK37" i="128" s="1"/>
  <c r="AI36" i="128"/>
  <c r="AK36" i="128" s="1"/>
  <c r="AI35" i="128"/>
  <c r="AK35" i="128" s="1"/>
  <c r="AI34" i="128"/>
  <c r="AK34" i="128" s="1"/>
  <c r="AI33" i="128"/>
  <c r="AK33" i="128" s="1"/>
  <c r="AI32" i="128"/>
  <c r="AK32" i="128" s="1"/>
  <c r="AI31" i="128"/>
  <c r="AK31" i="128" s="1"/>
  <c r="AI30" i="128"/>
  <c r="AK30" i="128" s="1"/>
  <c r="AI29" i="128"/>
  <c r="AK29" i="128" s="1"/>
  <c r="AI28" i="128"/>
  <c r="AK28" i="128" s="1"/>
  <c r="AI27" i="128"/>
  <c r="AK27" i="128" s="1"/>
  <c r="AI26" i="128"/>
  <c r="AK26" i="128" s="1"/>
  <c r="AI25" i="128"/>
  <c r="AK25" i="128" s="1"/>
  <c r="AI24" i="128"/>
  <c r="AK24" i="128" s="1"/>
  <c r="AI23" i="128"/>
  <c r="AK23" i="128" s="1"/>
  <c r="AI22" i="128"/>
  <c r="AK22" i="128" s="1"/>
  <c r="AI21" i="128"/>
  <c r="AK21" i="128" s="1"/>
  <c r="AI20" i="128"/>
  <c r="AK20" i="128" s="1"/>
  <c r="AI19" i="128"/>
  <c r="AK19" i="128" s="1"/>
  <c r="AI18" i="128"/>
  <c r="AK18" i="128" s="1"/>
  <c r="AI17" i="128"/>
  <c r="AK17" i="128" s="1"/>
  <c r="AI16" i="128"/>
  <c r="AK16" i="128" s="1"/>
  <c r="AI15" i="128"/>
  <c r="AK15" i="128" s="1"/>
  <c r="K12" i="153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E239" i="8"/>
  <c r="AL172" i="8"/>
  <c r="AM172" i="8"/>
  <c r="AN172" i="8"/>
  <c r="Z176" i="9" s="1"/>
  <c r="AO172" i="8"/>
  <c r="AA176" i="9" s="1"/>
  <c r="AL173" i="8"/>
  <c r="AM173" i="8"/>
  <c r="AN173" i="8"/>
  <c r="Z177" i="9" s="1"/>
  <c r="AO173" i="8"/>
  <c r="AA177" i="9" s="1"/>
  <c r="AL174" i="8"/>
  <c r="AM174" i="8"/>
  <c r="AN174" i="8"/>
  <c r="Z178" i="9" s="1"/>
  <c r="AO174" i="8"/>
  <c r="AA178" i="9" s="1"/>
  <c r="AJ93" i="8"/>
  <c r="AK93" i="8"/>
  <c r="AJ94" i="8"/>
  <c r="AK94" i="8"/>
  <c r="AJ95" i="8"/>
  <c r="AK95" i="8"/>
  <c r="AJ96" i="8"/>
  <c r="AK96" i="8"/>
  <c r="AJ97" i="8"/>
  <c r="AK97" i="8"/>
  <c r="AJ98" i="8"/>
  <c r="AK98" i="8"/>
  <c r="AJ99" i="8"/>
  <c r="AK99" i="8"/>
  <c r="AJ100" i="8"/>
  <c r="AK100" i="8"/>
  <c r="AJ101" i="8"/>
  <c r="AK101" i="8"/>
  <c r="AJ102" i="8"/>
  <c r="AK102" i="8"/>
  <c r="AJ103" i="8"/>
  <c r="AK103" i="8"/>
  <c r="AJ104" i="8"/>
  <c r="AK104" i="8"/>
  <c r="AJ105" i="8"/>
  <c r="AK105" i="8"/>
  <c r="AJ106" i="8"/>
  <c r="AK106" i="8"/>
  <c r="AJ107" i="8"/>
  <c r="AK107" i="8"/>
  <c r="AJ108" i="8"/>
  <c r="AK108" i="8"/>
  <c r="AJ109" i="8"/>
  <c r="AK109" i="8"/>
  <c r="AJ110" i="8"/>
  <c r="AK110" i="8"/>
  <c r="AJ111" i="8"/>
  <c r="AK111" i="8"/>
  <c r="AJ112" i="8"/>
  <c r="AK112" i="8"/>
  <c r="AJ113" i="8"/>
  <c r="AK113" i="8"/>
  <c r="AJ114" i="8"/>
  <c r="AK114" i="8"/>
  <c r="AJ115" i="8"/>
  <c r="AK115" i="8"/>
  <c r="AJ116" i="8"/>
  <c r="AK116" i="8"/>
  <c r="AJ117" i="8"/>
  <c r="AK117" i="8"/>
  <c r="AJ118" i="8"/>
  <c r="AK118" i="8"/>
  <c r="AJ119" i="8"/>
  <c r="AK119" i="8"/>
  <c r="AJ120" i="8"/>
  <c r="AK120" i="8"/>
  <c r="AJ121" i="8"/>
  <c r="AK121" i="8"/>
  <c r="AJ122" i="8"/>
  <c r="AK122" i="8"/>
  <c r="AJ123" i="8"/>
  <c r="AK123" i="8"/>
  <c r="AJ124" i="8"/>
  <c r="AK124" i="8"/>
  <c r="AJ125" i="8"/>
  <c r="AK125" i="8"/>
  <c r="AJ126" i="8"/>
  <c r="AK126" i="8"/>
  <c r="AJ127" i="8"/>
  <c r="AK127" i="8"/>
  <c r="AJ128" i="8"/>
  <c r="AK128" i="8"/>
  <c r="AJ129" i="8"/>
  <c r="AK129" i="8"/>
  <c r="AJ130" i="8"/>
  <c r="AK130" i="8"/>
  <c r="AJ131" i="8"/>
  <c r="AK131" i="8"/>
  <c r="AJ132" i="8"/>
  <c r="AK132" i="8"/>
  <c r="AJ133" i="8"/>
  <c r="AK133" i="8"/>
  <c r="AJ134" i="8"/>
  <c r="AK134" i="8"/>
  <c r="AJ135" i="8"/>
  <c r="AK135" i="8"/>
  <c r="AJ136" i="8"/>
  <c r="AK136" i="8"/>
  <c r="AJ137" i="8"/>
  <c r="AK137" i="8"/>
  <c r="AJ138" i="8"/>
  <c r="AK138" i="8"/>
  <c r="AJ139" i="8"/>
  <c r="AK139" i="8"/>
  <c r="AJ140" i="8"/>
  <c r="AK140" i="8"/>
  <c r="AJ141" i="8"/>
  <c r="AK141" i="8"/>
  <c r="AJ142" i="8"/>
  <c r="AK142" i="8"/>
  <c r="AJ143" i="8"/>
  <c r="AK143" i="8"/>
  <c r="AJ144" i="8"/>
  <c r="AK144" i="8"/>
  <c r="AJ145" i="8"/>
  <c r="AK145" i="8"/>
  <c r="AJ146" i="8"/>
  <c r="AK146" i="8"/>
  <c r="AJ147" i="8"/>
  <c r="AK147" i="8"/>
  <c r="AJ148" i="8"/>
  <c r="AK148" i="8"/>
  <c r="AJ149" i="8"/>
  <c r="AK149" i="8"/>
  <c r="AJ150" i="8"/>
  <c r="AK150" i="8"/>
  <c r="AJ151" i="8"/>
  <c r="AK151" i="8"/>
  <c r="AJ152" i="8"/>
  <c r="AK152" i="8"/>
  <c r="AJ153" i="8"/>
  <c r="AK153" i="8"/>
  <c r="AJ154" i="8"/>
  <c r="AK154" i="8"/>
  <c r="AJ155" i="8"/>
  <c r="AK155" i="8"/>
  <c r="AJ156" i="8"/>
  <c r="AK156" i="8"/>
  <c r="AJ157" i="8"/>
  <c r="AK157" i="8"/>
  <c r="AJ158" i="8"/>
  <c r="AK158" i="8"/>
  <c r="AJ159" i="8"/>
  <c r="AK159" i="8"/>
  <c r="AJ160" i="8"/>
  <c r="AK160" i="8"/>
  <c r="AJ161" i="8"/>
  <c r="AK161" i="8"/>
  <c r="AJ162" i="8"/>
  <c r="AK162" i="8"/>
  <c r="AJ163" i="8"/>
  <c r="AK163" i="8"/>
  <c r="AJ164" i="8"/>
  <c r="AK164" i="8"/>
  <c r="AJ165" i="8"/>
  <c r="AK165" i="8"/>
  <c r="AJ166" i="8"/>
  <c r="AK166" i="8"/>
  <c r="AJ167" i="8"/>
  <c r="AK167" i="8"/>
  <c r="AJ168" i="8"/>
  <c r="AK168" i="8"/>
  <c r="AJ169" i="8"/>
  <c r="AK169" i="8"/>
  <c r="AJ170" i="8"/>
  <c r="AK170" i="8"/>
  <c r="AJ171" i="8"/>
  <c r="V175" i="9" s="1"/>
  <c r="AK171" i="8"/>
  <c r="W175" i="9" s="1"/>
  <c r="AJ172" i="8"/>
  <c r="V176" i="9" s="1"/>
  <c r="AK172" i="8"/>
  <c r="W176" i="9" s="1"/>
  <c r="AJ173" i="8"/>
  <c r="V177" i="9" s="1"/>
  <c r="AK173" i="8"/>
  <c r="W177" i="9" s="1"/>
  <c r="AJ174" i="8"/>
  <c r="V178" i="9" s="1"/>
  <c r="AK174" i="8"/>
  <c r="W178" i="9" s="1"/>
  <c r="AK92" i="8"/>
  <c r="AJ92" i="8"/>
  <c r="AO92" i="8"/>
  <c r="AN92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E10" i="8"/>
  <c r="AI10" i="8"/>
  <c r="AJ299" i="8"/>
  <c r="V310" i="9" s="1"/>
  <c r="AK299" i="8"/>
  <c r="W310" i="9" s="1"/>
  <c r="AL299" i="8"/>
  <c r="X310" i="9" s="1"/>
  <c r="AM299" i="8"/>
  <c r="AN299" i="8"/>
  <c r="AO299" i="8"/>
  <c r="AJ300" i="8"/>
  <c r="V311" i="9" s="1"/>
  <c r="AK300" i="8"/>
  <c r="W311" i="9" s="1"/>
  <c r="AL300" i="8"/>
  <c r="X311" i="9" s="1"/>
  <c r="AM300" i="8"/>
  <c r="AN300" i="8"/>
  <c r="AO300" i="8"/>
  <c r="AJ301" i="8"/>
  <c r="V312" i="9" s="1"/>
  <c r="AK301" i="8"/>
  <c r="W312" i="9" s="1"/>
  <c r="AL301" i="8"/>
  <c r="X312" i="9" s="1"/>
  <c r="AM301" i="8"/>
  <c r="AN301" i="8"/>
  <c r="AO301" i="8"/>
  <c r="AJ302" i="8"/>
  <c r="V313" i="9" s="1"/>
  <c r="AK302" i="8"/>
  <c r="W313" i="9" s="1"/>
  <c r="AL302" i="8"/>
  <c r="X313" i="9" s="1"/>
  <c r="AM302" i="8"/>
  <c r="AN302" i="8"/>
  <c r="AO302" i="8"/>
  <c r="AJ303" i="8"/>
  <c r="V314" i="9" s="1"/>
  <c r="AK303" i="8"/>
  <c r="W314" i="9" s="1"/>
  <c r="AL303" i="8"/>
  <c r="X314" i="9" s="1"/>
  <c r="AM303" i="8"/>
  <c r="AN303" i="8"/>
  <c r="AO303" i="8"/>
  <c r="AJ304" i="8"/>
  <c r="V315" i="9" s="1"/>
  <c r="AK304" i="8"/>
  <c r="W315" i="9" s="1"/>
  <c r="AL304" i="8"/>
  <c r="X315" i="9" s="1"/>
  <c r="AM304" i="8"/>
  <c r="AN304" i="8"/>
  <c r="AO304" i="8"/>
  <c r="AJ305" i="8"/>
  <c r="V316" i="9" s="1"/>
  <c r="AK305" i="8"/>
  <c r="W316" i="9" s="1"/>
  <c r="AL305" i="8"/>
  <c r="X316" i="9" s="1"/>
  <c r="AM305" i="8"/>
  <c r="AN305" i="8"/>
  <c r="AO305" i="8"/>
  <c r="AJ90" i="8"/>
  <c r="V90" i="9" s="1"/>
  <c r="AK90" i="8"/>
  <c r="W90" i="9" s="1"/>
  <c r="AL90" i="8"/>
  <c r="AM90" i="8"/>
  <c r="AN90" i="8"/>
  <c r="Z90" i="9" s="1"/>
  <c r="AO90" i="8"/>
  <c r="AA90" i="9" s="1"/>
  <c r="AO12" i="8"/>
  <c r="AJ91" i="8" l="1"/>
  <c r="P319" i="128"/>
  <c r="M24" i="152"/>
  <c r="AK27" i="32"/>
  <c r="D314" i="12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AH14" i="32"/>
  <c r="AH41" i="32" s="1"/>
  <c r="AK247" i="128"/>
  <c r="P320" i="128" s="1"/>
  <c r="AI246" i="128"/>
  <c r="AL7" i="151" s="1"/>
  <c r="AK88" i="128"/>
  <c r="AK14" i="128" s="1"/>
  <c r="K323" i="128"/>
  <c r="AK91" i="8"/>
  <c r="D748" i="170"/>
  <c r="D12" i="170"/>
  <c r="H722" i="170"/>
  <c r="B722" i="170"/>
  <c r="H2567" i="170"/>
  <c r="H2534" i="170"/>
  <c r="D97" i="132"/>
  <c r="B1437" i="170"/>
  <c r="H1403" i="170"/>
  <c r="AK178" i="128"/>
  <c r="AK306" i="128"/>
  <c r="AK312" i="128"/>
  <c r="AI182" i="128"/>
  <c r="AJ7" i="151" s="1"/>
  <c r="AK179" i="128"/>
  <c r="K320" i="128"/>
  <c r="AI96" i="128"/>
  <c r="P318" i="128"/>
  <c r="K319" i="128"/>
  <c r="K318" i="128"/>
  <c r="AI14" i="128"/>
  <c r="H98" i="100"/>
  <c r="D93" i="132"/>
  <c r="H673" i="170"/>
  <c r="B690" i="170"/>
  <c r="D94" i="132"/>
  <c r="H99" i="100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E98" i="151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I2038" i="170"/>
  <c r="K2038" i="170" s="1"/>
  <c r="I2045" i="170"/>
  <c r="K2045" i="170" s="1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I2040" i="170"/>
  <c r="M69" i="170"/>
  <c r="M291" i="170"/>
  <c r="M325" i="170"/>
  <c r="M361" i="170"/>
  <c r="M1505" i="170"/>
  <c r="I2042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K2043" i="170" s="1"/>
  <c r="D744" i="170"/>
  <c r="D714" i="170"/>
  <c r="D710" i="170"/>
  <c r="J2040" i="170"/>
  <c r="D1499" i="170"/>
  <c r="D1495" i="170"/>
  <c r="M566" i="170"/>
  <c r="D713" i="170"/>
  <c r="D747" i="170"/>
  <c r="I2039" i="170"/>
  <c r="I2041" i="170"/>
  <c r="D95" i="132"/>
  <c r="D96" i="132"/>
  <c r="E324" i="151"/>
  <c r="F324" i="151" s="1"/>
  <c r="E97" i="151"/>
  <c r="F97" i="151" s="1"/>
  <c r="E78" i="102"/>
  <c r="F78" i="102" s="1"/>
  <c r="AC314" i="9"/>
  <c r="E74" i="102"/>
  <c r="F74" i="102" s="1"/>
  <c r="AC310" i="9"/>
  <c r="E77" i="102"/>
  <c r="F77" i="102" s="1"/>
  <c r="E79" i="102"/>
  <c r="F79" i="102" s="1"/>
  <c r="E75" i="102"/>
  <c r="F75" i="102" s="1"/>
  <c r="E76" i="102"/>
  <c r="F76" i="102" s="1"/>
  <c r="AP301" i="8"/>
  <c r="AP304" i="8"/>
  <c r="AP300" i="8"/>
  <c r="AP305" i="8"/>
  <c r="AP302" i="8"/>
  <c r="AP174" i="8"/>
  <c r="AP303" i="8"/>
  <c r="AP299" i="8"/>
  <c r="AP172" i="8"/>
  <c r="AP173" i="8"/>
  <c r="AP90" i="8"/>
  <c r="H12" i="157" l="1"/>
  <c r="H14" i="157" s="1"/>
  <c r="E18" i="154"/>
  <c r="AK246" i="128"/>
  <c r="AL8" i="151" s="1"/>
  <c r="E17" i="154"/>
  <c r="AB9" i="99"/>
  <c r="AF7" i="151"/>
  <c r="AB10" i="99"/>
  <c r="AF8" i="151"/>
  <c r="W11" i="151" s="1"/>
  <c r="AB10" i="100"/>
  <c r="AH7" i="151"/>
  <c r="P323" i="128"/>
  <c r="AK96" i="128"/>
  <c r="AB8" i="102"/>
  <c r="AB10" i="101"/>
  <c r="F98" i="151"/>
  <c r="X98" i="151" s="1"/>
  <c r="M1452" i="170"/>
  <c r="K2040" i="170"/>
  <c r="K2042" i="170"/>
  <c r="K2041" i="170"/>
  <c r="K2039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J17" i="152"/>
  <c r="Q24" i="9"/>
  <c r="Q26" i="9"/>
  <c r="Q27" i="9"/>
  <c r="Q28" i="9"/>
  <c r="Q68" i="9"/>
  <c r="Q71" i="9"/>
  <c r="Q78" i="9"/>
  <c r="Q82" i="9"/>
  <c r="Q83" i="9"/>
  <c r="I22" i="167"/>
  <c r="L20" i="167"/>
  <c r="L21" i="167" s="1"/>
  <c r="K20" i="167"/>
  <c r="I20" i="167"/>
  <c r="C12" i="157" l="1"/>
  <c r="Z12" i="99"/>
  <c r="AB11" i="100"/>
  <c r="AH8" i="151"/>
  <c r="AB9" i="102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Q13" i="9"/>
  <c r="Q10" i="9" s="1"/>
  <c r="Z98" i="151"/>
  <c r="K2050" i="170"/>
  <c r="Z98" i="99" l="1"/>
  <c r="A449" i="170"/>
  <c r="G449" i="170" s="1"/>
  <c r="A569" i="170"/>
  <c r="G552" i="170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586" i="170" l="1"/>
  <c r="G569" i="170"/>
  <c r="AL171" i="8"/>
  <c r="AM171" i="8"/>
  <c r="AN171" i="8"/>
  <c r="Z175" i="9" s="1"/>
  <c r="AO171" i="8"/>
  <c r="AA175" i="9" s="1"/>
  <c r="A603" i="170" l="1"/>
  <c r="G586" i="170"/>
  <c r="AP171" i="8"/>
  <c r="A620" i="170" l="1"/>
  <c r="G603" i="170"/>
  <c r="AK298" i="8"/>
  <c r="AM298" i="8"/>
  <c r="AM297" i="8"/>
  <c r="AK297" i="8"/>
  <c r="AM296" i="8"/>
  <c r="AM295" i="8"/>
  <c r="AK295" i="8"/>
  <c r="AK294" i="8"/>
  <c r="AM294" i="8"/>
  <c r="AM293" i="8"/>
  <c r="AK293" i="8"/>
  <c r="AM292" i="8"/>
  <c r="AM291" i="8"/>
  <c r="AK291" i="8"/>
  <c r="AK290" i="8"/>
  <c r="AM290" i="8"/>
  <c r="AM289" i="8"/>
  <c r="AK289" i="8"/>
  <c r="AM288" i="8"/>
  <c r="AM287" i="8"/>
  <c r="AK287" i="8"/>
  <c r="AK286" i="8"/>
  <c r="AM286" i="8"/>
  <c r="AM285" i="8"/>
  <c r="AK285" i="8"/>
  <c r="AM284" i="8"/>
  <c r="AM283" i="8"/>
  <c r="AK283" i="8"/>
  <c r="AK282" i="8"/>
  <c r="AM282" i="8"/>
  <c r="AM281" i="8"/>
  <c r="AK281" i="8"/>
  <c r="AM280" i="8"/>
  <c r="AM279" i="8"/>
  <c r="AK279" i="8"/>
  <c r="AK278" i="8"/>
  <c r="AM278" i="8"/>
  <c r="AM277" i="8"/>
  <c r="AK277" i="8"/>
  <c r="AM276" i="8"/>
  <c r="AM275" i="8"/>
  <c r="AK275" i="8"/>
  <c r="AK274" i="8"/>
  <c r="AM274" i="8"/>
  <c r="AM273" i="8"/>
  <c r="AK273" i="8"/>
  <c r="AM272" i="8"/>
  <c r="AM271" i="8"/>
  <c r="AK271" i="8"/>
  <c r="AK270" i="8"/>
  <c r="AM270" i="8"/>
  <c r="AM269" i="8"/>
  <c r="AK269" i="8"/>
  <c r="AM268" i="8"/>
  <c r="AM267" i="8"/>
  <c r="AK267" i="8"/>
  <c r="AO266" i="8"/>
  <c r="AM266" i="8"/>
  <c r="AM265" i="8"/>
  <c r="AK265" i="8"/>
  <c r="AM264" i="8"/>
  <c r="AM263" i="8"/>
  <c r="AK263" i="8"/>
  <c r="AK262" i="8"/>
  <c r="AM262" i="8"/>
  <c r="AM261" i="8"/>
  <c r="AK261" i="8"/>
  <c r="AM260" i="8"/>
  <c r="AM259" i="8"/>
  <c r="AK259" i="8"/>
  <c r="AK258" i="8"/>
  <c r="AM258" i="8"/>
  <c r="AM257" i="8"/>
  <c r="AK257" i="8"/>
  <c r="AM256" i="8"/>
  <c r="AM255" i="8"/>
  <c r="AK255" i="8"/>
  <c r="AK254" i="8"/>
  <c r="AM254" i="8"/>
  <c r="AM253" i="8"/>
  <c r="AK253" i="8"/>
  <c r="AM252" i="8"/>
  <c r="AM251" i="8"/>
  <c r="AK251" i="8"/>
  <c r="AK250" i="8"/>
  <c r="AM250" i="8"/>
  <c r="AM249" i="8"/>
  <c r="AK249" i="8"/>
  <c r="AM248" i="8"/>
  <c r="AM247" i="8"/>
  <c r="AK247" i="8"/>
  <c r="AK246" i="8"/>
  <c r="AM246" i="8"/>
  <c r="AM245" i="8"/>
  <c r="AK245" i="8"/>
  <c r="AM244" i="8"/>
  <c r="AM243" i="8"/>
  <c r="AK243" i="8"/>
  <c r="AK242" i="8"/>
  <c r="AM242" i="8"/>
  <c r="AM241" i="8"/>
  <c r="AK241" i="8"/>
  <c r="AN240" i="8"/>
  <c r="AM177" i="8"/>
  <c r="AL241" i="8"/>
  <c r="AJ242" i="8"/>
  <c r="AN242" i="8"/>
  <c r="AL243" i="8"/>
  <c r="AJ244" i="8"/>
  <c r="AN244" i="8"/>
  <c r="AL245" i="8"/>
  <c r="AJ246" i="8"/>
  <c r="AN246" i="8"/>
  <c r="AL247" i="8"/>
  <c r="AJ248" i="8"/>
  <c r="AN248" i="8"/>
  <c r="AL249" i="8"/>
  <c r="AJ250" i="8"/>
  <c r="AN250" i="8"/>
  <c r="AL251" i="8"/>
  <c r="AJ252" i="8"/>
  <c r="AN252" i="8"/>
  <c r="AL253" i="8"/>
  <c r="AJ254" i="8"/>
  <c r="AN254" i="8"/>
  <c r="AL255" i="8"/>
  <c r="AJ256" i="8"/>
  <c r="AN256" i="8"/>
  <c r="AL257" i="8"/>
  <c r="AJ258" i="8"/>
  <c r="AN258" i="8"/>
  <c r="AL259" i="8"/>
  <c r="AJ260" i="8"/>
  <c r="AN260" i="8"/>
  <c r="AL261" i="8"/>
  <c r="AJ262" i="8"/>
  <c r="AN262" i="8"/>
  <c r="AL263" i="8"/>
  <c r="AJ264" i="8"/>
  <c r="AN264" i="8"/>
  <c r="AL265" i="8"/>
  <c r="AJ266" i="8"/>
  <c r="AN266" i="8"/>
  <c r="AL267" i="8"/>
  <c r="AJ268" i="8"/>
  <c r="AN268" i="8"/>
  <c r="AL269" i="8"/>
  <c r="AJ270" i="8"/>
  <c r="AN270" i="8"/>
  <c r="AL271" i="8"/>
  <c r="AJ272" i="8"/>
  <c r="AN272" i="8"/>
  <c r="AL273" i="8"/>
  <c r="AJ274" i="8"/>
  <c r="AN274" i="8"/>
  <c r="AL275" i="8"/>
  <c r="AJ276" i="8"/>
  <c r="AN276" i="8"/>
  <c r="AL277" i="8"/>
  <c r="AJ278" i="8"/>
  <c r="AN278" i="8"/>
  <c r="AL279" i="8"/>
  <c r="AJ280" i="8"/>
  <c r="AN280" i="8"/>
  <c r="AL281" i="8"/>
  <c r="AJ282" i="8"/>
  <c r="AN282" i="8"/>
  <c r="AL283" i="8"/>
  <c r="AJ284" i="8"/>
  <c r="AN284" i="8"/>
  <c r="AL285" i="8"/>
  <c r="AJ286" i="8"/>
  <c r="AN286" i="8"/>
  <c r="AL287" i="8"/>
  <c r="AN288" i="8"/>
  <c r="AL289" i="8"/>
  <c r="AJ290" i="8"/>
  <c r="AN290" i="8"/>
  <c r="AL291" i="8"/>
  <c r="AJ292" i="8"/>
  <c r="AN292" i="8"/>
  <c r="AL293" i="8"/>
  <c r="AJ294" i="8"/>
  <c r="AN294" i="8"/>
  <c r="AL295" i="8"/>
  <c r="AJ296" i="8"/>
  <c r="AN296" i="8"/>
  <c r="AL297" i="8"/>
  <c r="AJ298" i="8"/>
  <c r="AN298" i="8"/>
  <c r="AM240" i="8"/>
  <c r="AK178" i="8"/>
  <c r="AL178" i="8"/>
  <c r="AM178" i="8"/>
  <c r="AN178" i="8"/>
  <c r="AO178" i="8"/>
  <c r="AK179" i="8"/>
  <c r="AL179" i="8"/>
  <c r="AM179" i="8"/>
  <c r="AN179" i="8"/>
  <c r="AO179" i="8"/>
  <c r="AK180" i="8"/>
  <c r="AL180" i="8"/>
  <c r="AM180" i="8"/>
  <c r="AN180" i="8"/>
  <c r="AO180" i="8"/>
  <c r="AK181" i="8"/>
  <c r="AL181" i="8"/>
  <c r="AM181" i="8"/>
  <c r="AN181" i="8"/>
  <c r="AO181" i="8"/>
  <c r="AK182" i="8"/>
  <c r="AL182" i="8"/>
  <c r="AM182" i="8"/>
  <c r="AN182" i="8"/>
  <c r="AO182" i="8"/>
  <c r="AK183" i="8"/>
  <c r="AL183" i="8"/>
  <c r="AM183" i="8"/>
  <c r="AN183" i="8"/>
  <c r="AO183" i="8"/>
  <c r="AK184" i="8"/>
  <c r="AL184" i="8"/>
  <c r="AM184" i="8"/>
  <c r="AN184" i="8"/>
  <c r="AO184" i="8"/>
  <c r="AK185" i="8"/>
  <c r="AL185" i="8"/>
  <c r="AM185" i="8"/>
  <c r="AN185" i="8"/>
  <c r="AO185" i="8"/>
  <c r="AK186" i="8"/>
  <c r="AL186" i="8"/>
  <c r="AM186" i="8"/>
  <c r="AN186" i="8"/>
  <c r="AO186" i="8"/>
  <c r="AK187" i="8"/>
  <c r="AL187" i="8"/>
  <c r="AM187" i="8"/>
  <c r="AN187" i="8"/>
  <c r="AO187" i="8"/>
  <c r="AK188" i="8"/>
  <c r="AL188" i="8"/>
  <c r="AM188" i="8"/>
  <c r="AN188" i="8"/>
  <c r="AO188" i="8"/>
  <c r="AK189" i="8"/>
  <c r="AL189" i="8"/>
  <c r="AM189" i="8"/>
  <c r="AN189" i="8"/>
  <c r="AO189" i="8"/>
  <c r="AK190" i="8"/>
  <c r="AL190" i="8"/>
  <c r="AM190" i="8"/>
  <c r="AN190" i="8"/>
  <c r="AO190" i="8"/>
  <c r="AK191" i="8"/>
  <c r="AL191" i="8"/>
  <c r="AM191" i="8"/>
  <c r="AN191" i="8"/>
  <c r="AO191" i="8"/>
  <c r="AK192" i="8"/>
  <c r="AL192" i="8"/>
  <c r="AM192" i="8"/>
  <c r="AN192" i="8"/>
  <c r="AO192" i="8"/>
  <c r="AK193" i="8"/>
  <c r="AL193" i="8"/>
  <c r="AM193" i="8"/>
  <c r="AN193" i="8"/>
  <c r="AO193" i="8"/>
  <c r="AK194" i="8"/>
  <c r="AL194" i="8"/>
  <c r="AM194" i="8"/>
  <c r="AN194" i="8"/>
  <c r="AO194" i="8"/>
  <c r="AK195" i="8"/>
  <c r="AL195" i="8"/>
  <c r="AM195" i="8"/>
  <c r="AN195" i="8"/>
  <c r="AO195" i="8"/>
  <c r="AK196" i="8"/>
  <c r="AL196" i="8"/>
  <c r="AM196" i="8"/>
  <c r="AN196" i="8"/>
  <c r="AO196" i="8"/>
  <c r="AK197" i="8"/>
  <c r="AL197" i="8"/>
  <c r="AM197" i="8"/>
  <c r="AN197" i="8"/>
  <c r="AO197" i="8"/>
  <c r="AK198" i="8"/>
  <c r="AL198" i="8"/>
  <c r="AM198" i="8"/>
  <c r="AN198" i="8"/>
  <c r="AO198" i="8"/>
  <c r="AK199" i="8"/>
  <c r="AL199" i="8"/>
  <c r="AM199" i="8"/>
  <c r="AN199" i="8"/>
  <c r="AO199" i="8"/>
  <c r="AK200" i="8"/>
  <c r="AL200" i="8"/>
  <c r="AM200" i="8"/>
  <c r="AN200" i="8"/>
  <c r="AO200" i="8"/>
  <c r="AK201" i="8"/>
  <c r="AL201" i="8"/>
  <c r="AM201" i="8"/>
  <c r="AN201" i="8"/>
  <c r="AO201" i="8"/>
  <c r="AK202" i="8"/>
  <c r="AL202" i="8"/>
  <c r="AM202" i="8"/>
  <c r="AN202" i="8"/>
  <c r="AO202" i="8"/>
  <c r="AK203" i="8"/>
  <c r="AL203" i="8"/>
  <c r="AM203" i="8"/>
  <c r="AN203" i="8"/>
  <c r="AO203" i="8"/>
  <c r="AK204" i="8"/>
  <c r="AL204" i="8"/>
  <c r="AM204" i="8"/>
  <c r="AN204" i="8"/>
  <c r="AO204" i="8"/>
  <c r="AK205" i="8"/>
  <c r="AL205" i="8"/>
  <c r="AM205" i="8"/>
  <c r="AN205" i="8"/>
  <c r="AO205" i="8"/>
  <c r="AK206" i="8"/>
  <c r="AL206" i="8"/>
  <c r="AM206" i="8"/>
  <c r="AN206" i="8"/>
  <c r="AO206" i="8"/>
  <c r="AK207" i="8"/>
  <c r="AL207" i="8"/>
  <c r="AM207" i="8"/>
  <c r="AN207" i="8"/>
  <c r="AO207" i="8"/>
  <c r="AK208" i="8"/>
  <c r="AL208" i="8"/>
  <c r="AM208" i="8"/>
  <c r="AN208" i="8"/>
  <c r="AO208" i="8"/>
  <c r="AK209" i="8"/>
  <c r="AL209" i="8"/>
  <c r="AM209" i="8"/>
  <c r="AN209" i="8"/>
  <c r="AO209" i="8"/>
  <c r="AK210" i="8"/>
  <c r="AL210" i="8"/>
  <c r="AM210" i="8"/>
  <c r="AN210" i="8"/>
  <c r="AO210" i="8"/>
  <c r="AK211" i="8"/>
  <c r="AL211" i="8"/>
  <c r="AM211" i="8"/>
  <c r="AN211" i="8"/>
  <c r="AO211" i="8"/>
  <c r="AK212" i="8"/>
  <c r="AL212" i="8"/>
  <c r="AM212" i="8"/>
  <c r="AN212" i="8"/>
  <c r="AO212" i="8"/>
  <c r="AK213" i="8"/>
  <c r="AL213" i="8"/>
  <c r="AM213" i="8"/>
  <c r="AN213" i="8"/>
  <c r="AO213" i="8"/>
  <c r="AK214" i="8"/>
  <c r="AL214" i="8"/>
  <c r="AM214" i="8"/>
  <c r="AN214" i="8"/>
  <c r="AO214" i="8"/>
  <c r="AK215" i="8"/>
  <c r="AL215" i="8"/>
  <c r="AM215" i="8"/>
  <c r="AN215" i="8"/>
  <c r="AO215" i="8"/>
  <c r="AK216" i="8"/>
  <c r="AL216" i="8"/>
  <c r="AM216" i="8"/>
  <c r="AN216" i="8"/>
  <c r="AO216" i="8"/>
  <c r="AK217" i="8"/>
  <c r="AL217" i="8"/>
  <c r="AM217" i="8"/>
  <c r="AN217" i="8"/>
  <c r="AO217" i="8"/>
  <c r="AK218" i="8"/>
  <c r="AL218" i="8"/>
  <c r="AM218" i="8"/>
  <c r="AN218" i="8"/>
  <c r="AO218" i="8"/>
  <c r="AK219" i="8"/>
  <c r="AL219" i="8"/>
  <c r="AM219" i="8"/>
  <c r="AN219" i="8"/>
  <c r="AO219" i="8"/>
  <c r="AK220" i="8"/>
  <c r="AL220" i="8"/>
  <c r="AM220" i="8"/>
  <c r="AN220" i="8"/>
  <c r="AO220" i="8"/>
  <c r="AK221" i="8"/>
  <c r="AL221" i="8"/>
  <c r="AM221" i="8"/>
  <c r="AN221" i="8"/>
  <c r="AO221" i="8"/>
  <c r="AK222" i="8"/>
  <c r="AL222" i="8"/>
  <c r="AM222" i="8"/>
  <c r="AN222" i="8"/>
  <c r="AO222" i="8"/>
  <c r="AK223" i="8"/>
  <c r="AL223" i="8"/>
  <c r="AM223" i="8"/>
  <c r="AN223" i="8"/>
  <c r="AO223" i="8"/>
  <c r="AK224" i="8"/>
  <c r="AL224" i="8"/>
  <c r="AM224" i="8"/>
  <c r="AN224" i="8"/>
  <c r="AO224" i="8"/>
  <c r="AK225" i="8"/>
  <c r="AL225" i="8"/>
  <c r="AM225" i="8"/>
  <c r="AN225" i="8"/>
  <c r="AO225" i="8"/>
  <c r="AK226" i="8"/>
  <c r="AL226" i="8"/>
  <c r="AM226" i="8"/>
  <c r="AN226" i="8"/>
  <c r="AO226" i="8"/>
  <c r="AK227" i="8"/>
  <c r="AL227" i="8"/>
  <c r="AM227" i="8"/>
  <c r="AN227" i="8"/>
  <c r="AO227" i="8"/>
  <c r="AK228" i="8"/>
  <c r="AL228" i="8"/>
  <c r="AM228" i="8"/>
  <c r="AN228" i="8"/>
  <c r="AO228" i="8"/>
  <c r="AK229" i="8"/>
  <c r="AL229" i="8"/>
  <c r="AM229" i="8"/>
  <c r="AN229" i="8"/>
  <c r="AO229" i="8"/>
  <c r="AK230" i="8"/>
  <c r="AL230" i="8"/>
  <c r="AM230" i="8"/>
  <c r="AN230" i="8"/>
  <c r="AO230" i="8"/>
  <c r="AK231" i="8"/>
  <c r="AL231" i="8"/>
  <c r="AM231" i="8"/>
  <c r="AN231" i="8"/>
  <c r="AO231" i="8"/>
  <c r="AK232" i="8"/>
  <c r="AL232" i="8"/>
  <c r="AM232" i="8"/>
  <c r="AN232" i="8"/>
  <c r="AO232" i="8"/>
  <c r="AK233" i="8"/>
  <c r="AL233" i="8"/>
  <c r="AM233" i="8"/>
  <c r="AN233" i="8"/>
  <c r="AO233" i="8"/>
  <c r="AK234" i="8"/>
  <c r="AL234" i="8"/>
  <c r="AM234" i="8"/>
  <c r="AN234" i="8"/>
  <c r="AO234" i="8"/>
  <c r="AK235" i="8"/>
  <c r="AL235" i="8"/>
  <c r="AM235" i="8"/>
  <c r="AN235" i="8"/>
  <c r="AO235" i="8"/>
  <c r="AK236" i="8"/>
  <c r="AL236" i="8"/>
  <c r="AM236" i="8"/>
  <c r="AN236" i="8"/>
  <c r="AO236" i="8"/>
  <c r="AK237" i="8"/>
  <c r="AL237" i="8"/>
  <c r="AM237" i="8"/>
  <c r="AN237" i="8"/>
  <c r="AO237" i="8"/>
  <c r="AK238" i="8"/>
  <c r="AL238" i="8"/>
  <c r="AM238" i="8"/>
  <c r="AN238" i="8"/>
  <c r="AO238" i="8"/>
  <c r="AO177" i="8"/>
  <c r="AN177" i="8"/>
  <c r="AL177" i="8"/>
  <c r="AK177" i="8"/>
  <c r="AO170" i="8"/>
  <c r="AL93" i="8"/>
  <c r="AM93" i="8"/>
  <c r="AN93" i="8"/>
  <c r="AO93" i="8"/>
  <c r="AL94" i="8"/>
  <c r="AM94" i="8"/>
  <c r="AN94" i="8"/>
  <c r="AO94" i="8"/>
  <c r="AL95" i="8"/>
  <c r="AM95" i="8"/>
  <c r="AN95" i="8"/>
  <c r="AO95" i="8"/>
  <c r="AL96" i="8"/>
  <c r="AM96" i="8"/>
  <c r="AN96" i="8"/>
  <c r="AO96" i="8"/>
  <c r="AL97" i="8"/>
  <c r="AM97" i="8"/>
  <c r="AN97" i="8"/>
  <c r="AO97" i="8"/>
  <c r="AL98" i="8"/>
  <c r="AM98" i="8"/>
  <c r="AN98" i="8"/>
  <c r="AO98" i="8"/>
  <c r="AL99" i="8"/>
  <c r="AM99" i="8"/>
  <c r="AN99" i="8"/>
  <c r="AO99" i="8"/>
  <c r="AL100" i="8"/>
  <c r="AM100" i="8"/>
  <c r="AN100" i="8"/>
  <c r="AO100" i="8"/>
  <c r="AL101" i="8"/>
  <c r="AM101" i="8"/>
  <c r="AN101" i="8"/>
  <c r="AO101" i="8"/>
  <c r="AL102" i="8"/>
  <c r="AM102" i="8"/>
  <c r="AN102" i="8"/>
  <c r="AO102" i="8"/>
  <c r="AL103" i="8"/>
  <c r="AM103" i="8"/>
  <c r="AN103" i="8"/>
  <c r="AO103" i="8"/>
  <c r="AL104" i="8"/>
  <c r="AM104" i="8"/>
  <c r="AN104" i="8"/>
  <c r="AO104" i="8"/>
  <c r="AL105" i="8"/>
  <c r="AM105" i="8"/>
  <c r="AN105" i="8"/>
  <c r="AO105" i="8"/>
  <c r="AL106" i="8"/>
  <c r="AM106" i="8"/>
  <c r="AN106" i="8"/>
  <c r="AO106" i="8"/>
  <c r="AL107" i="8"/>
  <c r="AM107" i="8"/>
  <c r="AN107" i="8"/>
  <c r="AO107" i="8"/>
  <c r="AL108" i="8"/>
  <c r="AM108" i="8"/>
  <c r="AN108" i="8"/>
  <c r="AO108" i="8"/>
  <c r="AL109" i="8"/>
  <c r="AM109" i="8"/>
  <c r="AN109" i="8"/>
  <c r="AO109" i="8"/>
  <c r="AL110" i="8"/>
  <c r="AM110" i="8"/>
  <c r="AN110" i="8"/>
  <c r="AO110" i="8"/>
  <c r="AL111" i="8"/>
  <c r="AM111" i="8"/>
  <c r="AN111" i="8"/>
  <c r="AO111" i="8"/>
  <c r="AL112" i="8"/>
  <c r="AM112" i="8"/>
  <c r="AN112" i="8"/>
  <c r="AO112" i="8"/>
  <c r="AL113" i="8"/>
  <c r="AM113" i="8"/>
  <c r="AN113" i="8"/>
  <c r="AO113" i="8"/>
  <c r="AL114" i="8"/>
  <c r="AM114" i="8"/>
  <c r="AN114" i="8"/>
  <c r="AO114" i="8"/>
  <c r="AL115" i="8"/>
  <c r="AM115" i="8"/>
  <c r="AN115" i="8"/>
  <c r="AO115" i="8"/>
  <c r="AL116" i="8"/>
  <c r="AM116" i="8"/>
  <c r="AN116" i="8"/>
  <c r="AO116" i="8"/>
  <c r="AL117" i="8"/>
  <c r="AM117" i="8"/>
  <c r="AN117" i="8"/>
  <c r="AO117" i="8"/>
  <c r="AL118" i="8"/>
  <c r="AM118" i="8"/>
  <c r="AN118" i="8"/>
  <c r="AO118" i="8"/>
  <c r="AL119" i="8"/>
  <c r="AM119" i="8"/>
  <c r="AN119" i="8"/>
  <c r="AO119" i="8"/>
  <c r="AL120" i="8"/>
  <c r="AM120" i="8"/>
  <c r="AN120" i="8"/>
  <c r="AO120" i="8"/>
  <c r="AL121" i="8"/>
  <c r="AM121" i="8"/>
  <c r="AN121" i="8"/>
  <c r="AO121" i="8"/>
  <c r="AL122" i="8"/>
  <c r="AM122" i="8"/>
  <c r="AN122" i="8"/>
  <c r="AO122" i="8"/>
  <c r="AL123" i="8"/>
  <c r="AM123" i="8"/>
  <c r="AN123" i="8"/>
  <c r="AO123" i="8"/>
  <c r="AL124" i="8"/>
  <c r="AM124" i="8"/>
  <c r="AN124" i="8"/>
  <c r="AO124" i="8"/>
  <c r="AL125" i="8"/>
  <c r="AM125" i="8"/>
  <c r="AN125" i="8"/>
  <c r="AO125" i="8"/>
  <c r="AL126" i="8"/>
  <c r="AM126" i="8"/>
  <c r="AN126" i="8"/>
  <c r="AO126" i="8"/>
  <c r="AL127" i="8"/>
  <c r="AM127" i="8"/>
  <c r="AN127" i="8"/>
  <c r="AO127" i="8"/>
  <c r="AL128" i="8"/>
  <c r="AM128" i="8"/>
  <c r="AN128" i="8"/>
  <c r="AO128" i="8"/>
  <c r="AL129" i="8"/>
  <c r="AM129" i="8"/>
  <c r="AN129" i="8"/>
  <c r="AO129" i="8"/>
  <c r="AL130" i="8"/>
  <c r="AM130" i="8"/>
  <c r="AN130" i="8"/>
  <c r="AO130" i="8"/>
  <c r="AL131" i="8"/>
  <c r="AM131" i="8"/>
  <c r="AN131" i="8"/>
  <c r="AO131" i="8"/>
  <c r="AL132" i="8"/>
  <c r="AM132" i="8"/>
  <c r="AN132" i="8"/>
  <c r="AO132" i="8"/>
  <c r="AL133" i="8"/>
  <c r="AM133" i="8"/>
  <c r="AN133" i="8"/>
  <c r="AO133" i="8"/>
  <c r="AL134" i="8"/>
  <c r="AM134" i="8"/>
  <c r="AN134" i="8"/>
  <c r="AO134" i="8"/>
  <c r="AL135" i="8"/>
  <c r="AM135" i="8"/>
  <c r="AN135" i="8"/>
  <c r="AO135" i="8"/>
  <c r="AL136" i="8"/>
  <c r="AM136" i="8"/>
  <c r="AN136" i="8"/>
  <c r="AO136" i="8"/>
  <c r="AL137" i="8"/>
  <c r="AM137" i="8"/>
  <c r="AN137" i="8"/>
  <c r="AO137" i="8"/>
  <c r="AL138" i="8"/>
  <c r="AM138" i="8"/>
  <c r="AN138" i="8"/>
  <c r="AO138" i="8"/>
  <c r="AL139" i="8"/>
  <c r="AM139" i="8"/>
  <c r="AN139" i="8"/>
  <c r="AO139" i="8"/>
  <c r="AL140" i="8"/>
  <c r="AM140" i="8"/>
  <c r="AN140" i="8"/>
  <c r="AO140" i="8"/>
  <c r="AL141" i="8"/>
  <c r="AM141" i="8"/>
  <c r="AN141" i="8"/>
  <c r="AO141" i="8"/>
  <c r="AL142" i="8"/>
  <c r="AM142" i="8"/>
  <c r="AN142" i="8"/>
  <c r="AO142" i="8"/>
  <c r="AL143" i="8"/>
  <c r="AM143" i="8"/>
  <c r="AN143" i="8"/>
  <c r="AO143" i="8"/>
  <c r="AL144" i="8"/>
  <c r="AM144" i="8"/>
  <c r="AN144" i="8"/>
  <c r="AO144" i="8"/>
  <c r="AL145" i="8"/>
  <c r="AM145" i="8"/>
  <c r="AN145" i="8"/>
  <c r="AO145" i="8"/>
  <c r="AL146" i="8"/>
  <c r="AM146" i="8"/>
  <c r="AN146" i="8"/>
  <c r="AO146" i="8"/>
  <c r="AL147" i="8"/>
  <c r="AM147" i="8"/>
  <c r="AN147" i="8"/>
  <c r="AO147" i="8"/>
  <c r="AL148" i="8"/>
  <c r="AM148" i="8"/>
  <c r="AN148" i="8"/>
  <c r="AO148" i="8"/>
  <c r="AL149" i="8"/>
  <c r="AM149" i="8"/>
  <c r="AN149" i="8"/>
  <c r="AO149" i="8"/>
  <c r="AL150" i="8"/>
  <c r="AM150" i="8"/>
  <c r="AN150" i="8"/>
  <c r="AO150" i="8"/>
  <c r="AL151" i="8"/>
  <c r="AM151" i="8"/>
  <c r="AN151" i="8"/>
  <c r="AO151" i="8"/>
  <c r="AL152" i="8"/>
  <c r="AM152" i="8"/>
  <c r="AN152" i="8"/>
  <c r="AO152" i="8"/>
  <c r="AL153" i="8"/>
  <c r="AM153" i="8"/>
  <c r="AN153" i="8"/>
  <c r="AO153" i="8"/>
  <c r="AL154" i="8"/>
  <c r="AM154" i="8"/>
  <c r="AN154" i="8"/>
  <c r="AO154" i="8"/>
  <c r="AL155" i="8"/>
  <c r="AM155" i="8"/>
  <c r="AN155" i="8"/>
  <c r="AO155" i="8"/>
  <c r="AL156" i="8"/>
  <c r="AM156" i="8"/>
  <c r="AN156" i="8"/>
  <c r="AO156" i="8"/>
  <c r="AL157" i="8"/>
  <c r="AM157" i="8"/>
  <c r="AN157" i="8"/>
  <c r="AO157" i="8"/>
  <c r="AL158" i="8"/>
  <c r="AM158" i="8"/>
  <c r="AN158" i="8"/>
  <c r="AO158" i="8"/>
  <c r="AL159" i="8"/>
  <c r="AM159" i="8"/>
  <c r="AN159" i="8"/>
  <c r="AO159" i="8"/>
  <c r="AL160" i="8"/>
  <c r="AM160" i="8"/>
  <c r="AN160" i="8"/>
  <c r="AO160" i="8"/>
  <c r="AL161" i="8"/>
  <c r="AM161" i="8"/>
  <c r="AN161" i="8"/>
  <c r="AO161" i="8"/>
  <c r="AL162" i="8"/>
  <c r="AM162" i="8"/>
  <c r="AN162" i="8"/>
  <c r="AO162" i="8"/>
  <c r="AL163" i="8"/>
  <c r="AM163" i="8"/>
  <c r="AN163" i="8"/>
  <c r="AO163" i="8"/>
  <c r="AL164" i="8"/>
  <c r="AM164" i="8"/>
  <c r="AN164" i="8"/>
  <c r="AO164" i="8"/>
  <c r="AL165" i="8"/>
  <c r="AM165" i="8"/>
  <c r="AN165" i="8"/>
  <c r="AO165" i="8"/>
  <c r="AL166" i="8"/>
  <c r="AM166" i="8"/>
  <c r="AN166" i="8"/>
  <c r="AO166" i="8"/>
  <c r="AL167" i="8"/>
  <c r="AM167" i="8"/>
  <c r="AN167" i="8"/>
  <c r="AO167" i="8"/>
  <c r="AL168" i="8"/>
  <c r="AM168" i="8"/>
  <c r="AN168" i="8"/>
  <c r="AO168" i="8"/>
  <c r="AL169" i="8"/>
  <c r="AM169" i="8"/>
  <c r="AN169" i="8"/>
  <c r="AO169" i="8"/>
  <c r="AL170" i="8"/>
  <c r="AM170" i="8"/>
  <c r="AN170" i="8"/>
  <c r="AM92" i="8"/>
  <c r="AL92" i="8"/>
  <c r="AL91" i="8" s="1"/>
  <c r="AK12" i="8"/>
  <c r="AL12" i="8"/>
  <c r="AM12" i="8"/>
  <c r="AN12" i="8"/>
  <c r="AK13" i="8"/>
  <c r="AL13" i="8"/>
  <c r="AM13" i="8"/>
  <c r="AN13" i="8"/>
  <c r="AO13" i="8"/>
  <c r="AK14" i="8"/>
  <c r="AL14" i="8"/>
  <c r="AM14" i="8"/>
  <c r="AN14" i="8"/>
  <c r="AO14" i="8"/>
  <c r="AK15" i="8"/>
  <c r="AL15" i="8"/>
  <c r="AM15" i="8"/>
  <c r="AN15" i="8"/>
  <c r="AO15" i="8"/>
  <c r="AK16" i="8"/>
  <c r="AL16" i="8"/>
  <c r="AM16" i="8"/>
  <c r="AN16" i="8"/>
  <c r="AO16" i="8"/>
  <c r="AK17" i="8"/>
  <c r="AL17" i="8"/>
  <c r="AM17" i="8"/>
  <c r="AN17" i="8"/>
  <c r="AO17" i="8"/>
  <c r="AK18" i="8"/>
  <c r="AL18" i="8"/>
  <c r="AM18" i="8"/>
  <c r="AN18" i="8"/>
  <c r="AO18" i="8"/>
  <c r="AK19" i="8"/>
  <c r="AL19" i="8"/>
  <c r="AM19" i="8"/>
  <c r="AN19" i="8"/>
  <c r="AO19" i="8"/>
  <c r="AK20" i="8"/>
  <c r="AL20" i="8"/>
  <c r="AM20" i="8"/>
  <c r="AN20" i="8"/>
  <c r="AO20" i="8"/>
  <c r="AK21" i="8"/>
  <c r="AL21" i="8"/>
  <c r="AM21" i="8"/>
  <c r="AN21" i="8"/>
  <c r="AO21" i="8"/>
  <c r="AK22" i="8"/>
  <c r="AL22" i="8"/>
  <c r="AM22" i="8"/>
  <c r="AN22" i="8"/>
  <c r="AO22" i="8"/>
  <c r="AK23" i="8"/>
  <c r="AL23" i="8"/>
  <c r="AM23" i="8"/>
  <c r="AN23" i="8"/>
  <c r="AO23" i="8"/>
  <c r="AK24" i="8"/>
  <c r="AL24" i="8"/>
  <c r="AM24" i="8"/>
  <c r="AN24" i="8"/>
  <c r="AO24" i="8"/>
  <c r="AK25" i="8"/>
  <c r="AL25" i="8"/>
  <c r="AM25" i="8"/>
  <c r="AN25" i="8"/>
  <c r="AO25" i="8"/>
  <c r="AK26" i="8"/>
  <c r="AL26" i="8"/>
  <c r="AM26" i="8"/>
  <c r="AN26" i="8"/>
  <c r="AO26" i="8"/>
  <c r="AK27" i="8"/>
  <c r="AL27" i="8"/>
  <c r="AM27" i="8"/>
  <c r="AN27" i="8"/>
  <c r="AO27" i="8"/>
  <c r="AK28" i="8"/>
  <c r="AL28" i="8"/>
  <c r="AM28" i="8"/>
  <c r="AN28" i="8"/>
  <c r="AO28" i="8"/>
  <c r="AK29" i="8"/>
  <c r="AL29" i="8"/>
  <c r="AM29" i="8"/>
  <c r="AN29" i="8"/>
  <c r="AO29" i="8"/>
  <c r="AK30" i="8"/>
  <c r="AL30" i="8"/>
  <c r="AM30" i="8"/>
  <c r="AN30" i="8"/>
  <c r="AO30" i="8"/>
  <c r="AK31" i="8"/>
  <c r="AL31" i="8"/>
  <c r="AM31" i="8"/>
  <c r="AN31" i="8"/>
  <c r="AO31" i="8"/>
  <c r="AK32" i="8"/>
  <c r="AL32" i="8"/>
  <c r="AM32" i="8"/>
  <c r="AN32" i="8"/>
  <c r="AO32" i="8"/>
  <c r="AK33" i="8"/>
  <c r="AL33" i="8"/>
  <c r="AM33" i="8"/>
  <c r="AN33" i="8"/>
  <c r="AO33" i="8"/>
  <c r="AK34" i="8"/>
  <c r="AL34" i="8"/>
  <c r="AM34" i="8"/>
  <c r="AN34" i="8"/>
  <c r="AO34" i="8"/>
  <c r="AK35" i="8"/>
  <c r="AL35" i="8"/>
  <c r="AM35" i="8"/>
  <c r="AN35" i="8"/>
  <c r="AO35" i="8"/>
  <c r="AK36" i="8"/>
  <c r="AL36" i="8"/>
  <c r="AM36" i="8"/>
  <c r="AN36" i="8"/>
  <c r="AO36" i="8"/>
  <c r="AK37" i="8"/>
  <c r="AL37" i="8"/>
  <c r="AM37" i="8"/>
  <c r="AN37" i="8"/>
  <c r="AO37" i="8"/>
  <c r="AK38" i="8"/>
  <c r="AL38" i="8"/>
  <c r="AM38" i="8"/>
  <c r="AN38" i="8"/>
  <c r="AO38" i="8"/>
  <c r="AK39" i="8"/>
  <c r="AL39" i="8"/>
  <c r="AM39" i="8"/>
  <c r="AN39" i="8"/>
  <c r="AO39" i="8"/>
  <c r="AK40" i="8"/>
  <c r="AL40" i="8"/>
  <c r="AM40" i="8"/>
  <c r="AN40" i="8"/>
  <c r="AO40" i="8"/>
  <c r="AK41" i="8"/>
  <c r="AL41" i="8"/>
  <c r="AM41" i="8"/>
  <c r="AN41" i="8"/>
  <c r="AO41" i="8"/>
  <c r="AK42" i="8"/>
  <c r="AL42" i="8"/>
  <c r="AM42" i="8"/>
  <c r="AN42" i="8"/>
  <c r="AO42" i="8"/>
  <c r="AK43" i="8"/>
  <c r="AL43" i="8"/>
  <c r="AM43" i="8"/>
  <c r="AN43" i="8"/>
  <c r="AO43" i="8"/>
  <c r="AK44" i="8"/>
  <c r="AL44" i="8"/>
  <c r="AM44" i="8"/>
  <c r="AN44" i="8"/>
  <c r="AO44" i="8"/>
  <c r="AK45" i="8"/>
  <c r="AL45" i="8"/>
  <c r="AM45" i="8"/>
  <c r="AN45" i="8"/>
  <c r="AO45" i="8"/>
  <c r="AK46" i="8"/>
  <c r="AL46" i="8"/>
  <c r="AM46" i="8"/>
  <c r="AN46" i="8"/>
  <c r="AO46" i="8"/>
  <c r="AK47" i="8"/>
  <c r="AL47" i="8"/>
  <c r="AM47" i="8"/>
  <c r="AN47" i="8"/>
  <c r="AO47" i="8"/>
  <c r="AK48" i="8"/>
  <c r="AL48" i="8"/>
  <c r="AM48" i="8"/>
  <c r="AN48" i="8"/>
  <c r="AO48" i="8"/>
  <c r="AK49" i="8"/>
  <c r="AL49" i="8"/>
  <c r="AM49" i="8"/>
  <c r="AN49" i="8"/>
  <c r="AO49" i="8"/>
  <c r="AK50" i="8"/>
  <c r="AL50" i="8"/>
  <c r="AM50" i="8"/>
  <c r="AN50" i="8"/>
  <c r="AO50" i="8"/>
  <c r="AK51" i="8"/>
  <c r="AL51" i="8"/>
  <c r="AM51" i="8"/>
  <c r="AN51" i="8"/>
  <c r="AO51" i="8"/>
  <c r="AK52" i="8"/>
  <c r="AL52" i="8"/>
  <c r="AM52" i="8"/>
  <c r="AN52" i="8"/>
  <c r="AO52" i="8"/>
  <c r="AK53" i="8"/>
  <c r="AL53" i="8"/>
  <c r="AM53" i="8"/>
  <c r="AN53" i="8"/>
  <c r="AO53" i="8"/>
  <c r="AK54" i="8"/>
  <c r="AL54" i="8"/>
  <c r="AM54" i="8"/>
  <c r="AN54" i="8"/>
  <c r="AO54" i="8"/>
  <c r="AK55" i="8"/>
  <c r="AL55" i="8"/>
  <c r="AM55" i="8"/>
  <c r="AN55" i="8"/>
  <c r="AO55" i="8"/>
  <c r="AK56" i="8"/>
  <c r="AL56" i="8"/>
  <c r="AM56" i="8"/>
  <c r="AN56" i="8"/>
  <c r="AO56" i="8"/>
  <c r="AK57" i="8"/>
  <c r="AL57" i="8"/>
  <c r="AM57" i="8"/>
  <c r="AN57" i="8"/>
  <c r="AO57" i="8"/>
  <c r="AK58" i="8"/>
  <c r="AL58" i="8"/>
  <c r="AM58" i="8"/>
  <c r="AN58" i="8"/>
  <c r="AO58" i="8"/>
  <c r="AK59" i="8"/>
  <c r="AL59" i="8"/>
  <c r="AM59" i="8"/>
  <c r="AN59" i="8"/>
  <c r="AO59" i="8"/>
  <c r="AK60" i="8"/>
  <c r="AL60" i="8"/>
  <c r="AM60" i="8"/>
  <c r="AN60" i="8"/>
  <c r="AO60" i="8"/>
  <c r="AK61" i="8"/>
  <c r="AL61" i="8"/>
  <c r="AM61" i="8"/>
  <c r="AN61" i="8"/>
  <c r="AO61" i="8"/>
  <c r="AK62" i="8"/>
  <c r="AL62" i="8"/>
  <c r="AM62" i="8"/>
  <c r="AN62" i="8"/>
  <c r="AO62" i="8"/>
  <c r="AK63" i="8"/>
  <c r="AL63" i="8"/>
  <c r="AM63" i="8"/>
  <c r="AN63" i="8"/>
  <c r="AO63" i="8"/>
  <c r="AK64" i="8"/>
  <c r="AL64" i="8"/>
  <c r="AM64" i="8"/>
  <c r="AN64" i="8"/>
  <c r="AO64" i="8"/>
  <c r="AK65" i="8"/>
  <c r="AL65" i="8"/>
  <c r="AM65" i="8"/>
  <c r="AN65" i="8"/>
  <c r="AO65" i="8"/>
  <c r="AK66" i="8"/>
  <c r="AL66" i="8"/>
  <c r="AM66" i="8"/>
  <c r="AN66" i="8"/>
  <c r="AO66" i="8"/>
  <c r="AK67" i="8"/>
  <c r="AL67" i="8"/>
  <c r="AM67" i="8"/>
  <c r="AN67" i="8"/>
  <c r="AO67" i="8"/>
  <c r="AK68" i="8"/>
  <c r="AL68" i="8"/>
  <c r="AM68" i="8"/>
  <c r="AN68" i="8"/>
  <c r="AO68" i="8"/>
  <c r="AK69" i="8"/>
  <c r="AL69" i="8"/>
  <c r="AM69" i="8"/>
  <c r="AN69" i="8"/>
  <c r="AO69" i="8"/>
  <c r="AK70" i="8"/>
  <c r="AL70" i="8"/>
  <c r="AM70" i="8"/>
  <c r="AN70" i="8"/>
  <c r="AO70" i="8"/>
  <c r="AK71" i="8"/>
  <c r="AL71" i="8"/>
  <c r="AM71" i="8"/>
  <c r="AN71" i="8"/>
  <c r="AO71" i="8"/>
  <c r="AK72" i="8"/>
  <c r="AL72" i="8"/>
  <c r="AM72" i="8"/>
  <c r="AN72" i="8"/>
  <c r="AO72" i="8"/>
  <c r="AK73" i="8"/>
  <c r="AL73" i="8"/>
  <c r="AM73" i="8"/>
  <c r="AN73" i="8"/>
  <c r="AO73" i="8"/>
  <c r="AK74" i="8"/>
  <c r="AL74" i="8"/>
  <c r="AM74" i="8"/>
  <c r="AN74" i="8"/>
  <c r="AO74" i="8"/>
  <c r="AK75" i="8"/>
  <c r="AL75" i="8"/>
  <c r="AM75" i="8"/>
  <c r="AN75" i="8"/>
  <c r="AO75" i="8"/>
  <c r="AK76" i="8"/>
  <c r="AL76" i="8"/>
  <c r="AM76" i="8"/>
  <c r="AN76" i="8"/>
  <c r="AO76" i="8"/>
  <c r="AK77" i="8"/>
  <c r="AL77" i="8"/>
  <c r="AM77" i="8"/>
  <c r="AN77" i="8"/>
  <c r="AO77" i="8"/>
  <c r="AK78" i="8"/>
  <c r="AL78" i="8"/>
  <c r="AM78" i="8"/>
  <c r="AN78" i="8"/>
  <c r="AO78" i="8"/>
  <c r="AK79" i="8"/>
  <c r="AL79" i="8"/>
  <c r="AM79" i="8"/>
  <c r="AN79" i="8"/>
  <c r="AO79" i="8"/>
  <c r="AK80" i="8"/>
  <c r="AL80" i="8"/>
  <c r="AM80" i="8"/>
  <c r="AN80" i="8"/>
  <c r="AO80" i="8"/>
  <c r="AK81" i="8"/>
  <c r="AL81" i="8"/>
  <c r="AM81" i="8"/>
  <c r="AN81" i="8"/>
  <c r="AO81" i="8"/>
  <c r="AK82" i="8"/>
  <c r="AL82" i="8"/>
  <c r="AM82" i="8"/>
  <c r="AN82" i="8"/>
  <c r="AO82" i="8"/>
  <c r="AK83" i="8"/>
  <c r="AL83" i="8"/>
  <c r="AM83" i="8"/>
  <c r="AN83" i="8"/>
  <c r="AO83" i="8"/>
  <c r="AK84" i="8"/>
  <c r="AL84" i="8"/>
  <c r="AM84" i="8"/>
  <c r="AN84" i="8"/>
  <c r="AO84" i="8"/>
  <c r="AK85" i="8"/>
  <c r="AL85" i="8"/>
  <c r="AM85" i="8"/>
  <c r="AN85" i="8"/>
  <c r="AO85" i="8"/>
  <c r="AK86" i="8"/>
  <c r="AL86" i="8"/>
  <c r="AM86" i="8"/>
  <c r="AN86" i="8"/>
  <c r="AO86" i="8"/>
  <c r="AK87" i="8"/>
  <c r="AL87" i="8"/>
  <c r="AM87" i="8"/>
  <c r="AN87" i="8"/>
  <c r="AO87" i="8"/>
  <c r="AK88" i="8"/>
  <c r="AL88" i="8"/>
  <c r="AM88" i="8"/>
  <c r="AN88" i="8"/>
  <c r="AO88" i="8"/>
  <c r="AK89" i="8"/>
  <c r="AL89" i="8"/>
  <c r="AM89" i="8"/>
  <c r="AN89" i="8"/>
  <c r="AO89" i="8"/>
  <c r="AO11" i="8"/>
  <c r="AN11" i="8"/>
  <c r="AM11" i="8"/>
  <c r="AL11" i="8"/>
  <c r="AK11" i="8"/>
  <c r="AJ11" i="8"/>
  <c r="AJ10" i="8" s="1"/>
  <c r="AC175" i="9"/>
  <c r="K321" i="128"/>
  <c r="E314" i="128"/>
  <c r="F314" i="128"/>
  <c r="G314" i="128"/>
  <c r="H314" i="128"/>
  <c r="I314" i="128"/>
  <c r="J314" i="128"/>
  <c r="K314" i="128"/>
  <c r="L314" i="128"/>
  <c r="M314" i="128"/>
  <c r="N314" i="128"/>
  <c r="O314" i="128"/>
  <c r="P314" i="128"/>
  <c r="Q314" i="128"/>
  <c r="R314" i="128"/>
  <c r="S314" i="128"/>
  <c r="T314" i="128"/>
  <c r="U314" i="128"/>
  <c r="V314" i="128"/>
  <c r="W314" i="128"/>
  <c r="X314" i="128"/>
  <c r="Y314" i="128"/>
  <c r="Z314" i="128"/>
  <c r="AA314" i="128"/>
  <c r="AB314" i="128"/>
  <c r="AC314" i="128"/>
  <c r="AD314" i="128"/>
  <c r="AE314" i="128"/>
  <c r="AF314" i="128"/>
  <c r="AG314" i="128"/>
  <c r="AH96" i="128"/>
  <c r="AH14" i="128"/>
  <c r="AH314" i="128" l="1"/>
  <c r="AN91" i="8"/>
  <c r="AM91" i="8"/>
  <c r="AO91" i="8"/>
  <c r="AM10" i="8"/>
  <c r="A638" i="170"/>
  <c r="G620" i="170"/>
  <c r="AL10" i="8"/>
  <c r="AK10" i="8"/>
  <c r="AO10" i="8"/>
  <c r="AN10" i="8"/>
  <c r="AM239" i="8"/>
  <c r="AP177" i="8"/>
  <c r="AP84" i="8"/>
  <c r="AP78" i="8"/>
  <c r="AP167" i="8"/>
  <c r="AP163" i="8"/>
  <c r="AP159" i="8"/>
  <c r="AP155" i="8"/>
  <c r="AP151" i="8"/>
  <c r="AP147" i="8"/>
  <c r="AP143" i="8"/>
  <c r="AP139" i="8"/>
  <c r="AP135" i="8"/>
  <c r="AP131" i="8"/>
  <c r="AP127" i="8"/>
  <c r="AP123" i="8"/>
  <c r="AP119" i="8"/>
  <c r="AP115" i="8"/>
  <c r="AP111" i="8"/>
  <c r="AP68" i="8"/>
  <c r="AP62" i="8"/>
  <c r="AP52" i="8"/>
  <c r="AP46" i="8"/>
  <c r="AP36" i="8"/>
  <c r="AP30" i="8"/>
  <c r="AP20" i="8"/>
  <c r="AP14" i="8"/>
  <c r="AP77" i="8"/>
  <c r="AP61" i="8"/>
  <c r="AP45" i="8"/>
  <c r="AP29" i="8"/>
  <c r="AP19" i="8"/>
  <c r="AP16" i="8"/>
  <c r="AP89" i="8"/>
  <c r="AP88" i="8"/>
  <c r="AP86" i="8"/>
  <c r="AP81" i="8"/>
  <c r="AP76" i="8"/>
  <c r="AP73" i="8"/>
  <c r="AP70" i="8"/>
  <c r="AP65" i="8"/>
  <c r="AP60" i="8"/>
  <c r="AP57" i="8"/>
  <c r="AP54" i="8"/>
  <c r="AP49" i="8"/>
  <c r="AP44" i="8"/>
  <c r="AP41" i="8"/>
  <c r="AP38" i="8"/>
  <c r="AP33" i="8"/>
  <c r="AP28" i="8"/>
  <c r="AP25" i="8"/>
  <c r="AP22" i="8"/>
  <c r="AP17" i="8"/>
  <c r="AP12" i="8"/>
  <c r="AP92" i="8"/>
  <c r="AP87" i="8"/>
  <c r="AP83" i="8"/>
  <c r="AP80" i="8"/>
  <c r="AP72" i="8"/>
  <c r="AP67" i="8"/>
  <c r="AP64" i="8"/>
  <c r="AP56" i="8"/>
  <c r="AP51" i="8"/>
  <c r="AP48" i="8"/>
  <c r="AP40" i="8"/>
  <c r="AP35" i="8"/>
  <c r="AP32" i="8"/>
  <c r="AP24" i="8"/>
  <c r="AP85" i="8"/>
  <c r="AP82" i="8"/>
  <c r="AP74" i="8"/>
  <c r="AP69" i="8"/>
  <c r="AP66" i="8"/>
  <c r="AP58" i="8"/>
  <c r="AP53" i="8"/>
  <c r="AP50" i="8"/>
  <c r="AP42" i="8"/>
  <c r="AP37" i="8"/>
  <c r="AP34" i="8"/>
  <c r="AP26" i="8"/>
  <c r="AP21" i="8"/>
  <c r="AP18" i="8"/>
  <c r="AP13" i="8"/>
  <c r="AP169" i="8"/>
  <c r="AP165" i="8"/>
  <c r="AP161" i="8"/>
  <c r="AP157" i="8"/>
  <c r="AP153" i="8"/>
  <c r="AP149" i="8"/>
  <c r="AP145" i="8"/>
  <c r="AP141" i="8"/>
  <c r="AP137" i="8"/>
  <c r="AP133" i="8"/>
  <c r="AP129" i="8"/>
  <c r="AP125" i="8"/>
  <c r="AP121" i="8"/>
  <c r="AP117" i="8"/>
  <c r="AP113" i="8"/>
  <c r="AP109" i="8"/>
  <c r="AP105" i="8"/>
  <c r="AP101" i="8"/>
  <c r="AP97" i="8"/>
  <c r="AP93" i="8"/>
  <c r="AP170" i="8"/>
  <c r="AP168" i="8"/>
  <c r="AP166" i="8"/>
  <c r="AP164" i="8"/>
  <c r="AP162" i="8"/>
  <c r="AP160" i="8"/>
  <c r="AP158" i="8"/>
  <c r="AP156" i="8"/>
  <c r="AP154" i="8"/>
  <c r="AP152" i="8"/>
  <c r="AP150" i="8"/>
  <c r="AP148" i="8"/>
  <c r="AP146" i="8"/>
  <c r="AP144" i="8"/>
  <c r="AP142" i="8"/>
  <c r="AP140" i="8"/>
  <c r="AP138" i="8"/>
  <c r="AP136" i="8"/>
  <c r="AP134" i="8"/>
  <c r="AP132" i="8"/>
  <c r="AP130" i="8"/>
  <c r="AP128" i="8"/>
  <c r="AP126" i="8"/>
  <c r="AP124" i="8"/>
  <c r="AP122" i="8"/>
  <c r="AP120" i="8"/>
  <c r="AP118" i="8"/>
  <c r="AP116" i="8"/>
  <c r="AP114" i="8"/>
  <c r="AP112" i="8"/>
  <c r="AP110" i="8"/>
  <c r="AP108" i="8"/>
  <c r="AP107" i="8"/>
  <c r="AP106" i="8"/>
  <c r="AP104" i="8"/>
  <c r="AP103" i="8"/>
  <c r="AP102" i="8"/>
  <c r="AP100" i="8"/>
  <c r="AP99" i="8"/>
  <c r="AP98" i="8"/>
  <c r="AP96" i="8"/>
  <c r="AP95" i="8"/>
  <c r="AP94" i="8"/>
  <c r="AP11" i="8"/>
  <c r="AP75" i="8"/>
  <c r="AP59" i="8"/>
  <c r="AP43" i="8"/>
  <c r="AP27" i="8"/>
  <c r="AP71" i="8"/>
  <c r="AP55" i="8"/>
  <c r="AP39" i="8"/>
  <c r="AP23" i="8"/>
  <c r="AP79" i="8"/>
  <c r="AP63" i="8"/>
  <c r="AP47" i="8"/>
  <c r="AP31" i="8"/>
  <c r="AP15" i="8"/>
  <c r="AL240" i="8"/>
  <c r="AO296" i="8"/>
  <c r="AK296" i="8"/>
  <c r="AO294" i="8"/>
  <c r="AO288" i="8"/>
  <c r="AK288" i="8"/>
  <c r="AO286" i="8"/>
  <c r="AO280" i="8"/>
  <c r="AK280" i="8"/>
  <c r="AO278" i="8"/>
  <c r="AK266" i="8"/>
  <c r="AO256" i="8"/>
  <c r="AK256" i="8"/>
  <c r="AO254" i="8"/>
  <c r="AO252" i="8"/>
  <c r="AK252" i="8"/>
  <c r="AO250" i="8"/>
  <c r="AO248" i="8"/>
  <c r="AK248" i="8"/>
  <c r="AK240" i="8"/>
  <c r="AO240" i="8"/>
  <c r="AL298" i="8"/>
  <c r="AN297" i="8"/>
  <c r="AJ297" i="8"/>
  <c r="AL296" i="8"/>
  <c r="AN295" i="8"/>
  <c r="AJ295" i="8"/>
  <c r="AL294" i="8"/>
  <c r="AN293" i="8"/>
  <c r="AJ293" i="8"/>
  <c r="AL292" i="8"/>
  <c r="AN291" i="8"/>
  <c r="AJ291" i="8"/>
  <c r="AL290" i="8"/>
  <c r="AN289" i="8"/>
  <c r="AJ289" i="8"/>
  <c r="AL288" i="8"/>
  <c r="AN287" i="8"/>
  <c r="AJ287" i="8"/>
  <c r="AL286" i="8"/>
  <c r="AN285" i="8"/>
  <c r="AJ285" i="8"/>
  <c r="AL284" i="8"/>
  <c r="AN283" i="8"/>
  <c r="AJ283" i="8"/>
  <c r="AL282" i="8"/>
  <c r="AN281" i="8"/>
  <c r="AJ281" i="8"/>
  <c r="AL280" i="8"/>
  <c r="AN279" i="8"/>
  <c r="AJ279" i="8"/>
  <c r="AL278" i="8"/>
  <c r="AN277" i="8"/>
  <c r="AJ277" i="8"/>
  <c r="AL276" i="8"/>
  <c r="AN275" i="8"/>
  <c r="AJ275" i="8"/>
  <c r="AL274" i="8"/>
  <c r="AN273" i="8"/>
  <c r="AJ273" i="8"/>
  <c r="AL272" i="8"/>
  <c r="AN271" i="8"/>
  <c r="AJ271" i="8"/>
  <c r="AL270" i="8"/>
  <c r="AN269" i="8"/>
  <c r="AJ269" i="8"/>
  <c r="AL268" i="8"/>
  <c r="AN267" i="8"/>
  <c r="AJ267" i="8"/>
  <c r="AL266" i="8"/>
  <c r="AN265" i="8"/>
  <c r="AJ265" i="8"/>
  <c r="AL264" i="8"/>
  <c r="AN263" i="8"/>
  <c r="AJ263" i="8"/>
  <c r="AL262" i="8"/>
  <c r="AN261" i="8"/>
  <c r="AJ261" i="8"/>
  <c r="AL260" i="8"/>
  <c r="AN259" i="8"/>
  <c r="AJ259" i="8"/>
  <c r="AL258" i="8"/>
  <c r="AN257" i="8"/>
  <c r="AJ257" i="8"/>
  <c r="AL256" i="8"/>
  <c r="AN255" i="8"/>
  <c r="AJ255" i="8"/>
  <c r="AL254" i="8"/>
  <c r="AN253" i="8"/>
  <c r="AJ253" i="8"/>
  <c r="AL252" i="8"/>
  <c r="AN251" i="8"/>
  <c r="AJ251" i="8"/>
  <c r="AL250" i="8"/>
  <c r="AN249" i="8"/>
  <c r="AJ249" i="8"/>
  <c r="AL248" i="8"/>
  <c r="AN247" i="8"/>
  <c r="AJ247" i="8"/>
  <c r="AL246" i="8"/>
  <c r="AN245" i="8"/>
  <c r="AJ245" i="8"/>
  <c r="AL244" i="8"/>
  <c r="AN243" i="8"/>
  <c r="AJ243" i="8"/>
  <c r="AL242" i="8"/>
  <c r="AN241" i="8"/>
  <c r="AJ241" i="8"/>
  <c r="AO298" i="8"/>
  <c r="AO292" i="8"/>
  <c r="AK292" i="8"/>
  <c r="AO290" i="8"/>
  <c r="AO284" i="8"/>
  <c r="AK284" i="8"/>
  <c r="AO282" i="8"/>
  <c r="AO276" i="8"/>
  <c r="AK276" i="8"/>
  <c r="AO274" i="8"/>
  <c r="AO272" i="8"/>
  <c r="AK272" i="8"/>
  <c r="AO270" i="8"/>
  <c r="AO268" i="8"/>
  <c r="AK268" i="8"/>
  <c r="AO264" i="8"/>
  <c r="AK264" i="8"/>
  <c r="AO262" i="8"/>
  <c r="AO260" i="8"/>
  <c r="AK260" i="8"/>
  <c r="AO258" i="8"/>
  <c r="AO246" i="8"/>
  <c r="AO244" i="8"/>
  <c r="AK244" i="8"/>
  <c r="AO242" i="8"/>
  <c r="AJ240" i="8"/>
  <c r="AO297" i="8"/>
  <c r="AO295" i="8"/>
  <c r="AO293" i="8"/>
  <c r="AO291" i="8"/>
  <c r="AO289" i="8"/>
  <c r="AO287" i="8"/>
  <c r="AO285" i="8"/>
  <c r="AO283" i="8"/>
  <c r="AO281" i="8"/>
  <c r="AO279" i="8"/>
  <c r="AO277" i="8"/>
  <c r="AO275" i="8"/>
  <c r="AO273" i="8"/>
  <c r="AO271" i="8"/>
  <c r="AO269" i="8"/>
  <c r="AO267" i="8"/>
  <c r="AO265" i="8"/>
  <c r="AO263" i="8"/>
  <c r="AO261" i="8"/>
  <c r="AO259" i="8"/>
  <c r="AO257" i="8"/>
  <c r="AO255" i="8"/>
  <c r="AO253" i="8"/>
  <c r="AO251" i="8"/>
  <c r="AO249" i="8"/>
  <c r="AO247" i="8"/>
  <c r="AO245" i="8"/>
  <c r="AO243" i="8"/>
  <c r="AO241" i="8"/>
  <c r="AP237" i="8"/>
  <c r="AP236" i="8"/>
  <c r="AP233" i="8"/>
  <c r="AP232" i="8"/>
  <c r="AP229" i="8"/>
  <c r="AP228" i="8"/>
  <c r="AP225" i="8"/>
  <c r="AP224" i="8"/>
  <c r="AP221" i="8"/>
  <c r="AP220" i="8"/>
  <c r="AP217" i="8"/>
  <c r="AP216" i="8"/>
  <c r="AP213" i="8"/>
  <c r="AP212" i="8"/>
  <c r="AP209" i="8"/>
  <c r="AP208" i="8"/>
  <c r="AP205" i="8"/>
  <c r="AP204" i="8"/>
  <c r="AP201" i="8"/>
  <c r="AP200" i="8"/>
  <c r="AP197" i="8"/>
  <c r="AP196" i="8"/>
  <c r="AP193" i="8"/>
  <c r="AP192" i="8"/>
  <c r="AP189" i="8"/>
  <c r="AP188" i="8"/>
  <c r="AP185" i="8"/>
  <c r="AP184" i="8"/>
  <c r="AP181" i="8"/>
  <c r="AP180" i="8"/>
  <c r="AP235" i="8"/>
  <c r="AP231" i="8"/>
  <c r="AP227" i="8"/>
  <c r="AP223" i="8"/>
  <c r="AP219" i="8"/>
  <c r="AP215" i="8"/>
  <c r="AP211" i="8"/>
  <c r="AP207" i="8"/>
  <c r="AP203" i="8"/>
  <c r="AP199" i="8"/>
  <c r="AP195" i="8"/>
  <c r="AP191" i="8"/>
  <c r="AP187" i="8"/>
  <c r="AP183" i="8"/>
  <c r="AM176" i="8"/>
  <c r="AP179" i="8"/>
  <c r="AP238" i="8"/>
  <c r="AP234" i="8"/>
  <c r="AP230" i="8"/>
  <c r="AP226" i="8"/>
  <c r="AP222" i="8"/>
  <c r="AP218" i="8"/>
  <c r="AP214" i="8"/>
  <c r="AP210" i="8"/>
  <c r="AP206" i="8"/>
  <c r="AP202" i="8"/>
  <c r="AP198" i="8"/>
  <c r="AP194" i="8"/>
  <c r="AP190" i="8"/>
  <c r="AP186" i="8"/>
  <c r="AP182" i="8"/>
  <c r="AN176" i="8"/>
  <c r="AP178" i="8"/>
  <c r="AO176" i="8"/>
  <c r="AP91" i="8" l="1"/>
  <c r="AP294" i="8"/>
  <c r="AN239" i="8"/>
  <c r="AP263" i="8"/>
  <c r="AP287" i="8"/>
  <c r="AP255" i="8"/>
  <c r="AP288" i="8"/>
  <c r="A655" i="170"/>
  <c r="G638" i="170"/>
  <c r="AK239" i="8"/>
  <c r="AP10" i="8"/>
  <c r="AO239" i="8"/>
  <c r="AL239" i="8"/>
  <c r="AJ239" i="8"/>
  <c r="AP296" i="8"/>
  <c r="AP268" i="8"/>
  <c r="AP292" i="8"/>
  <c r="AP243" i="8"/>
  <c r="AP259" i="8"/>
  <c r="AP275" i="8"/>
  <c r="AP250" i="8"/>
  <c r="AP247" i="8"/>
  <c r="AP279" i="8"/>
  <c r="AP244" i="8"/>
  <c r="AP260" i="8"/>
  <c r="AP276" i="8"/>
  <c r="AP242" i="8"/>
  <c r="AP271" i="8"/>
  <c r="AP290" i="8"/>
  <c r="AP298" i="8"/>
  <c r="AP272" i="8"/>
  <c r="AP256" i="8"/>
  <c r="AP280" i="8"/>
  <c r="AP282" i="8"/>
  <c r="AP258" i="8"/>
  <c r="AP264" i="8"/>
  <c r="AP295" i="8"/>
  <c r="AP248" i="8"/>
  <c r="AP266" i="8"/>
  <c r="AP251" i="8"/>
  <c r="AP267" i="8"/>
  <c r="AP283" i="8"/>
  <c r="AP274" i="8"/>
  <c r="AP284" i="8"/>
  <c r="AP241" i="8"/>
  <c r="AP246" i="8"/>
  <c r="AP249" i="8"/>
  <c r="AP254" i="8"/>
  <c r="AP257" i="8"/>
  <c r="AP262" i="8"/>
  <c r="AP265" i="8"/>
  <c r="AP270" i="8"/>
  <c r="AP273" i="8"/>
  <c r="AP278" i="8"/>
  <c r="AP281" i="8"/>
  <c r="AP286" i="8"/>
  <c r="AP289" i="8"/>
  <c r="AP291" i="8"/>
  <c r="AP297" i="8"/>
  <c r="AP252" i="8"/>
  <c r="AP240" i="8"/>
  <c r="AP245" i="8"/>
  <c r="AP253" i="8"/>
  <c r="AP261" i="8"/>
  <c r="AP269" i="8"/>
  <c r="AP277" i="8"/>
  <c r="AP285" i="8"/>
  <c r="AP293" i="8"/>
  <c r="AM306" i="8"/>
  <c r="G655" i="170" l="1"/>
  <c r="G672" i="170" s="1"/>
  <c r="A672" i="170"/>
  <c r="AP239" i="8"/>
  <c r="AN306" i="8"/>
  <c r="G706" i="170" l="1"/>
  <c r="G689" i="170"/>
  <c r="A706" i="170"/>
  <c r="A721" i="170" s="1"/>
  <c r="G721" i="170" s="1"/>
  <c r="A689" i="170"/>
  <c r="E17" i="152"/>
  <c r="AI13" i="161"/>
  <c r="E99" i="151"/>
  <c r="F99" i="151" s="1"/>
  <c r="G17" i="152" l="1"/>
  <c r="A740" i="170"/>
  <c r="A757" i="170" s="1"/>
  <c r="A774" i="170" s="1"/>
  <c r="A791" i="170" s="1"/>
  <c r="X99" i="151"/>
  <c r="AB9" i="9"/>
  <c r="AC249" i="9"/>
  <c r="E81" i="101"/>
  <c r="AC94" i="9"/>
  <c r="D10" i="167"/>
  <c r="D325" i="132"/>
  <c r="G740" i="170" l="1"/>
  <c r="G757" i="170"/>
  <c r="Z99" i="151"/>
  <c r="F81" i="101"/>
  <c r="G774" i="170"/>
  <c r="E18" i="136"/>
  <c r="Z99" i="99" l="1"/>
  <c r="A808" i="170"/>
  <c r="G791" i="170"/>
  <c r="A824" i="170" l="1"/>
  <c r="G808" i="170"/>
  <c r="F13" i="166"/>
  <c r="G13" i="166" s="1"/>
  <c r="B13" i="166"/>
  <c r="B14" i="166"/>
  <c r="Z5" i="166"/>
  <c r="AA5" i="166" s="1"/>
  <c r="AB5" i="166" s="1"/>
  <c r="A841" i="170" l="1"/>
  <c r="G824" i="170"/>
  <c r="Y71" i="102"/>
  <c r="Y72" i="102"/>
  <c r="Y73" i="102"/>
  <c r="L353" i="151"/>
  <c r="L352" i="151"/>
  <c r="L351" i="151"/>
  <c r="X11" i="151"/>
  <c r="AC308" i="9"/>
  <c r="AC309" i="9"/>
  <c r="AC24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98" i="9"/>
  <c r="C103" i="151" s="1"/>
  <c r="C99" i="9"/>
  <c r="C104" i="151" s="1"/>
  <c r="C100" i="9"/>
  <c r="C105" i="151" s="1"/>
  <c r="C101" i="9"/>
  <c r="C106" i="151" s="1"/>
  <c r="C102" i="9"/>
  <c r="C107" i="151" s="1"/>
  <c r="C103" i="9"/>
  <c r="C108" i="151" s="1"/>
  <c r="C104" i="9"/>
  <c r="C109" i="151" s="1"/>
  <c r="C105" i="9"/>
  <c r="C110" i="151" s="1"/>
  <c r="C106" i="9"/>
  <c r="C111" i="151" s="1"/>
  <c r="C107" i="9"/>
  <c r="C112" i="151" s="1"/>
  <c r="C108" i="9"/>
  <c r="C113" i="151" s="1"/>
  <c r="C109" i="9"/>
  <c r="C114" i="151" s="1"/>
  <c r="C110" i="9"/>
  <c r="C115" i="151" s="1"/>
  <c r="C111" i="9"/>
  <c r="C116" i="151" s="1"/>
  <c r="C112" i="9"/>
  <c r="C117" i="151" s="1"/>
  <c r="C113" i="9"/>
  <c r="C118" i="151" s="1"/>
  <c r="C114" i="9"/>
  <c r="C119" i="151" s="1"/>
  <c r="C115" i="9"/>
  <c r="C120" i="151" s="1"/>
  <c r="C116" i="9"/>
  <c r="C121" i="151" s="1"/>
  <c r="C117" i="9"/>
  <c r="C122" i="151" s="1"/>
  <c r="C118" i="9"/>
  <c r="C123" i="151" s="1"/>
  <c r="C119" i="9"/>
  <c r="C124" i="151" s="1"/>
  <c r="C120" i="9"/>
  <c r="C125" i="151" s="1"/>
  <c r="C121" i="9"/>
  <c r="C122" i="9"/>
  <c r="C127" i="151" s="1"/>
  <c r="C123" i="9"/>
  <c r="C128" i="151" s="1"/>
  <c r="C124" i="9"/>
  <c r="C129" i="151" s="1"/>
  <c r="C125" i="9"/>
  <c r="C130" i="151" s="1"/>
  <c r="C126" i="9"/>
  <c r="C131" i="151" s="1"/>
  <c r="C127" i="9"/>
  <c r="C132" i="151" s="1"/>
  <c r="C128" i="9"/>
  <c r="C133" i="151" s="1"/>
  <c r="C129" i="9"/>
  <c r="C134" i="151" s="1"/>
  <c r="C130" i="9"/>
  <c r="C135" i="151" s="1"/>
  <c r="C131" i="9"/>
  <c r="C136" i="151" s="1"/>
  <c r="C132" i="9"/>
  <c r="C137" i="151" s="1"/>
  <c r="C133" i="9"/>
  <c r="C138" i="151" s="1"/>
  <c r="C134" i="9"/>
  <c r="C139" i="151" s="1"/>
  <c r="C135" i="9"/>
  <c r="C140" i="151" s="1"/>
  <c r="C136" i="9"/>
  <c r="C141" i="151" s="1"/>
  <c r="C137" i="9"/>
  <c r="C142" i="151" s="1"/>
  <c r="C138" i="9"/>
  <c r="C143" i="151" s="1"/>
  <c r="C139" i="9"/>
  <c r="C144" i="151" s="1"/>
  <c r="C140" i="9"/>
  <c r="C145" i="151" s="1"/>
  <c r="C141" i="9"/>
  <c r="C146" i="151" s="1"/>
  <c r="C142" i="9"/>
  <c r="C147" i="151" s="1"/>
  <c r="C143" i="9"/>
  <c r="C148" i="151" s="1"/>
  <c r="C144" i="9"/>
  <c r="C149" i="151" s="1"/>
  <c r="C145" i="9"/>
  <c r="C150" i="151" s="1"/>
  <c r="C146" i="9"/>
  <c r="C151" i="151" s="1"/>
  <c r="C147" i="9"/>
  <c r="C152" i="151" s="1"/>
  <c r="C148" i="9"/>
  <c r="C153" i="151" s="1"/>
  <c r="C149" i="9"/>
  <c r="C154" i="151" s="1"/>
  <c r="C150" i="9"/>
  <c r="C155" i="151" s="1"/>
  <c r="C151" i="9"/>
  <c r="C156" i="151" s="1"/>
  <c r="C152" i="9"/>
  <c r="C157" i="151" s="1"/>
  <c r="C153" i="9"/>
  <c r="C158" i="151" s="1"/>
  <c r="C154" i="9"/>
  <c r="C159" i="151" s="1"/>
  <c r="C155" i="9"/>
  <c r="C160" i="151" s="1"/>
  <c r="C156" i="9"/>
  <c r="C161" i="151" s="1"/>
  <c r="C157" i="9"/>
  <c r="C162" i="151" s="1"/>
  <c r="C158" i="9"/>
  <c r="C163" i="151" s="1"/>
  <c r="C159" i="9"/>
  <c r="C164" i="151" s="1"/>
  <c r="C160" i="9"/>
  <c r="C165" i="151" s="1"/>
  <c r="C161" i="9"/>
  <c r="C166" i="151" s="1"/>
  <c r="C162" i="9"/>
  <c r="C167" i="151" s="1"/>
  <c r="C163" i="9"/>
  <c r="C168" i="151" s="1"/>
  <c r="C164" i="9"/>
  <c r="C169" i="151" s="1"/>
  <c r="C165" i="9"/>
  <c r="C170" i="151" s="1"/>
  <c r="C166" i="9"/>
  <c r="C171" i="151" s="1"/>
  <c r="C167" i="9"/>
  <c r="C172" i="151" s="1"/>
  <c r="C168" i="9"/>
  <c r="C173" i="151" s="1"/>
  <c r="C169" i="9"/>
  <c r="C174" i="151" s="1"/>
  <c r="C170" i="9"/>
  <c r="C175" i="151" s="1"/>
  <c r="C176" i="151"/>
  <c r="C177" i="151"/>
  <c r="C178" i="151"/>
  <c r="C179" i="151"/>
  <c r="C86" i="9"/>
  <c r="C87" i="9"/>
  <c r="C88" i="9"/>
  <c r="C89" i="9"/>
  <c r="D173" i="132" l="1"/>
  <c r="D165" i="132"/>
  <c r="D157" i="132"/>
  <c r="D149" i="132"/>
  <c r="D141" i="132"/>
  <c r="D133" i="132"/>
  <c r="D125" i="132"/>
  <c r="D117" i="132"/>
  <c r="D105" i="132"/>
  <c r="D170" i="132"/>
  <c r="D166" i="132"/>
  <c r="D158" i="132"/>
  <c r="D150" i="132"/>
  <c r="D142" i="132"/>
  <c r="D134" i="132"/>
  <c r="D126" i="132"/>
  <c r="D122" i="132"/>
  <c r="D118" i="132"/>
  <c r="D114" i="132"/>
  <c r="D110" i="132"/>
  <c r="D106" i="132"/>
  <c r="D102" i="132"/>
  <c r="D175" i="132"/>
  <c r="D171" i="132"/>
  <c r="D167" i="132"/>
  <c r="D163" i="132"/>
  <c r="D159" i="132"/>
  <c r="D155" i="132"/>
  <c r="D151" i="132"/>
  <c r="D147" i="132"/>
  <c r="D143" i="132"/>
  <c r="D139" i="132"/>
  <c r="D135" i="132"/>
  <c r="D131" i="132"/>
  <c r="D127" i="132"/>
  <c r="D123" i="132"/>
  <c r="D119" i="132"/>
  <c r="D115" i="132"/>
  <c r="D111" i="132"/>
  <c r="D107" i="132"/>
  <c r="D103" i="132"/>
  <c r="D177" i="132"/>
  <c r="D169" i="132"/>
  <c r="D161" i="132"/>
  <c r="D153" i="132"/>
  <c r="D145" i="132"/>
  <c r="D137" i="132"/>
  <c r="D129" i="132"/>
  <c r="D121" i="132"/>
  <c r="D113" i="132"/>
  <c r="D109" i="132"/>
  <c r="D101" i="132"/>
  <c r="D174" i="132"/>
  <c r="D162" i="132"/>
  <c r="D154" i="132"/>
  <c r="D146" i="132"/>
  <c r="D138" i="132"/>
  <c r="D130" i="132"/>
  <c r="D176" i="132"/>
  <c r="D172" i="132"/>
  <c r="D168" i="132"/>
  <c r="D164" i="132"/>
  <c r="D160" i="132"/>
  <c r="D156" i="132"/>
  <c r="D152" i="132"/>
  <c r="D148" i="132"/>
  <c r="D144" i="132"/>
  <c r="D140" i="132"/>
  <c r="D136" i="132"/>
  <c r="D132" i="132"/>
  <c r="D128" i="132"/>
  <c r="D120" i="132"/>
  <c r="D116" i="132"/>
  <c r="D112" i="132"/>
  <c r="D108" i="132"/>
  <c r="D104" i="132"/>
  <c r="C126" i="151"/>
  <c r="C91" i="151"/>
  <c r="D89" i="132" s="1"/>
  <c r="C91" i="99"/>
  <c r="C249" i="151"/>
  <c r="H1985" i="170" s="1"/>
  <c r="C76" i="101"/>
  <c r="X244" i="9"/>
  <c r="C241" i="151"/>
  <c r="C68" i="101"/>
  <c r="X236" i="9"/>
  <c r="C233" i="151"/>
  <c r="C60" i="101"/>
  <c r="X228" i="9"/>
  <c r="C225" i="151"/>
  <c r="C52" i="101"/>
  <c r="X220" i="9"/>
  <c r="C217" i="151"/>
  <c r="C44" i="101"/>
  <c r="X212" i="9"/>
  <c r="C209" i="151"/>
  <c r="C36" i="101"/>
  <c r="X204" i="9"/>
  <c r="C201" i="151"/>
  <c r="C28" i="101"/>
  <c r="X196" i="9"/>
  <c r="C313" i="151"/>
  <c r="D311" i="132" s="1"/>
  <c r="C72" i="102"/>
  <c r="X308" i="9"/>
  <c r="C305" i="151"/>
  <c r="C64" i="102"/>
  <c r="X300" i="9"/>
  <c r="C297" i="151"/>
  <c r="C56" i="102"/>
  <c r="X292" i="9"/>
  <c r="C289" i="151"/>
  <c r="C48" i="102"/>
  <c r="X284" i="9"/>
  <c r="C281" i="151"/>
  <c r="C40" i="102"/>
  <c r="X276" i="9"/>
  <c r="C277" i="151"/>
  <c r="C36" i="102"/>
  <c r="X272" i="9"/>
  <c r="C269" i="151"/>
  <c r="C28" i="102"/>
  <c r="X264" i="9"/>
  <c r="C261" i="151"/>
  <c r="C20" i="102"/>
  <c r="X256" i="9"/>
  <c r="C250" i="151"/>
  <c r="B2002" i="170" s="1"/>
  <c r="C77" i="101"/>
  <c r="X245" i="9"/>
  <c r="C242" i="151"/>
  <c r="C69" i="101"/>
  <c r="X237" i="9"/>
  <c r="C234" i="151"/>
  <c r="C61" i="101"/>
  <c r="X229" i="9"/>
  <c r="C226" i="151"/>
  <c r="C53" i="101"/>
  <c r="X221" i="9"/>
  <c r="C218" i="151"/>
  <c r="C45" i="101"/>
  <c r="X213" i="9"/>
  <c r="C210" i="151"/>
  <c r="C37" i="101"/>
  <c r="X205" i="9"/>
  <c r="C206" i="151"/>
  <c r="C33" i="101"/>
  <c r="X201" i="9"/>
  <c r="C202" i="151"/>
  <c r="C29" i="101"/>
  <c r="X197" i="9"/>
  <c r="C194" i="151"/>
  <c r="C21" i="101"/>
  <c r="X189" i="9"/>
  <c r="C314" i="151"/>
  <c r="C73" i="102"/>
  <c r="X309" i="9"/>
  <c r="C310" i="151"/>
  <c r="C69" i="102"/>
  <c r="X305" i="9"/>
  <c r="C306" i="151"/>
  <c r="C65" i="102"/>
  <c r="X301" i="9"/>
  <c r="C302" i="151"/>
  <c r="C61" i="102"/>
  <c r="X297" i="9"/>
  <c r="C298" i="151"/>
  <c r="C57" i="102"/>
  <c r="X293" i="9"/>
  <c r="C294" i="151"/>
  <c r="C53" i="102"/>
  <c r="X289" i="9"/>
  <c r="C290" i="151"/>
  <c r="C49" i="102"/>
  <c r="X285" i="9"/>
  <c r="C286" i="151"/>
  <c r="C45" i="102"/>
  <c r="X281" i="9"/>
  <c r="C282" i="151"/>
  <c r="C41" i="102"/>
  <c r="X277" i="9"/>
  <c r="C278" i="151"/>
  <c r="C37" i="102"/>
  <c r="X273" i="9"/>
  <c r="C274" i="151"/>
  <c r="C33" i="102"/>
  <c r="X269" i="9"/>
  <c r="C270" i="151"/>
  <c r="C29" i="102"/>
  <c r="X265" i="9"/>
  <c r="C266" i="151"/>
  <c r="C25" i="102"/>
  <c r="X261" i="9"/>
  <c r="C262" i="151"/>
  <c r="C21" i="102"/>
  <c r="X257" i="9"/>
  <c r="C258" i="151"/>
  <c r="C17" i="102"/>
  <c r="X253" i="9"/>
  <c r="C93" i="151"/>
  <c r="H656" i="170" s="1"/>
  <c r="C93" i="99"/>
  <c r="C78" i="101"/>
  <c r="C251" i="151"/>
  <c r="H2002" i="170" s="1"/>
  <c r="X246" i="9"/>
  <c r="C74" i="101"/>
  <c r="C247" i="151"/>
  <c r="X242" i="9"/>
  <c r="C70" i="101"/>
  <c r="C243" i="151"/>
  <c r="X238" i="9"/>
  <c r="C66" i="101"/>
  <c r="C239" i="151"/>
  <c r="X234" i="9"/>
  <c r="C62" i="101"/>
  <c r="C235" i="151"/>
  <c r="X230" i="9"/>
  <c r="C58" i="101"/>
  <c r="C231" i="151"/>
  <c r="X226" i="9"/>
  <c r="C54" i="101"/>
  <c r="C227" i="151"/>
  <c r="X222" i="9"/>
  <c r="C50" i="101"/>
  <c r="C223" i="151"/>
  <c r="X218" i="9"/>
  <c r="C46" i="101"/>
  <c r="C219" i="151"/>
  <c r="X214" i="9"/>
  <c r="C42" i="101"/>
  <c r="C215" i="151"/>
  <c r="X210" i="9"/>
  <c r="C38" i="101"/>
  <c r="C211" i="151"/>
  <c r="X206" i="9"/>
  <c r="C34" i="101"/>
  <c r="C207" i="151"/>
  <c r="X202" i="9"/>
  <c r="C30" i="101"/>
  <c r="C203" i="151"/>
  <c r="X198" i="9"/>
  <c r="C26" i="101"/>
  <c r="C199" i="151"/>
  <c r="X194" i="9"/>
  <c r="C22" i="101"/>
  <c r="C195" i="151"/>
  <c r="X190" i="9"/>
  <c r="C70" i="102"/>
  <c r="C311" i="151"/>
  <c r="D309" i="132" s="1"/>
  <c r="X306" i="9"/>
  <c r="C66" i="102"/>
  <c r="C307" i="151"/>
  <c r="X302" i="9"/>
  <c r="C62" i="102"/>
  <c r="C303" i="151"/>
  <c r="X298" i="9"/>
  <c r="C58" i="102"/>
  <c r="C299" i="151"/>
  <c r="X294" i="9"/>
  <c r="C54" i="102"/>
  <c r="C295" i="151"/>
  <c r="X290" i="9"/>
  <c r="C50" i="102"/>
  <c r="C291" i="151"/>
  <c r="X286" i="9"/>
  <c r="C46" i="102"/>
  <c r="C287" i="151"/>
  <c r="X282" i="9"/>
  <c r="C42" i="102"/>
  <c r="C283" i="151"/>
  <c r="X278" i="9"/>
  <c r="C38" i="102"/>
  <c r="C279" i="151"/>
  <c r="X274" i="9"/>
  <c r="C34" i="102"/>
  <c r="C275" i="151"/>
  <c r="X270" i="9"/>
  <c r="C30" i="102"/>
  <c r="C271" i="151"/>
  <c r="X266" i="9"/>
  <c r="C26" i="102"/>
  <c r="C267" i="151"/>
  <c r="X262" i="9"/>
  <c r="C22" i="102"/>
  <c r="C263" i="151"/>
  <c r="X258" i="9"/>
  <c r="C18" i="102"/>
  <c r="C259" i="151"/>
  <c r="X254" i="9"/>
  <c r="C245" i="151"/>
  <c r="C72" i="101"/>
  <c r="X240" i="9"/>
  <c r="C237" i="151"/>
  <c r="C64" i="101"/>
  <c r="X232" i="9"/>
  <c r="C229" i="151"/>
  <c r="C56" i="101"/>
  <c r="X224" i="9"/>
  <c r="C221" i="151"/>
  <c r="C48" i="101"/>
  <c r="X216" i="9"/>
  <c r="C213" i="151"/>
  <c r="C40" i="101"/>
  <c r="X208" i="9"/>
  <c r="C205" i="151"/>
  <c r="C32" i="101"/>
  <c r="X200" i="9"/>
  <c r="C197" i="151"/>
  <c r="C24" i="101"/>
  <c r="X192" i="9"/>
  <c r="C193" i="151"/>
  <c r="C20" i="101"/>
  <c r="X188" i="9"/>
  <c r="C309" i="151"/>
  <c r="C68" i="102"/>
  <c r="X304" i="9"/>
  <c r="C301" i="151"/>
  <c r="C60" i="102"/>
  <c r="X296" i="9"/>
  <c r="C293" i="151"/>
  <c r="C52" i="102"/>
  <c r="X288" i="9"/>
  <c r="C285" i="151"/>
  <c r="C44" i="102"/>
  <c r="X280" i="9"/>
  <c r="C273" i="151"/>
  <c r="C32" i="102"/>
  <c r="X268" i="9"/>
  <c r="C265" i="151"/>
  <c r="C24" i="102"/>
  <c r="X260" i="9"/>
  <c r="C92" i="151"/>
  <c r="B656" i="170" s="1"/>
  <c r="C92" i="99"/>
  <c r="C246" i="151"/>
  <c r="C73" i="101"/>
  <c r="X241" i="9"/>
  <c r="C238" i="151"/>
  <c r="C65" i="101"/>
  <c r="X233" i="9"/>
  <c r="C230" i="151"/>
  <c r="C57" i="101"/>
  <c r="X225" i="9"/>
  <c r="C222" i="151"/>
  <c r="C49" i="101"/>
  <c r="X217" i="9"/>
  <c r="C214" i="151"/>
  <c r="C41" i="101"/>
  <c r="X209" i="9"/>
  <c r="C198" i="151"/>
  <c r="C25" i="101"/>
  <c r="X193" i="9"/>
  <c r="C94" i="151"/>
  <c r="D92" i="132" s="1"/>
  <c r="C94" i="99"/>
  <c r="C248" i="151"/>
  <c r="C75" i="101"/>
  <c r="X243" i="9"/>
  <c r="C244" i="151"/>
  <c r="C71" i="101"/>
  <c r="X239" i="9"/>
  <c r="C240" i="151"/>
  <c r="C67" i="101"/>
  <c r="X235" i="9"/>
  <c r="C236" i="151"/>
  <c r="C63" i="101"/>
  <c r="X231" i="9"/>
  <c r="C232" i="151"/>
  <c r="C59" i="101"/>
  <c r="X227" i="9"/>
  <c r="C228" i="151"/>
  <c r="C55" i="101"/>
  <c r="X223" i="9"/>
  <c r="C224" i="151"/>
  <c r="C51" i="101"/>
  <c r="X219" i="9"/>
  <c r="C220" i="151"/>
  <c r="C47" i="101"/>
  <c r="X215" i="9"/>
  <c r="C216" i="151"/>
  <c r="C43" i="101"/>
  <c r="X211" i="9"/>
  <c r="C212" i="151"/>
  <c r="C39" i="101"/>
  <c r="X207" i="9"/>
  <c r="C208" i="151"/>
  <c r="C35" i="101"/>
  <c r="X203" i="9"/>
  <c r="C204" i="151"/>
  <c r="C31" i="101"/>
  <c r="X199" i="9"/>
  <c r="C200" i="151"/>
  <c r="C27" i="101"/>
  <c r="X195" i="9"/>
  <c r="C196" i="151"/>
  <c r="C23" i="101"/>
  <c r="X191" i="9"/>
  <c r="C192" i="151"/>
  <c r="C19" i="101"/>
  <c r="X187" i="9"/>
  <c r="C71" i="102"/>
  <c r="C312" i="151"/>
  <c r="X307" i="9"/>
  <c r="C67" i="102"/>
  <c r="C308" i="151"/>
  <c r="X303" i="9"/>
  <c r="C63" i="102"/>
  <c r="C304" i="151"/>
  <c r="X299" i="9"/>
  <c r="C59" i="102"/>
  <c r="C300" i="151"/>
  <c r="X295" i="9"/>
  <c r="C55" i="102"/>
  <c r="C296" i="151"/>
  <c r="X291" i="9"/>
  <c r="C51" i="102"/>
  <c r="C292" i="151"/>
  <c r="X287" i="9"/>
  <c r="C47" i="102"/>
  <c r="C288" i="151"/>
  <c r="X283" i="9"/>
  <c r="C43" i="102"/>
  <c r="C284" i="151"/>
  <c r="X279" i="9"/>
  <c r="C39" i="102"/>
  <c r="C280" i="151"/>
  <c r="X275" i="9"/>
  <c r="C35" i="102"/>
  <c r="C276" i="151"/>
  <c r="X271" i="9"/>
  <c r="C31" i="102"/>
  <c r="C272" i="151"/>
  <c r="X267" i="9"/>
  <c r="C27" i="102"/>
  <c r="C268" i="151"/>
  <c r="X263" i="9"/>
  <c r="C23" i="102"/>
  <c r="C264" i="151"/>
  <c r="X259" i="9"/>
  <c r="C19" i="102"/>
  <c r="C260" i="151"/>
  <c r="X255" i="9"/>
  <c r="C90" i="100"/>
  <c r="E90" i="100" s="1"/>
  <c r="F90" i="100" s="1"/>
  <c r="C82" i="100"/>
  <c r="E82" i="100" s="1"/>
  <c r="F82" i="100" s="1"/>
  <c r="C74" i="100"/>
  <c r="E74" i="100" s="1"/>
  <c r="F74" i="100" s="1"/>
  <c r="C66" i="100"/>
  <c r="E66" i="100" s="1"/>
  <c r="F66" i="100" s="1"/>
  <c r="C58" i="100"/>
  <c r="E58" i="100" s="1"/>
  <c r="F58" i="100" s="1"/>
  <c r="C50" i="100"/>
  <c r="E50" i="100" s="1"/>
  <c r="F50" i="100" s="1"/>
  <c r="C42" i="100"/>
  <c r="E42" i="100" s="1"/>
  <c r="F42" i="100" s="1"/>
  <c r="C34" i="100"/>
  <c r="C26" i="100"/>
  <c r="E26" i="100" s="1"/>
  <c r="F26" i="100" s="1"/>
  <c r="C95" i="100"/>
  <c r="E95" i="100" s="1"/>
  <c r="F95" i="100" s="1"/>
  <c r="C87" i="100"/>
  <c r="E87" i="100" s="1"/>
  <c r="F87" i="100" s="1"/>
  <c r="C79" i="100"/>
  <c r="E79" i="100" s="1"/>
  <c r="F79" i="100" s="1"/>
  <c r="C71" i="100"/>
  <c r="E71" i="100" s="1"/>
  <c r="F71" i="100" s="1"/>
  <c r="C63" i="100"/>
  <c r="C55" i="100"/>
  <c r="E55" i="100" s="1"/>
  <c r="F55" i="100" s="1"/>
  <c r="C47" i="100"/>
  <c r="E47" i="100" s="1"/>
  <c r="F47" i="100" s="1"/>
  <c r="C39" i="100"/>
  <c r="E39" i="100" s="1"/>
  <c r="F39" i="100" s="1"/>
  <c r="C31" i="100"/>
  <c r="E31" i="100" s="1"/>
  <c r="F31" i="100" s="1"/>
  <c r="C27" i="100"/>
  <c r="E27" i="100" s="1"/>
  <c r="F27" i="100" s="1"/>
  <c r="C19" i="100"/>
  <c r="C92" i="100"/>
  <c r="E92" i="100" s="1"/>
  <c r="F92" i="100" s="1"/>
  <c r="C88" i="100"/>
  <c r="E88" i="100" s="1"/>
  <c r="F88" i="100" s="1"/>
  <c r="C84" i="100"/>
  <c r="E84" i="100" s="1"/>
  <c r="F84" i="100" s="1"/>
  <c r="C80" i="100"/>
  <c r="E80" i="100" s="1"/>
  <c r="F80" i="100" s="1"/>
  <c r="C76" i="100"/>
  <c r="E76" i="100" s="1"/>
  <c r="F76" i="100" s="1"/>
  <c r="C72" i="100"/>
  <c r="E72" i="100" s="1"/>
  <c r="F72" i="100" s="1"/>
  <c r="C68" i="100"/>
  <c r="E68" i="100" s="1"/>
  <c r="F68" i="100" s="1"/>
  <c r="C64" i="100"/>
  <c r="C60" i="100"/>
  <c r="E60" i="100" s="1"/>
  <c r="F60" i="100" s="1"/>
  <c r="C56" i="100"/>
  <c r="E56" i="100" s="1"/>
  <c r="F56" i="100" s="1"/>
  <c r="C52" i="100"/>
  <c r="E52" i="100" s="1"/>
  <c r="F52" i="100" s="1"/>
  <c r="C48" i="100"/>
  <c r="E48" i="100" s="1"/>
  <c r="F48" i="100" s="1"/>
  <c r="C44" i="100"/>
  <c r="E44" i="100" s="1"/>
  <c r="F44" i="100" s="1"/>
  <c r="C40" i="100"/>
  <c r="E40" i="100" s="1"/>
  <c r="F40" i="100" s="1"/>
  <c r="C36" i="100"/>
  <c r="E36" i="100" s="1"/>
  <c r="F36" i="100" s="1"/>
  <c r="C32" i="100"/>
  <c r="E32" i="100" s="1"/>
  <c r="F32" i="100" s="1"/>
  <c r="C28" i="100"/>
  <c r="E28" i="100" s="1"/>
  <c r="F28" i="100" s="1"/>
  <c r="C24" i="100"/>
  <c r="E24" i="100" s="1"/>
  <c r="F24" i="100" s="1"/>
  <c r="C20" i="100"/>
  <c r="E20" i="100" s="1"/>
  <c r="F20" i="100" s="1"/>
  <c r="C94" i="100"/>
  <c r="E94" i="100" s="1"/>
  <c r="F94" i="100" s="1"/>
  <c r="C86" i="100"/>
  <c r="E86" i="100" s="1"/>
  <c r="F86" i="100" s="1"/>
  <c r="C78" i="100"/>
  <c r="E78" i="100" s="1"/>
  <c r="F78" i="100" s="1"/>
  <c r="C70" i="100"/>
  <c r="E70" i="100" s="1"/>
  <c r="F70" i="100" s="1"/>
  <c r="C62" i="100"/>
  <c r="C54" i="100"/>
  <c r="E54" i="100" s="1"/>
  <c r="F54" i="100" s="1"/>
  <c r="C46" i="100"/>
  <c r="E46" i="100" s="1"/>
  <c r="F46" i="100" s="1"/>
  <c r="C38" i="100"/>
  <c r="E38" i="100" s="1"/>
  <c r="F38" i="100" s="1"/>
  <c r="C30" i="100"/>
  <c r="E30" i="100" s="1"/>
  <c r="F30" i="100" s="1"/>
  <c r="C22" i="100"/>
  <c r="C91" i="100"/>
  <c r="E91" i="100" s="1"/>
  <c r="F91" i="100" s="1"/>
  <c r="C83" i="100"/>
  <c r="C75" i="100"/>
  <c r="E75" i="100" s="1"/>
  <c r="F75" i="100" s="1"/>
  <c r="C67" i="100"/>
  <c r="E67" i="100" s="1"/>
  <c r="F67" i="100" s="1"/>
  <c r="C59" i="100"/>
  <c r="E59" i="100" s="1"/>
  <c r="F59" i="100" s="1"/>
  <c r="C51" i="100"/>
  <c r="E51" i="100" s="1"/>
  <c r="F51" i="100" s="1"/>
  <c r="C43" i="100"/>
  <c r="E43" i="100" s="1"/>
  <c r="F43" i="100" s="1"/>
  <c r="C35" i="100"/>
  <c r="C23" i="100"/>
  <c r="C93" i="100"/>
  <c r="E93" i="100" s="1"/>
  <c r="F93" i="100" s="1"/>
  <c r="C89" i="100"/>
  <c r="E89" i="100" s="1"/>
  <c r="F89" i="100" s="1"/>
  <c r="C85" i="100"/>
  <c r="E85" i="100" s="1"/>
  <c r="F85" i="100" s="1"/>
  <c r="C81" i="100"/>
  <c r="E81" i="100" s="1"/>
  <c r="F81" i="100" s="1"/>
  <c r="C77" i="100"/>
  <c r="E77" i="100" s="1"/>
  <c r="F77" i="100" s="1"/>
  <c r="C73" i="100"/>
  <c r="E73" i="100" s="1"/>
  <c r="F73" i="100" s="1"/>
  <c r="C69" i="100"/>
  <c r="E69" i="100" s="1"/>
  <c r="F69" i="100" s="1"/>
  <c r="C65" i="100"/>
  <c r="E65" i="100" s="1"/>
  <c r="F65" i="100" s="1"/>
  <c r="C61" i="100"/>
  <c r="E61" i="100" s="1"/>
  <c r="F61" i="100" s="1"/>
  <c r="C57" i="100"/>
  <c r="E57" i="100" s="1"/>
  <c r="F57" i="100" s="1"/>
  <c r="C53" i="100"/>
  <c r="E53" i="100" s="1"/>
  <c r="F53" i="100" s="1"/>
  <c r="C49" i="100"/>
  <c r="E49" i="100" s="1"/>
  <c r="F49" i="100" s="1"/>
  <c r="C45" i="100"/>
  <c r="E45" i="100" s="1"/>
  <c r="F45" i="100" s="1"/>
  <c r="C41" i="100"/>
  <c r="E41" i="100" s="1"/>
  <c r="F41" i="100" s="1"/>
  <c r="C37" i="100"/>
  <c r="E37" i="100" s="1"/>
  <c r="F37" i="100" s="1"/>
  <c r="C33" i="100"/>
  <c r="C29" i="100"/>
  <c r="E29" i="100" s="1"/>
  <c r="F29" i="100" s="1"/>
  <c r="C25" i="100"/>
  <c r="C21" i="100"/>
  <c r="AC89" i="9"/>
  <c r="AC87" i="9"/>
  <c r="AC88" i="9"/>
  <c r="G841" i="170"/>
  <c r="A858" i="170"/>
  <c r="AA168" i="9"/>
  <c r="Z168" i="9"/>
  <c r="V168" i="9"/>
  <c r="W168" i="9"/>
  <c r="AA160" i="9"/>
  <c r="Z160" i="9"/>
  <c r="V160" i="9"/>
  <c r="W160" i="9"/>
  <c r="AA152" i="9"/>
  <c r="Z152" i="9"/>
  <c r="V152" i="9"/>
  <c r="W152" i="9"/>
  <c r="AA144" i="9"/>
  <c r="Z144" i="9"/>
  <c r="V144" i="9"/>
  <c r="W144" i="9"/>
  <c r="AA136" i="9"/>
  <c r="Z136" i="9"/>
  <c r="V136" i="9"/>
  <c r="W136" i="9"/>
  <c r="AA128" i="9"/>
  <c r="Z128" i="9"/>
  <c r="V128" i="9"/>
  <c r="W128" i="9"/>
  <c r="AA120" i="9"/>
  <c r="Z120" i="9"/>
  <c r="V120" i="9"/>
  <c r="W120" i="9"/>
  <c r="AA112" i="9"/>
  <c r="Z112" i="9"/>
  <c r="V112" i="9"/>
  <c r="W112" i="9"/>
  <c r="AA104" i="9"/>
  <c r="Z104" i="9"/>
  <c r="V104" i="9"/>
  <c r="W104" i="9"/>
  <c r="V245" i="9"/>
  <c r="W245" i="9"/>
  <c r="V237" i="9"/>
  <c r="W237" i="9"/>
  <c r="V229" i="9"/>
  <c r="W229" i="9"/>
  <c r="V221" i="9"/>
  <c r="W221" i="9"/>
  <c r="V213" i="9"/>
  <c r="W213" i="9"/>
  <c r="V205" i="9"/>
  <c r="W205" i="9"/>
  <c r="V197" i="9"/>
  <c r="W197" i="9"/>
  <c r="V189" i="9"/>
  <c r="W189" i="9"/>
  <c r="V309" i="9"/>
  <c r="W309" i="9"/>
  <c r="V301" i="9"/>
  <c r="W301" i="9"/>
  <c r="V293" i="9"/>
  <c r="W293" i="9"/>
  <c r="V285" i="9"/>
  <c r="W285" i="9"/>
  <c r="V273" i="9"/>
  <c r="W273" i="9"/>
  <c r="V265" i="9"/>
  <c r="W265" i="9"/>
  <c r="AA89" i="9"/>
  <c r="V89" i="9"/>
  <c r="Z89" i="9"/>
  <c r="W89" i="9"/>
  <c r="Z173" i="9"/>
  <c r="V173" i="9"/>
  <c r="W173" i="9"/>
  <c r="AA173" i="9"/>
  <c r="Z165" i="9"/>
  <c r="V165" i="9"/>
  <c r="W165" i="9"/>
  <c r="AA165" i="9"/>
  <c r="Z153" i="9"/>
  <c r="V153" i="9"/>
  <c r="W153" i="9"/>
  <c r="AA153" i="9"/>
  <c r="Z145" i="9"/>
  <c r="V145" i="9"/>
  <c r="W145" i="9"/>
  <c r="AA145" i="9"/>
  <c r="Z137" i="9"/>
  <c r="V137" i="9"/>
  <c r="W137" i="9"/>
  <c r="AA137" i="9"/>
  <c r="Z129" i="9"/>
  <c r="V129" i="9"/>
  <c r="W129" i="9"/>
  <c r="AA129" i="9"/>
  <c r="Z121" i="9"/>
  <c r="V121" i="9"/>
  <c r="W121" i="9"/>
  <c r="AA121" i="9"/>
  <c r="Z113" i="9"/>
  <c r="V113" i="9"/>
  <c r="W113" i="9"/>
  <c r="AA113" i="9"/>
  <c r="Z105" i="9"/>
  <c r="V105" i="9"/>
  <c r="W105" i="9"/>
  <c r="AA105" i="9"/>
  <c r="V246" i="9"/>
  <c r="W246" i="9"/>
  <c r="V238" i="9"/>
  <c r="W238" i="9"/>
  <c r="V230" i="9"/>
  <c r="W230" i="9"/>
  <c r="V222" i="9"/>
  <c r="W222" i="9"/>
  <c r="V218" i="9"/>
  <c r="W218" i="9"/>
  <c r="V210" i="9"/>
  <c r="W210" i="9"/>
  <c r="V202" i="9"/>
  <c r="W202" i="9"/>
  <c r="V194" i="9"/>
  <c r="W194" i="9"/>
  <c r="V306" i="9"/>
  <c r="W306" i="9"/>
  <c r="V298" i="9"/>
  <c r="W298" i="9"/>
  <c r="V294" i="9"/>
  <c r="W294" i="9"/>
  <c r="V290" i="9"/>
  <c r="W290" i="9"/>
  <c r="V286" i="9"/>
  <c r="W286" i="9"/>
  <c r="V282" i="9"/>
  <c r="W282" i="9"/>
  <c r="V278" i="9"/>
  <c r="W278" i="9"/>
  <c r="V274" i="9"/>
  <c r="W274" i="9"/>
  <c r="V270" i="9"/>
  <c r="W270" i="9"/>
  <c r="V266" i="9"/>
  <c r="W266" i="9"/>
  <c r="V262" i="9"/>
  <c r="W262" i="9"/>
  <c r="V258" i="9"/>
  <c r="W258" i="9"/>
  <c r="V254" i="9"/>
  <c r="W254" i="9"/>
  <c r="Z86" i="9"/>
  <c r="AA86" i="9"/>
  <c r="W86" i="9"/>
  <c r="V86" i="9"/>
  <c r="AA174" i="9"/>
  <c r="Z174" i="9"/>
  <c r="V174" i="9"/>
  <c r="W174" i="9"/>
  <c r="AA170" i="9"/>
  <c r="Z170" i="9"/>
  <c r="V170" i="9"/>
  <c r="W170" i="9"/>
  <c r="AA166" i="9"/>
  <c r="Z166" i="9"/>
  <c r="V166" i="9"/>
  <c r="W166" i="9"/>
  <c r="AA162" i="9"/>
  <c r="Z162" i="9"/>
  <c r="V162" i="9"/>
  <c r="W162" i="9"/>
  <c r="AA158" i="9"/>
  <c r="Z158" i="9"/>
  <c r="V158" i="9"/>
  <c r="W158" i="9"/>
  <c r="AA154" i="9"/>
  <c r="Z154" i="9"/>
  <c r="V154" i="9"/>
  <c r="W154" i="9"/>
  <c r="AA150" i="9"/>
  <c r="Z150" i="9"/>
  <c r="V150" i="9"/>
  <c r="W150" i="9"/>
  <c r="AA146" i="9"/>
  <c r="Z146" i="9"/>
  <c r="V146" i="9"/>
  <c r="W146" i="9"/>
  <c r="AA142" i="9"/>
  <c r="Z142" i="9"/>
  <c r="V142" i="9"/>
  <c r="W142" i="9"/>
  <c r="AA138" i="9"/>
  <c r="Z138" i="9"/>
  <c r="V138" i="9"/>
  <c r="W138" i="9"/>
  <c r="AA134" i="9"/>
  <c r="Z134" i="9"/>
  <c r="V134" i="9"/>
  <c r="W134" i="9"/>
  <c r="AA130" i="9"/>
  <c r="Z130" i="9"/>
  <c r="V130" i="9"/>
  <c r="W130" i="9"/>
  <c r="AA126" i="9"/>
  <c r="Z126" i="9"/>
  <c r="V126" i="9"/>
  <c r="W126" i="9"/>
  <c r="AA122" i="9"/>
  <c r="Z122" i="9"/>
  <c r="V122" i="9"/>
  <c r="W122" i="9"/>
  <c r="AA118" i="9"/>
  <c r="Z118" i="9"/>
  <c r="V118" i="9"/>
  <c r="W118" i="9"/>
  <c r="AA114" i="9"/>
  <c r="Z114" i="9"/>
  <c r="V114" i="9"/>
  <c r="W114" i="9"/>
  <c r="AA110" i="9"/>
  <c r="Z110" i="9"/>
  <c r="V110" i="9"/>
  <c r="W110" i="9"/>
  <c r="AA106" i="9"/>
  <c r="Z106" i="9"/>
  <c r="V106" i="9"/>
  <c r="W106" i="9"/>
  <c r="AA102" i="9"/>
  <c r="Z102" i="9"/>
  <c r="V102" i="9"/>
  <c r="W102" i="9"/>
  <c r="AA98" i="9"/>
  <c r="Z98" i="9"/>
  <c r="V98" i="9"/>
  <c r="W98" i="9"/>
  <c r="V243" i="9"/>
  <c r="W243" i="9"/>
  <c r="V239" i="9"/>
  <c r="W239" i="9"/>
  <c r="V235" i="9"/>
  <c r="W235" i="9"/>
  <c r="V231" i="9"/>
  <c r="W231" i="9"/>
  <c r="V227" i="9"/>
  <c r="W227" i="9"/>
  <c r="V223" i="9"/>
  <c r="W223" i="9"/>
  <c r="V219" i="9"/>
  <c r="W219" i="9"/>
  <c r="V215" i="9"/>
  <c r="W215" i="9"/>
  <c r="V211" i="9"/>
  <c r="W211" i="9"/>
  <c r="V207" i="9"/>
  <c r="W207" i="9"/>
  <c r="V203" i="9"/>
  <c r="W203" i="9"/>
  <c r="V199" i="9"/>
  <c r="W199" i="9"/>
  <c r="V195" i="9"/>
  <c r="W195" i="9"/>
  <c r="V191" i="9"/>
  <c r="W191" i="9"/>
  <c r="V187" i="9"/>
  <c r="W187" i="9"/>
  <c r="V307" i="9"/>
  <c r="W307" i="9"/>
  <c r="V303" i="9"/>
  <c r="W303" i="9"/>
  <c r="V299" i="9"/>
  <c r="W299" i="9"/>
  <c r="V295" i="9"/>
  <c r="W295" i="9"/>
  <c r="V291" i="9"/>
  <c r="W291" i="9"/>
  <c r="V287" i="9"/>
  <c r="W287" i="9"/>
  <c r="V283" i="9"/>
  <c r="W283" i="9"/>
  <c r="V279" i="9"/>
  <c r="W279" i="9"/>
  <c r="V275" i="9"/>
  <c r="W275" i="9"/>
  <c r="V271" i="9"/>
  <c r="W271" i="9"/>
  <c r="V267" i="9"/>
  <c r="W267" i="9"/>
  <c r="V263" i="9"/>
  <c r="W263" i="9"/>
  <c r="V259" i="9"/>
  <c r="W259" i="9"/>
  <c r="V255" i="9"/>
  <c r="W255" i="9"/>
  <c r="Z88" i="9"/>
  <c r="AA88" i="9"/>
  <c r="W88" i="9"/>
  <c r="V88" i="9"/>
  <c r="AA172" i="9"/>
  <c r="Z172" i="9"/>
  <c r="V172" i="9"/>
  <c r="W172" i="9"/>
  <c r="AA164" i="9"/>
  <c r="Z164" i="9"/>
  <c r="V164" i="9"/>
  <c r="W164" i="9"/>
  <c r="AA156" i="9"/>
  <c r="Z156" i="9"/>
  <c r="V156" i="9"/>
  <c r="W156" i="9"/>
  <c r="AA148" i="9"/>
  <c r="Z148" i="9"/>
  <c r="V148" i="9"/>
  <c r="W148" i="9"/>
  <c r="AA140" i="9"/>
  <c r="Z140" i="9"/>
  <c r="V140" i="9"/>
  <c r="W140" i="9"/>
  <c r="AA132" i="9"/>
  <c r="Z132" i="9"/>
  <c r="V132" i="9"/>
  <c r="W132" i="9"/>
  <c r="AA124" i="9"/>
  <c r="Z124" i="9"/>
  <c r="V124" i="9"/>
  <c r="W124" i="9"/>
  <c r="AA116" i="9"/>
  <c r="Z116" i="9"/>
  <c r="V116" i="9"/>
  <c r="W116" i="9"/>
  <c r="AA108" i="9"/>
  <c r="Z108" i="9"/>
  <c r="V108" i="9"/>
  <c r="W108" i="9"/>
  <c r="AA100" i="9"/>
  <c r="Z100" i="9"/>
  <c r="V100" i="9"/>
  <c r="W100" i="9"/>
  <c r="V241" i="9"/>
  <c r="W241" i="9"/>
  <c r="V233" i="9"/>
  <c r="W233" i="9"/>
  <c r="V225" i="9"/>
  <c r="W225" i="9"/>
  <c r="V217" i="9"/>
  <c r="W217" i="9"/>
  <c r="V209" i="9"/>
  <c r="W209" i="9"/>
  <c r="V201" i="9"/>
  <c r="W201" i="9"/>
  <c r="V193" i="9"/>
  <c r="W193" i="9"/>
  <c r="V305" i="9"/>
  <c r="W305" i="9"/>
  <c r="V297" i="9"/>
  <c r="W297" i="9"/>
  <c r="V289" i="9"/>
  <c r="W289" i="9"/>
  <c r="V281" i="9"/>
  <c r="W281" i="9"/>
  <c r="V277" i="9"/>
  <c r="W277" i="9"/>
  <c r="V269" i="9"/>
  <c r="W269" i="9"/>
  <c r="V261" i="9"/>
  <c r="W261" i="9"/>
  <c r="V257" i="9"/>
  <c r="W257" i="9"/>
  <c r="V253" i="9"/>
  <c r="W253" i="9"/>
  <c r="Z169" i="9"/>
  <c r="V169" i="9"/>
  <c r="W169" i="9"/>
  <c r="AA169" i="9"/>
  <c r="Z161" i="9"/>
  <c r="V161" i="9"/>
  <c r="W161" i="9"/>
  <c r="AA161" i="9"/>
  <c r="Z157" i="9"/>
  <c r="V157" i="9"/>
  <c r="W157" i="9"/>
  <c r="AA157" i="9"/>
  <c r="Z149" i="9"/>
  <c r="V149" i="9"/>
  <c r="W149" i="9"/>
  <c r="AA149" i="9"/>
  <c r="Z141" i="9"/>
  <c r="V141" i="9"/>
  <c r="W141" i="9"/>
  <c r="AA141" i="9"/>
  <c r="Z133" i="9"/>
  <c r="V133" i="9"/>
  <c r="W133" i="9"/>
  <c r="AA133" i="9"/>
  <c r="Z125" i="9"/>
  <c r="V125" i="9"/>
  <c r="W125" i="9"/>
  <c r="AA125" i="9"/>
  <c r="Z117" i="9"/>
  <c r="V117" i="9"/>
  <c r="W117" i="9"/>
  <c r="AA117" i="9"/>
  <c r="Z109" i="9"/>
  <c r="V109" i="9"/>
  <c r="W109" i="9"/>
  <c r="AA109" i="9"/>
  <c r="Z101" i="9"/>
  <c r="V101" i="9"/>
  <c r="W101" i="9"/>
  <c r="AA101" i="9"/>
  <c r="V242" i="9"/>
  <c r="W242" i="9"/>
  <c r="V234" i="9"/>
  <c r="W234" i="9"/>
  <c r="V226" i="9"/>
  <c r="W226" i="9"/>
  <c r="V214" i="9"/>
  <c r="W214" i="9"/>
  <c r="V206" i="9"/>
  <c r="W206" i="9"/>
  <c r="V198" i="9"/>
  <c r="W198" i="9"/>
  <c r="V190" i="9"/>
  <c r="W190" i="9"/>
  <c r="V302" i="9"/>
  <c r="W302" i="9"/>
  <c r="AA87" i="9"/>
  <c r="V87" i="9"/>
  <c r="W87" i="9"/>
  <c r="Z87" i="9"/>
  <c r="Z171" i="9"/>
  <c r="V171" i="9"/>
  <c r="AA171" i="9"/>
  <c r="W171" i="9"/>
  <c r="Z167" i="9"/>
  <c r="V167" i="9"/>
  <c r="AA167" i="9"/>
  <c r="W167" i="9"/>
  <c r="Z163" i="9"/>
  <c r="V163" i="9"/>
  <c r="AA163" i="9"/>
  <c r="W163" i="9"/>
  <c r="Z159" i="9"/>
  <c r="V159" i="9"/>
  <c r="AA159" i="9"/>
  <c r="W159" i="9"/>
  <c r="Z155" i="9"/>
  <c r="V155" i="9"/>
  <c r="AA155" i="9"/>
  <c r="W155" i="9"/>
  <c r="Z151" i="9"/>
  <c r="V151" i="9"/>
  <c r="AA151" i="9"/>
  <c r="W151" i="9"/>
  <c r="Z147" i="9"/>
  <c r="V147" i="9"/>
  <c r="AA147" i="9"/>
  <c r="W147" i="9"/>
  <c r="Z143" i="9"/>
  <c r="V143" i="9"/>
  <c r="AA143" i="9"/>
  <c r="W143" i="9"/>
  <c r="Z139" i="9"/>
  <c r="V139" i="9"/>
  <c r="AA139" i="9"/>
  <c r="W139" i="9"/>
  <c r="Z135" i="9"/>
  <c r="V135" i="9"/>
  <c r="AA135" i="9"/>
  <c r="W135" i="9"/>
  <c r="Z131" i="9"/>
  <c r="V131" i="9"/>
  <c r="AA131" i="9"/>
  <c r="W131" i="9"/>
  <c r="Z127" i="9"/>
  <c r="V127" i="9"/>
  <c r="AA127" i="9"/>
  <c r="W127" i="9"/>
  <c r="Z123" i="9"/>
  <c r="V123" i="9"/>
  <c r="AA123" i="9"/>
  <c r="W123" i="9"/>
  <c r="Z119" i="9"/>
  <c r="V119" i="9"/>
  <c r="AA119" i="9"/>
  <c r="W119" i="9"/>
  <c r="Z115" i="9"/>
  <c r="V115" i="9"/>
  <c r="AA115" i="9"/>
  <c r="W115" i="9"/>
  <c r="Z111" i="9"/>
  <c r="V111" i="9"/>
  <c r="AA111" i="9"/>
  <c r="W111" i="9"/>
  <c r="Z107" i="9"/>
  <c r="V107" i="9"/>
  <c r="AA107" i="9"/>
  <c r="W107" i="9"/>
  <c r="Z103" i="9"/>
  <c r="V103" i="9"/>
  <c r="AA103" i="9"/>
  <c r="W103" i="9"/>
  <c r="Z99" i="9"/>
  <c r="V99" i="9"/>
  <c r="AA99" i="9"/>
  <c r="W99" i="9"/>
  <c r="V244" i="9"/>
  <c r="W244" i="9"/>
  <c r="V240" i="9"/>
  <c r="W240" i="9"/>
  <c r="V236" i="9"/>
  <c r="W236" i="9"/>
  <c r="V232" i="9"/>
  <c r="W232" i="9"/>
  <c r="V228" i="9"/>
  <c r="W228" i="9"/>
  <c r="V224" i="9"/>
  <c r="W224" i="9"/>
  <c r="V220" i="9"/>
  <c r="W220" i="9"/>
  <c r="V216" i="9"/>
  <c r="W216" i="9"/>
  <c r="V212" i="9"/>
  <c r="W212" i="9"/>
  <c r="V208" i="9"/>
  <c r="W208" i="9"/>
  <c r="V204" i="9"/>
  <c r="W204" i="9"/>
  <c r="V200" i="9"/>
  <c r="W200" i="9"/>
  <c r="V196" i="9"/>
  <c r="W196" i="9"/>
  <c r="V192" i="9"/>
  <c r="W192" i="9"/>
  <c r="V188" i="9"/>
  <c r="W188" i="9"/>
  <c r="V308" i="9"/>
  <c r="W308" i="9"/>
  <c r="V304" i="9"/>
  <c r="W304" i="9"/>
  <c r="V300" i="9"/>
  <c r="W300" i="9"/>
  <c r="V296" i="9"/>
  <c r="W296" i="9"/>
  <c r="V292" i="9"/>
  <c r="W292" i="9"/>
  <c r="V288" i="9"/>
  <c r="W288" i="9"/>
  <c r="V284" i="9"/>
  <c r="W284" i="9"/>
  <c r="V280" i="9"/>
  <c r="W280" i="9"/>
  <c r="V276" i="9"/>
  <c r="W276" i="9"/>
  <c r="V272" i="9"/>
  <c r="W272" i="9"/>
  <c r="V268" i="9"/>
  <c r="W268" i="9"/>
  <c r="V264" i="9"/>
  <c r="W264" i="9"/>
  <c r="V260" i="9"/>
  <c r="W260" i="9"/>
  <c r="V256" i="9"/>
  <c r="W256" i="9"/>
  <c r="D262" i="132" l="1"/>
  <c r="B1509" i="170"/>
  <c r="B1645" i="170"/>
  <c r="B1781" i="170"/>
  <c r="B1917" i="170"/>
  <c r="B1832" i="170"/>
  <c r="H1543" i="170"/>
  <c r="H1815" i="170"/>
  <c r="H1594" i="170"/>
  <c r="H1730" i="170"/>
  <c r="H1866" i="170"/>
  <c r="D264" i="132"/>
  <c r="D280" i="132"/>
  <c r="D296" i="132"/>
  <c r="B1662" i="170"/>
  <c r="B1934" i="170"/>
  <c r="H1713" i="170"/>
  <c r="D258" i="132"/>
  <c r="D274" i="132"/>
  <c r="D290" i="132"/>
  <c r="D306" i="132"/>
  <c r="B1611" i="170"/>
  <c r="B1883" i="170"/>
  <c r="H1509" i="170"/>
  <c r="H1747" i="170"/>
  <c r="D269" i="132"/>
  <c r="D285" i="132"/>
  <c r="D301" i="132"/>
  <c r="H1696" i="170"/>
  <c r="H1968" i="170"/>
  <c r="D260" i="132"/>
  <c r="D276" i="132"/>
  <c r="D292" i="132"/>
  <c r="D295" i="132"/>
  <c r="H1645" i="170"/>
  <c r="H1917" i="170"/>
  <c r="D286" i="132"/>
  <c r="D302" i="132"/>
  <c r="B1577" i="170"/>
  <c r="B1849" i="170"/>
  <c r="B1696" i="170"/>
  <c r="B1968" i="170"/>
  <c r="D271" i="132"/>
  <c r="D265" i="132"/>
  <c r="D281" i="132"/>
  <c r="D297" i="132"/>
  <c r="H1662" i="170"/>
  <c r="H1934" i="170"/>
  <c r="D259" i="132"/>
  <c r="D287" i="132"/>
  <c r="D298" i="132"/>
  <c r="B1543" i="170"/>
  <c r="B1679" i="170"/>
  <c r="B1815" i="170"/>
  <c r="B1951" i="170"/>
  <c r="B1560" i="170"/>
  <c r="B1900" i="170"/>
  <c r="D263" i="132"/>
  <c r="D299" i="132"/>
  <c r="H1611" i="170"/>
  <c r="H1883" i="170"/>
  <c r="D277" i="132"/>
  <c r="H1628" i="170"/>
  <c r="H1764" i="170"/>
  <c r="H1900" i="170"/>
  <c r="D284" i="132"/>
  <c r="D300" i="132"/>
  <c r="B1526" i="170"/>
  <c r="B1730" i="170"/>
  <c r="H1781" i="170"/>
  <c r="D90" i="132"/>
  <c r="B2262" i="170"/>
  <c r="B673" i="170"/>
  <c r="D124" i="132"/>
  <c r="B2150" i="170"/>
  <c r="D266" i="132"/>
  <c r="B2278" i="170"/>
  <c r="D282" i="132"/>
  <c r="H2102" i="170"/>
  <c r="D261" i="132"/>
  <c r="B2166" i="170"/>
  <c r="D268" i="132"/>
  <c r="B2182" i="170"/>
  <c r="D270" i="132"/>
  <c r="B2198" i="170"/>
  <c r="D272" i="132"/>
  <c r="B2454" i="170"/>
  <c r="D304" i="132"/>
  <c r="H2278" i="170"/>
  <c r="D283" i="132"/>
  <c r="B2486" i="170"/>
  <c r="D308" i="132"/>
  <c r="H2150" i="170"/>
  <c r="D267" i="132"/>
  <c r="H2358" i="170"/>
  <c r="D293" i="132"/>
  <c r="H2246" i="170"/>
  <c r="D279" i="132"/>
  <c r="H2470" i="170"/>
  <c r="D307" i="132"/>
  <c r="B2070" i="170"/>
  <c r="D256" i="132"/>
  <c r="B2326" i="170"/>
  <c r="D288" i="132"/>
  <c r="B2246" i="170"/>
  <c r="D278" i="132"/>
  <c r="B2374" i="170"/>
  <c r="D294" i="132"/>
  <c r="B2502" i="170"/>
  <c r="D310" i="132"/>
  <c r="H2342" i="170"/>
  <c r="D291" i="132"/>
  <c r="H2070" i="170"/>
  <c r="D257" i="132"/>
  <c r="H2198" i="170"/>
  <c r="D273" i="132"/>
  <c r="H2326" i="170"/>
  <c r="D289" i="132"/>
  <c r="H2454" i="170"/>
  <c r="D305" i="132"/>
  <c r="D312" i="132"/>
  <c r="H2214" i="170"/>
  <c r="D275" i="132"/>
  <c r="H2438" i="170"/>
  <c r="D303" i="132"/>
  <c r="B2294" i="170"/>
  <c r="H2406" i="170"/>
  <c r="B2406" i="170"/>
  <c r="H2230" i="170"/>
  <c r="H2486" i="170"/>
  <c r="H2118" i="170"/>
  <c r="H2502" i="170"/>
  <c r="B2422" i="170"/>
  <c r="D91" i="132"/>
  <c r="B2390" i="170"/>
  <c r="B2134" i="170"/>
  <c r="B2118" i="170"/>
  <c r="B2518" i="170"/>
  <c r="H639" i="170"/>
  <c r="D198" i="132"/>
  <c r="D214" i="132"/>
  <c r="D230" i="132"/>
  <c r="D246" i="132"/>
  <c r="D212" i="132"/>
  <c r="D244" i="132"/>
  <c r="D211" i="132"/>
  <c r="D243" i="132"/>
  <c r="D193" i="132"/>
  <c r="D209" i="132"/>
  <c r="D225" i="132"/>
  <c r="D241" i="132"/>
  <c r="D200" i="132"/>
  <c r="D224" i="132"/>
  <c r="D199" i="132"/>
  <c r="D231" i="132"/>
  <c r="B2214" i="170"/>
  <c r="D202" i="132"/>
  <c r="D218" i="132"/>
  <c r="D234" i="132"/>
  <c r="D220" i="132"/>
  <c r="D191" i="132"/>
  <c r="D219" i="132"/>
  <c r="D197" i="132"/>
  <c r="D213" i="132"/>
  <c r="D229" i="132"/>
  <c r="D245" i="132"/>
  <c r="D204" i="132"/>
  <c r="D232" i="132"/>
  <c r="D207" i="132"/>
  <c r="D239" i="132"/>
  <c r="D190" i="132"/>
  <c r="D206" i="132"/>
  <c r="D222" i="132"/>
  <c r="D238" i="132"/>
  <c r="D228" i="132"/>
  <c r="D195" i="132"/>
  <c r="D227" i="132"/>
  <c r="D201" i="132"/>
  <c r="D217" i="132"/>
  <c r="D233" i="132"/>
  <c r="D249" i="132"/>
  <c r="D208" i="132"/>
  <c r="D240" i="132"/>
  <c r="D215" i="132"/>
  <c r="D247" i="132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D194" i="132"/>
  <c r="D210" i="132"/>
  <c r="D226" i="132"/>
  <c r="D242" i="132"/>
  <c r="D196" i="132"/>
  <c r="D236" i="132"/>
  <c r="D203" i="132"/>
  <c r="D235" i="132"/>
  <c r="D205" i="132"/>
  <c r="D221" i="132"/>
  <c r="D237" i="132"/>
  <c r="D192" i="132"/>
  <c r="D216" i="132"/>
  <c r="D248" i="132"/>
  <c r="D223" i="132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H95" i="10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E73" i="102"/>
  <c r="F73" i="102" s="1"/>
  <c r="E72" i="102"/>
  <c r="F72" i="102" s="1"/>
  <c r="H78" i="101"/>
  <c r="E78" i="101"/>
  <c r="F78" i="101" s="1"/>
  <c r="A892" i="170" l="1"/>
  <c r="G875" i="170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E176" i="8"/>
  <c r="A909" i="170" l="1"/>
  <c r="G892" i="170"/>
  <c r="J11" i="154"/>
  <c r="L382" i="132"/>
  <c r="H382" i="132"/>
  <c r="G382" i="132"/>
  <c r="D336" i="132"/>
  <c r="D337" i="132"/>
  <c r="D338" i="132"/>
  <c r="D339" i="132"/>
  <c r="D340" i="132"/>
  <c r="D335" i="132"/>
  <c r="D330" i="132"/>
  <c r="D331" i="132"/>
  <c r="D332" i="132"/>
  <c r="D333" i="132"/>
  <c r="D334" i="132"/>
  <c r="D329" i="132"/>
  <c r="E15" i="136"/>
  <c r="E16" i="136"/>
  <c r="E17" i="136"/>
  <c r="E14" i="136"/>
  <c r="B21" i="136"/>
  <c r="D19" i="167" s="1"/>
  <c r="B19" i="136"/>
  <c r="D18" i="167" s="1"/>
  <c r="B15" i="136"/>
  <c r="D15" i="167" s="1"/>
  <c r="B16" i="136"/>
  <c r="D16" i="167" s="1"/>
  <c r="B17" i="136"/>
  <c r="D17" i="167" s="1"/>
  <c r="B14" i="136"/>
  <c r="D14" i="167" s="1"/>
  <c r="H10" i="152"/>
  <c r="E19" i="152"/>
  <c r="E20" i="152"/>
  <c r="E18" i="152"/>
  <c r="B14" i="135"/>
  <c r="B15" i="135"/>
  <c r="B16" i="135"/>
  <c r="D342" i="132"/>
  <c r="AI21" i="161"/>
  <c r="D16" i="135" s="1"/>
  <c r="E11" i="102"/>
  <c r="E13" i="101"/>
  <c r="E13" i="100"/>
  <c r="W101" i="100" l="1"/>
  <c r="W102" i="100"/>
  <c r="X102" i="100" s="1"/>
  <c r="W103" i="100"/>
  <c r="L101" i="100"/>
  <c r="W79" i="101"/>
  <c r="W81" i="101"/>
  <c r="X81" i="101" s="1"/>
  <c r="L79" i="101"/>
  <c r="W82" i="102"/>
  <c r="L82" i="102"/>
  <c r="F16" i="135"/>
  <c r="H345" i="132" s="1"/>
  <c r="E16" i="135"/>
  <c r="F345" i="132" s="1"/>
  <c r="X103" i="100"/>
  <c r="X105" i="100" s="1"/>
  <c r="N23" i="152"/>
  <c r="O23" i="152" s="1"/>
  <c r="N31" i="152"/>
  <c r="O31" i="152" s="1"/>
  <c r="I337" i="132" s="1"/>
  <c r="K337" i="132" s="1"/>
  <c r="M337" i="132" s="1"/>
  <c r="N28" i="152"/>
  <c r="O28" i="152" s="1"/>
  <c r="I334" i="132" s="1"/>
  <c r="K334" i="132" s="1"/>
  <c r="M334" i="132" s="1"/>
  <c r="N29" i="152"/>
  <c r="O29" i="152" s="1"/>
  <c r="I335" i="132" s="1"/>
  <c r="K335" i="132" s="1"/>
  <c r="M335" i="132" s="1"/>
  <c r="N30" i="152"/>
  <c r="O30" i="152" s="1"/>
  <c r="I336" i="132" s="1"/>
  <c r="K336" i="132" s="1"/>
  <c r="M336" i="132" s="1"/>
  <c r="N34" i="152"/>
  <c r="O34" i="152" s="1"/>
  <c r="I340" i="132" s="1"/>
  <c r="K340" i="132" s="1"/>
  <c r="M340" i="132" s="1"/>
  <c r="N33" i="152"/>
  <c r="O33" i="152" s="1"/>
  <c r="I339" i="132" s="1"/>
  <c r="K339" i="132" s="1"/>
  <c r="M339" i="132" s="1"/>
  <c r="N32" i="152"/>
  <c r="O32" i="152" s="1"/>
  <c r="I338" i="132" s="1"/>
  <c r="K338" i="132" s="1"/>
  <c r="M338" i="132" s="1"/>
  <c r="F16" i="154"/>
  <c r="F34" i="154"/>
  <c r="G909" i="170"/>
  <c r="A926" i="170"/>
  <c r="F35" i="154"/>
  <c r="F20" i="154"/>
  <c r="G20" i="154" s="1"/>
  <c r="D348" i="132"/>
  <c r="D328" i="132"/>
  <c r="D13" i="167"/>
  <c r="D350" i="132"/>
  <c r="D352" i="132"/>
  <c r="D326" i="132"/>
  <c r="D11" i="167"/>
  <c r="D347" i="132"/>
  <c r="D351" i="132"/>
  <c r="D327" i="132"/>
  <c r="D12" i="167"/>
  <c r="D349" i="132"/>
  <c r="F27" i="154"/>
  <c r="F24" i="154"/>
  <c r="F26" i="154"/>
  <c r="F23" i="154"/>
  <c r="J351" i="132" l="1"/>
  <c r="I345" i="132"/>
  <c r="K345" i="132" s="1"/>
  <c r="M345" i="132" s="1"/>
  <c r="X101" i="100"/>
  <c r="P23" i="152"/>
  <c r="I329" i="132"/>
  <c r="X79" i="101"/>
  <c r="X82" i="102"/>
  <c r="A943" i="170"/>
  <c r="G926" i="170"/>
  <c r="K329" i="132" l="1"/>
  <c r="A960" i="170"/>
  <c r="G943" i="170"/>
  <c r="E12" i="99"/>
  <c r="AC92" i="9"/>
  <c r="AI20" i="162"/>
  <c r="AI18" i="162"/>
  <c r="AI16" i="162"/>
  <c r="D17" i="136" s="1"/>
  <c r="AI15" i="162"/>
  <c r="D16" i="136" s="1"/>
  <c r="AI14" i="162"/>
  <c r="D15" i="136" s="1"/>
  <c r="AI13" i="162"/>
  <c r="D14" i="136" s="1"/>
  <c r="AK20" i="161"/>
  <c r="AI20" i="161"/>
  <c r="D15" i="135" s="1"/>
  <c r="AK19" i="161"/>
  <c r="AI19" i="161"/>
  <c r="AI18" i="161"/>
  <c r="AI17" i="161" s="1"/>
  <c r="AI16" i="161"/>
  <c r="G20" i="152" s="1"/>
  <c r="AI15" i="161"/>
  <c r="G19" i="152" s="1"/>
  <c r="AI14" i="161"/>
  <c r="AI12" i="161" s="1"/>
  <c r="D15" i="160"/>
  <c r="D18" i="79" s="1"/>
  <c r="H14" i="160"/>
  <c r="I14" i="160" s="1"/>
  <c r="W6" i="160"/>
  <c r="X6" i="160" s="1"/>
  <c r="Y6" i="160" s="1"/>
  <c r="F21" i="159"/>
  <c r="D14" i="79" s="1"/>
  <c r="E21" i="159"/>
  <c r="E14" i="158"/>
  <c r="E13" i="158"/>
  <c r="X5" i="158"/>
  <c r="Y5" i="158" s="1"/>
  <c r="Z5" i="158" s="1"/>
  <c r="M12" i="157"/>
  <c r="F15" i="135" l="1"/>
  <c r="H344" i="132" s="1"/>
  <c r="E15" i="135"/>
  <c r="F344" i="132" s="1"/>
  <c r="M329" i="132"/>
  <c r="AK33" i="163"/>
  <c r="AB15" i="99"/>
  <c r="AC15" i="99" s="1"/>
  <c r="G960" i="170"/>
  <c r="A977" i="170"/>
  <c r="AK10" i="161"/>
  <c r="T12" i="152" s="1"/>
  <c r="L17" i="152" s="1"/>
  <c r="P17" i="152" s="1"/>
  <c r="Q17" i="152" s="1"/>
  <c r="AI19" i="162"/>
  <c r="D14" i="166"/>
  <c r="E14" i="166" s="1"/>
  <c r="D21" i="136"/>
  <c r="E21" i="136" s="1"/>
  <c r="AI17" i="162"/>
  <c r="D13" i="166"/>
  <c r="D19" i="136"/>
  <c r="AI12" i="162"/>
  <c r="AL19" i="161"/>
  <c r="AM19" i="161" s="1"/>
  <c r="D14" i="135"/>
  <c r="AL20" i="161"/>
  <c r="AM20" i="161" s="1"/>
  <c r="D13" i="135"/>
  <c r="G18" i="152"/>
  <c r="AM10" i="163"/>
  <c r="I344" i="132" l="1"/>
  <c r="K344" i="132" s="1"/>
  <c r="M344" i="132" s="1"/>
  <c r="F13" i="135"/>
  <c r="H342" i="132" s="1"/>
  <c r="F342" i="132"/>
  <c r="F14" i="135"/>
  <c r="H343" i="132" s="1"/>
  <c r="E14" i="135"/>
  <c r="F343" i="132" s="1"/>
  <c r="H20" i="152"/>
  <c r="J20" i="152" s="1"/>
  <c r="L20" i="152" s="1"/>
  <c r="F328" i="132" s="1"/>
  <c r="I328" i="132" s="1"/>
  <c r="F325" i="132"/>
  <c r="AK32" i="163"/>
  <c r="AK29" i="163" s="1"/>
  <c r="AK37" i="163" s="1"/>
  <c r="G977" i="170"/>
  <c r="A994" i="170"/>
  <c r="G35" i="152"/>
  <c r="D15" i="166"/>
  <c r="H19" i="152"/>
  <c r="J19" i="152" s="1"/>
  <c r="L19" i="152" s="1"/>
  <c r="F327" i="132" s="1"/>
  <c r="I327" i="132" s="1"/>
  <c r="E15" i="166"/>
  <c r="F14" i="166"/>
  <c r="D17" i="135"/>
  <c r="L43" i="154"/>
  <c r="K15" i="154"/>
  <c r="F22" i="154"/>
  <c r="N21" i="153"/>
  <c r="N20" i="153"/>
  <c r="N18" i="153"/>
  <c r="N16" i="153"/>
  <c r="N15" i="153"/>
  <c r="N13" i="153"/>
  <c r="V38" i="152"/>
  <c r="I35" i="152"/>
  <c r="T19" i="152"/>
  <c r="U19" i="152" s="1"/>
  <c r="V18" i="152"/>
  <c r="T18" i="152"/>
  <c r="U18" i="152" s="1"/>
  <c r="J18" i="152"/>
  <c r="X15" i="152"/>
  <c r="V15" i="152"/>
  <c r="V13" i="152"/>
  <c r="W377" i="151"/>
  <c r="W376" i="151"/>
  <c r="W375" i="151"/>
  <c r="F369" i="151"/>
  <c r="L350" i="151"/>
  <c r="L358" i="151" s="1"/>
  <c r="T343" i="151"/>
  <c r="C343" i="151"/>
  <c r="B255" i="151"/>
  <c r="AA189" i="151"/>
  <c r="AE163" i="151"/>
  <c r="AG119" i="151"/>
  <c r="AE117" i="151"/>
  <c r="AI24" i="151"/>
  <c r="AC11" i="151"/>
  <c r="X8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H341" i="132" l="1"/>
  <c r="I343" i="132"/>
  <c r="K343" i="132" s="1"/>
  <c r="M343" i="132" s="1"/>
  <c r="F326" i="132"/>
  <c r="I326" i="132" s="1"/>
  <c r="L18" i="152"/>
  <c r="G14" i="166"/>
  <c r="G15" i="166" s="1"/>
  <c r="J352" i="132"/>
  <c r="I342" i="132"/>
  <c r="F341" i="132"/>
  <c r="I325" i="132"/>
  <c r="F17" i="135"/>
  <c r="G994" i="170"/>
  <c r="A1011" i="170"/>
  <c r="X358" i="151"/>
  <c r="F15" i="166"/>
  <c r="E17" i="135"/>
  <c r="G13" i="135"/>
  <c r="P20" i="152"/>
  <c r="Q20" i="152" s="1"/>
  <c r="AA326" i="151"/>
  <c r="Y326" i="151"/>
  <c r="F25" i="154"/>
  <c r="F17" i="154"/>
  <c r="G17" i="154" s="1"/>
  <c r="F18" i="154"/>
  <c r="G18" i="154" s="1"/>
  <c r="F19" i="154"/>
  <c r="T22" i="152"/>
  <c r="N27" i="152"/>
  <c r="O27" i="152" s="1"/>
  <c r="I333" i="132" s="1"/>
  <c r="K333" i="132" s="1"/>
  <c r="M333" i="132" s="1"/>
  <c r="N25" i="152"/>
  <c r="O25" i="152" s="1"/>
  <c r="I331" i="132" s="1"/>
  <c r="K331" i="132" s="1"/>
  <c r="M331" i="132" s="1"/>
  <c r="V19" i="152"/>
  <c r="N24" i="152"/>
  <c r="O24" i="152" s="1"/>
  <c r="I330" i="132" s="1"/>
  <c r="N26" i="152"/>
  <c r="O26" i="152" s="1"/>
  <c r="I332" i="132" s="1"/>
  <c r="K332" i="132" s="1"/>
  <c r="M332" i="132" s="1"/>
  <c r="AE107" i="151"/>
  <c r="F324" i="132" l="1"/>
  <c r="K342" i="132"/>
  <c r="I341" i="132"/>
  <c r="K330" i="132"/>
  <c r="I324" i="132"/>
  <c r="A1028" i="170"/>
  <c r="G1011" i="170"/>
  <c r="F13" i="167"/>
  <c r="H36" i="154"/>
  <c r="J325" i="132"/>
  <c r="F10" i="167"/>
  <c r="P19" i="152"/>
  <c r="P18" i="152"/>
  <c r="Q18" i="152" s="1"/>
  <c r="F12" i="167" l="1"/>
  <c r="Q19" i="152"/>
  <c r="J327" i="132"/>
  <c r="K327" i="132" s="1"/>
  <c r="M327" i="132" s="1"/>
  <c r="M342" i="132"/>
  <c r="M341" i="132" s="1"/>
  <c r="K341" i="132"/>
  <c r="G13" i="167"/>
  <c r="J328" i="132"/>
  <c r="K328" i="132" s="1"/>
  <c r="M328" i="132" s="1"/>
  <c r="K325" i="132"/>
  <c r="M325" i="132" s="1"/>
  <c r="M330" i="132"/>
  <c r="A1045" i="170"/>
  <c r="G1028" i="170"/>
  <c r="G38" i="154"/>
  <c r="G37" i="154" s="1"/>
  <c r="R20" i="152"/>
  <c r="F11" i="167"/>
  <c r="R17" i="152"/>
  <c r="G10" i="167"/>
  <c r="G12" i="167" l="1"/>
  <c r="R19" i="152"/>
  <c r="G11" i="167"/>
  <c r="J326" i="132"/>
  <c r="R18" i="152"/>
  <c r="H38" i="154" s="1"/>
  <c r="H37" i="154" s="1"/>
  <c r="A1062" i="170"/>
  <c r="G1045" i="170"/>
  <c r="Q35" i="152"/>
  <c r="K326" i="132" l="1"/>
  <c r="J324" i="132"/>
  <c r="A1079" i="170"/>
  <c r="G1062" i="170"/>
  <c r="AC174" i="9"/>
  <c r="M326" i="132" l="1"/>
  <c r="M324" i="132" s="1"/>
  <c r="K324" i="132"/>
  <c r="G1079" i="170"/>
  <c r="A1096" i="170"/>
  <c r="G1096" i="170" l="1"/>
  <c r="A1113" i="170"/>
  <c r="AL176" i="8"/>
  <c r="AK176" i="8"/>
  <c r="A1130" i="170" l="1"/>
  <c r="G1113" i="170"/>
  <c r="AK306" i="8"/>
  <c r="AO306" i="8"/>
  <c r="AP176" i="8"/>
  <c r="A1147" i="170" l="1"/>
  <c r="G1130" i="170"/>
  <c r="AI19" i="143"/>
  <c r="AI20" i="143"/>
  <c r="AI21" i="143"/>
  <c r="AI22" i="143"/>
  <c r="AI13" i="143"/>
  <c r="AI14" i="143"/>
  <c r="AI15" i="143"/>
  <c r="AI16" i="143"/>
  <c r="AI17" i="143"/>
  <c r="AK24" i="143"/>
  <c r="AI24" i="143"/>
  <c r="AI23" i="143"/>
  <c r="AI18" i="143"/>
  <c r="I324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97" i="9"/>
  <c r="Q98" i="9"/>
  <c r="Q100" i="9"/>
  <c r="Q101" i="9"/>
  <c r="Q102" i="9"/>
  <c r="Q104" i="9"/>
  <c r="Q112" i="9"/>
  <c r="Q113" i="9"/>
  <c r="Q114" i="9"/>
  <c r="Q141" i="9"/>
  <c r="Q142" i="9"/>
  <c r="Q143" i="9"/>
  <c r="Q162" i="9"/>
  <c r="G324" i="9"/>
  <c r="K83" i="59"/>
  <c r="K76" i="59"/>
  <c r="E33" i="100" l="1"/>
  <c r="F33" i="100" s="1"/>
  <c r="AI12" i="143"/>
  <c r="AI39" i="143" s="1"/>
  <c r="E25" i="100"/>
  <c r="F25" i="100" s="1"/>
  <c r="E63" i="100"/>
  <c r="F63" i="100" s="1"/>
  <c r="E21" i="100"/>
  <c r="F21" i="100" s="1"/>
  <c r="E62" i="100"/>
  <c r="F62" i="100" s="1"/>
  <c r="E19" i="100"/>
  <c r="F19" i="100" s="1"/>
  <c r="E83" i="100"/>
  <c r="F83" i="100" s="1"/>
  <c r="E35" i="100"/>
  <c r="F35" i="100" s="1"/>
  <c r="E23" i="100"/>
  <c r="F23" i="100" s="1"/>
  <c r="E64" i="100"/>
  <c r="F64" i="100" s="1"/>
  <c r="E34" i="100"/>
  <c r="F34" i="100" s="1"/>
  <c r="E22" i="100"/>
  <c r="F22" i="100" s="1"/>
  <c r="Q185" i="9"/>
  <c r="Q184" i="9" s="1"/>
  <c r="G1147" i="170"/>
  <c r="A1164" i="170"/>
  <c r="AL24" i="143"/>
  <c r="AM24" i="143" s="1"/>
  <c r="K84" i="59"/>
  <c r="G1164" i="170" l="1"/>
  <c r="A1181" i="170"/>
  <c r="AC93" i="9"/>
  <c r="U42" i="59"/>
  <c r="C243" i="128"/>
  <c r="C244" i="128"/>
  <c r="A1198" i="170" l="1"/>
  <c r="G1181" i="170"/>
  <c r="G381" i="132"/>
  <c r="H381" i="132"/>
  <c r="J381" i="132"/>
  <c r="L381" i="132"/>
  <c r="A1215" i="170" l="1"/>
  <c r="G1198" i="170"/>
  <c r="Z13" i="100"/>
  <c r="G1215" i="170" l="1"/>
  <c r="A1232" i="170"/>
  <c r="AI17" i="32"/>
  <c r="B89" i="99"/>
  <c r="B90" i="99"/>
  <c r="B91" i="99"/>
  <c r="B92" i="99"/>
  <c r="B93" i="9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C252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C18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H91" i="100" s="1"/>
  <c r="T171" i="9"/>
  <c r="H92" i="100" s="1"/>
  <c r="T172" i="9"/>
  <c r="H93" i="100" s="1"/>
  <c r="T173" i="9"/>
  <c r="H94" i="100" s="1"/>
  <c r="C97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16" i="128"/>
  <c r="C17" i="128"/>
  <c r="C18" i="128"/>
  <c r="C19" i="128"/>
  <c r="C20" i="128"/>
  <c r="C21" i="128"/>
  <c r="C22" i="128"/>
  <c r="C23" i="128"/>
  <c r="C24" i="128"/>
  <c r="C25" i="128"/>
  <c r="C26" i="128"/>
  <c r="C27" i="128"/>
  <c r="C28" i="128"/>
  <c r="C29" i="128"/>
  <c r="C30" i="128"/>
  <c r="C31" i="128"/>
  <c r="C32" i="128"/>
  <c r="C33" i="128"/>
  <c r="C34" i="128"/>
  <c r="C35" i="128"/>
  <c r="C36" i="128"/>
  <c r="C37" i="128"/>
  <c r="C38" i="128"/>
  <c r="C39" i="128"/>
  <c r="C40" i="128"/>
  <c r="C41" i="128"/>
  <c r="C42" i="128"/>
  <c r="C43" i="128"/>
  <c r="C44" i="128"/>
  <c r="C45" i="128"/>
  <c r="C46" i="128"/>
  <c r="C47" i="128"/>
  <c r="C48" i="128"/>
  <c r="C49" i="128"/>
  <c r="C50" i="128"/>
  <c r="C51" i="128"/>
  <c r="C52" i="128"/>
  <c r="C53" i="128"/>
  <c r="C54" i="128"/>
  <c r="C55" i="128"/>
  <c r="C56" i="128"/>
  <c r="C57" i="128"/>
  <c r="C58" i="128"/>
  <c r="C59" i="128"/>
  <c r="C60" i="128"/>
  <c r="C61" i="128"/>
  <c r="C62" i="128"/>
  <c r="C63" i="128"/>
  <c r="C64" i="128"/>
  <c r="C65" i="128"/>
  <c r="C66" i="128"/>
  <c r="C67" i="128"/>
  <c r="C68" i="128"/>
  <c r="C69" i="128"/>
  <c r="C70" i="128"/>
  <c r="C71" i="128"/>
  <c r="C72" i="128"/>
  <c r="C73" i="128"/>
  <c r="C74" i="128"/>
  <c r="C75" i="128"/>
  <c r="C76" i="128"/>
  <c r="C77" i="128"/>
  <c r="C78" i="128"/>
  <c r="C79" i="128"/>
  <c r="C80" i="128"/>
  <c r="C81" i="128"/>
  <c r="C82" i="128"/>
  <c r="C83" i="128"/>
  <c r="C84" i="128"/>
  <c r="C85" i="128"/>
  <c r="C86" i="128"/>
  <c r="C87" i="128"/>
  <c r="C88" i="128"/>
  <c r="C89" i="128"/>
  <c r="C90" i="128"/>
  <c r="C91" i="128"/>
  <c r="C92" i="128"/>
  <c r="C93" i="128"/>
  <c r="C15" i="128"/>
  <c r="I674" i="170" l="1"/>
  <c r="J678" i="170" s="1"/>
  <c r="C657" i="170"/>
  <c r="D661" i="170" s="1"/>
  <c r="C674" i="170"/>
  <c r="D678" i="170" s="1"/>
  <c r="I657" i="170"/>
  <c r="J661" i="170" s="1"/>
  <c r="I640" i="170"/>
  <c r="J644" i="170" s="1"/>
  <c r="C86" i="151"/>
  <c r="C86" i="99"/>
  <c r="C78" i="151"/>
  <c r="C78" i="99"/>
  <c r="C66" i="151"/>
  <c r="C66" i="99"/>
  <c r="C58" i="151"/>
  <c r="C58" i="99"/>
  <c r="C50" i="151"/>
  <c r="C50" i="99"/>
  <c r="C42" i="151"/>
  <c r="C42" i="99"/>
  <c r="C34" i="151"/>
  <c r="C34" i="99"/>
  <c r="C26" i="151"/>
  <c r="C26" i="99"/>
  <c r="C22" i="151"/>
  <c r="C22" i="99"/>
  <c r="C18" i="151"/>
  <c r="C18" i="99"/>
  <c r="C83" i="151"/>
  <c r="C83" i="99"/>
  <c r="C75" i="151"/>
  <c r="C75" i="99"/>
  <c r="C67" i="151"/>
  <c r="C67" i="99"/>
  <c r="C59" i="151"/>
  <c r="C59" i="99"/>
  <c r="C51" i="151"/>
  <c r="C51" i="99"/>
  <c r="C43" i="151"/>
  <c r="C43" i="99"/>
  <c r="C35" i="151"/>
  <c r="C35" i="99"/>
  <c r="C27" i="151"/>
  <c r="C27" i="99"/>
  <c r="C23" i="151"/>
  <c r="C23" i="99"/>
  <c r="C191" i="151"/>
  <c r="C18" i="101"/>
  <c r="X186" i="9"/>
  <c r="C88" i="151"/>
  <c r="C88" i="99"/>
  <c r="C84" i="151"/>
  <c r="C84" i="99"/>
  <c r="C80" i="151"/>
  <c r="C80" i="99"/>
  <c r="C76" i="151"/>
  <c r="D74" i="132" s="1"/>
  <c r="C76" i="99"/>
  <c r="C72" i="151"/>
  <c r="C72" i="99"/>
  <c r="C68" i="151"/>
  <c r="C68" i="99"/>
  <c r="C64" i="151"/>
  <c r="C64" i="99"/>
  <c r="C60" i="151"/>
  <c r="D58" i="132" s="1"/>
  <c r="C60" i="99"/>
  <c r="C56" i="151"/>
  <c r="C56" i="99"/>
  <c r="C52" i="151"/>
  <c r="C52" i="99"/>
  <c r="C48" i="151"/>
  <c r="C48" i="99"/>
  <c r="C44" i="151"/>
  <c r="C44" i="99"/>
  <c r="C40" i="151"/>
  <c r="C40" i="99"/>
  <c r="C36" i="151"/>
  <c r="C36" i="99"/>
  <c r="C32" i="151"/>
  <c r="C32" i="99"/>
  <c r="C28" i="151"/>
  <c r="D26" i="132" s="1"/>
  <c r="C28" i="99"/>
  <c r="C24" i="151"/>
  <c r="C24" i="99"/>
  <c r="C20" i="151"/>
  <c r="B39" i="170" s="1"/>
  <c r="C20" i="99"/>
  <c r="C90" i="151"/>
  <c r="C90" i="99"/>
  <c r="C82" i="151"/>
  <c r="C82" i="99"/>
  <c r="C74" i="151"/>
  <c r="C74" i="99"/>
  <c r="C70" i="151"/>
  <c r="C70" i="99"/>
  <c r="C62" i="151"/>
  <c r="C62" i="99"/>
  <c r="C54" i="151"/>
  <c r="D52" i="132" s="1"/>
  <c r="C54" i="99"/>
  <c r="C46" i="151"/>
  <c r="C46" i="99"/>
  <c r="C38" i="151"/>
  <c r="C38" i="99"/>
  <c r="C30" i="151"/>
  <c r="C30" i="99"/>
  <c r="C257" i="151"/>
  <c r="X252" i="9"/>
  <c r="C87" i="151"/>
  <c r="C87" i="99"/>
  <c r="C79" i="151"/>
  <c r="C79" i="99"/>
  <c r="C71" i="151"/>
  <c r="C71" i="99"/>
  <c r="C63" i="151"/>
  <c r="C63" i="99"/>
  <c r="C55" i="151"/>
  <c r="C55" i="99"/>
  <c r="C47" i="151"/>
  <c r="C47" i="99"/>
  <c r="C39" i="151"/>
  <c r="C39" i="99"/>
  <c r="C31" i="151"/>
  <c r="C31" i="99"/>
  <c r="C19" i="151"/>
  <c r="C19" i="99"/>
  <c r="C89" i="151"/>
  <c r="D87" i="132" s="1"/>
  <c r="C89" i="99"/>
  <c r="C85" i="151"/>
  <c r="C85" i="99"/>
  <c r="C81" i="151"/>
  <c r="C81" i="99"/>
  <c r="C77" i="151"/>
  <c r="C77" i="99"/>
  <c r="C73" i="151"/>
  <c r="C73" i="99"/>
  <c r="C69" i="151"/>
  <c r="C69" i="99"/>
  <c r="C65" i="151"/>
  <c r="C65" i="99"/>
  <c r="C61" i="151"/>
  <c r="C61" i="99"/>
  <c r="C57" i="151"/>
  <c r="C57" i="99"/>
  <c r="C53" i="151"/>
  <c r="C53" i="99"/>
  <c r="C49" i="151"/>
  <c r="C49" i="99"/>
  <c r="C45" i="151"/>
  <c r="C45" i="99"/>
  <c r="C41" i="151"/>
  <c r="C41" i="99"/>
  <c r="C37" i="151"/>
  <c r="C37" i="99"/>
  <c r="C33" i="151"/>
  <c r="C33" i="99"/>
  <c r="C29" i="151"/>
  <c r="C29" i="99"/>
  <c r="C25" i="151"/>
  <c r="C25" i="99"/>
  <c r="C21" i="151"/>
  <c r="C21" i="99"/>
  <c r="I691" i="170"/>
  <c r="J695" i="170" s="1"/>
  <c r="C708" i="170"/>
  <c r="B312" i="170"/>
  <c r="C102" i="151"/>
  <c r="C18" i="100"/>
  <c r="G1232" i="170"/>
  <c r="A1249" i="170"/>
  <c r="R90" i="9"/>
  <c r="AD90" i="9"/>
  <c r="AD88" i="9"/>
  <c r="R88" i="9"/>
  <c r="AD87" i="9"/>
  <c r="R86" i="9"/>
  <c r="AD89" i="9"/>
  <c r="R89" i="9"/>
  <c r="R87" i="9"/>
  <c r="AA83" i="9"/>
  <c r="V83" i="9"/>
  <c r="Z83" i="9"/>
  <c r="R83" i="9"/>
  <c r="W83" i="9"/>
  <c r="AA71" i="9"/>
  <c r="V71" i="9"/>
  <c r="W71" i="9"/>
  <c r="R71" i="9"/>
  <c r="Z71" i="9"/>
  <c r="AA63" i="9"/>
  <c r="V63" i="9"/>
  <c r="W63" i="9"/>
  <c r="Z63" i="9"/>
  <c r="R63" i="9"/>
  <c r="AA55" i="9"/>
  <c r="V55" i="9"/>
  <c r="W55" i="9"/>
  <c r="R55" i="9"/>
  <c r="Z55" i="9"/>
  <c r="AA47" i="9"/>
  <c r="V47" i="9"/>
  <c r="W47" i="9"/>
  <c r="Z47" i="9"/>
  <c r="R47" i="9"/>
  <c r="AA39" i="9"/>
  <c r="V39" i="9"/>
  <c r="W39" i="9"/>
  <c r="R39" i="9"/>
  <c r="Z39" i="9"/>
  <c r="AA31" i="9"/>
  <c r="V31" i="9"/>
  <c r="W31" i="9"/>
  <c r="Z31" i="9"/>
  <c r="R31" i="9"/>
  <c r="AA23" i="9"/>
  <c r="V23" i="9"/>
  <c r="W23" i="9"/>
  <c r="R23" i="9"/>
  <c r="Z23" i="9"/>
  <c r="AA15" i="9"/>
  <c r="V15" i="9"/>
  <c r="W15" i="9"/>
  <c r="Z15" i="9"/>
  <c r="R15" i="9"/>
  <c r="Z84" i="9"/>
  <c r="AA84" i="9"/>
  <c r="W84" i="9"/>
  <c r="R84" i="9"/>
  <c r="V84" i="9"/>
  <c r="Z80" i="9"/>
  <c r="AA80" i="9"/>
  <c r="R80" i="9"/>
  <c r="W80" i="9"/>
  <c r="V80" i="9"/>
  <c r="Z76" i="9"/>
  <c r="AA76" i="9"/>
  <c r="W76" i="9"/>
  <c r="R76" i="9"/>
  <c r="V76" i="9"/>
  <c r="Z68" i="9"/>
  <c r="AA68" i="9"/>
  <c r="W68" i="9"/>
  <c r="R68" i="9"/>
  <c r="V68" i="9"/>
  <c r="Z60" i="9"/>
  <c r="AA60" i="9"/>
  <c r="V60" i="9"/>
  <c r="R60" i="9"/>
  <c r="W60" i="9"/>
  <c r="Z56" i="9"/>
  <c r="AA56" i="9"/>
  <c r="V56" i="9"/>
  <c r="R56" i="9"/>
  <c r="W56" i="9"/>
  <c r="Z48" i="9"/>
  <c r="AA48" i="9"/>
  <c r="V48" i="9"/>
  <c r="R48" i="9"/>
  <c r="W48" i="9"/>
  <c r="Z44" i="9"/>
  <c r="AA44" i="9"/>
  <c r="V44" i="9"/>
  <c r="R44" i="9"/>
  <c r="W44" i="9"/>
  <c r="Z36" i="9"/>
  <c r="AA36" i="9"/>
  <c r="V36" i="9"/>
  <c r="R36" i="9"/>
  <c r="W36" i="9"/>
  <c r="Z32" i="9"/>
  <c r="AA32" i="9"/>
  <c r="V32" i="9"/>
  <c r="R32" i="9"/>
  <c r="W32" i="9"/>
  <c r="Z24" i="9"/>
  <c r="AA24" i="9"/>
  <c r="V24" i="9"/>
  <c r="R24" i="9"/>
  <c r="W24" i="9"/>
  <c r="Z20" i="9"/>
  <c r="AA20" i="9"/>
  <c r="V20" i="9"/>
  <c r="R20" i="9"/>
  <c r="W20" i="9"/>
  <c r="Z16" i="9"/>
  <c r="AA16" i="9"/>
  <c r="V16" i="9"/>
  <c r="R16" i="9"/>
  <c r="W16" i="9"/>
  <c r="Z97" i="9"/>
  <c r="V97" i="9"/>
  <c r="W97" i="9"/>
  <c r="AA97" i="9"/>
  <c r="AA85" i="9"/>
  <c r="V85" i="9"/>
  <c r="Z85" i="9"/>
  <c r="R85" i="9"/>
  <c r="W85" i="9"/>
  <c r="AA81" i="9"/>
  <c r="V81" i="9"/>
  <c r="Z81" i="9"/>
  <c r="W81" i="9"/>
  <c r="R81" i="9"/>
  <c r="AA77" i="9"/>
  <c r="V77" i="9"/>
  <c r="R77" i="9"/>
  <c r="Z77" i="9"/>
  <c r="W77" i="9"/>
  <c r="AA73" i="9"/>
  <c r="V73" i="9"/>
  <c r="Z73" i="9"/>
  <c r="W73" i="9"/>
  <c r="R73" i="9"/>
  <c r="AA69" i="9"/>
  <c r="V69" i="9"/>
  <c r="R69" i="9"/>
  <c r="Z69" i="9"/>
  <c r="W69" i="9"/>
  <c r="AA65" i="9"/>
  <c r="V65" i="9"/>
  <c r="Z65" i="9"/>
  <c r="W65" i="9"/>
  <c r="R65" i="9"/>
  <c r="AA61" i="9"/>
  <c r="V61" i="9"/>
  <c r="W61" i="9"/>
  <c r="R61" i="9"/>
  <c r="Z61" i="9"/>
  <c r="AA57" i="9"/>
  <c r="V57" i="9"/>
  <c r="Z57" i="9"/>
  <c r="W57" i="9"/>
  <c r="R57" i="9"/>
  <c r="AA53" i="9"/>
  <c r="V53" i="9"/>
  <c r="Z53" i="9"/>
  <c r="W53" i="9"/>
  <c r="R53" i="9"/>
  <c r="AA49" i="9"/>
  <c r="V49" i="9"/>
  <c r="Z49" i="9"/>
  <c r="W49" i="9"/>
  <c r="R49" i="9"/>
  <c r="AA45" i="9"/>
  <c r="V45" i="9"/>
  <c r="W45" i="9"/>
  <c r="R45" i="9"/>
  <c r="Z45" i="9"/>
  <c r="AA41" i="9"/>
  <c r="V41" i="9"/>
  <c r="Z41" i="9"/>
  <c r="W41" i="9"/>
  <c r="R41" i="9"/>
  <c r="AA37" i="9"/>
  <c r="V37" i="9"/>
  <c r="W37" i="9"/>
  <c r="R37" i="9"/>
  <c r="Z37" i="9"/>
  <c r="AA33" i="9"/>
  <c r="V33" i="9"/>
  <c r="Z33" i="9"/>
  <c r="W33" i="9"/>
  <c r="R33" i="9"/>
  <c r="AA29" i="9"/>
  <c r="V29" i="9"/>
  <c r="W29" i="9"/>
  <c r="R29" i="9"/>
  <c r="Z29" i="9"/>
  <c r="AA25" i="9"/>
  <c r="V25" i="9"/>
  <c r="Z25" i="9"/>
  <c r="W25" i="9"/>
  <c r="R25" i="9"/>
  <c r="AA21" i="9"/>
  <c r="V21" i="9"/>
  <c r="Z21" i="9"/>
  <c r="W21" i="9"/>
  <c r="R21" i="9"/>
  <c r="AA17" i="9"/>
  <c r="V17" i="9"/>
  <c r="Z17" i="9"/>
  <c r="W17" i="9"/>
  <c r="R17" i="9"/>
  <c r="AA13" i="9"/>
  <c r="V13" i="9"/>
  <c r="W13" i="9"/>
  <c r="R13" i="9"/>
  <c r="Z13" i="9"/>
  <c r="AA79" i="9"/>
  <c r="V79" i="9"/>
  <c r="W79" i="9"/>
  <c r="Z79" i="9"/>
  <c r="R79" i="9"/>
  <c r="AA75" i="9"/>
  <c r="V75" i="9"/>
  <c r="Z75" i="9"/>
  <c r="R75" i="9"/>
  <c r="W75" i="9"/>
  <c r="AA67" i="9"/>
  <c r="V67" i="9"/>
  <c r="Z67" i="9"/>
  <c r="R67" i="9"/>
  <c r="W67" i="9"/>
  <c r="AA59" i="9"/>
  <c r="V59" i="9"/>
  <c r="Z59" i="9"/>
  <c r="W59" i="9"/>
  <c r="R59" i="9"/>
  <c r="AA51" i="9"/>
  <c r="V51" i="9"/>
  <c r="Z51" i="9"/>
  <c r="W51" i="9"/>
  <c r="R51" i="9"/>
  <c r="AA43" i="9"/>
  <c r="V43" i="9"/>
  <c r="Z43" i="9"/>
  <c r="W43" i="9"/>
  <c r="R43" i="9"/>
  <c r="AA35" i="9"/>
  <c r="V35" i="9"/>
  <c r="Z35" i="9"/>
  <c r="W35" i="9"/>
  <c r="R35" i="9"/>
  <c r="AA27" i="9"/>
  <c r="V27" i="9"/>
  <c r="Z27" i="9"/>
  <c r="W27" i="9"/>
  <c r="R27" i="9"/>
  <c r="AA19" i="9"/>
  <c r="V19" i="9"/>
  <c r="Z19" i="9"/>
  <c r="W19" i="9"/>
  <c r="R19" i="9"/>
  <c r="Z72" i="9"/>
  <c r="AA72" i="9"/>
  <c r="R72" i="9"/>
  <c r="W72" i="9"/>
  <c r="V72" i="9"/>
  <c r="Z64" i="9"/>
  <c r="AA64" i="9"/>
  <c r="R64" i="9"/>
  <c r="W64" i="9"/>
  <c r="V64" i="9"/>
  <c r="Z52" i="9"/>
  <c r="AA52" i="9"/>
  <c r="V52" i="9"/>
  <c r="R52" i="9"/>
  <c r="W52" i="9"/>
  <c r="Z40" i="9"/>
  <c r="AA40" i="9"/>
  <c r="V40" i="9"/>
  <c r="R40" i="9"/>
  <c r="W40" i="9"/>
  <c r="Z28" i="9"/>
  <c r="AA28" i="9"/>
  <c r="V28" i="9"/>
  <c r="R28" i="9"/>
  <c r="W28" i="9"/>
  <c r="Z82" i="9"/>
  <c r="AA82" i="9"/>
  <c r="V82" i="9"/>
  <c r="R82" i="9"/>
  <c r="W82" i="9"/>
  <c r="Z78" i="9"/>
  <c r="AA78" i="9"/>
  <c r="W78" i="9"/>
  <c r="V78" i="9"/>
  <c r="R78" i="9"/>
  <c r="Z74" i="9"/>
  <c r="AA74" i="9"/>
  <c r="V74" i="9"/>
  <c r="R74" i="9"/>
  <c r="W74" i="9"/>
  <c r="Z70" i="9"/>
  <c r="AA70" i="9"/>
  <c r="W70" i="9"/>
  <c r="R70" i="9"/>
  <c r="V70" i="9"/>
  <c r="Z66" i="9"/>
  <c r="AA66" i="9"/>
  <c r="V66" i="9"/>
  <c r="R66" i="9"/>
  <c r="W66" i="9"/>
  <c r="Z62" i="9"/>
  <c r="V62" i="9"/>
  <c r="AA62" i="9"/>
  <c r="W62" i="9"/>
  <c r="R62" i="9"/>
  <c r="Z58" i="9"/>
  <c r="V58" i="9"/>
  <c r="AA58" i="9"/>
  <c r="W58" i="9"/>
  <c r="R58" i="9"/>
  <c r="Z54" i="9"/>
  <c r="V54" i="9"/>
  <c r="AA54" i="9"/>
  <c r="W54" i="9"/>
  <c r="R54" i="9"/>
  <c r="Z50" i="9"/>
  <c r="V50" i="9"/>
  <c r="AA50" i="9"/>
  <c r="W50" i="9"/>
  <c r="R50" i="9"/>
  <c r="Z46" i="9"/>
  <c r="V46" i="9"/>
  <c r="AA46" i="9"/>
  <c r="W46" i="9"/>
  <c r="R46" i="9"/>
  <c r="Z42" i="9"/>
  <c r="V42" i="9"/>
  <c r="AA42" i="9"/>
  <c r="W42" i="9"/>
  <c r="R42" i="9"/>
  <c r="Z38" i="9"/>
  <c r="V38" i="9"/>
  <c r="AA38" i="9"/>
  <c r="W38" i="9"/>
  <c r="R38" i="9"/>
  <c r="Z34" i="9"/>
  <c r="V34" i="9"/>
  <c r="AA34" i="9"/>
  <c r="W34" i="9"/>
  <c r="R34" i="9"/>
  <c r="Z30" i="9"/>
  <c r="V30" i="9"/>
  <c r="AA30" i="9"/>
  <c r="W30" i="9"/>
  <c r="R30" i="9"/>
  <c r="Z26" i="9"/>
  <c r="V26" i="9"/>
  <c r="AA26" i="9"/>
  <c r="W26" i="9"/>
  <c r="R26" i="9"/>
  <c r="Z22" i="9"/>
  <c r="V22" i="9"/>
  <c r="AA22" i="9"/>
  <c r="W22" i="9"/>
  <c r="R22" i="9"/>
  <c r="Z18" i="9"/>
  <c r="V18" i="9"/>
  <c r="AA18" i="9"/>
  <c r="W18" i="9"/>
  <c r="R18" i="9"/>
  <c r="Z14" i="9"/>
  <c r="V14" i="9"/>
  <c r="AA14" i="9"/>
  <c r="W14" i="9"/>
  <c r="R14" i="9"/>
  <c r="V186" i="9"/>
  <c r="W186" i="9"/>
  <c r="C16" i="102"/>
  <c r="V252" i="9"/>
  <c r="W252" i="9"/>
  <c r="AC243" i="9"/>
  <c r="E75" i="101"/>
  <c r="F75" i="101" s="1"/>
  <c r="AC244" i="9"/>
  <c r="E76" i="101"/>
  <c r="F76" i="101" s="1"/>
  <c r="AC245" i="9"/>
  <c r="E77" i="101"/>
  <c r="F77" i="101" s="1"/>
  <c r="AD85" i="9"/>
  <c r="AD77" i="9"/>
  <c r="AD69" i="9"/>
  <c r="AD61" i="9"/>
  <c r="AD53" i="9"/>
  <c r="AD49" i="9"/>
  <c r="AD41" i="9"/>
  <c r="AD37" i="9"/>
  <c r="AD33" i="9"/>
  <c r="AD29" i="9"/>
  <c r="AD25" i="9"/>
  <c r="AD21" i="9"/>
  <c r="AD17" i="9"/>
  <c r="AD13" i="9"/>
  <c r="AD186" i="9"/>
  <c r="AD86" i="9"/>
  <c r="AD82" i="9"/>
  <c r="AD78" i="9"/>
  <c r="AD74" i="9"/>
  <c r="AD70" i="9"/>
  <c r="AD66" i="9"/>
  <c r="AD62" i="9"/>
  <c r="AD58" i="9"/>
  <c r="AD54" i="9"/>
  <c r="AD50" i="9"/>
  <c r="AD46" i="9"/>
  <c r="AD42" i="9"/>
  <c r="AD38" i="9"/>
  <c r="AD34" i="9"/>
  <c r="AD30" i="9"/>
  <c r="AD26" i="9"/>
  <c r="AD22" i="9"/>
  <c r="AD18" i="9"/>
  <c r="AD14" i="9"/>
  <c r="AD164" i="9"/>
  <c r="AD295" i="9"/>
  <c r="AD81" i="9"/>
  <c r="AD73" i="9"/>
  <c r="AD65" i="9"/>
  <c r="AD57" i="9"/>
  <c r="AD45" i="9"/>
  <c r="AD83" i="9"/>
  <c r="AD79" i="9"/>
  <c r="AD75" i="9"/>
  <c r="AD71" i="9"/>
  <c r="AD67" i="9"/>
  <c r="AD63" i="9"/>
  <c r="AD59" i="9"/>
  <c r="AD55" i="9"/>
  <c r="AD51" i="9"/>
  <c r="AD47" i="9"/>
  <c r="AD43" i="9"/>
  <c r="AD39" i="9"/>
  <c r="AD35" i="9"/>
  <c r="AD31" i="9"/>
  <c r="AD27" i="9"/>
  <c r="AD23" i="9"/>
  <c r="AD19" i="9"/>
  <c r="AD15" i="9"/>
  <c r="AD84" i="9"/>
  <c r="AD80" i="9"/>
  <c r="AD76" i="9"/>
  <c r="AD72" i="9"/>
  <c r="AD68" i="9"/>
  <c r="AD64" i="9"/>
  <c r="AD60" i="9"/>
  <c r="AD56" i="9"/>
  <c r="AD52" i="9"/>
  <c r="AD48" i="9"/>
  <c r="AD44" i="9"/>
  <c r="AD40" i="9"/>
  <c r="AD36" i="9"/>
  <c r="AD32" i="9"/>
  <c r="AD28" i="9"/>
  <c r="AD24" i="9"/>
  <c r="AD20" i="9"/>
  <c r="AD16" i="9"/>
  <c r="AD277" i="9"/>
  <c r="P25" i="152"/>
  <c r="R25" i="152" s="1"/>
  <c r="AI15" i="32"/>
  <c r="D31" i="132" l="1"/>
  <c r="D39" i="132"/>
  <c r="H278" i="170"/>
  <c r="I279" i="170" s="1"/>
  <c r="J283" i="170" s="1"/>
  <c r="H1492" i="170"/>
  <c r="D25" i="132"/>
  <c r="H227" i="170"/>
  <c r="B22" i="170"/>
  <c r="C23" i="170" s="1"/>
  <c r="D27" i="170" s="1"/>
  <c r="D24" i="132"/>
  <c r="B365" i="170"/>
  <c r="B536" i="170"/>
  <c r="D19" i="132"/>
  <c r="H107" i="170"/>
  <c r="I108" i="170" s="1"/>
  <c r="J112" i="170" s="1"/>
  <c r="D35" i="132"/>
  <c r="D51" i="132"/>
  <c r="D37" i="132"/>
  <c r="B503" i="170"/>
  <c r="C504" i="170" s="1"/>
  <c r="D508" i="170" s="1"/>
  <c r="B73" i="170"/>
  <c r="B141" i="170"/>
  <c r="B621" i="170"/>
  <c r="D67" i="132"/>
  <c r="D75" i="132"/>
  <c r="H587" i="170"/>
  <c r="D69" i="132"/>
  <c r="H604" i="170"/>
  <c r="I605" i="170" s="1"/>
  <c r="J609" i="170" s="1"/>
  <c r="B124" i="170"/>
  <c r="B278" i="170"/>
  <c r="B417" i="170"/>
  <c r="C418" i="170" s="1"/>
  <c r="D422" i="170" s="1"/>
  <c r="H536" i="170"/>
  <c r="I537" i="170" s="1"/>
  <c r="J541" i="170" s="1"/>
  <c r="H56" i="170"/>
  <c r="H158" i="170"/>
  <c r="D49" i="132"/>
  <c r="D65" i="132"/>
  <c r="D81" i="132"/>
  <c r="D20" i="132"/>
  <c r="B295" i="170"/>
  <c r="C296" i="170" s="1"/>
  <c r="D300" i="170" s="1"/>
  <c r="B434" i="170"/>
  <c r="D84" i="132"/>
  <c r="H553" i="170"/>
  <c r="D29" i="132"/>
  <c r="D61" i="132"/>
  <c r="H2054" i="170"/>
  <c r="D36" i="132"/>
  <c r="B330" i="170"/>
  <c r="C331" i="170" s="1"/>
  <c r="D335" i="170" s="1"/>
  <c r="D68" i="132"/>
  <c r="D80" i="132"/>
  <c r="B107" i="170"/>
  <c r="D34" i="132"/>
  <c r="D42" i="132"/>
  <c r="B382" i="170"/>
  <c r="D66" i="132"/>
  <c r="B587" i="170"/>
  <c r="C588" i="170" s="1"/>
  <c r="D592" i="170" s="1"/>
  <c r="D77" i="132"/>
  <c r="D18" i="132"/>
  <c r="B244" i="170"/>
  <c r="D50" i="132"/>
  <c r="B520" i="170"/>
  <c r="C521" i="170" s="1"/>
  <c r="D525" i="170" s="1"/>
  <c r="B468" i="170"/>
  <c r="H261" i="170"/>
  <c r="B570" i="170"/>
  <c r="C571" i="170" s="1"/>
  <c r="D575" i="170" s="1"/>
  <c r="H124" i="170"/>
  <c r="I125" i="170" s="1"/>
  <c r="J129" i="170" s="1"/>
  <c r="D45" i="132"/>
  <c r="B175" i="170"/>
  <c r="B450" i="170"/>
  <c r="C451" i="170" s="1"/>
  <c r="D455" i="170" s="1"/>
  <c r="D82" i="132"/>
  <c r="H400" i="170"/>
  <c r="B192" i="170"/>
  <c r="I159" i="170"/>
  <c r="J163" i="170" s="1"/>
  <c r="C435" i="170"/>
  <c r="D439" i="170" s="1"/>
  <c r="C383" i="170"/>
  <c r="D387" i="170" s="1"/>
  <c r="C125" i="170"/>
  <c r="D129" i="170" s="1"/>
  <c r="C142" i="170"/>
  <c r="D146" i="170" s="1"/>
  <c r="C622" i="170"/>
  <c r="D626" i="170" s="1"/>
  <c r="C176" i="170"/>
  <c r="D180" i="170" s="1"/>
  <c r="I401" i="170"/>
  <c r="J405" i="170" s="1"/>
  <c r="C193" i="170"/>
  <c r="D197" i="170" s="1"/>
  <c r="C469" i="170"/>
  <c r="D473" i="170" s="1"/>
  <c r="I228" i="170"/>
  <c r="J232" i="170" s="1"/>
  <c r="C366" i="170"/>
  <c r="D370" i="170" s="1"/>
  <c r="C537" i="170"/>
  <c r="D541" i="170" s="1"/>
  <c r="C40" i="170"/>
  <c r="D44" i="170" s="1"/>
  <c r="C313" i="170"/>
  <c r="D317" i="170" s="1"/>
  <c r="I57" i="170"/>
  <c r="J61" i="170" s="1"/>
  <c r="C108" i="170"/>
  <c r="D112" i="170" s="1"/>
  <c r="I588" i="170"/>
  <c r="J592" i="170" s="1"/>
  <c r="C74" i="170"/>
  <c r="D78" i="170" s="1"/>
  <c r="C279" i="170"/>
  <c r="D283" i="170" s="1"/>
  <c r="I262" i="170"/>
  <c r="J266" i="170" s="1"/>
  <c r="C245" i="170"/>
  <c r="D249" i="170" s="1"/>
  <c r="I554" i="170"/>
  <c r="J558" i="170" s="1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88" i="132"/>
  <c r="D70" i="132"/>
  <c r="D78" i="132"/>
  <c r="D86" i="132"/>
  <c r="D53" i="132"/>
  <c r="B261" i="170"/>
  <c r="D54" i="132"/>
  <c r="B486" i="170"/>
  <c r="B553" i="170"/>
  <c r="D21" i="132"/>
  <c r="H295" i="170"/>
  <c r="H39" i="170"/>
  <c r="H209" i="170"/>
  <c r="D63" i="132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H486" i="170"/>
  <c r="H741" i="170"/>
  <c r="A1266" i="170"/>
  <c r="G1249" i="170"/>
  <c r="U90" i="9"/>
  <c r="D71" i="132"/>
  <c r="U91" i="9"/>
  <c r="D255" i="132"/>
  <c r="D100" i="132"/>
  <c r="D189" i="132"/>
  <c r="U87" i="9"/>
  <c r="U89" i="9"/>
  <c r="H45" i="101"/>
  <c r="H65" i="101"/>
  <c r="I469" i="170" l="1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H33" i="101"/>
  <c r="H29" i="101"/>
  <c r="H85" i="100"/>
  <c r="H63" i="100"/>
  <c r="H46" i="100"/>
  <c r="H33" i="100"/>
  <c r="H34" i="100"/>
  <c r="H80" i="100"/>
  <c r="H48" i="100"/>
  <c r="H87" i="100"/>
  <c r="H23" i="100"/>
  <c r="H69" i="100"/>
  <c r="H86" i="100"/>
  <c r="H22" i="100"/>
  <c r="H47" i="100"/>
  <c r="H77" i="100"/>
  <c r="H30" i="100"/>
  <c r="H28" i="100"/>
  <c r="H50" i="100"/>
  <c r="H56" i="100"/>
  <c r="H36" i="100"/>
  <c r="H43" i="100"/>
  <c r="H25" i="100"/>
  <c r="H26" i="100"/>
  <c r="H64" i="100"/>
  <c r="H90" i="100"/>
  <c r="H52" i="100"/>
  <c r="H49" i="100"/>
  <c r="H21" i="100"/>
  <c r="H44" i="100"/>
  <c r="H24" i="100"/>
  <c r="H74" i="100"/>
  <c r="H84" i="100"/>
  <c r="H71" i="100"/>
  <c r="H53" i="100"/>
  <c r="H70" i="100"/>
  <c r="H31" i="100"/>
  <c r="H61" i="100"/>
  <c r="H78" i="100"/>
  <c r="H76" i="100"/>
  <c r="H18" i="100"/>
  <c r="H67" i="100"/>
  <c r="H88" i="100"/>
  <c r="H66" i="100"/>
  <c r="H81" i="100"/>
  <c r="H73" i="100"/>
  <c r="H89" i="100"/>
  <c r="H20" i="100"/>
  <c r="H32" i="100"/>
  <c r="H75" i="100"/>
  <c r="H39" i="100"/>
  <c r="H38" i="100"/>
  <c r="H29" i="100"/>
  <c r="H82" i="100"/>
  <c r="H72" i="100"/>
  <c r="H27" i="100"/>
  <c r="H42" i="100"/>
  <c r="H55" i="100"/>
  <c r="H37" i="100"/>
  <c r="H54" i="100"/>
  <c r="H79" i="100"/>
  <c r="H45" i="100"/>
  <c r="H62" i="100"/>
  <c r="H60" i="100"/>
  <c r="H35" i="100"/>
  <c r="H65" i="100"/>
  <c r="H40" i="100"/>
  <c r="H83" i="100"/>
  <c r="H68" i="100"/>
  <c r="H51" i="100"/>
  <c r="H41" i="100"/>
  <c r="H19" i="100"/>
  <c r="H57" i="100"/>
  <c r="H58" i="100"/>
  <c r="H59" i="100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I239" i="8"/>
  <c r="AI176" i="8"/>
  <c r="G1283" i="170" l="1"/>
  <c r="A1300" i="170"/>
  <c r="R23" i="152"/>
  <c r="G19" i="136"/>
  <c r="F351" i="132" s="1"/>
  <c r="I351" i="132" s="1"/>
  <c r="K351" i="132" s="1"/>
  <c r="M351" i="132" s="1"/>
  <c r="D241" i="8"/>
  <c r="D243" i="8"/>
  <c r="D244" i="8"/>
  <c r="D245" i="8"/>
  <c r="B261" i="151" s="1"/>
  <c r="D246" i="8"/>
  <c r="D247" i="8"/>
  <c r="D248" i="8"/>
  <c r="B264" i="151" s="1"/>
  <c r="D249" i="8"/>
  <c r="D250" i="8"/>
  <c r="D251" i="8"/>
  <c r="D252" i="8"/>
  <c r="D253" i="8"/>
  <c r="B269" i="151" s="1"/>
  <c r="D254" i="8"/>
  <c r="D255" i="8"/>
  <c r="D256" i="8"/>
  <c r="D257" i="8"/>
  <c r="D258" i="8"/>
  <c r="D259" i="8"/>
  <c r="D260" i="8"/>
  <c r="D261" i="8"/>
  <c r="B277" i="151" s="1"/>
  <c r="D262" i="8"/>
  <c r="B274" i="9"/>
  <c r="D264" i="8"/>
  <c r="B280" i="151" s="1"/>
  <c r="D265" i="8"/>
  <c r="D266" i="8"/>
  <c r="D267" i="8"/>
  <c r="B283" i="151" s="1"/>
  <c r="D268" i="8"/>
  <c r="D269" i="8"/>
  <c r="B285" i="151" s="1"/>
  <c r="D270" i="8"/>
  <c r="D271" i="8"/>
  <c r="B287" i="151" s="1"/>
  <c r="D272" i="8"/>
  <c r="D273" i="8"/>
  <c r="D274" i="8"/>
  <c r="D275" i="8"/>
  <c r="B291" i="151" s="1"/>
  <c r="D276" i="8"/>
  <c r="D277" i="8"/>
  <c r="D278" i="8"/>
  <c r="D279" i="8"/>
  <c r="B295" i="151" s="1"/>
  <c r="D280" i="8"/>
  <c r="B296" i="151" s="1"/>
  <c r="D281" i="8"/>
  <c r="D282" i="8"/>
  <c r="D283" i="8"/>
  <c r="B299" i="151" s="1"/>
  <c r="D284" i="8"/>
  <c r="D285" i="8"/>
  <c r="D286" i="8"/>
  <c r="D287" i="8"/>
  <c r="B303" i="151" s="1"/>
  <c r="D288" i="8"/>
  <c r="D289" i="8"/>
  <c r="D290" i="8"/>
  <c r="D291" i="8"/>
  <c r="B307" i="151" s="1"/>
  <c r="D292" i="8"/>
  <c r="B308" i="151" s="1"/>
  <c r="D240" i="8"/>
  <c r="D178" i="8"/>
  <c r="D179" i="8"/>
  <c r="D180" i="8"/>
  <c r="B193" i="151" s="1"/>
  <c r="D181" i="8"/>
  <c r="D182" i="8"/>
  <c r="D183" i="8"/>
  <c r="D184" i="8"/>
  <c r="B197" i="151" s="1"/>
  <c r="D185" i="8"/>
  <c r="D186" i="8"/>
  <c r="D187" i="8"/>
  <c r="D188" i="8"/>
  <c r="D189" i="8"/>
  <c r="D190" i="8"/>
  <c r="D191" i="8"/>
  <c r="D192" i="8"/>
  <c r="D193" i="8"/>
  <c r="D194" i="8"/>
  <c r="B202" i="9" s="1"/>
  <c r="D195" i="8"/>
  <c r="D196" i="8"/>
  <c r="D197" i="8"/>
  <c r="D198" i="8"/>
  <c r="D199" i="8"/>
  <c r="D200" i="8"/>
  <c r="B213" i="151" s="1"/>
  <c r="D201" i="8"/>
  <c r="D202" i="8"/>
  <c r="D203" i="8"/>
  <c r="D204" i="8"/>
  <c r="D205" i="8"/>
  <c r="D206" i="8"/>
  <c r="D207" i="8"/>
  <c r="D208" i="8"/>
  <c r="D209" i="8"/>
  <c r="D210" i="8"/>
  <c r="D211" i="8"/>
  <c r="D212" i="8"/>
  <c r="B225" i="151" s="1"/>
  <c r="D213" i="8"/>
  <c r="D214" i="8"/>
  <c r="B222" i="9" s="1"/>
  <c r="D215" i="8"/>
  <c r="D216" i="8"/>
  <c r="B229" i="151" s="1"/>
  <c r="D217" i="8"/>
  <c r="D218" i="8"/>
  <c r="D219" i="8"/>
  <c r="D220" i="8"/>
  <c r="D221" i="8"/>
  <c r="D222" i="8"/>
  <c r="D223" i="8"/>
  <c r="D224" i="8"/>
  <c r="D225" i="8"/>
  <c r="D226" i="8"/>
  <c r="D227" i="8"/>
  <c r="D228" i="8"/>
  <c r="B241" i="151" s="1"/>
  <c r="D229" i="8"/>
  <c r="B238" i="9"/>
  <c r="D231" i="8"/>
  <c r="D232" i="8"/>
  <c r="D233" i="8"/>
  <c r="B246" i="151" s="1"/>
  <c r="D234" i="8"/>
  <c r="AT234" i="8"/>
  <c r="AT237" i="8"/>
  <c r="D93" i="8"/>
  <c r="B102" i="151" s="1"/>
  <c r="D94" i="8"/>
  <c r="B101" i="132" s="1"/>
  <c r="D95" i="8"/>
  <c r="D96" i="8"/>
  <c r="D97" i="8"/>
  <c r="D98" i="8"/>
  <c r="B105" i="132" s="1"/>
  <c r="D99" i="8"/>
  <c r="D100" i="8"/>
  <c r="D101" i="8"/>
  <c r="B110" i="151" s="1"/>
  <c r="D102" i="8"/>
  <c r="B109" i="132" s="1"/>
  <c r="D103" i="8"/>
  <c r="D104" i="8"/>
  <c r="D105" i="8"/>
  <c r="D106" i="8"/>
  <c r="B31" i="100" s="1"/>
  <c r="D107" i="8"/>
  <c r="D108" i="8"/>
  <c r="D109" i="8"/>
  <c r="B118" i="151" s="1"/>
  <c r="D110" i="8"/>
  <c r="D111" i="8"/>
  <c r="D112" i="8"/>
  <c r="D113" i="8"/>
  <c r="D115" i="8"/>
  <c r="D116" i="8"/>
  <c r="D118" i="8"/>
  <c r="B125" i="132" s="1"/>
  <c r="D119" i="8"/>
  <c r="D120" i="8"/>
  <c r="B129" i="151" s="1"/>
  <c r="D121" i="8"/>
  <c r="D122" i="8"/>
  <c r="D123" i="8"/>
  <c r="D124" i="8"/>
  <c r="D125" i="8"/>
  <c r="D127" i="8"/>
  <c r="D128" i="8"/>
  <c r="D129" i="8"/>
  <c r="D131" i="8"/>
  <c r="D133" i="8"/>
  <c r="B140" i="9"/>
  <c r="D137" i="8"/>
  <c r="D138" i="8"/>
  <c r="B145" i="132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6" i="8"/>
  <c r="D159" i="8"/>
  <c r="D160" i="8"/>
  <c r="D161" i="8"/>
  <c r="B166" i="9"/>
  <c r="D163" i="8"/>
  <c r="AT168" i="8"/>
  <c r="AT169" i="8"/>
  <c r="D177" i="8"/>
  <c r="D16" i="8"/>
  <c r="D17" i="8"/>
  <c r="B22" i="151" s="1"/>
  <c r="D18" i="8"/>
  <c r="D19" i="8"/>
  <c r="D20" i="8"/>
  <c r="B25" i="151" s="1"/>
  <c r="D21" i="8"/>
  <c r="D22" i="8"/>
  <c r="D23" i="8"/>
  <c r="D24" i="8"/>
  <c r="B29" i="151" s="1"/>
  <c r="D25" i="8"/>
  <c r="B30" i="151" s="1"/>
  <c r="D26" i="8"/>
  <c r="D27" i="8"/>
  <c r="D28" i="8"/>
  <c r="B33" i="151" s="1"/>
  <c r="D29" i="8"/>
  <c r="D30" i="8"/>
  <c r="D31" i="8"/>
  <c r="D32" i="8"/>
  <c r="B37" i="151" s="1"/>
  <c r="D33" i="8"/>
  <c r="B38" i="151" s="1"/>
  <c r="D34" i="8"/>
  <c r="D35" i="8"/>
  <c r="D36" i="8"/>
  <c r="B41" i="151" s="1"/>
  <c r="D37" i="8"/>
  <c r="D38" i="8"/>
  <c r="D39" i="8"/>
  <c r="D40" i="8"/>
  <c r="B45" i="151" s="1"/>
  <c r="D41" i="8"/>
  <c r="B46" i="151" s="1"/>
  <c r="D42" i="8"/>
  <c r="D43" i="8"/>
  <c r="D44" i="8"/>
  <c r="B49" i="151" s="1"/>
  <c r="D45" i="8"/>
  <c r="D46" i="8"/>
  <c r="D47" i="8"/>
  <c r="D48" i="8"/>
  <c r="B53" i="151" s="1"/>
  <c r="D49" i="8"/>
  <c r="D50" i="8"/>
  <c r="D52" i="8"/>
  <c r="B57" i="151" s="1"/>
  <c r="D53" i="8"/>
  <c r="D54" i="8"/>
  <c r="D55" i="8"/>
  <c r="D56" i="8"/>
  <c r="B61" i="151" s="1"/>
  <c r="D57" i="8"/>
  <c r="D58" i="8"/>
  <c r="D59" i="8"/>
  <c r="D60" i="8"/>
  <c r="B65" i="151" s="1"/>
  <c r="D61" i="8"/>
  <c r="D62" i="8"/>
  <c r="D63" i="8"/>
  <c r="D64" i="8"/>
  <c r="B69" i="151" s="1"/>
  <c r="B65" i="9"/>
  <c r="D66" i="8"/>
  <c r="D67" i="8"/>
  <c r="D68" i="8"/>
  <c r="B73" i="151" s="1"/>
  <c r="D69" i="8"/>
  <c r="D70" i="8"/>
  <c r="D71" i="8"/>
  <c r="D72" i="8"/>
  <c r="B77" i="151" s="1"/>
  <c r="D73" i="8"/>
  <c r="D74" i="8"/>
  <c r="B81" i="151"/>
  <c r="D77" i="8"/>
  <c r="D78" i="8"/>
  <c r="D80" i="8"/>
  <c r="B85" i="151" s="1"/>
  <c r="D81" i="8"/>
  <c r="D82" i="8"/>
  <c r="D83" i="8"/>
  <c r="AT84" i="8"/>
  <c r="AT88" i="8"/>
  <c r="B12" i="9"/>
  <c r="D13" i="8"/>
  <c r="D14" i="8"/>
  <c r="D15" i="8"/>
  <c r="D11" i="8"/>
  <c r="B16" i="151" s="1"/>
  <c r="AT85" i="8"/>
  <c r="AT86" i="8"/>
  <c r="AT89" i="8"/>
  <c r="AT166" i="8"/>
  <c r="AT167" i="8"/>
  <c r="AT170" i="8"/>
  <c r="AT235" i="8"/>
  <c r="AT236" i="8"/>
  <c r="AT238" i="8"/>
  <c r="AT292" i="8"/>
  <c r="AT293" i="8"/>
  <c r="AT294" i="8"/>
  <c r="AT295" i="8"/>
  <c r="AT296" i="8"/>
  <c r="AT297" i="8"/>
  <c r="AT298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T165" i="8" s="1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10" i="8"/>
  <c r="B117" i="132"/>
  <c r="H19" i="136" l="1"/>
  <c r="F18" i="167"/>
  <c r="G1300" i="170"/>
  <c r="A1317" i="170"/>
  <c r="B303" i="9"/>
  <c r="B100" i="132"/>
  <c r="B116" i="132"/>
  <c r="B108" i="132"/>
  <c r="B113" i="132"/>
  <c r="AT161" i="8"/>
  <c r="AT153" i="8"/>
  <c r="AT145" i="8"/>
  <c r="AT137" i="8"/>
  <c r="AT129" i="8"/>
  <c r="AT121" i="8"/>
  <c r="AT113" i="8"/>
  <c r="AT109" i="8"/>
  <c r="AT105" i="8"/>
  <c r="AT101" i="8"/>
  <c r="AT97" i="8"/>
  <c r="AT93" i="8"/>
  <c r="B87" i="99"/>
  <c r="B87" i="151"/>
  <c r="B79" i="99"/>
  <c r="B79" i="151"/>
  <c r="B71" i="99"/>
  <c r="B71" i="151"/>
  <c r="B67" i="99"/>
  <c r="B67" i="151"/>
  <c r="B63" i="99"/>
  <c r="B63" i="151"/>
  <c r="B59" i="99"/>
  <c r="B59" i="151"/>
  <c r="B55" i="99"/>
  <c r="B55" i="151"/>
  <c r="B47" i="99"/>
  <c r="B47" i="151"/>
  <c r="B39" i="99"/>
  <c r="B39" i="151"/>
  <c r="B35" i="99"/>
  <c r="B35" i="151"/>
  <c r="B31" i="99"/>
  <c r="B31" i="151"/>
  <c r="B27" i="99"/>
  <c r="B27" i="151"/>
  <c r="B23" i="99"/>
  <c r="B23" i="151"/>
  <c r="B188" i="132"/>
  <c r="B190" i="151"/>
  <c r="B156" i="9"/>
  <c r="B161" i="151"/>
  <c r="B69" i="100"/>
  <c r="B153" i="151"/>
  <c r="B147" i="132"/>
  <c r="B149" i="151"/>
  <c r="B49" i="100"/>
  <c r="B133" i="151"/>
  <c r="B41" i="101"/>
  <c r="B125" i="151"/>
  <c r="B107" i="132"/>
  <c r="B109" i="151"/>
  <c r="B103" i="132"/>
  <c r="B105" i="151"/>
  <c r="B231" i="132"/>
  <c r="B233" i="151"/>
  <c r="B215" i="132"/>
  <c r="B217" i="151"/>
  <c r="B207" i="132"/>
  <c r="B209" i="151"/>
  <c r="B199" i="132"/>
  <c r="B201" i="151"/>
  <c r="B299" i="9"/>
  <c r="B304" i="151"/>
  <c r="B283" i="9"/>
  <c r="B288" i="151"/>
  <c r="B267" i="9"/>
  <c r="B272" i="151"/>
  <c r="B88" i="99"/>
  <c r="B88" i="151"/>
  <c r="B76" i="99"/>
  <c r="B76" i="151"/>
  <c r="B72" i="99"/>
  <c r="B72" i="151"/>
  <c r="B64" i="99"/>
  <c r="B64" i="151"/>
  <c r="B60" i="99"/>
  <c r="B60" i="151"/>
  <c r="B56" i="99"/>
  <c r="B56" i="151"/>
  <c r="B52" i="99"/>
  <c r="B52" i="151"/>
  <c r="B28" i="99"/>
  <c r="B28" i="151"/>
  <c r="B24" i="99"/>
  <c r="B24" i="151"/>
  <c r="B86" i="100"/>
  <c r="B170" i="151"/>
  <c r="B78" i="100"/>
  <c r="B162" i="151"/>
  <c r="B70" i="100"/>
  <c r="B154" i="151"/>
  <c r="B62" i="100"/>
  <c r="B146" i="151"/>
  <c r="B54" i="100"/>
  <c r="B138" i="151"/>
  <c r="B50" i="100"/>
  <c r="B134" i="151"/>
  <c r="B46" i="100"/>
  <c r="B130" i="151"/>
  <c r="B38" i="100"/>
  <c r="B122" i="151"/>
  <c r="B30" i="100"/>
  <c r="B114" i="151"/>
  <c r="B240" i="132"/>
  <c r="B242" i="151"/>
  <c r="B232" i="132"/>
  <c r="B234" i="151"/>
  <c r="B224" i="132"/>
  <c r="B226" i="151"/>
  <c r="B216" i="132"/>
  <c r="B218" i="151"/>
  <c r="B208" i="132"/>
  <c r="B210" i="151"/>
  <c r="B200" i="132"/>
  <c r="B202" i="151"/>
  <c r="B192" i="132"/>
  <c r="B194" i="151"/>
  <c r="B303" i="132"/>
  <c r="B305" i="151"/>
  <c r="B291" i="132"/>
  <c r="B293" i="151"/>
  <c r="B19" i="99"/>
  <c r="B19" i="151"/>
  <c r="B19" i="132"/>
  <c r="B21" i="151"/>
  <c r="B158" i="9"/>
  <c r="B163" i="151"/>
  <c r="B157" i="132"/>
  <c r="B159" i="151"/>
  <c r="B71" i="101"/>
  <c r="B155" i="151"/>
  <c r="B67" i="100"/>
  <c r="B151" i="151"/>
  <c r="B63" i="101"/>
  <c r="B147" i="151"/>
  <c r="B141" i="132"/>
  <c r="B143" i="151"/>
  <c r="B47" i="101"/>
  <c r="B131" i="151"/>
  <c r="B43" i="100"/>
  <c r="B127" i="151"/>
  <c r="B35" i="101"/>
  <c r="B119" i="151"/>
  <c r="B31" i="101"/>
  <c r="B115" i="151"/>
  <c r="B27" i="101"/>
  <c r="B111" i="151"/>
  <c r="B23" i="101"/>
  <c r="B107" i="151"/>
  <c r="B19" i="101"/>
  <c r="B103" i="151"/>
  <c r="B242" i="9"/>
  <c r="B247" i="151"/>
  <c r="B234" i="9"/>
  <c r="B239" i="151"/>
  <c r="B230" i="9"/>
  <c r="B235" i="151"/>
  <c r="B226" i="9"/>
  <c r="B231" i="151"/>
  <c r="B218" i="9"/>
  <c r="B223" i="151"/>
  <c r="B214" i="9"/>
  <c r="B219" i="151"/>
  <c r="B210" i="9"/>
  <c r="B215" i="151"/>
  <c r="B206" i="9"/>
  <c r="B211" i="151"/>
  <c r="B198" i="9"/>
  <c r="B203" i="151"/>
  <c r="B194" i="9"/>
  <c r="B199" i="151"/>
  <c r="B190" i="9"/>
  <c r="B195" i="151"/>
  <c r="B186" i="9"/>
  <c r="B191" i="151"/>
  <c r="B304" i="132"/>
  <c r="B306" i="151"/>
  <c r="B300" i="132"/>
  <c r="B302" i="151"/>
  <c r="B296" i="132"/>
  <c r="B298" i="151"/>
  <c r="B292" i="132"/>
  <c r="B294" i="151"/>
  <c r="B288" i="132"/>
  <c r="B290" i="151"/>
  <c r="B284" i="132"/>
  <c r="B286" i="151"/>
  <c r="B280" i="132"/>
  <c r="B282" i="151"/>
  <c r="B276" i="132"/>
  <c r="B278" i="151"/>
  <c r="B272" i="132"/>
  <c r="B274" i="151"/>
  <c r="B268" i="132"/>
  <c r="B270" i="151"/>
  <c r="B264" i="132"/>
  <c r="B266" i="151"/>
  <c r="B260" i="132"/>
  <c r="B262" i="151"/>
  <c r="B83" i="99"/>
  <c r="B83" i="151"/>
  <c r="B75" i="99"/>
  <c r="B75" i="151"/>
  <c r="B51" i="99"/>
  <c r="B51" i="151"/>
  <c r="B43" i="99"/>
  <c r="B43" i="151"/>
  <c r="B164" i="9"/>
  <c r="B169" i="151"/>
  <c r="B163" i="132"/>
  <c r="B165" i="151"/>
  <c r="B73" i="101"/>
  <c r="B157" i="151"/>
  <c r="B132" i="9"/>
  <c r="B137" i="151"/>
  <c r="B119" i="132"/>
  <c r="B121" i="151"/>
  <c r="B115" i="132"/>
  <c r="B117" i="151"/>
  <c r="B111" i="132"/>
  <c r="B113" i="151"/>
  <c r="B240" i="9"/>
  <c r="B245" i="151"/>
  <c r="B62" i="102"/>
  <c r="B237" i="151"/>
  <c r="B46" i="102"/>
  <c r="B221" i="151"/>
  <c r="B30" i="102"/>
  <c r="B205" i="151"/>
  <c r="B298" i="132"/>
  <c r="B300" i="151"/>
  <c r="B290" i="132"/>
  <c r="B292" i="151"/>
  <c r="B282" i="132"/>
  <c r="B284" i="151"/>
  <c r="B274" i="132"/>
  <c r="B276" i="151"/>
  <c r="B263" i="9"/>
  <c r="B268" i="151"/>
  <c r="B258" i="132"/>
  <c r="B260" i="151"/>
  <c r="B13" i="9"/>
  <c r="B18" i="151"/>
  <c r="B68" i="99"/>
  <c r="B68" i="151"/>
  <c r="B48" i="99"/>
  <c r="B48" i="151"/>
  <c r="B44" i="99"/>
  <c r="B44" i="151"/>
  <c r="B40" i="99"/>
  <c r="B40" i="151"/>
  <c r="B36" i="99"/>
  <c r="B36" i="151"/>
  <c r="B32" i="99"/>
  <c r="B32" i="151"/>
  <c r="B74" i="100"/>
  <c r="B158" i="151"/>
  <c r="B66" i="100"/>
  <c r="B150" i="151"/>
  <c r="B58" i="100"/>
  <c r="B142" i="151"/>
  <c r="B22" i="100"/>
  <c r="B106" i="151"/>
  <c r="B236" i="132"/>
  <c r="B238" i="151"/>
  <c r="B228" i="132"/>
  <c r="B230" i="151"/>
  <c r="B220" i="132"/>
  <c r="B222" i="151"/>
  <c r="B212" i="132"/>
  <c r="B214" i="151"/>
  <c r="B204" i="132"/>
  <c r="B206" i="151"/>
  <c r="B196" i="132"/>
  <c r="B198" i="151"/>
  <c r="B254" i="132"/>
  <c r="B256" i="151"/>
  <c r="B299" i="132"/>
  <c r="B301" i="151"/>
  <c r="B295" i="132"/>
  <c r="B297" i="151"/>
  <c r="B287" i="132"/>
  <c r="B289" i="151"/>
  <c r="B279" i="132"/>
  <c r="B281" i="151"/>
  <c r="B271" i="132"/>
  <c r="B273" i="151"/>
  <c r="B263" i="132"/>
  <c r="B265" i="151"/>
  <c r="B255" i="132"/>
  <c r="B257" i="151"/>
  <c r="B15" i="9"/>
  <c r="B20" i="151"/>
  <c r="B81" i="9"/>
  <c r="B86" i="151"/>
  <c r="B77" i="9"/>
  <c r="B82" i="151"/>
  <c r="B73" i="9"/>
  <c r="B78" i="151"/>
  <c r="B69" i="9"/>
  <c r="B74" i="151"/>
  <c r="B61" i="9"/>
  <c r="B66" i="151"/>
  <c r="B57" i="9"/>
  <c r="B62" i="151"/>
  <c r="B53" i="9"/>
  <c r="B58" i="151"/>
  <c r="B49" i="9"/>
  <c r="B54" i="151"/>
  <c r="B45" i="9"/>
  <c r="B50" i="151"/>
  <c r="B37" i="9"/>
  <c r="B42" i="151"/>
  <c r="B29" i="9"/>
  <c r="B34" i="151"/>
  <c r="B21" i="9"/>
  <c r="B26" i="151"/>
  <c r="B88" i="100"/>
  <c r="B172" i="151"/>
  <c r="B84" i="100"/>
  <c r="B168" i="151"/>
  <c r="B76" i="100"/>
  <c r="B160" i="151"/>
  <c r="B72" i="101"/>
  <c r="B156" i="151"/>
  <c r="B64" i="101"/>
  <c r="B148" i="151"/>
  <c r="B56" i="101"/>
  <c r="B140" i="151"/>
  <c r="B52" i="100"/>
  <c r="B136" i="151"/>
  <c r="B48" i="101"/>
  <c r="B132" i="151"/>
  <c r="B44" i="101"/>
  <c r="B128" i="151"/>
  <c r="B122" i="132"/>
  <c r="B124" i="151"/>
  <c r="B36" i="100"/>
  <c r="B120" i="151"/>
  <c r="B32" i="101"/>
  <c r="B116" i="151"/>
  <c r="B28" i="101"/>
  <c r="B112" i="151"/>
  <c r="B24" i="101"/>
  <c r="B108" i="151"/>
  <c r="B20" i="100"/>
  <c r="B104" i="151"/>
  <c r="B239" i="9"/>
  <c r="B244" i="151"/>
  <c r="B235" i="9"/>
  <c r="B240" i="151"/>
  <c r="B231" i="9"/>
  <c r="B236" i="151"/>
  <c r="B227" i="9"/>
  <c r="B232" i="151"/>
  <c r="B223" i="9"/>
  <c r="B228" i="151"/>
  <c r="B219" i="9"/>
  <c r="B224" i="151"/>
  <c r="B215" i="9"/>
  <c r="B220" i="151"/>
  <c r="B211" i="9"/>
  <c r="B216" i="151"/>
  <c r="B207" i="9"/>
  <c r="B212" i="151"/>
  <c r="B203" i="9"/>
  <c r="B208" i="151"/>
  <c r="B199" i="9"/>
  <c r="B204" i="151"/>
  <c r="B195" i="9"/>
  <c r="B200" i="151"/>
  <c r="B191" i="9"/>
  <c r="B196" i="151"/>
  <c r="B187" i="9"/>
  <c r="B192" i="151"/>
  <c r="B273" i="132"/>
  <c r="B275" i="151"/>
  <c r="B269" i="132"/>
  <c r="B271" i="151"/>
  <c r="B265" i="132"/>
  <c r="B267" i="151"/>
  <c r="B261" i="132"/>
  <c r="B263" i="151"/>
  <c r="B257" i="132"/>
  <c r="B259" i="151"/>
  <c r="B58" i="9"/>
  <c r="B53" i="100"/>
  <c r="B65" i="100"/>
  <c r="B160" i="132"/>
  <c r="B77" i="100"/>
  <c r="B22" i="102"/>
  <c r="B120" i="132"/>
  <c r="B112" i="132"/>
  <c r="B104" i="132"/>
  <c r="B160" i="9"/>
  <c r="B71" i="100"/>
  <c r="B47" i="100"/>
  <c r="B17" i="132"/>
  <c r="B129" i="132"/>
  <c r="B59" i="100"/>
  <c r="B23" i="100"/>
  <c r="B153" i="132"/>
  <c r="B14" i="9"/>
  <c r="B259" i="9"/>
  <c r="B85" i="100"/>
  <c r="B75" i="100"/>
  <c r="B63" i="100"/>
  <c r="B35" i="100"/>
  <c r="B19" i="100"/>
  <c r="B161" i="132"/>
  <c r="B149" i="132"/>
  <c r="B127" i="132"/>
  <c r="B120" i="9"/>
  <c r="B79" i="100"/>
  <c r="B27" i="100"/>
  <c r="B18" i="102"/>
  <c r="AT287" i="8"/>
  <c r="AT283" i="8"/>
  <c r="AT279" i="8"/>
  <c r="AT275" i="8"/>
  <c r="AT271" i="8"/>
  <c r="AT267" i="8"/>
  <c r="AT263" i="8"/>
  <c r="AT259" i="8"/>
  <c r="AT255" i="8"/>
  <c r="AT251" i="8"/>
  <c r="AT247" i="8"/>
  <c r="AT243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B204" i="9"/>
  <c r="B29" i="101"/>
  <c r="B25" i="132"/>
  <c r="B191" i="132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27" i="8"/>
  <c r="AT23" i="8"/>
  <c r="AT19" i="8"/>
  <c r="AT15" i="8"/>
  <c r="B50" i="9"/>
  <c r="B185" i="9"/>
  <c r="B33" i="101"/>
  <c r="B29" i="132"/>
  <c r="B203" i="132"/>
  <c r="B128" i="132"/>
  <c r="AT82" i="8"/>
  <c r="AT78" i="8"/>
  <c r="AT74" i="8"/>
  <c r="AT70" i="8"/>
  <c r="AT66" i="8"/>
  <c r="AT62" i="8"/>
  <c r="AT58" i="8"/>
  <c r="AT54" i="8"/>
  <c r="AT50" i="8"/>
  <c r="AT46" i="8"/>
  <c r="AT42" i="8"/>
  <c r="AT38" i="8"/>
  <c r="AT34" i="8"/>
  <c r="AT30" i="8"/>
  <c r="AT26" i="8"/>
  <c r="AT22" i="8"/>
  <c r="AT18" i="8"/>
  <c r="B32" i="100"/>
  <c r="B82" i="9"/>
  <c r="B18" i="9"/>
  <c r="B128" i="9"/>
  <c r="B212" i="9"/>
  <c r="B271" i="9"/>
  <c r="B45" i="100"/>
  <c r="B33" i="100"/>
  <c r="B25" i="100"/>
  <c r="B50" i="102"/>
  <c r="B57" i="132"/>
  <c r="B223" i="132"/>
  <c r="B278" i="132"/>
  <c r="B26" i="9"/>
  <c r="B152" i="9"/>
  <c r="B236" i="9"/>
  <c r="B291" i="9"/>
  <c r="B65" i="101"/>
  <c r="B54" i="102"/>
  <c r="B61" i="132"/>
  <c r="B155" i="132"/>
  <c r="B235" i="132"/>
  <c r="B286" i="132"/>
  <c r="AT91" i="8"/>
  <c r="B66" i="9"/>
  <c r="B34" i="9"/>
  <c r="B168" i="9"/>
  <c r="B136" i="9"/>
  <c r="B104" i="9"/>
  <c r="B220" i="9"/>
  <c r="B188" i="9"/>
  <c r="B275" i="9"/>
  <c r="B45" i="101"/>
  <c r="B66" i="102"/>
  <c r="B34" i="102"/>
  <c r="B73" i="132"/>
  <c r="B41" i="132"/>
  <c r="B167" i="132"/>
  <c r="B123" i="132"/>
  <c r="B239" i="132"/>
  <c r="B294" i="132"/>
  <c r="B262" i="132"/>
  <c r="B74" i="9"/>
  <c r="B42" i="9"/>
  <c r="B144" i="9"/>
  <c r="B112" i="9"/>
  <c r="B228" i="9"/>
  <c r="B196" i="9"/>
  <c r="B287" i="9"/>
  <c r="B255" i="9"/>
  <c r="B21" i="100"/>
  <c r="B49" i="101"/>
  <c r="B15" i="102"/>
  <c r="B38" i="102"/>
  <c r="B77" i="132"/>
  <c r="B45" i="132"/>
  <c r="B159" i="132"/>
  <c r="B151" i="132"/>
  <c r="B131" i="132"/>
  <c r="B219" i="132"/>
  <c r="B302" i="132"/>
  <c r="B266" i="132"/>
  <c r="AT290" i="8"/>
  <c r="AT286" i="8"/>
  <c r="AT282" i="8"/>
  <c r="AT278" i="8"/>
  <c r="AT274" i="8"/>
  <c r="AT270" i="8"/>
  <c r="AT266" i="8"/>
  <c r="AT262" i="8"/>
  <c r="AT258" i="8"/>
  <c r="AT254" i="8"/>
  <c r="AT250" i="8"/>
  <c r="AT246" i="8"/>
  <c r="AT242" i="8"/>
  <c r="AT163" i="8"/>
  <c r="AT159" i="8"/>
  <c r="AT155" i="8"/>
  <c r="AT151" i="8"/>
  <c r="AT147" i="8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AT95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B33" i="9"/>
  <c r="B17" i="9"/>
  <c r="B237" i="9"/>
  <c r="B221" i="9"/>
  <c r="B205" i="9"/>
  <c r="B189" i="9"/>
  <c r="B152" i="132"/>
  <c r="B83" i="9"/>
  <c r="B67" i="9"/>
  <c r="B51" i="9"/>
  <c r="B35" i="9"/>
  <c r="B19" i="9"/>
  <c r="B233" i="9"/>
  <c r="B217" i="9"/>
  <c r="B201" i="9"/>
  <c r="B75" i="9"/>
  <c r="B43" i="9"/>
  <c r="B25" i="9"/>
  <c r="B159" i="9"/>
  <c r="B143" i="9"/>
  <c r="B127" i="9"/>
  <c r="B111" i="9"/>
  <c r="B241" i="9"/>
  <c r="B229" i="9"/>
  <c r="B209" i="9"/>
  <c r="B197" i="9"/>
  <c r="B64" i="100"/>
  <c r="B156" i="132"/>
  <c r="B132" i="132"/>
  <c r="B59" i="9"/>
  <c r="B41" i="9"/>
  <c r="B27" i="9"/>
  <c r="B167" i="9"/>
  <c r="B151" i="9"/>
  <c r="B135" i="9"/>
  <c r="B119" i="9"/>
  <c r="B103" i="9"/>
  <c r="B225" i="9"/>
  <c r="B213" i="9"/>
  <c r="B193" i="9"/>
  <c r="B72" i="100"/>
  <c r="B40" i="100"/>
  <c r="B170" i="132"/>
  <c r="B297" i="132"/>
  <c r="B289" i="132"/>
  <c r="B281" i="132"/>
  <c r="B163" i="9"/>
  <c r="B139" i="9"/>
  <c r="B115" i="9"/>
  <c r="B279" i="9"/>
  <c r="B58" i="102"/>
  <c r="B81" i="132"/>
  <c r="B33" i="132"/>
  <c r="B135" i="132"/>
  <c r="AT231" i="8"/>
  <c r="AT227" i="8"/>
  <c r="AT223" i="8"/>
  <c r="AT219" i="8"/>
  <c r="AT215" i="8"/>
  <c r="AT211" i="8"/>
  <c r="AT207" i="8"/>
  <c r="AT203" i="8"/>
  <c r="AT199" i="8"/>
  <c r="AT195" i="8"/>
  <c r="AT191" i="8"/>
  <c r="AT187" i="8"/>
  <c r="AT183" i="8"/>
  <c r="AT179" i="8"/>
  <c r="B155" i="9"/>
  <c r="B147" i="9"/>
  <c r="B131" i="9"/>
  <c r="B123" i="9"/>
  <c r="B107" i="9"/>
  <c r="B99" i="9"/>
  <c r="B295" i="9"/>
  <c r="B73" i="100"/>
  <c r="B48" i="100"/>
  <c r="B41" i="100"/>
  <c r="B29" i="100"/>
  <c r="B53" i="101"/>
  <c r="B37" i="101"/>
  <c r="B21" i="101"/>
  <c r="B42" i="102"/>
  <c r="B26" i="102"/>
  <c r="B65" i="132"/>
  <c r="B49" i="132"/>
  <c r="B118" i="132"/>
  <c r="B114" i="132"/>
  <c r="B110" i="132"/>
  <c r="B106" i="132"/>
  <c r="B102" i="132"/>
  <c r="B243" i="132"/>
  <c r="B227" i="132"/>
  <c r="B211" i="132"/>
  <c r="B195" i="132"/>
  <c r="B270" i="132"/>
  <c r="B78" i="9"/>
  <c r="B70" i="9"/>
  <c r="B62" i="9"/>
  <c r="B54" i="9"/>
  <c r="B46" i="9"/>
  <c r="B38" i="9"/>
  <c r="B30" i="9"/>
  <c r="B22" i="9"/>
  <c r="B148" i="9"/>
  <c r="B124" i="9"/>
  <c r="B116" i="9"/>
  <c r="B108" i="9"/>
  <c r="B100" i="9"/>
  <c r="B232" i="9"/>
  <c r="B224" i="9"/>
  <c r="B216" i="9"/>
  <c r="B208" i="9"/>
  <c r="B200" i="9"/>
  <c r="B192" i="9"/>
  <c r="B81" i="100"/>
  <c r="B56" i="100"/>
  <c r="B37" i="100"/>
  <c r="B24" i="100"/>
  <c r="B25" i="101"/>
  <c r="B85" i="132"/>
  <c r="B69" i="132"/>
  <c r="B53" i="132"/>
  <c r="B37" i="132"/>
  <c r="B21" i="132"/>
  <c r="B158" i="132"/>
  <c r="B154" i="132"/>
  <c r="B138" i="132"/>
  <c r="B130" i="132"/>
  <c r="B126" i="132"/>
  <c r="B301" i="132"/>
  <c r="B293" i="132"/>
  <c r="B285" i="132"/>
  <c r="AT176" i="8"/>
  <c r="B79" i="9"/>
  <c r="B63" i="9"/>
  <c r="B47" i="9"/>
  <c r="B31" i="9"/>
  <c r="B298" i="9"/>
  <c r="B290" i="9"/>
  <c r="B282" i="9"/>
  <c r="B266" i="9"/>
  <c r="B258" i="9"/>
  <c r="B44" i="100"/>
  <c r="B28" i="100"/>
  <c r="B52" i="101"/>
  <c r="B36" i="101"/>
  <c r="B20" i="101"/>
  <c r="B63" i="102"/>
  <c r="B55" i="102"/>
  <c r="B47" i="102"/>
  <c r="B39" i="102"/>
  <c r="B31" i="102"/>
  <c r="B23" i="102"/>
  <c r="B86" i="132"/>
  <c r="B74" i="132"/>
  <c r="B66" i="132"/>
  <c r="B58" i="132"/>
  <c r="B50" i="132"/>
  <c r="B42" i="132"/>
  <c r="B34" i="132"/>
  <c r="B26" i="132"/>
  <c r="B166" i="132"/>
  <c r="B146" i="132"/>
  <c r="B140" i="132"/>
  <c r="B134" i="132"/>
  <c r="AT230" i="8"/>
  <c r="AT226" i="8"/>
  <c r="AT222" i="8"/>
  <c r="AT218" i="8"/>
  <c r="AT214" i="8"/>
  <c r="AT210" i="8"/>
  <c r="AT206" i="8"/>
  <c r="AT202" i="8"/>
  <c r="AT198" i="8"/>
  <c r="AT194" i="8"/>
  <c r="AT190" i="8"/>
  <c r="AT186" i="8"/>
  <c r="AT182" i="8"/>
  <c r="AT152" i="8"/>
  <c r="AT144" i="8"/>
  <c r="AT136" i="8"/>
  <c r="AT128" i="8"/>
  <c r="AT120" i="8"/>
  <c r="AT13" i="8"/>
  <c r="B71" i="9"/>
  <c r="B55" i="9"/>
  <c r="B39" i="9"/>
  <c r="B23" i="9"/>
  <c r="B302" i="9"/>
  <c r="B294" i="9"/>
  <c r="B286" i="9"/>
  <c r="B278" i="9"/>
  <c r="B270" i="9"/>
  <c r="B262" i="9"/>
  <c r="B254" i="9"/>
  <c r="B40" i="101"/>
  <c r="B67" i="102"/>
  <c r="B59" i="102"/>
  <c r="B51" i="102"/>
  <c r="B43" i="102"/>
  <c r="B35" i="102"/>
  <c r="B27" i="102"/>
  <c r="B19" i="102"/>
  <c r="B70" i="132"/>
  <c r="B62" i="132"/>
  <c r="B54" i="132"/>
  <c r="B46" i="132"/>
  <c r="B38" i="132"/>
  <c r="B30" i="132"/>
  <c r="B22" i="132"/>
  <c r="B168" i="132"/>
  <c r="B148" i="132"/>
  <c r="B144" i="132"/>
  <c r="B136" i="132"/>
  <c r="AT232" i="8"/>
  <c r="AT228" i="8"/>
  <c r="AT224" i="8"/>
  <c r="AT220" i="8"/>
  <c r="AT216" i="8"/>
  <c r="AT212" i="8"/>
  <c r="AT208" i="8"/>
  <c r="AT204" i="8"/>
  <c r="AT200" i="8"/>
  <c r="AT196" i="8"/>
  <c r="AT192" i="8"/>
  <c r="AT188" i="8"/>
  <c r="AT184" i="8"/>
  <c r="AT180" i="8"/>
  <c r="AT162" i="8"/>
  <c r="AT158" i="8"/>
  <c r="AT154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94" i="8"/>
  <c r="B16" i="99"/>
  <c r="B16" i="132"/>
  <c r="B18" i="99"/>
  <c r="D18" i="136"/>
  <c r="D20" i="136"/>
  <c r="AC173" i="9"/>
  <c r="B20" i="99"/>
  <c r="B86" i="99"/>
  <c r="B82" i="99"/>
  <c r="B78" i="99"/>
  <c r="B74" i="99"/>
  <c r="B66" i="99"/>
  <c r="B62" i="99"/>
  <c r="B58" i="99"/>
  <c r="B54" i="99"/>
  <c r="B48" i="132"/>
  <c r="B50" i="99"/>
  <c r="B44" i="132"/>
  <c r="B46" i="99"/>
  <c r="B40" i="132"/>
  <c r="B42" i="99"/>
  <c r="B36" i="132"/>
  <c r="B38" i="99"/>
  <c r="B32" i="132"/>
  <c r="B34" i="99"/>
  <c r="B28" i="132"/>
  <c r="B30" i="99"/>
  <c r="B24" i="132"/>
  <c r="B26" i="99"/>
  <c r="B20" i="132"/>
  <c r="B22" i="99"/>
  <c r="G18" i="136"/>
  <c r="G41" i="154" s="1"/>
  <c r="B80" i="9"/>
  <c r="B85" i="99"/>
  <c r="B76" i="9"/>
  <c r="B72" i="9"/>
  <c r="B77" i="99"/>
  <c r="B68" i="9"/>
  <c r="B64" i="9"/>
  <c r="B69" i="99"/>
  <c r="B60" i="9"/>
  <c r="B65" i="99"/>
  <c r="B56" i="9"/>
  <c r="B61" i="99"/>
  <c r="B52" i="9"/>
  <c r="B57" i="99"/>
  <c r="B48" i="9"/>
  <c r="B53" i="99"/>
  <c r="B44" i="9"/>
  <c r="B49" i="99"/>
  <c r="B40" i="9"/>
  <c r="B45" i="99"/>
  <c r="B36" i="9"/>
  <c r="B41" i="99"/>
  <c r="B32" i="9"/>
  <c r="B37" i="99"/>
  <c r="B28" i="9"/>
  <c r="B33" i="99"/>
  <c r="B24" i="9"/>
  <c r="B29" i="99"/>
  <c r="B20" i="9"/>
  <c r="B25" i="99"/>
  <c r="B16" i="9"/>
  <c r="B21" i="99"/>
  <c r="AT11" i="8"/>
  <c r="AT14" i="8"/>
  <c r="AT12" i="8"/>
  <c r="AT291" i="8"/>
  <c r="AT108" i="8"/>
  <c r="AT100" i="8"/>
  <c r="AT92" i="8"/>
  <c r="AT268" i="8"/>
  <c r="AT260" i="8"/>
  <c r="AT252" i="8"/>
  <c r="AT244" i="8"/>
  <c r="AT157" i="8"/>
  <c r="AT149" i="8"/>
  <c r="AT141" i="8"/>
  <c r="AT133" i="8"/>
  <c r="AT125" i="8"/>
  <c r="AT117" i="8"/>
  <c r="AT288" i="8"/>
  <c r="AT284" i="8"/>
  <c r="AT280" i="8"/>
  <c r="AT276" i="8"/>
  <c r="AT272" i="8"/>
  <c r="AT264" i="8"/>
  <c r="AT256" i="8"/>
  <c r="AT248" i="8"/>
  <c r="AT240" i="8"/>
  <c r="B300" i="9"/>
  <c r="B296" i="9"/>
  <c r="B292" i="9"/>
  <c r="B288" i="9"/>
  <c r="B284" i="9"/>
  <c r="B280" i="9"/>
  <c r="B276" i="9"/>
  <c r="B272" i="9"/>
  <c r="B268" i="9"/>
  <c r="B264" i="9"/>
  <c r="B260" i="9"/>
  <c r="B256" i="9"/>
  <c r="B252" i="9"/>
  <c r="B283" i="132"/>
  <c r="B275" i="132"/>
  <c r="B267" i="132"/>
  <c r="B259" i="132"/>
  <c r="AT289" i="8"/>
  <c r="AT285" i="8"/>
  <c r="AT281" i="8"/>
  <c r="AT277" i="8"/>
  <c r="AT273" i="8"/>
  <c r="AT269" i="8"/>
  <c r="AT265" i="8"/>
  <c r="AT261" i="8"/>
  <c r="AT257" i="8"/>
  <c r="AT253" i="8"/>
  <c r="AT249" i="8"/>
  <c r="AT245" i="8"/>
  <c r="AT241" i="8"/>
  <c r="B301" i="9"/>
  <c r="B297" i="9"/>
  <c r="B293" i="9"/>
  <c r="B289" i="9"/>
  <c r="B285" i="9"/>
  <c r="B281" i="9"/>
  <c r="B277" i="9"/>
  <c r="B273" i="9"/>
  <c r="B269" i="9"/>
  <c r="B265" i="9"/>
  <c r="B261" i="9"/>
  <c r="B257" i="9"/>
  <c r="B253" i="9"/>
  <c r="B251" i="9"/>
  <c r="AT239" i="8"/>
  <c r="B64" i="102"/>
  <c r="B60" i="102"/>
  <c r="B56" i="102"/>
  <c r="B48" i="102"/>
  <c r="B44" i="102"/>
  <c r="B40" i="102"/>
  <c r="B36" i="102"/>
  <c r="B28" i="102"/>
  <c r="B24" i="102"/>
  <c r="B20" i="102"/>
  <c r="B16" i="102"/>
  <c r="B237" i="132"/>
  <c r="B233" i="132"/>
  <c r="B229" i="132"/>
  <c r="B221" i="132"/>
  <c r="B217" i="132"/>
  <c r="B213" i="132"/>
  <c r="B209" i="132"/>
  <c r="B201" i="132"/>
  <c r="B197" i="132"/>
  <c r="B193" i="132"/>
  <c r="B189" i="132"/>
  <c r="B65" i="102"/>
  <c r="B61" i="102"/>
  <c r="B57" i="102"/>
  <c r="B53" i="102"/>
  <c r="B49" i="102"/>
  <c r="B45" i="102"/>
  <c r="B41" i="102"/>
  <c r="B37" i="102"/>
  <c r="B33" i="102"/>
  <c r="B29" i="102"/>
  <c r="B25" i="102"/>
  <c r="B21" i="102"/>
  <c r="B17" i="102"/>
  <c r="B242" i="132"/>
  <c r="B238" i="132"/>
  <c r="B234" i="132"/>
  <c r="B230" i="132"/>
  <c r="B226" i="132"/>
  <c r="B222" i="132"/>
  <c r="B218" i="132"/>
  <c r="B214" i="132"/>
  <c r="B210" i="132"/>
  <c r="B206" i="132"/>
  <c r="B202" i="132"/>
  <c r="B198" i="132"/>
  <c r="B194" i="132"/>
  <c r="B190" i="132"/>
  <c r="AT233" i="8"/>
  <c r="AT229" i="8"/>
  <c r="AT225" i="8"/>
  <c r="AT221" i="8"/>
  <c r="AT217" i="8"/>
  <c r="AT213" i="8"/>
  <c r="AT209" i="8"/>
  <c r="AT205" i="8"/>
  <c r="AT201" i="8"/>
  <c r="AT197" i="8"/>
  <c r="AT193" i="8"/>
  <c r="AT189" i="8"/>
  <c r="AT185" i="8"/>
  <c r="AT181" i="8"/>
  <c r="B165" i="9"/>
  <c r="B157" i="9"/>
  <c r="B145" i="9"/>
  <c r="B133" i="9"/>
  <c r="B125" i="9"/>
  <c r="B113" i="9"/>
  <c r="B105" i="9"/>
  <c r="B97" i="9"/>
  <c r="B74" i="101"/>
  <c r="B66" i="101"/>
  <c r="B58" i="101"/>
  <c r="B50" i="101"/>
  <c r="B30" i="101"/>
  <c r="B22" i="101"/>
  <c r="B162" i="9"/>
  <c r="B154" i="9"/>
  <c r="B150" i="9"/>
  <c r="B146" i="9"/>
  <c r="B142" i="9"/>
  <c r="B138" i="9"/>
  <c r="B134" i="9"/>
  <c r="B130" i="9"/>
  <c r="B126" i="9"/>
  <c r="B122" i="9"/>
  <c r="B118" i="9"/>
  <c r="B114" i="9"/>
  <c r="B110" i="9"/>
  <c r="B106" i="9"/>
  <c r="B102" i="9"/>
  <c r="B98" i="9"/>
  <c r="B67" i="101"/>
  <c r="B59" i="101"/>
  <c r="B43" i="101"/>
  <c r="AT177" i="8"/>
  <c r="AT148" i="8"/>
  <c r="AT140" i="8"/>
  <c r="AT132" i="8"/>
  <c r="AT124" i="8"/>
  <c r="AT116" i="8"/>
  <c r="B169" i="9"/>
  <c r="B161" i="9"/>
  <c r="B153" i="9"/>
  <c r="B149" i="9"/>
  <c r="B141" i="9"/>
  <c r="B137" i="9"/>
  <c r="B129" i="9"/>
  <c r="B121" i="9"/>
  <c r="B117" i="9"/>
  <c r="B109" i="9"/>
  <c r="B101" i="9"/>
  <c r="B70" i="101"/>
  <c r="B62" i="101"/>
  <c r="B54" i="101"/>
  <c r="B46" i="101"/>
  <c r="B38" i="101"/>
  <c r="B34" i="101"/>
  <c r="B26" i="101"/>
  <c r="B18" i="101"/>
  <c r="AT112" i="8"/>
  <c r="AT104" i="8"/>
  <c r="AT96" i="8"/>
  <c r="B34" i="100"/>
  <c r="B26" i="100"/>
  <c r="B18" i="100"/>
  <c r="AT178" i="8"/>
  <c r="AT164" i="8"/>
  <c r="AT160" i="8"/>
  <c r="AT156" i="8"/>
  <c r="B96" i="9"/>
  <c r="AT83" i="8"/>
  <c r="B84" i="132"/>
  <c r="B80" i="132"/>
  <c r="B76" i="132"/>
  <c r="B72" i="132"/>
  <c r="B64" i="132"/>
  <c r="B60" i="132"/>
  <c r="B56" i="132"/>
  <c r="B52" i="132"/>
  <c r="B83" i="132"/>
  <c r="B75" i="132"/>
  <c r="B71" i="132"/>
  <c r="B67" i="132"/>
  <c r="B63" i="132"/>
  <c r="B59" i="132"/>
  <c r="B55" i="132"/>
  <c r="B51" i="132"/>
  <c r="B47" i="132"/>
  <c r="B43" i="132"/>
  <c r="B39" i="132"/>
  <c r="B35" i="132"/>
  <c r="B31" i="132"/>
  <c r="B27" i="132"/>
  <c r="B23" i="132"/>
  <c r="B18" i="132"/>
  <c r="B11" i="9"/>
  <c r="AT10" i="8"/>
  <c r="B14" i="132"/>
  <c r="Y6" i="137"/>
  <c r="Z6" i="137" s="1"/>
  <c r="AA6" i="137" s="1"/>
  <c r="AP41" i="138"/>
  <c r="AO41" i="138"/>
  <c r="AN41" i="138"/>
  <c r="AL38" i="138"/>
  <c r="F14" i="137"/>
  <c r="F38" i="137" s="1"/>
  <c r="H18" i="136" l="1"/>
  <c r="G18" i="167"/>
  <c r="I19" i="136"/>
  <c r="AC183" i="9"/>
  <c r="A1334" i="170"/>
  <c r="G1317" i="170"/>
  <c r="J33" i="137"/>
  <c r="AK37" i="138"/>
  <c r="H41" i="154" l="1"/>
  <c r="I18" i="136"/>
  <c r="A1351" i="170"/>
  <c r="G1334" i="170"/>
  <c r="D19" i="79"/>
  <c r="J38" i="137"/>
  <c r="K38" i="137"/>
  <c r="G1351" i="170" l="1"/>
  <c r="A1368" i="170"/>
  <c r="G1368" i="170" l="1"/>
  <c r="A1385" i="170"/>
  <c r="A1402" i="170" l="1"/>
  <c r="G1385" i="170"/>
  <c r="K15" i="136"/>
  <c r="A1419" i="170" l="1"/>
  <c r="A1436" i="170" s="1"/>
  <c r="A1454" i="170" s="1"/>
  <c r="G1454" i="170" s="1"/>
  <c r="G1402" i="170"/>
  <c r="Z5" i="136"/>
  <c r="AA5" i="136" s="1"/>
  <c r="AB5" i="136" s="1"/>
  <c r="D343" i="132"/>
  <c r="D344" i="132"/>
  <c r="D345" i="132"/>
  <c r="Y5" i="135"/>
  <c r="Z5" i="135" s="1"/>
  <c r="AA5" i="135" s="1"/>
  <c r="G1419" i="170" l="1"/>
  <c r="E13" i="136"/>
  <c r="A1491" i="170" l="1"/>
  <c r="G1436" i="170"/>
  <c r="AC248" i="9"/>
  <c r="AC172" i="9"/>
  <c r="T85" i="9"/>
  <c r="T86" i="9"/>
  <c r="T93" i="9"/>
  <c r="T80" i="9"/>
  <c r="T81" i="9"/>
  <c r="T82" i="9"/>
  <c r="T83" i="9"/>
  <c r="T84" i="9"/>
  <c r="AC84" i="9"/>
  <c r="AC85" i="9"/>
  <c r="AC86" i="9"/>
  <c r="A1472" i="170" l="1"/>
  <c r="G1472" i="170" s="1"/>
  <c r="A1508" i="170"/>
  <c r="A1525" i="170" s="1"/>
  <c r="A1542" i="170" s="1"/>
  <c r="A1559" i="170" s="1"/>
  <c r="G1491" i="170"/>
  <c r="G1508" i="170" s="1"/>
  <c r="G1525" i="170" s="1"/>
  <c r="G1542" i="170" s="1"/>
  <c r="E80" i="101"/>
  <c r="E253" i="151"/>
  <c r="F253" i="151" s="1"/>
  <c r="E254" i="151"/>
  <c r="AC82" i="9"/>
  <c r="E74" i="101"/>
  <c r="F74" i="101" s="1"/>
  <c r="AC83" i="9"/>
  <c r="AC81" i="9"/>
  <c r="AC242" i="9"/>
  <c r="A1576" i="170" l="1"/>
  <c r="G1559" i="170"/>
  <c r="X253" i="151"/>
  <c r="Z253" i="151" s="1"/>
  <c r="F254" i="151"/>
  <c r="X254" i="151" l="1"/>
  <c r="Z254" i="151" s="1"/>
  <c r="G1576" i="170"/>
  <c r="A1593" i="170"/>
  <c r="G380" i="132"/>
  <c r="H380" i="132"/>
  <c r="L380" i="132"/>
  <c r="AE184" i="9"/>
  <c r="R51" i="59"/>
  <c r="R37" i="59"/>
  <c r="R82" i="59" s="1"/>
  <c r="S82" i="59" s="1"/>
  <c r="C83" i="59"/>
  <c r="C76" i="59"/>
  <c r="G83" i="59"/>
  <c r="G76" i="59"/>
  <c r="G1593" i="170" l="1"/>
  <c r="A1610" i="170"/>
  <c r="U88" i="9"/>
  <c r="G84" i="59"/>
  <c r="C84" i="59"/>
  <c r="AC319" i="9"/>
  <c r="L379" i="132"/>
  <c r="L384" i="132" s="1"/>
  <c r="Q85" i="59"/>
  <c r="A1627" i="170" l="1"/>
  <c r="G1610" i="170"/>
  <c r="Y68" i="102"/>
  <c r="Y69" i="102"/>
  <c r="Y70" i="102"/>
  <c r="AX293" i="8"/>
  <c r="AX294" i="8"/>
  <c r="AX292" i="8"/>
  <c r="A1644" i="170" l="1"/>
  <c r="G1627" i="170"/>
  <c r="E71" i="102"/>
  <c r="F71" i="102" s="1"/>
  <c r="G1644" i="170" l="1"/>
  <c r="A1661" i="170"/>
  <c r="E68" i="102"/>
  <c r="F68" i="102" s="1"/>
  <c r="E69" i="102"/>
  <c r="F69" i="102" s="1"/>
  <c r="E70" i="102"/>
  <c r="F70" i="102" s="1"/>
  <c r="AC304" i="9"/>
  <c r="AC307" i="9"/>
  <c r="AC318" i="9"/>
  <c r="AC171" i="9"/>
  <c r="AC306" i="9"/>
  <c r="AC170" i="9"/>
  <c r="AC305" i="9"/>
  <c r="A1678" i="170" l="1"/>
  <c r="G1661" i="170"/>
  <c r="A1695" i="170" l="1"/>
  <c r="G1678" i="170"/>
  <c r="A1712" i="170" l="1"/>
  <c r="G1695" i="170"/>
  <c r="AO314" i="128"/>
  <c r="G1712" i="170" l="1"/>
  <c r="A1729" i="170"/>
  <c r="AO95" i="128"/>
  <c r="C241" i="128"/>
  <c r="C242" i="128"/>
  <c r="G1729" i="170" l="1"/>
  <c r="A1746" i="170"/>
  <c r="U84" i="9"/>
  <c r="U85" i="9"/>
  <c r="U86" i="9"/>
  <c r="AO245" i="128"/>
  <c r="E20" i="136"/>
  <c r="E22" i="136" s="1"/>
  <c r="AX307" i="8"/>
  <c r="G1746" i="170" l="1"/>
  <c r="A1763" i="170"/>
  <c r="K90" i="100"/>
  <c r="L90" i="100" s="1"/>
  <c r="A1780" i="170" l="1"/>
  <c r="G1763" i="170"/>
  <c r="G21" i="136"/>
  <c r="F19" i="167" l="1"/>
  <c r="F352" i="132"/>
  <c r="I352" i="132" s="1"/>
  <c r="K352" i="132" s="1"/>
  <c r="M352" i="132" s="1"/>
  <c r="A1797" i="170"/>
  <c r="G1780" i="170"/>
  <c r="H21" i="136"/>
  <c r="K89" i="100"/>
  <c r="G20" i="136"/>
  <c r="G42" i="154" s="1"/>
  <c r="K4" i="9"/>
  <c r="P59" i="59"/>
  <c r="C62" i="59"/>
  <c r="C70" i="59" s="1"/>
  <c r="P17" i="59"/>
  <c r="A1814" i="170" l="1"/>
  <c r="G1797" i="170"/>
  <c r="H20" i="136"/>
  <c r="G19" i="167"/>
  <c r="I21" i="136"/>
  <c r="J4" i="9"/>
  <c r="C11" i="9"/>
  <c r="C12" i="9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Q251" i="9"/>
  <c r="Q250" i="9" s="1"/>
  <c r="Q96" i="9"/>
  <c r="Q95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A1831" i="170" l="1"/>
  <c r="G1814" i="170"/>
  <c r="AA11" i="9"/>
  <c r="Z11" i="9"/>
  <c r="W11" i="9"/>
  <c r="P97" i="99"/>
  <c r="R11" i="9"/>
  <c r="V11" i="9"/>
  <c r="O97" i="99"/>
  <c r="M97" i="99"/>
  <c r="Q97" i="99"/>
  <c r="R97" i="99"/>
  <c r="N97" i="99"/>
  <c r="E97" i="99"/>
  <c r="N99" i="99"/>
  <c r="R99" i="99"/>
  <c r="O99" i="99"/>
  <c r="M99" i="99"/>
  <c r="Q99" i="99"/>
  <c r="E99" i="99"/>
  <c r="F99" i="99" s="1"/>
  <c r="P99" i="99"/>
  <c r="M98" i="99"/>
  <c r="O98" i="99"/>
  <c r="E98" i="99"/>
  <c r="F98" i="99" s="1"/>
  <c r="R98" i="99"/>
  <c r="P98" i="99"/>
  <c r="N98" i="99"/>
  <c r="Q98" i="99"/>
  <c r="C17" i="99"/>
  <c r="Z12" i="9"/>
  <c r="AA12" i="9"/>
  <c r="V12" i="9"/>
  <c r="R12" i="9"/>
  <c r="W12" i="9"/>
  <c r="AC11" i="9"/>
  <c r="H42" i="154"/>
  <c r="I20" i="136"/>
  <c r="AC80" i="9"/>
  <c r="E69" i="101"/>
  <c r="F69" i="101" s="1"/>
  <c r="E61" i="101"/>
  <c r="F61" i="101" s="1"/>
  <c r="E53" i="101"/>
  <c r="F53" i="101" s="1"/>
  <c r="E45" i="101"/>
  <c r="F45" i="101" s="1"/>
  <c r="E37" i="101"/>
  <c r="F37" i="101" s="1"/>
  <c r="E29" i="101"/>
  <c r="F29" i="101" s="1"/>
  <c r="E21" i="101"/>
  <c r="F21" i="101" s="1"/>
  <c r="F64" i="102"/>
  <c r="F56" i="102"/>
  <c r="F48" i="102"/>
  <c r="F44" i="102"/>
  <c r="F36" i="102"/>
  <c r="F28" i="102"/>
  <c r="F20" i="102"/>
  <c r="E66" i="101"/>
  <c r="F66" i="101" s="1"/>
  <c r="E58" i="101"/>
  <c r="F58" i="101" s="1"/>
  <c r="E54" i="101"/>
  <c r="F54" i="101" s="1"/>
  <c r="E46" i="101"/>
  <c r="F46" i="101" s="1"/>
  <c r="E42" i="101"/>
  <c r="F42" i="101" s="1"/>
  <c r="E34" i="101"/>
  <c r="F34" i="101" s="1"/>
  <c r="E26" i="101"/>
  <c r="F26" i="101" s="1"/>
  <c r="E22" i="101"/>
  <c r="F22" i="101" s="1"/>
  <c r="F65" i="102"/>
  <c r="F61" i="102"/>
  <c r="F57" i="102"/>
  <c r="F53" i="102"/>
  <c r="F49" i="102"/>
  <c r="F45" i="102"/>
  <c r="F41" i="102"/>
  <c r="F37" i="102"/>
  <c r="F33" i="102"/>
  <c r="F29" i="102"/>
  <c r="F25" i="102"/>
  <c r="F21" i="102"/>
  <c r="F17" i="102"/>
  <c r="E18" i="100"/>
  <c r="E71" i="101"/>
  <c r="F71" i="101" s="1"/>
  <c r="E67" i="101"/>
  <c r="F67" i="101" s="1"/>
  <c r="E63" i="101"/>
  <c r="F63" i="101" s="1"/>
  <c r="E59" i="101"/>
  <c r="F59" i="101" s="1"/>
  <c r="E55" i="101"/>
  <c r="F55" i="101" s="1"/>
  <c r="E51" i="101"/>
  <c r="F51" i="101" s="1"/>
  <c r="E47" i="101"/>
  <c r="F47" i="101" s="1"/>
  <c r="E43" i="101"/>
  <c r="F43" i="101" s="1"/>
  <c r="E39" i="101"/>
  <c r="F39" i="101" s="1"/>
  <c r="E35" i="101"/>
  <c r="F35" i="101" s="1"/>
  <c r="E31" i="101"/>
  <c r="F31" i="101" s="1"/>
  <c r="E27" i="101"/>
  <c r="F27" i="101" s="1"/>
  <c r="E23" i="101"/>
  <c r="F23" i="101" s="1"/>
  <c r="E19" i="101"/>
  <c r="F19" i="101" s="1"/>
  <c r="F66" i="102"/>
  <c r="F62" i="102"/>
  <c r="F58" i="102"/>
  <c r="F54" i="102"/>
  <c r="F50" i="102"/>
  <c r="F46" i="102"/>
  <c r="F42" i="102"/>
  <c r="F38" i="102"/>
  <c r="F34" i="102"/>
  <c r="F30" i="102"/>
  <c r="F26" i="102"/>
  <c r="F22" i="102"/>
  <c r="F18" i="102"/>
  <c r="E73" i="101"/>
  <c r="F73" i="101" s="1"/>
  <c r="E65" i="101"/>
  <c r="F65" i="101" s="1"/>
  <c r="E57" i="101"/>
  <c r="F57" i="101" s="1"/>
  <c r="E49" i="101"/>
  <c r="F49" i="101" s="1"/>
  <c r="E41" i="101"/>
  <c r="F41" i="101" s="1"/>
  <c r="E33" i="101"/>
  <c r="F33" i="101" s="1"/>
  <c r="E25" i="101"/>
  <c r="F25" i="101" s="1"/>
  <c r="F60" i="102"/>
  <c r="F52" i="102"/>
  <c r="F40" i="102"/>
  <c r="F32" i="102"/>
  <c r="F24" i="102"/>
  <c r="F16" i="102"/>
  <c r="E70" i="101"/>
  <c r="F70" i="101" s="1"/>
  <c r="E62" i="101"/>
  <c r="F62" i="101" s="1"/>
  <c r="E50" i="101"/>
  <c r="F50" i="101" s="1"/>
  <c r="E38" i="101"/>
  <c r="F38" i="101" s="1"/>
  <c r="E30" i="101"/>
  <c r="F30" i="101" s="1"/>
  <c r="E18" i="101"/>
  <c r="E72" i="101"/>
  <c r="F72" i="101" s="1"/>
  <c r="E68" i="101"/>
  <c r="F68" i="101" s="1"/>
  <c r="E64" i="101"/>
  <c r="F64" i="101" s="1"/>
  <c r="E60" i="101"/>
  <c r="F60" i="101" s="1"/>
  <c r="E56" i="101"/>
  <c r="F56" i="101" s="1"/>
  <c r="E52" i="101"/>
  <c r="F52" i="101" s="1"/>
  <c r="E48" i="101"/>
  <c r="F48" i="101" s="1"/>
  <c r="E44" i="101"/>
  <c r="F44" i="101" s="1"/>
  <c r="E40" i="101"/>
  <c r="F40" i="101" s="1"/>
  <c r="E36" i="101"/>
  <c r="F36" i="101" s="1"/>
  <c r="E32" i="101"/>
  <c r="F32" i="101" s="1"/>
  <c r="E28" i="101"/>
  <c r="F28" i="101" s="1"/>
  <c r="E24" i="101"/>
  <c r="F24" i="101" s="1"/>
  <c r="E20" i="101"/>
  <c r="F20" i="101" s="1"/>
  <c r="F67" i="102"/>
  <c r="F63" i="102"/>
  <c r="F59" i="102"/>
  <c r="F55" i="102"/>
  <c r="F51" i="102"/>
  <c r="F47" i="102"/>
  <c r="F43" i="102"/>
  <c r="F39" i="102"/>
  <c r="F35" i="102"/>
  <c r="F31" i="102"/>
  <c r="F27" i="102"/>
  <c r="F23" i="102"/>
  <c r="F19" i="102"/>
  <c r="C16" i="99"/>
  <c r="AD11" i="9"/>
  <c r="AD12" i="9"/>
  <c r="C17" i="151"/>
  <c r="C16" i="151"/>
  <c r="H9" i="9"/>
  <c r="O69" i="59"/>
  <c r="P69" i="59" s="1"/>
  <c r="O62" i="59"/>
  <c r="K62" i="59"/>
  <c r="K70" i="59" s="1"/>
  <c r="G62" i="59"/>
  <c r="O48" i="59"/>
  <c r="K48" i="59"/>
  <c r="G48" i="59"/>
  <c r="H96" i="132" l="1"/>
  <c r="H97" i="132"/>
  <c r="K96" i="132"/>
  <c r="M96" i="132" s="1"/>
  <c r="K97" i="132"/>
  <c r="M97" i="132" s="1"/>
  <c r="W98" i="99"/>
  <c r="X98" i="99" s="1"/>
  <c r="W99" i="99"/>
  <c r="X99" i="99" s="1"/>
  <c r="V10" i="9"/>
  <c r="W10" i="9"/>
  <c r="I680" i="170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I661" i="170"/>
  <c r="K661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I161" i="170"/>
  <c r="K161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420" i="170"/>
  <c r="E420" i="170" s="1"/>
  <c r="C627" i="170"/>
  <c r="E627" i="170" s="1"/>
  <c r="I126" i="170"/>
  <c r="K126" i="170" s="1"/>
  <c r="I131" i="170"/>
  <c r="K131" i="170" s="1"/>
  <c r="C179" i="170"/>
  <c r="E179" i="170" s="1"/>
  <c r="C178" i="170"/>
  <c r="E178" i="170" s="1"/>
  <c r="C453" i="170"/>
  <c r="E453" i="170" s="1"/>
  <c r="I407" i="170"/>
  <c r="K407" i="170" s="1"/>
  <c r="C199" i="170"/>
  <c r="E199" i="170" s="1"/>
  <c r="C194" i="170"/>
  <c r="E194" i="170" s="1"/>
  <c r="C475" i="170"/>
  <c r="E475" i="170" s="1"/>
  <c r="I230" i="170"/>
  <c r="K230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I539" i="170"/>
  <c r="K539" i="170" s="1"/>
  <c r="C42" i="170"/>
  <c r="E42" i="170" s="1"/>
  <c r="C43" i="170"/>
  <c r="E43" i="170" s="1"/>
  <c r="C315" i="170"/>
  <c r="E315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I607" i="170"/>
  <c r="K607" i="170" s="1"/>
  <c r="C76" i="170"/>
  <c r="E76" i="170" s="1"/>
  <c r="C75" i="170"/>
  <c r="E75" i="170" s="1"/>
  <c r="C285" i="170"/>
  <c r="E285" i="170" s="1"/>
  <c r="C281" i="170"/>
  <c r="E281" i="170" s="1"/>
  <c r="C573" i="170"/>
  <c r="E573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6" i="170"/>
  <c r="K556" i="170" s="1"/>
  <c r="I555" i="170"/>
  <c r="K555" i="170" s="1"/>
  <c r="I164" i="170"/>
  <c r="K164" i="170" s="1"/>
  <c r="C441" i="170"/>
  <c r="E441" i="170" s="1"/>
  <c r="C436" i="170"/>
  <c r="E436" i="170" s="1"/>
  <c r="C333" i="170"/>
  <c r="E333" i="170" s="1"/>
  <c r="C454" i="170"/>
  <c r="E454" i="170" s="1"/>
  <c r="C198" i="170"/>
  <c r="E198" i="170" s="1"/>
  <c r="C195" i="170"/>
  <c r="E195" i="170" s="1"/>
  <c r="C474" i="170"/>
  <c r="E474" i="170" s="1"/>
  <c r="I234" i="170"/>
  <c r="K234" i="170" s="1"/>
  <c r="I233" i="170"/>
  <c r="K233" i="170" s="1"/>
  <c r="C24" i="170"/>
  <c r="E24" i="170" s="1"/>
  <c r="C25" i="170"/>
  <c r="E25" i="170" s="1"/>
  <c r="C368" i="170"/>
  <c r="E368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298" i="170"/>
  <c r="E298" i="170" s="1"/>
  <c r="C114" i="170"/>
  <c r="E114" i="170" s="1"/>
  <c r="C111" i="170"/>
  <c r="E111" i="170" s="1"/>
  <c r="C590" i="170"/>
  <c r="E590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C523" i="170"/>
  <c r="E523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C385" i="170"/>
  <c r="E385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624" i="170"/>
  <c r="E624" i="170" s="1"/>
  <c r="C182" i="170"/>
  <c r="E182" i="170" s="1"/>
  <c r="I406" i="170"/>
  <c r="K406" i="170" s="1"/>
  <c r="C196" i="170"/>
  <c r="E196" i="170" s="1"/>
  <c r="C471" i="170"/>
  <c r="E471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C539" i="170"/>
  <c r="E539" i="170" s="1"/>
  <c r="I543" i="170"/>
  <c r="K543" i="170" s="1"/>
  <c r="C46" i="170"/>
  <c r="E46" i="170" s="1"/>
  <c r="I162" i="170"/>
  <c r="K162" i="170" s="1"/>
  <c r="I160" i="170"/>
  <c r="K160" i="170" s="1"/>
  <c r="C437" i="170"/>
  <c r="E437" i="170" s="1"/>
  <c r="C336" i="170"/>
  <c r="E336" i="170" s="1"/>
  <c r="C388" i="170"/>
  <c r="E388" i="170" s="1"/>
  <c r="C389" i="170"/>
  <c r="E389" i="170" s="1"/>
  <c r="I109" i="170"/>
  <c r="K109" i="170" s="1"/>
  <c r="C127" i="170"/>
  <c r="E127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I403" i="170"/>
  <c r="K403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0" i="170"/>
  <c r="K110" i="170" s="1"/>
  <c r="I113" i="170"/>
  <c r="K113" i="170" s="1"/>
  <c r="C506" i="170"/>
  <c r="E506" i="170" s="1"/>
  <c r="C144" i="170"/>
  <c r="E144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7" i="170"/>
  <c r="K127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I59" i="170"/>
  <c r="K59" i="170" s="1"/>
  <c r="C302" i="170"/>
  <c r="E302" i="170" s="1"/>
  <c r="I589" i="170"/>
  <c r="K589" i="170" s="1"/>
  <c r="I263" i="170"/>
  <c r="K263" i="170" s="1"/>
  <c r="C280" i="170"/>
  <c r="E280" i="170" s="1"/>
  <c r="I590" i="170"/>
  <c r="K590" i="170" s="1"/>
  <c r="C79" i="170"/>
  <c r="E79" i="170" s="1"/>
  <c r="I264" i="170"/>
  <c r="K264" i="170" s="1"/>
  <c r="C576" i="170"/>
  <c r="E576" i="170" s="1"/>
  <c r="C247" i="170"/>
  <c r="E247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C110" i="170"/>
  <c r="E110" i="170" s="1"/>
  <c r="I608" i="170"/>
  <c r="K608" i="170" s="1"/>
  <c r="C251" i="170"/>
  <c r="E251" i="170" s="1"/>
  <c r="I281" i="170"/>
  <c r="K281" i="170" s="1"/>
  <c r="I472" i="170"/>
  <c r="K472" i="170" s="1"/>
  <c r="I471" i="170"/>
  <c r="K471" i="170" s="1"/>
  <c r="I524" i="170"/>
  <c r="K524" i="170" s="1"/>
  <c r="I440" i="170"/>
  <c r="K440" i="170" s="1"/>
  <c r="I41" i="170"/>
  <c r="K41" i="170" s="1"/>
  <c r="I42" i="170"/>
  <c r="K42" i="170" s="1"/>
  <c r="C556" i="170"/>
  <c r="E556" i="170" s="1"/>
  <c r="I421" i="170"/>
  <c r="K421" i="170" s="1"/>
  <c r="C215" i="170"/>
  <c r="E215" i="170" s="1"/>
  <c r="I25" i="170"/>
  <c r="K25" i="170" s="1"/>
  <c r="I24" i="170"/>
  <c r="K24" i="170" s="1"/>
  <c r="C646" i="170"/>
  <c r="E646" i="170" s="1"/>
  <c r="I199" i="170"/>
  <c r="K199" i="170" s="1"/>
  <c r="I195" i="170"/>
  <c r="K195" i="170" s="1"/>
  <c r="I319" i="170"/>
  <c r="K319" i="170" s="1"/>
  <c r="I318" i="170"/>
  <c r="K318" i="170" s="1"/>
  <c r="I367" i="170"/>
  <c r="K367" i="170" s="1"/>
  <c r="I371" i="170"/>
  <c r="K371" i="170" s="1"/>
  <c r="I351" i="170"/>
  <c r="K351" i="170" s="1"/>
  <c r="I350" i="170"/>
  <c r="K350" i="170" s="1"/>
  <c r="I248" i="170"/>
  <c r="K248" i="170" s="1"/>
  <c r="I247" i="170"/>
  <c r="K247" i="170" s="1"/>
  <c r="C161" i="170"/>
  <c r="E161" i="170" s="1"/>
  <c r="I457" i="170"/>
  <c r="K457" i="170" s="1"/>
  <c r="I456" i="170"/>
  <c r="K456" i="170" s="1"/>
  <c r="I332" i="170"/>
  <c r="K332" i="170" s="1"/>
  <c r="I336" i="170"/>
  <c r="K336" i="170" s="1"/>
  <c r="I178" i="170"/>
  <c r="K178" i="170" s="1"/>
  <c r="I510" i="170"/>
  <c r="K510" i="170" s="1"/>
  <c r="I215" i="170"/>
  <c r="K215" i="170" s="1"/>
  <c r="C403" i="170"/>
  <c r="E403" i="170" s="1"/>
  <c r="C234" i="170"/>
  <c r="E234" i="170" s="1"/>
  <c r="C354" i="170"/>
  <c r="E354" i="170" s="1"/>
  <c r="C355" i="170"/>
  <c r="E355" i="170" s="1"/>
  <c r="I385" i="170"/>
  <c r="K385" i="170" s="1"/>
  <c r="I384" i="170"/>
  <c r="K384" i="170" s="1"/>
  <c r="C610" i="170"/>
  <c r="E610" i="170" s="1"/>
  <c r="I576" i="170"/>
  <c r="K576" i="170" s="1"/>
  <c r="C59" i="170"/>
  <c r="E59" i="170" s="1"/>
  <c r="C58" i="170"/>
  <c r="E58" i="170" s="1"/>
  <c r="C489" i="170"/>
  <c r="E489" i="170" s="1"/>
  <c r="C265" i="170"/>
  <c r="E265" i="170" s="1"/>
  <c r="I627" i="170"/>
  <c r="K627" i="170" s="1"/>
  <c r="I93" i="170"/>
  <c r="K93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C264" i="170"/>
  <c r="E264" i="170" s="1"/>
  <c r="I623" i="170"/>
  <c r="K623" i="170" s="1"/>
  <c r="I470" i="170"/>
  <c r="K470" i="170" s="1"/>
  <c r="I523" i="170"/>
  <c r="K523" i="170" s="1"/>
  <c r="I522" i="170"/>
  <c r="K522" i="170" s="1"/>
  <c r="I441" i="170"/>
  <c r="K441" i="170" s="1"/>
  <c r="I45" i="170"/>
  <c r="K45" i="170" s="1"/>
  <c r="C560" i="170"/>
  <c r="E560" i="170" s="1"/>
  <c r="I420" i="170"/>
  <c r="K42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506" i="170"/>
  <c r="K506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C607" i="170"/>
  <c r="E607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76" i="170"/>
  <c r="K76" i="170" s="1"/>
  <c r="I148" i="170"/>
  <c r="K148" i="170" s="1"/>
  <c r="C216" i="170"/>
  <c r="E216" i="170" s="1"/>
  <c r="C212" i="170"/>
  <c r="E212" i="170" s="1"/>
  <c r="I26" i="170"/>
  <c r="K26" i="170" s="1"/>
  <c r="C644" i="170"/>
  <c r="E644" i="170" s="1"/>
  <c r="I334" i="170"/>
  <c r="K334" i="170" s="1"/>
  <c r="I333" i="170"/>
  <c r="K333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37" i="170"/>
  <c r="K437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5" i="170"/>
  <c r="K315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3" i="170"/>
  <c r="K453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12" i="170"/>
  <c r="K212" i="170" s="1"/>
  <c r="I299" i="170"/>
  <c r="K299" i="170" s="1"/>
  <c r="C407" i="170"/>
  <c r="E407" i="170" s="1"/>
  <c r="C229" i="170"/>
  <c r="E229" i="170" s="1"/>
  <c r="C351" i="170"/>
  <c r="E351" i="170" s="1"/>
  <c r="I389" i="170"/>
  <c r="K389" i="170" s="1"/>
  <c r="I388" i="170"/>
  <c r="K388" i="170" s="1"/>
  <c r="C611" i="170"/>
  <c r="E611" i="170" s="1"/>
  <c r="I574" i="170"/>
  <c r="K574" i="170" s="1"/>
  <c r="I573" i="170"/>
  <c r="K573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144" i="170"/>
  <c r="K144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68" i="170"/>
  <c r="K368" i="170" s="1"/>
  <c r="I352" i="170"/>
  <c r="K352" i="170" s="1"/>
  <c r="I489" i="170"/>
  <c r="K489" i="170" s="1"/>
  <c r="I488" i="170"/>
  <c r="K488" i="170" s="1"/>
  <c r="I251" i="170"/>
  <c r="K251" i="170" s="1"/>
  <c r="C165" i="170"/>
  <c r="E165" i="170" s="1"/>
  <c r="I298" i="170"/>
  <c r="K298" i="170" s="1"/>
  <c r="I297" i="170"/>
  <c r="K297" i="170" s="1"/>
  <c r="C406" i="170"/>
  <c r="E406" i="170" s="1"/>
  <c r="C233" i="170"/>
  <c r="E233" i="170" s="1"/>
  <c r="C230" i="170"/>
  <c r="E230" i="170" s="1"/>
  <c r="C352" i="170"/>
  <c r="E352" i="170" s="1"/>
  <c r="C350" i="170"/>
  <c r="E350" i="170" s="1"/>
  <c r="I386" i="170"/>
  <c r="K386" i="170" s="1"/>
  <c r="C93" i="170"/>
  <c r="E93" i="170" s="1"/>
  <c r="I92" i="170"/>
  <c r="K92" i="170" s="1"/>
  <c r="I79" i="170"/>
  <c r="K79" i="170" s="1"/>
  <c r="I143" i="170"/>
  <c r="K143" i="170" s="1"/>
  <c r="AA10" i="9"/>
  <c r="R10" i="9"/>
  <c r="Z10" i="9"/>
  <c r="I391" i="170"/>
  <c r="K391" i="170" s="1"/>
  <c r="I477" i="170"/>
  <c r="K477" i="170" s="1"/>
  <c r="I184" i="170"/>
  <c r="K184" i="170" s="1"/>
  <c r="C391" i="170"/>
  <c r="E391" i="170" s="1"/>
  <c r="C270" i="170"/>
  <c r="E270" i="170" s="1"/>
  <c r="C495" i="170"/>
  <c r="E495" i="170" s="1"/>
  <c r="C443" i="170"/>
  <c r="E443" i="170" s="1"/>
  <c r="C682" i="170"/>
  <c r="E682" i="170" s="1"/>
  <c r="C357" i="170"/>
  <c r="E357" i="170" s="1"/>
  <c r="C426" i="170"/>
  <c r="E426" i="170" s="1"/>
  <c r="I339" i="170"/>
  <c r="K339" i="170" s="1"/>
  <c r="I512" i="170"/>
  <c r="K512" i="170" s="1"/>
  <c r="I133" i="170"/>
  <c r="K133" i="170" s="1"/>
  <c r="I529" i="170"/>
  <c r="K529" i="170" s="1"/>
  <c r="C116" i="170"/>
  <c r="E116" i="170" s="1"/>
  <c r="I426" i="170"/>
  <c r="K426" i="170" s="1"/>
  <c r="C596" i="170"/>
  <c r="E596" i="170" s="1"/>
  <c r="C304" i="170"/>
  <c r="E304" i="170" s="1"/>
  <c r="C82" i="170"/>
  <c r="E82" i="170" s="1"/>
  <c r="I31" i="170"/>
  <c r="K31" i="170" s="1"/>
  <c r="I613" i="170"/>
  <c r="K613" i="170" s="1"/>
  <c r="C459" i="170"/>
  <c r="E459" i="170" s="1"/>
  <c r="C65" i="170"/>
  <c r="E65" i="170" s="1"/>
  <c r="C218" i="170"/>
  <c r="E218" i="170" s="1"/>
  <c r="I167" i="170"/>
  <c r="K167" i="170" s="1"/>
  <c r="I459" i="170"/>
  <c r="K459" i="170" s="1"/>
  <c r="I65" i="170"/>
  <c r="K65" i="170" s="1"/>
  <c r="I236" i="170"/>
  <c r="K236" i="170" s="1"/>
  <c r="C529" i="170"/>
  <c r="E529" i="170" s="1"/>
  <c r="I253" i="170"/>
  <c r="K253" i="170" s="1"/>
  <c r="C477" i="170"/>
  <c r="E477" i="170" s="1"/>
  <c r="C201" i="170"/>
  <c r="E201" i="170" s="1"/>
  <c r="C630" i="170"/>
  <c r="E630" i="170" s="1"/>
  <c r="I150" i="170"/>
  <c r="K150" i="170" s="1"/>
  <c r="C321" i="170"/>
  <c r="E321" i="170" s="1"/>
  <c r="C545" i="170"/>
  <c r="E545" i="170" s="1"/>
  <c r="I357" i="170"/>
  <c r="K357" i="170" s="1"/>
  <c r="C512" i="170"/>
  <c r="E512" i="170" s="1"/>
  <c r="C167" i="170"/>
  <c r="E167" i="170" s="1"/>
  <c r="C648" i="170"/>
  <c r="E648" i="170" s="1"/>
  <c r="I630" i="170"/>
  <c r="K630" i="170" s="1"/>
  <c r="I682" i="170"/>
  <c r="K682" i="170" s="1"/>
  <c r="I287" i="170"/>
  <c r="K287" i="170" s="1"/>
  <c r="I579" i="170"/>
  <c r="K579" i="170" s="1"/>
  <c r="C48" i="170"/>
  <c r="E48" i="170" s="1"/>
  <c r="I82" i="170"/>
  <c r="K82" i="170" s="1"/>
  <c r="C236" i="170"/>
  <c r="E236" i="170" s="1"/>
  <c r="I545" i="170"/>
  <c r="K545" i="170" s="1"/>
  <c r="I116" i="170"/>
  <c r="K116" i="170" s="1"/>
  <c r="I270" i="170"/>
  <c r="K270" i="170" s="1"/>
  <c r="I443" i="170"/>
  <c r="K443" i="170" s="1"/>
  <c r="I596" i="170"/>
  <c r="K596" i="170" s="1"/>
  <c r="I48" i="170"/>
  <c r="K48" i="170" s="1"/>
  <c r="C562" i="170"/>
  <c r="E562" i="170" s="1"/>
  <c r="I374" i="170"/>
  <c r="K374" i="170" s="1"/>
  <c r="C339" i="170"/>
  <c r="E339" i="170" s="1"/>
  <c r="C133" i="170"/>
  <c r="E133" i="170" s="1"/>
  <c r="I495" i="170"/>
  <c r="K495" i="170" s="1"/>
  <c r="C99" i="170"/>
  <c r="E99" i="170" s="1"/>
  <c r="I648" i="170"/>
  <c r="K648" i="170" s="1"/>
  <c r="I409" i="170"/>
  <c r="K409" i="170" s="1"/>
  <c r="C613" i="170"/>
  <c r="E613" i="170" s="1"/>
  <c r="I99" i="170"/>
  <c r="K99" i="170" s="1"/>
  <c r="I562" i="170"/>
  <c r="K562" i="170" s="1"/>
  <c r="I321" i="170"/>
  <c r="K321" i="170" s="1"/>
  <c r="C184" i="170"/>
  <c r="E184" i="170" s="1"/>
  <c r="I304" i="170"/>
  <c r="K304" i="170" s="1"/>
  <c r="I201" i="170"/>
  <c r="K201" i="170" s="1"/>
  <c r="C253" i="170"/>
  <c r="E253" i="170" s="1"/>
  <c r="C287" i="170"/>
  <c r="E287" i="170" s="1"/>
  <c r="C409" i="170"/>
  <c r="E409" i="170" s="1"/>
  <c r="C150" i="170"/>
  <c r="E150" i="170" s="1"/>
  <c r="I218" i="170"/>
  <c r="K218" i="170" s="1"/>
  <c r="C579" i="170"/>
  <c r="E579" i="170" s="1"/>
  <c r="C374" i="170"/>
  <c r="E374" i="170" s="1"/>
  <c r="C31" i="170"/>
  <c r="E31" i="170" s="1"/>
  <c r="C665" i="170"/>
  <c r="E665" i="170" s="1"/>
  <c r="I665" i="170"/>
  <c r="K665" i="170" s="1"/>
  <c r="U11" i="9"/>
  <c r="C81" i="170"/>
  <c r="E81" i="170" s="1"/>
  <c r="I30" i="170"/>
  <c r="K30" i="170" s="1"/>
  <c r="C458" i="170"/>
  <c r="E458" i="170" s="1"/>
  <c r="C528" i="170"/>
  <c r="E528" i="170" s="1"/>
  <c r="I149" i="170"/>
  <c r="K149" i="170" s="1"/>
  <c r="C320" i="170"/>
  <c r="E320" i="170" s="1"/>
  <c r="C166" i="170"/>
  <c r="E166" i="170" s="1"/>
  <c r="C64" i="170"/>
  <c r="E64" i="170" s="1"/>
  <c r="C647" i="170"/>
  <c r="E647" i="170" s="1"/>
  <c r="C217" i="170"/>
  <c r="E217" i="170" s="1"/>
  <c r="I166" i="170"/>
  <c r="K166" i="170" s="1"/>
  <c r="I235" i="170"/>
  <c r="K235" i="170" s="1"/>
  <c r="I356" i="170"/>
  <c r="K356" i="170" s="1"/>
  <c r="I629" i="170"/>
  <c r="K629" i="170" s="1"/>
  <c r="I98" i="170"/>
  <c r="K98" i="170" s="1"/>
  <c r="C578" i="170"/>
  <c r="E578" i="170" s="1"/>
  <c r="I612" i="170"/>
  <c r="K612" i="170" s="1"/>
  <c r="H5" i="170"/>
  <c r="I458" i="170"/>
  <c r="K458" i="170" s="1"/>
  <c r="C476" i="170"/>
  <c r="E476" i="170" s="1"/>
  <c r="C629" i="170"/>
  <c r="E629" i="170" s="1"/>
  <c r="C544" i="170"/>
  <c r="E544" i="170" s="1"/>
  <c r="C511" i="170"/>
  <c r="E511" i="170" s="1"/>
  <c r="I681" i="170"/>
  <c r="K681" i="170" s="1"/>
  <c r="I561" i="170"/>
  <c r="K561" i="170" s="1"/>
  <c r="I200" i="170"/>
  <c r="K200" i="170" s="1"/>
  <c r="C286" i="170"/>
  <c r="E286" i="170" s="1"/>
  <c r="C408" i="170"/>
  <c r="E408" i="170" s="1"/>
  <c r="C149" i="170"/>
  <c r="E149" i="170" s="1"/>
  <c r="I390" i="170"/>
  <c r="K390" i="170" s="1"/>
  <c r="I476" i="170"/>
  <c r="K476" i="170" s="1"/>
  <c r="I286" i="170"/>
  <c r="K286" i="170" s="1"/>
  <c r="I578" i="170"/>
  <c r="K578" i="170" s="1"/>
  <c r="I183" i="170"/>
  <c r="K183" i="170" s="1"/>
  <c r="C47" i="170"/>
  <c r="E47" i="170" s="1"/>
  <c r="C390" i="170"/>
  <c r="E390" i="170" s="1"/>
  <c r="C269" i="170"/>
  <c r="E269" i="170" s="1"/>
  <c r="C494" i="170"/>
  <c r="E494" i="170" s="1"/>
  <c r="I81" i="170"/>
  <c r="K81" i="170" s="1"/>
  <c r="C442" i="170"/>
  <c r="E442" i="170" s="1"/>
  <c r="C235" i="170"/>
  <c r="E235" i="170" s="1"/>
  <c r="C681" i="170"/>
  <c r="E681" i="170" s="1"/>
  <c r="I64" i="170"/>
  <c r="K64" i="170" s="1"/>
  <c r="I252" i="170"/>
  <c r="K252" i="170" s="1"/>
  <c r="C200" i="170"/>
  <c r="E200" i="170" s="1"/>
  <c r="I408" i="170"/>
  <c r="K408" i="170" s="1"/>
  <c r="C612" i="170"/>
  <c r="E612" i="170" s="1"/>
  <c r="I320" i="170"/>
  <c r="K320" i="170" s="1"/>
  <c r="C183" i="170"/>
  <c r="E183" i="170" s="1"/>
  <c r="I303" i="170"/>
  <c r="K303" i="170" s="1"/>
  <c r="C252" i="170"/>
  <c r="E252" i="170" s="1"/>
  <c r="I217" i="170"/>
  <c r="K217" i="170" s="1"/>
  <c r="C373" i="170"/>
  <c r="E373" i="170" s="1"/>
  <c r="C30" i="170"/>
  <c r="E30" i="170" s="1"/>
  <c r="C664" i="170"/>
  <c r="E664" i="170" s="1"/>
  <c r="I664" i="170"/>
  <c r="K664" i="170" s="1"/>
  <c r="I544" i="170"/>
  <c r="K544" i="170" s="1"/>
  <c r="I115" i="170"/>
  <c r="K115" i="170" s="1"/>
  <c r="C356" i="170"/>
  <c r="E356" i="170" s="1"/>
  <c r="I269" i="170"/>
  <c r="K269" i="170" s="1"/>
  <c r="C425" i="170"/>
  <c r="E425" i="170" s="1"/>
  <c r="I442" i="170"/>
  <c r="K442" i="170" s="1"/>
  <c r="I595" i="170"/>
  <c r="K595" i="170" s="1"/>
  <c r="I47" i="170"/>
  <c r="K47" i="170" s="1"/>
  <c r="I338" i="170"/>
  <c r="K338" i="170" s="1"/>
  <c r="I511" i="170"/>
  <c r="K511" i="170" s="1"/>
  <c r="I132" i="170"/>
  <c r="K132" i="170" s="1"/>
  <c r="C561" i="170"/>
  <c r="E561" i="170" s="1"/>
  <c r="I528" i="170"/>
  <c r="K528" i="170" s="1"/>
  <c r="I373" i="170"/>
  <c r="K373" i="170" s="1"/>
  <c r="C115" i="170"/>
  <c r="E115" i="170" s="1"/>
  <c r="I425" i="170"/>
  <c r="K425" i="170" s="1"/>
  <c r="C595" i="170"/>
  <c r="E595" i="170" s="1"/>
  <c r="C338" i="170"/>
  <c r="E338" i="170" s="1"/>
  <c r="C132" i="170"/>
  <c r="E132" i="170" s="1"/>
  <c r="I494" i="170"/>
  <c r="K494" i="170" s="1"/>
  <c r="C303" i="170"/>
  <c r="E303" i="170" s="1"/>
  <c r="C98" i="170"/>
  <c r="E98" i="170" s="1"/>
  <c r="I647" i="170"/>
  <c r="K647" i="170" s="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I727" i="170"/>
  <c r="K727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F18" i="101"/>
  <c r="X96" i="99"/>
  <c r="T97" i="99"/>
  <c r="W97" i="99" s="1"/>
  <c r="A1848" i="170"/>
  <c r="G1831" i="170"/>
  <c r="D15" i="132"/>
  <c r="G97" i="132"/>
  <c r="F97" i="132"/>
  <c r="F93" i="132"/>
  <c r="F92" i="132"/>
  <c r="F88" i="132"/>
  <c r="F96" i="132"/>
  <c r="G96" i="132"/>
  <c r="F94" i="132"/>
  <c r="F87" i="132"/>
  <c r="F95" i="132"/>
  <c r="F91" i="132"/>
  <c r="F89" i="132"/>
  <c r="F90" i="132"/>
  <c r="G91" i="132"/>
  <c r="G87" i="132"/>
  <c r="G88" i="132"/>
  <c r="G89" i="132"/>
  <c r="G92" i="132"/>
  <c r="G90" i="132"/>
  <c r="G95" i="132"/>
  <c r="G93" i="132"/>
  <c r="G94" i="132"/>
  <c r="F85" i="132"/>
  <c r="F86" i="132"/>
  <c r="F18" i="100"/>
  <c r="F83" i="132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K56" i="59"/>
  <c r="G14" i="135"/>
  <c r="O70" i="59"/>
  <c r="G70" i="59"/>
  <c r="P55" i="59"/>
  <c r="O56" i="59"/>
  <c r="G56" i="59"/>
  <c r="P62" i="59"/>
  <c r="K99" i="113"/>
  <c r="N99" i="113"/>
  <c r="O99" i="113"/>
  <c r="Q99" i="113"/>
  <c r="T99" i="113"/>
  <c r="D100" i="113"/>
  <c r="E100" i="113"/>
  <c r="G100" i="113"/>
  <c r="E101" i="113"/>
  <c r="E102" i="113"/>
  <c r="E103" i="113"/>
  <c r="E104" i="113"/>
  <c r="E105" i="113"/>
  <c r="E106" i="113"/>
  <c r="E107" i="113"/>
  <c r="E108" i="113"/>
  <c r="E109" i="113"/>
  <c r="E110" i="113"/>
  <c r="E111" i="113"/>
  <c r="E112" i="113"/>
  <c r="E113" i="113"/>
  <c r="E114" i="113"/>
  <c r="E115" i="113"/>
  <c r="E116" i="113"/>
  <c r="E117" i="113"/>
  <c r="E118" i="113"/>
  <c r="E119" i="113"/>
  <c r="E120" i="113"/>
  <c r="E121" i="113"/>
  <c r="E122" i="113"/>
  <c r="E123" i="113"/>
  <c r="E124" i="113"/>
  <c r="E125" i="113"/>
  <c r="E126" i="113"/>
  <c r="E127" i="113"/>
  <c r="E128" i="113"/>
  <c r="E129" i="113"/>
  <c r="E130" i="113"/>
  <c r="E131" i="113"/>
  <c r="E132" i="113"/>
  <c r="E133" i="113"/>
  <c r="E134" i="113"/>
  <c r="E135" i="113"/>
  <c r="B340" i="132"/>
  <c r="B339" i="132"/>
  <c r="B338" i="132"/>
  <c r="B337" i="132"/>
  <c r="B336" i="132"/>
  <c r="B335" i="132"/>
  <c r="B334" i="132"/>
  <c r="B333" i="132"/>
  <c r="B332" i="132"/>
  <c r="B331" i="132"/>
  <c r="B330" i="132"/>
  <c r="B329" i="132"/>
  <c r="B328" i="132"/>
  <c r="O254" i="132"/>
  <c r="O255" i="132" s="1"/>
  <c r="H93" i="132" l="1"/>
  <c r="I93" i="132" s="1"/>
  <c r="H19" i="132"/>
  <c r="H17" i="132"/>
  <c r="H69" i="132"/>
  <c r="H41" i="132"/>
  <c r="H67" i="132"/>
  <c r="H18" i="132"/>
  <c r="H61" i="132"/>
  <c r="X89" i="99"/>
  <c r="H86" i="132"/>
  <c r="H39" i="132"/>
  <c r="H64" i="132"/>
  <c r="H91" i="132"/>
  <c r="I91" i="132" s="1"/>
  <c r="H71" i="132"/>
  <c r="H63" i="132"/>
  <c r="H78" i="132"/>
  <c r="H45" i="132"/>
  <c r="H58" i="132"/>
  <c r="H87" i="132"/>
  <c r="I87" i="132" s="1"/>
  <c r="H90" i="132"/>
  <c r="I90" i="132" s="1"/>
  <c r="H29" i="132"/>
  <c r="H83" i="132"/>
  <c r="H54" i="132"/>
  <c r="H92" i="132"/>
  <c r="I92" i="132" s="1"/>
  <c r="H76" i="132"/>
  <c r="H21" i="132"/>
  <c r="H22" i="132"/>
  <c r="H81" i="132"/>
  <c r="H30" i="132"/>
  <c r="H37" i="132"/>
  <c r="H79" i="132"/>
  <c r="H35" i="132"/>
  <c r="H88" i="132"/>
  <c r="I88" i="132" s="1"/>
  <c r="H24" i="132"/>
  <c r="H52" i="132"/>
  <c r="H73" i="132"/>
  <c r="H65" i="132"/>
  <c r="H27" i="132"/>
  <c r="H66" i="132"/>
  <c r="H32" i="132"/>
  <c r="H68" i="132"/>
  <c r="H38" i="132"/>
  <c r="H47" i="132"/>
  <c r="H56" i="132"/>
  <c r="H60" i="132"/>
  <c r="H49" i="132"/>
  <c r="H25" i="132"/>
  <c r="H70" i="132"/>
  <c r="H59" i="132"/>
  <c r="H48" i="132"/>
  <c r="H82" i="132"/>
  <c r="H75" i="132"/>
  <c r="H53" i="132"/>
  <c r="H62" i="132"/>
  <c r="H77" i="132"/>
  <c r="H74" i="132"/>
  <c r="H72" i="132"/>
  <c r="H31" i="132"/>
  <c r="H43" i="132"/>
  <c r="H89" i="132"/>
  <c r="I89" i="132" s="1"/>
  <c r="H80" i="132"/>
  <c r="H46" i="132"/>
  <c r="H34" i="132"/>
  <c r="H84" i="132"/>
  <c r="H40" i="132"/>
  <c r="H44" i="132"/>
  <c r="H36" i="132"/>
  <c r="H20" i="132"/>
  <c r="I97" i="132"/>
  <c r="H94" i="132"/>
  <c r="I94" i="132" s="1"/>
  <c r="H95" i="132"/>
  <c r="I95" i="132" s="1"/>
  <c r="X97" i="99"/>
  <c r="I96" i="132"/>
  <c r="X93" i="99"/>
  <c r="X92" i="99"/>
  <c r="H28" i="132"/>
  <c r="H26" i="132"/>
  <c r="H16" i="132"/>
  <c r="H23" i="132"/>
  <c r="H57" i="132"/>
  <c r="H55" i="132"/>
  <c r="H33" i="132"/>
  <c r="H85" i="132"/>
  <c r="H51" i="132"/>
  <c r="H50" i="132"/>
  <c r="H42" i="132"/>
  <c r="E100" i="99"/>
  <c r="P100" i="99"/>
  <c r="R100" i="99"/>
  <c r="K635" i="170"/>
  <c r="Q100" i="99"/>
  <c r="E653" i="170"/>
  <c r="K653" i="170"/>
  <c r="K687" i="170"/>
  <c r="E687" i="170"/>
  <c r="K670" i="170"/>
  <c r="E670" i="170"/>
  <c r="I9" i="170"/>
  <c r="K9" i="170" s="1"/>
  <c r="I7" i="170"/>
  <c r="K7" i="170" s="1"/>
  <c r="I12" i="170"/>
  <c r="K12" i="170" s="1"/>
  <c r="I8" i="170"/>
  <c r="K8" i="170" s="1"/>
  <c r="I11" i="170"/>
  <c r="K11" i="170" s="1"/>
  <c r="I6" i="170"/>
  <c r="J10" i="170" s="1"/>
  <c r="E15" i="151"/>
  <c r="N100" i="99"/>
  <c r="M100" i="99"/>
  <c r="X94" i="99"/>
  <c r="X95" i="99"/>
  <c r="X91" i="99"/>
  <c r="X90" i="99"/>
  <c r="I14" i="170"/>
  <c r="K14" i="170" s="1"/>
  <c r="I700" i="170"/>
  <c r="K700" i="170" s="1"/>
  <c r="K704" i="170" s="1"/>
  <c r="I13" i="170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K735" i="170"/>
  <c r="P70" i="59"/>
  <c r="C7" i="170"/>
  <c r="E7" i="170" s="1"/>
  <c r="C12" i="170"/>
  <c r="E12" i="170" s="1"/>
  <c r="C11" i="170"/>
  <c r="E11" i="170" s="1"/>
  <c r="G1848" i="170"/>
  <c r="A1865" i="170"/>
  <c r="F15" i="132"/>
  <c r="F14" i="132"/>
  <c r="D13" i="113"/>
  <c r="H15" i="132" l="1"/>
  <c r="F100" i="99"/>
  <c r="F13" i="132"/>
  <c r="F15" i="151"/>
  <c r="X92" i="151"/>
  <c r="Z92" i="151" s="1"/>
  <c r="X95" i="151"/>
  <c r="Z95" i="151" s="1"/>
  <c r="X96" i="151"/>
  <c r="Z96" i="151" s="1"/>
  <c r="X97" i="151"/>
  <c r="Z97" i="151" s="1"/>
  <c r="L670" i="170"/>
  <c r="L653" i="170"/>
  <c r="X91" i="151"/>
  <c r="Z91" i="151" s="1"/>
  <c r="X90" i="151"/>
  <c r="Z90" i="151" s="1"/>
  <c r="L735" i="170"/>
  <c r="X94" i="151"/>
  <c r="Z94" i="151" s="1"/>
  <c r="X93" i="151"/>
  <c r="Z93" i="151" s="1"/>
  <c r="X89" i="151"/>
  <c r="Z89" i="151" s="1"/>
  <c r="L687" i="170"/>
  <c r="G1865" i="170"/>
  <c r="A1882" i="170"/>
  <c r="F11" i="79"/>
  <c r="Z92" i="99" l="1"/>
  <c r="AA92" i="99" s="1"/>
  <c r="K90" i="132"/>
  <c r="M90" i="132" s="1"/>
  <c r="Z89" i="99"/>
  <c r="K87" i="132"/>
  <c r="Z90" i="99"/>
  <c r="AA90" i="99" s="1"/>
  <c r="K88" i="132"/>
  <c r="M88" i="132" s="1"/>
  <c r="Z97" i="99"/>
  <c r="AA97" i="99" s="1"/>
  <c r="K95" i="132"/>
  <c r="M95" i="132" s="1"/>
  <c r="Z93" i="99"/>
  <c r="AA93" i="99" s="1"/>
  <c r="K91" i="132"/>
  <c r="M91" i="132" s="1"/>
  <c r="Z91" i="99"/>
  <c r="AA91" i="99" s="1"/>
  <c r="K89" i="132"/>
  <c r="M89" i="132" s="1"/>
  <c r="Z96" i="99"/>
  <c r="K94" i="132"/>
  <c r="M94" i="132" s="1"/>
  <c r="Z94" i="99"/>
  <c r="AA94" i="99" s="1"/>
  <c r="K92" i="132"/>
  <c r="M92" i="132" s="1"/>
  <c r="Z95" i="99"/>
  <c r="K93" i="132"/>
  <c r="M93" i="132" s="1"/>
  <c r="AA89" i="99"/>
  <c r="M87" i="132"/>
  <c r="A1899" i="170"/>
  <c r="G1882" i="170"/>
  <c r="Y17" i="102"/>
  <c r="Y18" i="102"/>
  <c r="Y19" i="102"/>
  <c r="Y20" i="102"/>
  <c r="Y21" i="102"/>
  <c r="Y22" i="102"/>
  <c r="Y23" i="102"/>
  <c r="Y24" i="102"/>
  <c r="Y25" i="102"/>
  <c r="Y26" i="102"/>
  <c r="Y27" i="102"/>
  <c r="Y28" i="102"/>
  <c r="Y29" i="102"/>
  <c r="Y30" i="102"/>
  <c r="Y31" i="102"/>
  <c r="Y32" i="102"/>
  <c r="Y33" i="102"/>
  <c r="Y34" i="102"/>
  <c r="Y35" i="102"/>
  <c r="Y36" i="102"/>
  <c r="Y37" i="102"/>
  <c r="Y38" i="102"/>
  <c r="Y39" i="102"/>
  <c r="Y40" i="102"/>
  <c r="Y41" i="102"/>
  <c r="Y42" i="102"/>
  <c r="Y43" i="102"/>
  <c r="Y44" i="102"/>
  <c r="Y45" i="102"/>
  <c r="Y46" i="102"/>
  <c r="Y47" i="102"/>
  <c r="Y48" i="102"/>
  <c r="Y49" i="102"/>
  <c r="Y50" i="102"/>
  <c r="Y51" i="102"/>
  <c r="Y52" i="102"/>
  <c r="Y53" i="102"/>
  <c r="Y54" i="102"/>
  <c r="Y55" i="102"/>
  <c r="Y56" i="102"/>
  <c r="Y57" i="102"/>
  <c r="Y58" i="102"/>
  <c r="Y59" i="102"/>
  <c r="Y60" i="102"/>
  <c r="Y61" i="102"/>
  <c r="Y62" i="102"/>
  <c r="Y63" i="102"/>
  <c r="Y64" i="102"/>
  <c r="Y65" i="102"/>
  <c r="Y66" i="102"/>
  <c r="Y67" i="102"/>
  <c r="A1916" i="170" l="1"/>
  <c r="G1899" i="170"/>
  <c r="A1933" i="170" l="1"/>
  <c r="G1916" i="170"/>
  <c r="G1933" i="170" l="1"/>
  <c r="A1950" i="170"/>
  <c r="H20" i="79"/>
  <c r="A1967" i="170" l="1"/>
  <c r="G1950" i="170"/>
  <c r="C248" i="128"/>
  <c r="C249" i="128"/>
  <c r="C250" i="128"/>
  <c r="C251" i="128"/>
  <c r="C252" i="128"/>
  <c r="C253" i="128"/>
  <c r="C254" i="128"/>
  <c r="C255" i="128"/>
  <c r="C256" i="128"/>
  <c r="C257" i="128"/>
  <c r="C258" i="128"/>
  <c r="C259" i="128"/>
  <c r="C260" i="128"/>
  <c r="C261" i="128"/>
  <c r="C262" i="128"/>
  <c r="C263" i="128"/>
  <c r="C264" i="128"/>
  <c r="C265" i="128"/>
  <c r="C266" i="128"/>
  <c r="C267" i="128"/>
  <c r="C268" i="128"/>
  <c r="C269" i="128"/>
  <c r="C270" i="128"/>
  <c r="C271" i="128"/>
  <c r="C272" i="128"/>
  <c r="C273" i="128"/>
  <c r="C274" i="128"/>
  <c r="C275" i="128"/>
  <c r="C276" i="128"/>
  <c r="C277" i="128"/>
  <c r="C278" i="128"/>
  <c r="C279" i="128"/>
  <c r="C280" i="128"/>
  <c r="C281" i="128"/>
  <c r="C282" i="128"/>
  <c r="C283" i="128"/>
  <c r="C284" i="128"/>
  <c r="C285" i="128"/>
  <c r="C286" i="128"/>
  <c r="C287" i="128"/>
  <c r="C288" i="128"/>
  <c r="C289" i="128"/>
  <c r="C290" i="128"/>
  <c r="C291" i="128"/>
  <c r="C292" i="128"/>
  <c r="C293" i="128"/>
  <c r="C294" i="128"/>
  <c r="C295" i="128"/>
  <c r="C296" i="128"/>
  <c r="C297" i="128"/>
  <c r="C298" i="128"/>
  <c r="C299" i="128"/>
  <c r="K67" i="102" s="1"/>
  <c r="C247" i="128"/>
  <c r="C184" i="128"/>
  <c r="C185" i="128"/>
  <c r="C186" i="128"/>
  <c r="C187" i="128"/>
  <c r="C188" i="128"/>
  <c r="C189" i="128"/>
  <c r="C190" i="128"/>
  <c r="C191" i="128"/>
  <c r="C192" i="128"/>
  <c r="C193" i="128"/>
  <c r="C194" i="128"/>
  <c r="C195" i="128"/>
  <c r="C196" i="128"/>
  <c r="C197" i="128"/>
  <c r="C198" i="128"/>
  <c r="C199" i="128"/>
  <c r="C200" i="128"/>
  <c r="C201" i="128"/>
  <c r="C202" i="128"/>
  <c r="C203" i="128"/>
  <c r="C204" i="128"/>
  <c r="C205" i="128"/>
  <c r="C206" i="128"/>
  <c r="C207" i="128"/>
  <c r="C208" i="128"/>
  <c r="C209" i="128"/>
  <c r="C210" i="128"/>
  <c r="C211" i="128"/>
  <c r="C212" i="128"/>
  <c r="C213" i="128"/>
  <c r="C214" i="128"/>
  <c r="C215" i="128"/>
  <c r="C216" i="128"/>
  <c r="C217" i="128"/>
  <c r="C218" i="128"/>
  <c r="C219" i="128"/>
  <c r="C220" i="128"/>
  <c r="C221" i="128"/>
  <c r="C222" i="128"/>
  <c r="C223" i="128"/>
  <c r="C224" i="128"/>
  <c r="C225" i="128"/>
  <c r="C226" i="128"/>
  <c r="C227" i="128"/>
  <c r="C228" i="128"/>
  <c r="C229" i="128"/>
  <c r="C230" i="128"/>
  <c r="C231" i="128"/>
  <c r="C232" i="128"/>
  <c r="C233" i="128"/>
  <c r="C234" i="128"/>
  <c r="C235" i="128"/>
  <c r="C236" i="128"/>
  <c r="C237" i="128"/>
  <c r="C238" i="128"/>
  <c r="C239" i="128"/>
  <c r="C240" i="128"/>
  <c r="C183" i="128"/>
  <c r="C98" i="128"/>
  <c r="K62" i="100"/>
  <c r="K69" i="100"/>
  <c r="K70" i="100"/>
  <c r="K71" i="100"/>
  <c r="K72" i="100"/>
  <c r="K73" i="100"/>
  <c r="K74" i="100"/>
  <c r="K75" i="100"/>
  <c r="K76" i="100"/>
  <c r="K77" i="100"/>
  <c r="K78" i="100"/>
  <c r="K79" i="100"/>
  <c r="K80" i="100"/>
  <c r="K81" i="100"/>
  <c r="K82" i="100"/>
  <c r="K83" i="100"/>
  <c r="K84" i="100"/>
  <c r="K85" i="100"/>
  <c r="K86" i="100"/>
  <c r="K87" i="100"/>
  <c r="K88" i="100"/>
  <c r="C97" i="128"/>
  <c r="C1456" i="170" l="1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AD91" i="9"/>
  <c r="R256" i="9"/>
  <c r="R260" i="9"/>
  <c r="R264" i="9"/>
  <c r="R268" i="9"/>
  <c r="R272" i="9"/>
  <c r="R276" i="9"/>
  <c r="R280" i="9"/>
  <c r="R284" i="9"/>
  <c r="R288" i="9"/>
  <c r="R292" i="9"/>
  <c r="R296" i="9"/>
  <c r="R300" i="9"/>
  <c r="R304" i="9"/>
  <c r="R313" i="9"/>
  <c r="R253" i="9"/>
  <c r="R261" i="9"/>
  <c r="R269" i="9"/>
  <c r="R277" i="9"/>
  <c r="R285" i="9"/>
  <c r="R293" i="9"/>
  <c r="R301" i="9"/>
  <c r="R254" i="9"/>
  <c r="R286" i="9"/>
  <c r="R302" i="9"/>
  <c r="R312" i="9"/>
  <c r="R257" i="9"/>
  <c r="R265" i="9"/>
  <c r="R273" i="9"/>
  <c r="R281" i="9"/>
  <c r="R289" i="9"/>
  <c r="R297" i="9"/>
  <c r="R308" i="9"/>
  <c r="R262" i="9"/>
  <c r="R270" i="9"/>
  <c r="R278" i="9"/>
  <c r="R294" i="9"/>
  <c r="R282" i="9"/>
  <c r="R315" i="9"/>
  <c r="R303" i="9"/>
  <c r="R287" i="9"/>
  <c r="R271" i="9"/>
  <c r="R255" i="9"/>
  <c r="R316" i="9"/>
  <c r="G80" i="102" s="1"/>
  <c r="R305" i="9"/>
  <c r="R317" i="9"/>
  <c r="R283" i="9"/>
  <c r="R290" i="9"/>
  <c r="R258" i="9"/>
  <c r="R291" i="9"/>
  <c r="R275" i="9"/>
  <c r="R259" i="9"/>
  <c r="R306" i="9"/>
  <c r="R307" i="9"/>
  <c r="R298" i="9"/>
  <c r="R266" i="9"/>
  <c r="R295" i="9"/>
  <c r="R279" i="9"/>
  <c r="R263" i="9"/>
  <c r="R310" i="9"/>
  <c r="R311" i="9"/>
  <c r="R274" i="9"/>
  <c r="R299" i="9"/>
  <c r="R267" i="9"/>
  <c r="R314" i="9"/>
  <c r="R309" i="9"/>
  <c r="R179" i="9"/>
  <c r="R229" i="9"/>
  <c r="R197" i="9"/>
  <c r="R238" i="9"/>
  <c r="R210" i="9"/>
  <c r="R243" i="9"/>
  <c r="R227" i="9"/>
  <c r="R211" i="9"/>
  <c r="R195" i="9"/>
  <c r="R241" i="9"/>
  <c r="R209" i="9"/>
  <c r="R242" i="9"/>
  <c r="R206" i="9"/>
  <c r="R244" i="9"/>
  <c r="R228" i="9"/>
  <c r="R212" i="9"/>
  <c r="R196" i="9"/>
  <c r="R221" i="9"/>
  <c r="R189" i="9"/>
  <c r="R230" i="9"/>
  <c r="R222" i="9"/>
  <c r="R202" i="9"/>
  <c r="R239" i="9"/>
  <c r="R223" i="9"/>
  <c r="R207" i="9"/>
  <c r="R191" i="9"/>
  <c r="R233" i="9"/>
  <c r="R201" i="9"/>
  <c r="R234" i="9"/>
  <c r="R198" i="9"/>
  <c r="R192" i="9"/>
  <c r="R245" i="9"/>
  <c r="R213" i="9"/>
  <c r="R246" i="9"/>
  <c r="R194" i="9"/>
  <c r="R235" i="9"/>
  <c r="R219" i="9"/>
  <c r="R203" i="9"/>
  <c r="R187" i="9"/>
  <c r="R225" i="9"/>
  <c r="R193" i="9"/>
  <c r="R226" i="9"/>
  <c r="R190" i="9"/>
  <c r="R236" i="9"/>
  <c r="R220" i="9"/>
  <c r="R204" i="9"/>
  <c r="R188" i="9"/>
  <c r="R237" i="9"/>
  <c r="R205" i="9"/>
  <c r="R218" i="9"/>
  <c r="R231" i="9"/>
  <c r="R215" i="9"/>
  <c r="R199" i="9"/>
  <c r="R217" i="9"/>
  <c r="R214" i="9"/>
  <c r="R232" i="9"/>
  <c r="R216" i="9"/>
  <c r="R200" i="9"/>
  <c r="R240" i="9"/>
  <c r="R224" i="9"/>
  <c r="R208" i="9"/>
  <c r="R186" i="9"/>
  <c r="I2567" i="170"/>
  <c r="C2567" i="170"/>
  <c r="I2551" i="170"/>
  <c r="C2551" i="170"/>
  <c r="R252" i="9"/>
  <c r="R114" i="9"/>
  <c r="R102" i="9"/>
  <c r="R98" i="9"/>
  <c r="R116" i="9"/>
  <c r="R109" i="9"/>
  <c r="R115" i="9"/>
  <c r="R99" i="9"/>
  <c r="R104" i="9"/>
  <c r="R117" i="9"/>
  <c r="R103" i="9"/>
  <c r="R112" i="9"/>
  <c r="R105" i="9"/>
  <c r="R110" i="9"/>
  <c r="R106" i="9"/>
  <c r="R100" i="9"/>
  <c r="R111" i="9"/>
  <c r="R107" i="9"/>
  <c r="R113" i="9"/>
  <c r="R108" i="9"/>
  <c r="R101" i="9"/>
  <c r="R97" i="9"/>
  <c r="R175" i="9"/>
  <c r="G96" i="100" s="1"/>
  <c r="L96" i="100" s="1"/>
  <c r="R176" i="9"/>
  <c r="U176" i="9" s="1"/>
  <c r="R178" i="9"/>
  <c r="U178" i="9" s="1"/>
  <c r="R177" i="9"/>
  <c r="U177" i="9" s="1"/>
  <c r="R144" i="9"/>
  <c r="R165" i="9"/>
  <c r="R129" i="9"/>
  <c r="R166" i="9"/>
  <c r="R150" i="9"/>
  <c r="R146" i="9"/>
  <c r="R134" i="9"/>
  <c r="R130" i="9"/>
  <c r="R118" i="9"/>
  <c r="R172" i="9"/>
  <c r="G93" i="100" s="1"/>
  <c r="L93" i="100" s="1"/>
  <c r="R140" i="9"/>
  <c r="R157" i="9"/>
  <c r="R125" i="9"/>
  <c r="R163" i="9"/>
  <c r="R147" i="9"/>
  <c r="R131" i="9"/>
  <c r="R152" i="9"/>
  <c r="R120" i="9"/>
  <c r="R173" i="9"/>
  <c r="G94" i="100" s="1"/>
  <c r="L94" i="100" s="1"/>
  <c r="R137" i="9"/>
  <c r="R148" i="9"/>
  <c r="R161" i="9"/>
  <c r="R133" i="9"/>
  <c r="R167" i="9"/>
  <c r="R151" i="9"/>
  <c r="R135" i="9"/>
  <c r="R119" i="9"/>
  <c r="R160" i="9"/>
  <c r="R128" i="9"/>
  <c r="R145" i="9"/>
  <c r="R174" i="9"/>
  <c r="G95" i="100" s="1"/>
  <c r="L95" i="100" s="1"/>
  <c r="R170" i="9"/>
  <c r="G91" i="100" s="1"/>
  <c r="L91" i="100" s="1"/>
  <c r="R158" i="9"/>
  <c r="R154" i="9"/>
  <c r="R142" i="9"/>
  <c r="R138" i="9"/>
  <c r="R126" i="9"/>
  <c r="R122" i="9"/>
  <c r="R156" i="9"/>
  <c r="R124" i="9"/>
  <c r="R169" i="9"/>
  <c r="R141" i="9"/>
  <c r="R171" i="9"/>
  <c r="G92" i="100" s="1"/>
  <c r="L92" i="100" s="1"/>
  <c r="R159" i="9"/>
  <c r="R155" i="9"/>
  <c r="R143" i="9"/>
  <c r="R139" i="9"/>
  <c r="R127" i="9"/>
  <c r="R123" i="9"/>
  <c r="R168" i="9"/>
  <c r="R136" i="9"/>
  <c r="R153" i="9"/>
  <c r="R121" i="9"/>
  <c r="R162" i="9"/>
  <c r="R164" i="9"/>
  <c r="R132" i="9"/>
  <c r="R149" i="9"/>
  <c r="AD316" i="9"/>
  <c r="AD310" i="9"/>
  <c r="AD309" i="9"/>
  <c r="AD313" i="9"/>
  <c r="AD178" i="9"/>
  <c r="AD176" i="9"/>
  <c r="AD246" i="9"/>
  <c r="AD312" i="9"/>
  <c r="AD315" i="9"/>
  <c r="AD311" i="9"/>
  <c r="AD177" i="9"/>
  <c r="AD314" i="9"/>
  <c r="A1984" i="170"/>
  <c r="G1967" i="170"/>
  <c r="AD308" i="9"/>
  <c r="AD175" i="9"/>
  <c r="AD171" i="9"/>
  <c r="AD163" i="9"/>
  <c r="AD155" i="9"/>
  <c r="AD147" i="9"/>
  <c r="AD139" i="9"/>
  <c r="AD131" i="9"/>
  <c r="AD123" i="9"/>
  <c r="AD115" i="9"/>
  <c r="AD107" i="9"/>
  <c r="AD99" i="9"/>
  <c r="AD230" i="9"/>
  <c r="AD214" i="9"/>
  <c r="AD198" i="9"/>
  <c r="AD306" i="9"/>
  <c r="AD290" i="9"/>
  <c r="AD274" i="9"/>
  <c r="AD258" i="9"/>
  <c r="AD231" i="9"/>
  <c r="AD215" i="9"/>
  <c r="AD199" i="9"/>
  <c r="AD243" i="9"/>
  <c r="AD279" i="9"/>
  <c r="AD263" i="9"/>
  <c r="AD240" i="9"/>
  <c r="AD224" i="9"/>
  <c r="AD208" i="9"/>
  <c r="AD192" i="9"/>
  <c r="AD300" i="9"/>
  <c r="AD284" i="9"/>
  <c r="AD268" i="9"/>
  <c r="AD252" i="9"/>
  <c r="AD166" i="9"/>
  <c r="AD158" i="9"/>
  <c r="AD150" i="9"/>
  <c r="AD142" i="9"/>
  <c r="AD134" i="9"/>
  <c r="AD126" i="9"/>
  <c r="AD118" i="9"/>
  <c r="AD110" i="9"/>
  <c r="AD102" i="9"/>
  <c r="AD237" i="9"/>
  <c r="AD221" i="9"/>
  <c r="AD205" i="9"/>
  <c r="AD189" i="9"/>
  <c r="AD297" i="9"/>
  <c r="AD281" i="9"/>
  <c r="AD265" i="9"/>
  <c r="AD174" i="9"/>
  <c r="AD167" i="9"/>
  <c r="AD151" i="9"/>
  <c r="AD135" i="9"/>
  <c r="AD119" i="9"/>
  <c r="AD103" i="9"/>
  <c r="AD222" i="9"/>
  <c r="AD190" i="9"/>
  <c r="AD282" i="9"/>
  <c r="AD223" i="9"/>
  <c r="AD191" i="9"/>
  <c r="AD303" i="9"/>
  <c r="AD271" i="9"/>
  <c r="AD216" i="9"/>
  <c r="AD200" i="9"/>
  <c r="AD292" i="9"/>
  <c r="AD260" i="9"/>
  <c r="AD162" i="9"/>
  <c r="AD154" i="9"/>
  <c r="AD138" i="9"/>
  <c r="AD122" i="9"/>
  <c r="AD106" i="9"/>
  <c r="AD229" i="9"/>
  <c r="AD197" i="9"/>
  <c r="AD289" i="9"/>
  <c r="AD257" i="9"/>
  <c r="AD242" i="9"/>
  <c r="AD226" i="9"/>
  <c r="AD210" i="9"/>
  <c r="AD194" i="9"/>
  <c r="AD302" i="9"/>
  <c r="AD286" i="9"/>
  <c r="AD270" i="9"/>
  <c r="AD254" i="9"/>
  <c r="AD172" i="9"/>
  <c r="AD156" i="9"/>
  <c r="AD148" i="9"/>
  <c r="AD140" i="9"/>
  <c r="AD132" i="9"/>
  <c r="AD124" i="9"/>
  <c r="AD116" i="9"/>
  <c r="AD108" i="9"/>
  <c r="AD100" i="9"/>
  <c r="AD227" i="9"/>
  <c r="AD211" i="9"/>
  <c r="AD195" i="9"/>
  <c r="AD307" i="9"/>
  <c r="AD291" i="9"/>
  <c r="AD275" i="9"/>
  <c r="AD259" i="9"/>
  <c r="AD173" i="9"/>
  <c r="AD165" i="9"/>
  <c r="AD157" i="9"/>
  <c r="AD149" i="9"/>
  <c r="AD141" i="9"/>
  <c r="AD133" i="9"/>
  <c r="AD125" i="9"/>
  <c r="AD117" i="9"/>
  <c r="AD109" i="9"/>
  <c r="AD101" i="9"/>
  <c r="AD236" i="9"/>
  <c r="AD220" i="9"/>
  <c r="AD204" i="9"/>
  <c r="AD188" i="9"/>
  <c r="AD296" i="9"/>
  <c r="AD280" i="9"/>
  <c r="AD264" i="9"/>
  <c r="AD233" i="9"/>
  <c r="AD217" i="9"/>
  <c r="AD201" i="9"/>
  <c r="AD245" i="9"/>
  <c r="AD293" i="9"/>
  <c r="AD261" i="9"/>
  <c r="AD159" i="9"/>
  <c r="AD143" i="9"/>
  <c r="AD127" i="9"/>
  <c r="AD111" i="9"/>
  <c r="AD238" i="9"/>
  <c r="AD206" i="9"/>
  <c r="AD298" i="9"/>
  <c r="AD266" i="9"/>
  <c r="AD239" i="9"/>
  <c r="AD207" i="9"/>
  <c r="AD287" i="9"/>
  <c r="AD255" i="9"/>
  <c r="AD232" i="9"/>
  <c r="AD244" i="9"/>
  <c r="AD276" i="9"/>
  <c r="AD170" i="9"/>
  <c r="AD146" i="9"/>
  <c r="AD130" i="9"/>
  <c r="AD114" i="9"/>
  <c r="AD98" i="9"/>
  <c r="AD213" i="9"/>
  <c r="AD305" i="9"/>
  <c r="AD273" i="9"/>
  <c r="AD218" i="9"/>
  <c r="AD278" i="9"/>
  <c r="AD144" i="9"/>
  <c r="AD112" i="9"/>
  <c r="AD187" i="9"/>
  <c r="AD267" i="9"/>
  <c r="AD145" i="9"/>
  <c r="AD113" i="9"/>
  <c r="AD212" i="9"/>
  <c r="AD272" i="9"/>
  <c r="AD193" i="9"/>
  <c r="AD269" i="9"/>
  <c r="AD168" i="9"/>
  <c r="AD128" i="9"/>
  <c r="AD161" i="9"/>
  <c r="AD304" i="9"/>
  <c r="AD285" i="9"/>
  <c r="AD262" i="9"/>
  <c r="AD152" i="9"/>
  <c r="AD235" i="9"/>
  <c r="AD121" i="9"/>
  <c r="AD196" i="9"/>
  <c r="AD241" i="9"/>
  <c r="AD253" i="9"/>
  <c r="AD234" i="9"/>
  <c r="AD294" i="9"/>
  <c r="AD136" i="9"/>
  <c r="AD104" i="9"/>
  <c r="AD203" i="9"/>
  <c r="AD283" i="9"/>
  <c r="AD169" i="9"/>
  <c r="AD137" i="9"/>
  <c r="AD105" i="9"/>
  <c r="AD228" i="9"/>
  <c r="AD288" i="9"/>
  <c r="AD209" i="9"/>
  <c r="AD160" i="9"/>
  <c r="AD219" i="9"/>
  <c r="AD129" i="9"/>
  <c r="AD97" i="9"/>
  <c r="AD225" i="9"/>
  <c r="AD202" i="9"/>
  <c r="AD120" i="9"/>
  <c r="AD299" i="9"/>
  <c r="AD153" i="9"/>
  <c r="AD256" i="9"/>
  <c r="AD301" i="9"/>
  <c r="D114" i="113"/>
  <c r="G114" i="113" s="1"/>
  <c r="D106" i="113"/>
  <c r="G106" i="113" s="1"/>
  <c r="D123" i="113"/>
  <c r="G123" i="113" s="1"/>
  <c r="D111" i="113"/>
  <c r="G111" i="113" s="1"/>
  <c r="D107" i="113"/>
  <c r="G107" i="113" s="1"/>
  <c r="D103" i="113"/>
  <c r="G103" i="113" s="1"/>
  <c r="D128" i="113"/>
  <c r="G128" i="113" s="1"/>
  <c r="D124" i="113"/>
  <c r="G124" i="113" s="1"/>
  <c r="D120" i="113"/>
  <c r="G120" i="113" s="1"/>
  <c r="D116" i="113"/>
  <c r="G116" i="113" s="1"/>
  <c r="D108" i="113"/>
  <c r="G108" i="113" s="1"/>
  <c r="D104" i="113"/>
  <c r="G104" i="113" s="1"/>
  <c r="D125" i="113"/>
  <c r="G125" i="113" s="1"/>
  <c r="D117" i="113"/>
  <c r="G117" i="113" s="1"/>
  <c r="D113" i="113"/>
  <c r="G113" i="113" s="1"/>
  <c r="D109" i="113"/>
  <c r="G109" i="113" s="1"/>
  <c r="D105" i="113"/>
  <c r="G105" i="113" s="1"/>
  <c r="D135" i="113"/>
  <c r="G135" i="113" s="1"/>
  <c r="D134" i="113"/>
  <c r="G134" i="113" s="1"/>
  <c r="D133" i="113"/>
  <c r="G133" i="113" s="1"/>
  <c r="D132" i="113"/>
  <c r="G132" i="113" s="1"/>
  <c r="D131" i="113"/>
  <c r="G131" i="113" s="1"/>
  <c r="D130" i="113"/>
  <c r="G130" i="113" s="1"/>
  <c r="D129" i="113"/>
  <c r="G129" i="113" s="1"/>
  <c r="D127" i="113"/>
  <c r="G127" i="113" s="1"/>
  <c r="D126" i="113"/>
  <c r="G126" i="113" s="1"/>
  <c r="D122" i="113"/>
  <c r="G122" i="113" s="1"/>
  <c r="D121" i="113"/>
  <c r="G121" i="113" s="1"/>
  <c r="D119" i="113"/>
  <c r="G119" i="113" s="1"/>
  <c r="D118" i="113"/>
  <c r="G118" i="113" s="1"/>
  <c r="D115" i="113"/>
  <c r="G115" i="113" s="1"/>
  <c r="D112" i="113"/>
  <c r="G112" i="113" s="1"/>
  <c r="D110" i="113"/>
  <c r="G110" i="113" s="1"/>
  <c r="G81" i="102" l="1"/>
  <c r="U317" i="9"/>
  <c r="U179" i="9"/>
  <c r="G100" i="100"/>
  <c r="L100" i="100" s="1"/>
  <c r="J80" i="102"/>
  <c r="U310" i="9"/>
  <c r="G74" i="102"/>
  <c r="G76" i="102"/>
  <c r="U312" i="9"/>
  <c r="G79" i="102"/>
  <c r="U315" i="9"/>
  <c r="U316" i="9"/>
  <c r="U314" i="9"/>
  <c r="G78" i="102"/>
  <c r="U311" i="9"/>
  <c r="G75" i="102"/>
  <c r="U313" i="9"/>
  <c r="G77" i="102"/>
  <c r="J91" i="100"/>
  <c r="G99" i="100"/>
  <c r="L99" i="100" s="1"/>
  <c r="J96" i="100"/>
  <c r="G97" i="100"/>
  <c r="L97" i="100" s="1"/>
  <c r="J93" i="100"/>
  <c r="G98" i="100"/>
  <c r="L98" i="100" s="1"/>
  <c r="J92" i="100"/>
  <c r="J95" i="100"/>
  <c r="J94" i="100"/>
  <c r="G1984" i="170"/>
  <c r="A2001" i="170"/>
  <c r="U175" i="9"/>
  <c r="G76" i="101"/>
  <c r="U244" i="9"/>
  <c r="U309" i="9"/>
  <c r="G73" i="102"/>
  <c r="U245" i="9"/>
  <c r="G77" i="101"/>
  <c r="U243" i="9"/>
  <c r="G75" i="101"/>
  <c r="G68" i="102"/>
  <c r="U304" i="9"/>
  <c r="U246" i="9"/>
  <c r="G78" i="101"/>
  <c r="U305" i="9"/>
  <c r="G69" i="102"/>
  <c r="U308" i="9"/>
  <c r="G72" i="102"/>
  <c r="G70" i="102"/>
  <c r="U306" i="9"/>
  <c r="G71" i="102"/>
  <c r="U307" i="9"/>
  <c r="U174" i="9"/>
  <c r="U173" i="9"/>
  <c r="U172" i="9"/>
  <c r="T11" i="9"/>
  <c r="J100" i="100" l="1"/>
  <c r="J81" i="102"/>
  <c r="J98" i="100"/>
  <c r="J99" i="100"/>
  <c r="J97" i="100"/>
  <c r="A2053" i="170"/>
  <c r="A2018" i="170"/>
  <c r="G2001" i="170"/>
  <c r="A2069" i="170" l="1"/>
  <c r="A2085" i="170" s="1"/>
  <c r="A2101" i="170" s="1"/>
  <c r="G2053" i="170"/>
  <c r="A2035" i="170"/>
  <c r="G2035" i="170" s="1"/>
  <c r="G2018" i="170"/>
  <c r="AO175" i="128"/>
  <c r="AO316" i="128" s="1"/>
  <c r="A2117" i="170" l="1"/>
  <c r="G2101" i="170"/>
  <c r="AI314" i="128"/>
  <c r="E19" i="154"/>
  <c r="AK182" i="128"/>
  <c r="AJ8" i="151" s="1"/>
  <c r="E16" i="154"/>
  <c r="G16" i="154" s="1"/>
  <c r="H18" i="154"/>
  <c r="U36" i="9"/>
  <c r="U81" i="9"/>
  <c r="U158" i="9"/>
  <c r="U265" i="9"/>
  <c r="U273" i="9"/>
  <c r="U289" i="9"/>
  <c r="U252" i="9"/>
  <c r="U210" i="9"/>
  <c r="U226" i="9"/>
  <c r="U242" i="9"/>
  <c r="U119" i="9"/>
  <c r="U135" i="9"/>
  <c r="U151" i="9"/>
  <c r="U167" i="9"/>
  <c r="U21" i="9"/>
  <c r="U37" i="9"/>
  <c r="U53" i="9"/>
  <c r="U69" i="9"/>
  <c r="U77" i="9"/>
  <c r="U67" i="9"/>
  <c r="U300" i="9"/>
  <c r="U225" i="9"/>
  <c r="U114" i="9"/>
  <c r="U162" i="9"/>
  <c r="U64" i="9"/>
  <c r="U254" i="9"/>
  <c r="U270" i="9"/>
  <c r="U286" i="9"/>
  <c r="U302" i="9"/>
  <c r="U191" i="9"/>
  <c r="U207" i="9"/>
  <c r="U223" i="9"/>
  <c r="U239" i="9"/>
  <c r="U116" i="9"/>
  <c r="U132" i="9"/>
  <c r="U156" i="9"/>
  <c r="U18" i="9"/>
  <c r="U26" i="9"/>
  <c r="U46" i="9"/>
  <c r="U62" i="9"/>
  <c r="U43" i="9"/>
  <c r="U55" i="9"/>
  <c r="U272" i="9"/>
  <c r="U205" i="9"/>
  <c r="U106" i="9"/>
  <c r="U130" i="9"/>
  <c r="U16" i="9"/>
  <c r="U40" i="9"/>
  <c r="U255" i="9"/>
  <c r="U271" i="9"/>
  <c r="U287" i="9"/>
  <c r="U303" i="9"/>
  <c r="U192" i="9"/>
  <c r="U208" i="9"/>
  <c r="U232" i="9"/>
  <c r="U101" i="9"/>
  <c r="U109" i="9"/>
  <c r="U125" i="9"/>
  <c r="U141" i="9"/>
  <c r="U157" i="9"/>
  <c r="U19" i="9"/>
  <c r="U14" i="9"/>
  <c r="U261" i="9"/>
  <c r="U285" i="9"/>
  <c r="U301" i="9"/>
  <c r="U190" i="9"/>
  <c r="U198" i="9"/>
  <c r="U206" i="9"/>
  <c r="U214" i="9"/>
  <c r="U222" i="9"/>
  <c r="U230" i="9"/>
  <c r="U238" i="9"/>
  <c r="U99" i="9"/>
  <c r="U107" i="9"/>
  <c r="U115" i="9"/>
  <c r="U123" i="9"/>
  <c r="U131" i="9"/>
  <c r="U139" i="9"/>
  <c r="U147" i="9"/>
  <c r="U155" i="9"/>
  <c r="U163" i="9"/>
  <c r="U171" i="9"/>
  <c r="U17" i="9"/>
  <c r="U25" i="9"/>
  <c r="U33" i="9"/>
  <c r="U41" i="9"/>
  <c r="U49" i="9"/>
  <c r="U57" i="9"/>
  <c r="U65" i="9"/>
  <c r="U73" i="9"/>
  <c r="U74" i="9"/>
  <c r="U59" i="9"/>
  <c r="U75" i="9"/>
  <c r="U268" i="9"/>
  <c r="U288" i="9"/>
  <c r="U193" i="9"/>
  <c r="U213" i="9"/>
  <c r="U237" i="9"/>
  <c r="U126" i="9"/>
  <c r="U150" i="9"/>
  <c r="U12" i="9"/>
  <c r="U52" i="9"/>
  <c r="U76" i="9"/>
  <c r="U258" i="9"/>
  <c r="U266" i="9"/>
  <c r="U274" i="9"/>
  <c r="U282" i="9"/>
  <c r="U290" i="9"/>
  <c r="U298" i="9"/>
  <c r="U187" i="9"/>
  <c r="U195" i="9"/>
  <c r="U203" i="9"/>
  <c r="U211" i="9"/>
  <c r="U219" i="9"/>
  <c r="U227" i="9"/>
  <c r="U235" i="9"/>
  <c r="U100" i="9"/>
  <c r="U108" i="9"/>
  <c r="U120" i="9"/>
  <c r="U128" i="9"/>
  <c r="U136" i="9"/>
  <c r="U144" i="9"/>
  <c r="U152" i="9"/>
  <c r="U160" i="9"/>
  <c r="U168" i="9"/>
  <c r="U22" i="9"/>
  <c r="U30" i="9"/>
  <c r="U42" i="9"/>
  <c r="U50" i="9"/>
  <c r="U58" i="9"/>
  <c r="U66" i="9"/>
  <c r="U78" i="9"/>
  <c r="U51" i="9"/>
  <c r="U63" i="9"/>
  <c r="U260" i="9"/>
  <c r="U284" i="9"/>
  <c r="U102" i="9"/>
  <c r="U257" i="9"/>
  <c r="U281" i="9"/>
  <c r="U297" i="9"/>
  <c r="U194" i="9"/>
  <c r="U202" i="9"/>
  <c r="U218" i="9"/>
  <c r="U234" i="9"/>
  <c r="U103" i="9"/>
  <c r="U111" i="9"/>
  <c r="U127" i="9"/>
  <c r="U143" i="9"/>
  <c r="U159" i="9"/>
  <c r="U13" i="9"/>
  <c r="U29" i="9"/>
  <c r="U45" i="9"/>
  <c r="U61" i="9"/>
  <c r="U47" i="9"/>
  <c r="U256" i="9"/>
  <c r="U276" i="9"/>
  <c r="U201" i="9"/>
  <c r="U138" i="9"/>
  <c r="U24" i="9"/>
  <c r="U262" i="9"/>
  <c r="U278" i="9"/>
  <c r="U294" i="9"/>
  <c r="U199" i="9"/>
  <c r="U215" i="9"/>
  <c r="U231" i="9"/>
  <c r="U104" i="9"/>
  <c r="U124" i="9"/>
  <c r="U140" i="9"/>
  <c r="U148" i="9"/>
  <c r="U164" i="9"/>
  <c r="U38" i="9"/>
  <c r="U54" i="9"/>
  <c r="U70" i="9"/>
  <c r="U79" i="9"/>
  <c r="U292" i="9"/>
  <c r="U83" i="9"/>
  <c r="U229" i="9"/>
  <c r="U154" i="9"/>
  <c r="U60" i="9"/>
  <c r="U263" i="9"/>
  <c r="U279" i="9"/>
  <c r="U295" i="9"/>
  <c r="U200" i="9"/>
  <c r="U216" i="9"/>
  <c r="U224" i="9"/>
  <c r="U240" i="9"/>
  <c r="U117" i="9"/>
  <c r="U133" i="9"/>
  <c r="U149" i="9"/>
  <c r="U165" i="9"/>
  <c r="U97" i="9"/>
  <c r="U27" i="9"/>
  <c r="U35" i="9"/>
  <c r="U71" i="9"/>
  <c r="U280" i="9"/>
  <c r="U189" i="9"/>
  <c r="U209" i="9"/>
  <c r="U233" i="9"/>
  <c r="U110" i="9"/>
  <c r="U134" i="9"/>
  <c r="U170" i="9"/>
  <c r="U32" i="9"/>
  <c r="U56" i="9"/>
  <c r="U82" i="9"/>
  <c r="U112" i="9"/>
  <c r="U253" i="9"/>
  <c r="U269" i="9"/>
  <c r="U277" i="9"/>
  <c r="U293" i="9"/>
  <c r="U34" i="9"/>
  <c r="U80" i="9"/>
  <c r="U217" i="9"/>
  <c r="U241" i="9"/>
  <c r="U118" i="9"/>
  <c r="U142" i="9"/>
  <c r="U166" i="9"/>
  <c r="U28" i="9"/>
  <c r="U48" i="9"/>
  <c r="U72" i="9"/>
  <c r="U259" i="9"/>
  <c r="U267" i="9"/>
  <c r="U275" i="9"/>
  <c r="U283" i="9"/>
  <c r="U291" i="9"/>
  <c r="U299" i="9"/>
  <c r="U188" i="9"/>
  <c r="U196" i="9"/>
  <c r="U204" i="9"/>
  <c r="U212" i="9"/>
  <c r="U220" i="9"/>
  <c r="U228" i="9"/>
  <c r="U236" i="9"/>
  <c r="U186" i="9"/>
  <c r="U105" i="9"/>
  <c r="U113" i="9"/>
  <c r="U121" i="9"/>
  <c r="U129" i="9"/>
  <c r="U137" i="9"/>
  <c r="U145" i="9"/>
  <c r="U153" i="9"/>
  <c r="U161" i="9"/>
  <c r="U169" i="9"/>
  <c r="U15" i="9"/>
  <c r="U23" i="9"/>
  <c r="U31" i="9"/>
  <c r="U39" i="9"/>
  <c r="U264" i="9"/>
  <c r="U296" i="9"/>
  <c r="U197" i="9"/>
  <c r="U221" i="9"/>
  <c r="U98" i="9"/>
  <c r="U122" i="9"/>
  <c r="U146" i="9"/>
  <c r="U20" i="9"/>
  <c r="U44" i="9"/>
  <c r="U68" i="9"/>
  <c r="G33" i="100"/>
  <c r="G17" i="102"/>
  <c r="G25" i="102"/>
  <c r="G33" i="102"/>
  <c r="G41" i="102"/>
  <c r="G49" i="102"/>
  <c r="G57" i="102"/>
  <c r="G65" i="102"/>
  <c r="G22" i="101"/>
  <c r="G30" i="101"/>
  <c r="G38" i="101"/>
  <c r="G46" i="101"/>
  <c r="G54" i="101"/>
  <c r="G62" i="101"/>
  <c r="G70" i="101"/>
  <c r="G20" i="100"/>
  <c r="J20" i="100" s="1"/>
  <c r="G28" i="100"/>
  <c r="J28" i="100" s="1"/>
  <c r="G36" i="100"/>
  <c r="J36" i="100" s="1"/>
  <c r="G44" i="100"/>
  <c r="J44" i="100" s="1"/>
  <c r="G52" i="100"/>
  <c r="J52" i="100" s="1"/>
  <c r="G60" i="100"/>
  <c r="J60" i="100" s="1"/>
  <c r="G68" i="100"/>
  <c r="J68" i="100" s="1"/>
  <c r="G76" i="100"/>
  <c r="L76" i="100" s="1"/>
  <c r="G84" i="100"/>
  <c r="L84" i="100" s="1"/>
  <c r="G32" i="102"/>
  <c r="G52" i="102"/>
  <c r="G25" i="101"/>
  <c r="G45" i="101"/>
  <c r="G69" i="101"/>
  <c r="G47" i="100"/>
  <c r="J47" i="100" s="1"/>
  <c r="G71" i="100"/>
  <c r="L71" i="100" s="1"/>
  <c r="G22" i="102"/>
  <c r="G30" i="102"/>
  <c r="G38" i="102"/>
  <c r="G46" i="102"/>
  <c r="G54" i="102"/>
  <c r="G62" i="102"/>
  <c r="G19" i="101"/>
  <c r="G27" i="101"/>
  <c r="G35" i="101"/>
  <c r="G43" i="101"/>
  <c r="G51" i="101"/>
  <c r="G59" i="101"/>
  <c r="G67" i="101"/>
  <c r="G21" i="100"/>
  <c r="J21" i="100" s="1"/>
  <c r="G29" i="100"/>
  <c r="J29" i="100" s="1"/>
  <c r="G41" i="100"/>
  <c r="J41" i="100" s="1"/>
  <c r="G49" i="100"/>
  <c r="J49" i="100" s="1"/>
  <c r="G57" i="100"/>
  <c r="J57" i="100" s="1"/>
  <c r="G65" i="100"/>
  <c r="J65" i="100" s="1"/>
  <c r="G73" i="100"/>
  <c r="L73" i="100" s="1"/>
  <c r="G81" i="100"/>
  <c r="L81" i="100" s="1"/>
  <c r="G89" i="100"/>
  <c r="L89" i="100" s="1"/>
  <c r="G24" i="102"/>
  <c r="G48" i="102"/>
  <c r="G49" i="101"/>
  <c r="G73" i="101"/>
  <c r="G39" i="100"/>
  <c r="J39" i="100" s="1"/>
  <c r="G63" i="100"/>
  <c r="J63" i="100" s="1"/>
  <c r="G87" i="100"/>
  <c r="L87" i="100" s="1"/>
  <c r="G19" i="102"/>
  <c r="G27" i="102"/>
  <c r="G35" i="102"/>
  <c r="G43" i="102"/>
  <c r="G51" i="102"/>
  <c r="G59" i="102"/>
  <c r="G67" i="102"/>
  <c r="G24" i="101"/>
  <c r="G32" i="101"/>
  <c r="G40" i="101"/>
  <c r="G48" i="101"/>
  <c r="G56" i="101"/>
  <c r="G64" i="101"/>
  <c r="G72" i="101"/>
  <c r="G22" i="100"/>
  <c r="J22" i="100" s="1"/>
  <c r="G30" i="100"/>
  <c r="J30" i="100" s="1"/>
  <c r="G38" i="100"/>
  <c r="J38" i="100" s="1"/>
  <c r="G46" i="100"/>
  <c r="J46" i="100" s="1"/>
  <c r="G54" i="100"/>
  <c r="J54" i="100" s="1"/>
  <c r="G62" i="100"/>
  <c r="L62" i="100" s="1"/>
  <c r="G70" i="100"/>
  <c r="L70" i="100" s="1"/>
  <c r="G78" i="100"/>
  <c r="L78" i="100" s="1"/>
  <c r="G86" i="100"/>
  <c r="L86" i="100" s="1"/>
  <c r="G18" i="100"/>
  <c r="G44" i="102"/>
  <c r="G21" i="101"/>
  <c r="G41" i="101"/>
  <c r="G65" i="101"/>
  <c r="G31" i="100"/>
  <c r="J31" i="100" s="1"/>
  <c r="G55" i="100"/>
  <c r="J55" i="100" s="1"/>
  <c r="G23" i="100"/>
  <c r="G79" i="100"/>
  <c r="L79" i="100" s="1"/>
  <c r="G21" i="102"/>
  <c r="G29" i="102"/>
  <c r="G37" i="102"/>
  <c r="G45" i="102"/>
  <c r="G53" i="102"/>
  <c r="G61" i="102"/>
  <c r="G26" i="101"/>
  <c r="G34" i="101"/>
  <c r="G42" i="101"/>
  <c r="G50" i="101"/>
  <c r="G58" i="101"/>
  <c r="G66" i="101"/>
  <c r="G74" i="101"/>
  <c r="G24" i="100"/>
  <c r="G32" i="100"/>
  <c r="J32" i="100" s="1"/>
  <c r="G40" i="100"/>
  <c r="J40" i="100" s="1"/>
  <c r="G48" i="100"/>
  <c r="J48" i="100" s="1"/>
  <c r="G56" i="100"/>
  <c r="J56" i="100" s="1"/>
  <c r="G64" i="100"/>
  <c r="J64" i="100" s="1"/>
  <c r="G72" i="100"/>
  <c r="L72" i="100" s="1"/>
  <c r="G80" i="100"/>
  <c r="L80" i="100" s="1"/>
  <c r="G88" i="100"/>
  <c r="L88" i="100" s="1"/>
  <c r="G20" i="102"/>
  <c r="G40" i="102"/>
  <c r="G64" i="102"/>
  <c r="G33" i="101"/>
  <c r="G57" i="101"/>
  <c r="G35" i="100"/>
  <c r="J35" i="100" s="1"/>
  <c r="G59" i="100"/>
  <c r="J59" i="100" s="1"/>
  <c r="G83" i="100"/>
  <c r="L83" i="100" s="1"/>
  <c r="G18" i="102"/>
  <c r="G26" i="102"/>
  <c r="G34" i="102"/>
  <c r="G42" i="102"/>
  <c r="G50" i="102"/>
  <c r="G58" i="102"/>
  <c r="G66" i="102"/>
  <c r="G23" i="101"/>
  <c r="G31" i="101"/>
  <c r="G39" i="101"/>
  <c r="G47" i="101"/>
  <c r="G55" i="101"/>
  <c r="G63" i="101"/>
  <c r="G71" i="101"/>
  <c r="G25" i="100"/>
  <c r="J25" i="100" s="1"/>
  <c r="G37" i="100"/>
  <c r="J37" i="100" s="1"/>
  <c r="G45" i="100"/>
  <c r="J45" i="100" s="1"/>
  <c r="G53" i="100"/>
  <c r="J53" i="100" s="1"/>
  <c r="G61" i="100"/>
  <c r="J61" i="100" s="1"/>
  <c r="G69" i="100"/>
  <c r="L69" i="100" s="1"/>
  <c r="G77" i="100"/>
  <c r="L77" i="100" s="1"/>
  <c r="G85" i="100"/>
  <c r="L85" i="100" s="1"/>
  <c r="G36" i="102"/>
  <c r="G56" i="102"/>
  <c r="G37" i="101"/>
  <c r="G61" i="101"/>
  <c r="G27" i="100"/>
  <c r="J27" i="100" s="1"/>
  <c r="G51" i="100"/>
  <c r="J51" i="100" s="1"/>
  <c r="G75" i="100"/>
  <c r="L75" i="100" s="1"/>
  <c r="G23" i="102"/>
  <c r="G31" i="102"/>
  <c r="G39" i="102"/>
  <c r="G47" i="102"/>
  <c r="G55" i="102"/>
  <c r="G63" i="102"/>
  <c r="G20" i="101"/>
  <c r="G28" i="101"/>
  <c r="G36" i="101"/>
  <c r="G44" i="101"/>
  <c r="G52" i="101"/>
  <c r="G60" i="101"/>
  <c r="G68" i="101"/>
  <c r="G26" i="100"/>
  <c r="J26" i="100" s="1"/>
  <c r="G34" i="100"/>
  <c r="G42" i="100"/>
  <c r="J42" i="100" s="1"/>
  <c r="G50" i="100"/>
  <c r="J50" i="100" s="1"/>
  <c r="G58" i="100"/>
  <c r="J58" i="100" s="1"/>
  <c r="G66" i="100"/>
  <c r="J66" i="100" s="1"/>
  <c r="G74" i="100"/>
  <c r="L74" i="100" s="1"/>
  <c r="G82" i="100"/>
  <c r="L82" i="100" s="1"/>
  <c r="G90" i="100"/>
  <c r="G28" i="102"/>
  <c r="G60" i="102"/>
  <c r="G29" i="101"/>
  <c r="G53" i="101"/>
  <c r="G19" i="100"/>
  <c r="J19" i="100" s="1"/>
  <c r="G43" i="100"/>
  <c r="J43" i="100" s="1"/>
  <c r="G67" i="100"/>
  <c r="J67" i="100" s="1"/>
  <c r="E15" i="154" l="1"/>
  <c r="U10" i="9"/>
  <c r="AB11" i="101"/>
  <c r="J60" i="101" s="1"/>
  <c r="AK314" i="128"/>
  <c r="AK319" i="128" s="1"/>
  <c r="A2133" i="170"/>
  <c r="G2117" i="170"/>
  <c r="H19" i="154"/>
  <c r="G19" i="154"/>
  <c r="G15" i="154" s="1"/>
  <c r="J18" i="100"/>
  <c r="H17" i="154"/>
  <c r="H16" i="154"/>
  <c r="J24" i="100"/>
  <c r="J33" i="100"/>
  <c r="J34" i="100"/>
  <c r="I609" i="170"/>
  <c r="K609" i="170" s="1"/>
  <c r="K618" i="170" s="1"/>
  <c r="C626" i="170"/>
  <c r="E626" i="170" s="1"/>
  <c r="E635" i="170" s="1"/>
  <c r="I592" i="170"/>
  <c r="K592" i="170" s="1"/>
  <c r="K601" i="170" s="1"/>
  <c r="C609" i="170"/>
  <c r="E609" i="170" s="1"/>
  <c r="E618" i="170" s="1"/>
  <c r="J23" i="100"/>
  <c r="J90" i="100"/>
  <c r="J69" i="100"/>
  <c r="J80" i="100"/>
  <c r="J86" i="100"/>
  <c r="J70" i="100"/>
  <c r="J87" i="100"/>
  <c r="J89" i="100"/>
  <c r="J73" i="100"/>
  <c r="J71" i="100"/>
  <c r="J76" i="100"/>
  <c r="Z11" i="102"/>
  <c r="J74" i="100"/>
  <c r="J85" i="100"/>
  <c r="J83" i="100"/>
  <c r="J82" i="100"/>
  <c r="J75" i="100"/>
  <c r="J77" i="100"/>
  <c r="J88" i="100"/>
  <c r="J72" i="100"/>
  <c r="J79" i="100"/>
  <c r="J78" i="100"/>
  <c r="J62" i="100"/>
  <c r="J81" i="100"/>
  <c r="J84" i="100"/>
  <c r="L80" i="102" l="1"/>
  <c r="L81" i="102"/>
  <c r="J66" i="101"/>
  <c r="J75" i="101"/>
  <c r="J65" i="101"/>
  <c r="J43" i="101"/>
  <c r="J33" i="101"/>
  <c r="J34" i="101"/>
  <c r="J28" i="101"/>
  <c r="J59" i="101"/>
  <c r="J27" i="101"/>
  <c r="J50" i="101"/>
  <c r="J21" i="101"/>
  <c r="J49" i="101"/>
  <c r="J76" i="101"/>
  <c r="J44" i="10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Z11" i="151"/>
  <c r="J19" i="101"/>
  <c r="J63" i="101"/>
  <c r="J47" i="101"/>
  <c r="J31" i="101"/>
  <c r="J70" i="101"/>
  <c r="J54" i="101"/>
  <c r="J38" i="101"/>
  <c r="Z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G84" i="132"/>
  <c r="I84" i="132" s="1"/>
  <c r="G85" i="132"/>
  <c r="I85" i="132" s="1"/>
  <c r="G83" i="132"/>
  <c r="I83" i="132" s="1"/>
  <c r="G86" i="132"/>
  <c r="I86" i="132" s="1"/>
  <c r="L635" i="170"/>
  <c r="C10" i="170"/>
  <c r="E10" i="170" s="1"/>
  <c r="A2149" i="170"/>
  <c r="G2133" i="170"/>
  <c r="G14" i="132"/>
  <c r="H15" i="154"/>
  <c r="L75" i="101" l="1"/>
  <c r="L77" i="101"/>
  <c r="L76" i="101"/>
  <c r="L78" i="101"/>
  <c r="L618" i="170"/>
  <c r="A2165" i="170"/>
  <c r="G2149" i="170"/>
  <c r="N334" i="113"/>
  <c r="O334" i="113"/>
  <c r="Q334" i="113"/>
  <c r="R334" i="113"/>
  <c r="T334" i="113"/>
  <c r="G319" i="113"/>
  <c r="H250" i="113"/>
  <c r="I250" i="113"/>
  <c r="Q250" i="113"/>
  <c r="T250" i="113"/>
  <c r="G251" i="113"/>
  <c r="I251" i="113"/>
  <c r="I252" i="113"/>
  <c r="G2165" i="170" l="1"/>
  <c r="A2181" i="170"/>
  <c r="G349" i="113"/>
  <c r="G347" i="113"/>
  <c r="W333" i="113"/>
  <c r="G333" i="113"/>
  <c r="F333" i="113"/>
  <c r="F334" i="113" s="1"/>
  <c r="T332" i="113"/>
  <c r="T336" i="113" s="1"/>
  <c r="Q332" i="113"/>
  <c r="Q336" i="113" s="1"/>
  <c r="D331" i="113"/>
  <c r="W331" i="113" s="1"/>
  <c r="B331" i="113"/>
  <c r="D330" i="113"/>
  <c r="W330" i="113" s="1"/>
  <c r="B330" i="113"/>
  <c r="D329" i="113"/>
  <c r="W329" i="113" s="1"/>
  <c r="B329" i="113"/>
  <c r="D328" i="113"/>
  <c r="W328" i="113" s="1"/>
  <c r="B328" i="113"/>
  <c r="D327" i="113"/>
  <c r="W327" i="113" s="1"/>
  <c r="B327" i="113"/>
  <c r="D326" i="113"/>
  <c r="W326" i="113" s="1"/>
  <c r="B326" i="113"/>
  <c r="D325" i="113"/>
  <c r="W325" i="113" s="1"/>
  <c r="B325" i="113"/>
  <c r="D324" i="113"/>
  <c r="W324" i="113" s="1"/>
  <c r="B324" i="113"/>
  <c r="D323" i="113"/>
  <c r="W323" i="113" s="1"/>
  <c r="B323" i="113"/>
  <c r="D322" i="113"/>
  <c r="W322" i="113" s="1"/>
  <c r="B322" i="113"/>
  <c r="D321" i="113"/>
  <c r="W321" i="113" s="1"/>
  <c r="B321" i="113"/>
  <c r="D320" i="113"/>
  <c r="W320" i="113" s="1"/>
  <c r="B320" i="113"/>
  <c r="D319" i="113"/>
  <c r="G318" i="113"/>
  <c r="J318" i="113" s="1"/>
  <c r="F318" i="113"/>
  <c r="D318" i="113"/>
  <c r="B318" i="113"/>
  <c r="G317" i="113"/>
  <c r="J317" i="113" s="1"/>
  <c r="F317" i="113"/>
  <c r="D317" i="113"/>
  <c r="F316" i="113"/>
  <c r="D316" i="113"/>
  <c r="G315" i="113"/>
  <c r="J315" i="113" s="1"/>
  <c r="F315" i="113"/>
  <c r="D315" i="113"/>
  <c r="T314" i="113"/>
  <c r="Q314" i="113"/>
  <c r="E313" i="113"/>
  <c r="E312" i="113"/>
  <c r="E311" i="113"/>
  <c r="E310" i="113"/>
  <c r="E309" i="113"/>
  <c r="E308" i="113"/>
  <c r="E307" i="113"/>
  <c r="E306" i="113"/>
  <c r="E305" i="113"/>
  <c r="E304" i="113"/>
  <c r="E303" i="113"/>
  <c r="E302" i="113"/>
  <c r="B302" i="113"/>
  <c r="E301" i="113"/>
  <c r="B301" i="113"/>
  <c r="E300" i="113"/>
  <c r="B300" i="113"/>
  <c r="E299" i="113"/>
  <c r="B299" i="113"/>
  <c r="E298" i="113"/>
  <c r="B298" i="113"/>
  <c r="E297" i="113"/>
  <c r="E296" i="113"/>
  <c r="B296" i="113"/>
  <c r="E295" i="113"/>
  <c r="B295" i="113"/>
  <c r="E294" i="113"/>
  <c r="B294" i="113"/>
  <c r="E293" i="113"/>
  <c r="B293" i="113"/>
  <c r="E292" i="113"/>
  <c r="B292" i="113"/>
  <c r="E291" i="113"/>
  <c r="B291" i="113"/>
  <c r="E290" i="113"/>
  <c r="B290" i="113"/>
  <c r="E289" i="113"/>
  <c r="B289" i="113"/>
  <c r="E288" i="113"/>
  <c r="B288" i="113"/>
  <c r="E287" i="113"/>
  <c r="B287" i="113"/>
  <c r="E286" i="113"/>
  <c r="B286" i="113"/>
  <c r="E285" i="113"/>
  <c r="B285" i="113"/>
  <c r="E284" i="113"/>
  <c r="B284" i="113"/>
  <c r="E283" i="113"/>
  <c r="B283" i="113"/>
  <c r="E282" i="113"/>
  <c r="B282" i="113"/>
  <c r="E281" i="113"/>
  <c r="B281" i="113"/>
  <c r="E280" i="113"/>
  <c r="B280" i="113"/>
  <c r="E279" i="113"/>
  <c r="B279" i="113"/>
  <c r="E278" i="113"/>
  <c r="B278" i="113"/>
  <c r="E277" i="113"/>
  <c r="B277" i="113"/>
  <c r="E276" i="113"/>
  <c r="B276" i="113"/>
  <c r="E275" i="113"/>
  <c r="B275" i="113"/>
  <c r="E274" i="113"/>
  <c r="B274" i="113"/>
  <c r="E273" i="113"/>
  <c r="B273" i="113"/>
  <c r="E272" i="113"/>
  <c r="B272" i="113"/>
  <c r="E271" i="113"/>
  <c r="B271" i="113"/>
  <c r="E270" i="113"/>
  <c r="B270" i="113"/>
  <c r="E269" i="113"/>
  <c r="B269" i="113"/>
  <c r="E268" i="113"/>
  <c r="B268" i="113"/>
  <c r="E267" i="113"/>
  <c r="B267" i="113"/>
  <c r="E266" i="113"/>
  <c r="B266" i="113"/>
  <c r="E265" i="113"/>
  <c r="B265" i="113"/>
  <c r="E264" i="113"/>
  <c r="B264" i="113"/>
  <c r="E263" i="113"/>
  <c r="B263" i="113"/>
  <c r="E262" i="113"/>
  <c r="B262" i="113"/>
  <c r="E261" i="113"/>
  <c r="B261" i="113"/>
  <c r="E260" i="113"/>
  <c r="B260" i="113"/>
  <c r="E259" i="113"/>
  <c r="B259" i="113"/>
  <c r="E258" i="113"/>
  <c r="B258" i="113"/>
  <c r="E257" i="113"/>
  <c r="B257" i="113"/>
  <c r="E256" i="113"/>
  <c r="B256" i="113"/>
  <c r="E255" i="113"/>
  <c r="B255" i="113"/>
  <c r="E254" i="113"/>
  <c r="B254" i="113"/>
  <c r="X253" i="113"/>
  <c r="X254" i="113" s="1"/>
  <c r="E253" i="113"/>
  <c r="B253" i="113"/>
  <c r="E252" i="113"/>
  <c r="D252" i="113"/>
  <c r="D251" i="113"/>
  <c r="E247" i="113"/>
  <c r="E246" i="113"/>
  <c r="E245" i="113"/>
  <c r="E244" i="113"/>
  <c r="E243" i="113"/>
  <c r="E242" i="113"/>
  <c r="E241" i="113"/>
  <c r="E240" i="113"/>
  <c r="E239" i="113"/>
  <c r="E238" i="113"/>
  <c r="E237" i="113"/>
  <c r="E236" i="113"/>
  <c r="E235" i="113"/>
  <c r="B235" i="113"/>
  <c r="E234" i="113"/>
  <c r="B234" i="113"/>
  <c r="E233" i="113"/>
  <c r="B233" i="113"/>
  <c r="E232" i="113"/>
  <c r="B232" i="113"/>
  <c r="E231" i="113"/>
  <c r="B231" i="113"/>
  <c r="E230" i="113"/>
  <c r="B230" i="113"/>
  <c r="E229" i="113"/>
  <c r="B229" i="113"/>
  <c r="E228" i="113"/>
  <c r="B228" i="113"/>
  <c r="E227" i="113"/>
  <c r="B227" i="113"/>
  <c r="E226" i="113"/>
  <c r="B226" i="113"/>
  <c r="E225" i="113"/>
  <c r="B225" i="113"/>
  <c r="E224" i="113"/>
  <c r="B224" i="113"/>
  <c r="E223" i="113"/>
  <c r="B223" i="113"/>
  <c r="E222" i="113"/>
  <c r="B222" i="113"/>
  <c r="E221" i="113"/>
  <c r="B221" i="113"/>
  <c r="E220" i="113"/>
  <c r="B220" i="113"/>
  <c r="E219" i="113"/>
  <c r="B219" i="113"/>
  <c r="E218" i="113"/>
  <c r="B218" i="113"/>
  <c r="E217" i="113"/>
  <c r="B217" i="113"/>
  <c r="E216" i="113"/>
  <c r="B216" i="113"/>
  <c r="E215" i="113"/>
  <c r="B215" i="113"/>
  <c r="E214" i="113"/>
  <c r="B214" i="113"/>
  <c r="E213" i="113"/>
  <c r="B213" i="113"/>
  <c r="E212" i="113"/>
  <c r="B212" i="113"/>
  <c r="E211" i="113"/>
  <c r="B211" i="113"/>
  <c r="E210" i="113"/>
  <c r="B210" i="113"/>
  <c r="E209" i="113"/>
  <c r="B209" i="113"/>
  <c r="E208" i="113"/>
  <c r="B208" i="113"/>
  <c r="E207" i="113"/>
  <c r="B207" i="113"/>
  <c r="E206" i="113"/>
  <c r="B206" i="113"/>
  <c r="E205" i="113"/>
  <c r="B205" i="113"/>
  <c r="E204" i="113"/>
  <c r="B204" i="113"/>
  <c r="E203" i="113"/>
  <c r="B203" i="113"/>
  <c r="E202" i="113"/>
  <c r="B202" i="113"/>
  <c r="E201" i="113"/>
  <c r="B201" i="113"/>
  <c r="E200" i="113"/>
  <c r="B200" i="113"/>
  <c r="E199" i="113"/>
  <c r="B199" i="113"/>
  <c r="E198" i="113"/>
  <c r="B198" i="113"/>
  <c r="E197" i="113"/>
  <c r="B197" i="113"/>
  <c r="E196" i="113"/>
  <c r="B196" i="113"/>
  <c r="E195" i="113"/>
  <c r="B195" i="113"/>
  <c r="E194" i="113"/>
  <c r="B194" i="113"/>
  <c r="E193" i="113"/>
  <c r="B193" i="113"/>
  <c r="E192" i="113"/>
  <c r="B192" i="113"/>
  <c r="E191" i="113"/>
  <c r="B191" i="113"/>
  <c r="E190" i="113"/>
  <c r="B190" i="113"/>
  <c r="E189" i="113"/>
  <c r="B189" i="113"/>
  <c r="E188" i="113"/>
  <c r="D188" i="113"/>
  <c r="W188" i="113" s="1"/>
  <c r="D187" i="113"/>
  <c r="T186" i="113"/>
  <c r="R186" i="113"/>
  <c r="Q186" i="113"/>
  <c r="J186" i="113"/>
  <c r="E184" i="113"/>
  <c r="E183" i="113"/>
  <c r="E182" i="113"/>
  <c r="E181" i="113"/>
  <c r="E180" i="113"/>
  <c r="E179" i="113"/>
  <c r="E178" i="113"/>
  <c r="E177" i="113"/>
  <c r="E176" i="113"/>
  <c r="E175" i="113"/>
  <c r="E174" i="113"/>
  <c r="E173" i="113"/>
  <c r="E172" i="113"/>
  <c r="E171" i="113"/>
  <c r="E170" i="113"/>
  <c r="E169" i="113"/>
  <c r="E168" i="113"/>
  <c r="E167" i="113"/>
  <c r="E166" i="113"/>
  <c r="E165" i="113"/>
  <c r="E164" i="113"/>
  <c r="E163" i="113"/>
  <c r="E162" i="113"/>
  <c r="E161" i="113"/>
  <c r="E160" i="113"/>
  <c r="E159" i="113"/>
  <c r="E158" i="113"/>
  <c r="E157" i="113"/>
  <c r="E156" i="113"/>
  <c r="E155" i="113"/>
  <c r="E154" i="113"/>
  <c r="E153" i="113"/>
  <c r="E152" i="113"/>
  <c r="E151" i="113"/>
  <c r="E150" i="113"/>
  <c r="E149" i="113"/>
  <c r="E148" i="113"/>
  <c r="E147" i="113"/>
  <c r="E146" i="113"/>
  <c r="E145" i="113"/>
  <c r="E144" i="113"/>
  <c r="E143" i="113"/>
  <c r="E142" i="113"/>
  <c r="E141" i="113"/>
  <c r="E140" i="113"/>
  <c r="E139" i="113"/>
  <c r="E138" i="113"/>
  <c r="E137" i="113"/>
  <c r="E136" i="113"/>
  <c r="B14" i="113"/>
  <c r="E13" i="113"/>
  <c r="B13" i="113"/>
  <c r="X7" i="113"/>
  <c r="F7" i="113"/>
  <c r="F6" i="113"/>
  <c r="G2181" i="170" l="1"/>
  <c r="A2197" i="170"/>
  <c r="W318" i="113"/>
  <c r="G316" i="113"/>
  <c r="J316" i="113" s="1"/>
  <c r="W252" i="113"/>
  <c r="W251" i="113"/>
  <c r="T335" i="113"/>
  <c r="T338" i="113" s="1"/>
  <c r="W187" i="113"/>
  <c r="Y7" i="113"/>
  <c r="Z7" i="113" s="1"/>
  <c r="L333" i="113"/>
  <c r="L334" i="113" s="1"/>
  <c r="F337" i="113"/>
  <c r="W100" i="113"/>
  <c r="Q335" i="113"/>
  <c r="Q338" i="113" s="1"/>
  <c r="A2213" i="170" l="1"/>
  <c r="G2197" i="170"/>
  <c r="L337" i="113"/>
  <c r="M333" i="113"/>
  <c r="M334" i="113" s="1"/>
  <c r="A2229" i="170" l="1"/>
  <c r="G2213" i="170"/>
  <c r="M337" i="113"/>
  <c r="P333" i="113"/>
  <c r="P334" i="113" s="1"/>
  <c r="A2245" i="170" l="1"/>
  <c r="G2229" i="170"/>
  <c r="S333" i="113"/>
  <c r="S334" i="113" s="1"/>
  <c r="P337" i="113"/>
  <c r="A2261" i="170" l="1"/>
  <c r="G2245" i="170"/>
  <c r="G20" i="79"/>
  <c r="S337" i="113"/>
  <c r="U333" i="113"/>
  <c r="K251" i="113"/>
  <c r="N3" i="9"/>
  <c r="AC12" i="9"/>
  <c r="T12" i="9"/>
  <c r="AC13" i="9"/>
  <c r="T13" i="9"/>
  <c r="AC14" i="9"/>
  <c r="T14" i="9"/>
  <c r="AC15" i="9"/>
  <c r="T15" i="9"/>
  <c r="AC16" i="9"/>
  <c r="T16" i="9"/>
  <c r="AC17" i="9"/>
  <c r="T17" i="9"/>
  <c r="AC18" i="9"/>
  <c r="T18" i="9"/>
  <c r="AC19" i="9"/>
  <c r="T19" i="9"/>
  <c r="AC20" i="9"/>
  <c r="T20" i="9"/>
  <c r="AC21" i="9"/>
  <c r="T21" i="9"/>
  <c r="AC22" i="9"/>
  <c r="T22" i="9"/>
  <c r="AC23" i="9"/>
  <c r="T23" i="9"/>
  <c r="AC24" i="9"/>
  <c r="T24" i="9"/>
  <c r="AC25" i="9"/>
  <c r="T25" i="9"/>
  <c r="AC26" i="9"/>
  <c r="T26" i="9"/>
  <c r="AC27" i="9"/>
  <c r="T27" i="9"/>
  <c r="AC28" i="9"/>
  <c r="T28" i="9"/>
  <c r="AC29" i="9"/>
  <c r="T29" i="9"/>
  <c r="AC30" i="9"/>
  <c r="T30" i="9"/>
  <c r="AC31" i="9"/>
  <c r="T31" i="9"/>
  <c r="AC32" i="9"/>
  <c r="T32" i="9"/>
  <c r="AC33" i="9"/>
  <c r="T33" i="9"/>
  <c r="AC34" i="9"/>
  <c r="T34" i="9"/>
  <c r="AC35" i="9"/>
  <c r="T35" i="9"/>
  <c r="AC36" i="9"/>
  <c r="T36" i="9"/>
  <c r="AC37" i="9"/>
  <c r="T37" i="9"/>
  <c r="AC38" i="9"/>
  <c r="T38" i="9"/>
  <c r="AC39" i="9"/>
  <c r="T39" i="9"/>
  <c r="AC40" i="9"/>
  <c r="T40" i="9"/>
  <c r="AC41" i="9"/>
  <c r="T41" i="9"/>
  <c r="AC42" i="9"/>
  <c r="T42" i="9"/>
  <c r="AC43" i="9"/>
  <c r="T43" i="9"/>
  <c r="AC44" i="9"/>
  <c r="T44" i="9"/>
  <c r="AC45" i="9"/>
  <c r="T45" i="9"/>
  <c r="AC46" i="9"/>
  <c r="T46" i="9"/>
  <c r="AC47" i="9"/>
  <c r="T47" i="9"/>
  <c r="AC48" i="9"/>
  <c r="T48" i="9"/>
  <c r="AC49" i="9"/>
  <c r="T49" i="9"/>
  <c r="AC50" i="9"/>
  <c r="T50" i="9"/>
  <c r="AC51" i="9"/>
  <c r="T51" i="9"/>
  <c r="AC52" i="9"/>
  <c r="T52" i="9"/>
  <c r="AC53" i="9"/>
  <c r="T53" i="9"/>
  <c r="AC54" i="9"/>
  <c r="T54" i="9"/>
  <c r="AC55" i="9"/>
  <c r="T55" i="9"/>
  <c r="AC56" i="9"/>
  <c r="T56" i="9"/>
  <c r="AC57" i="9"/>
  <c r="T57" i="9"/>
  <c r="AC58" i="9"/>
  <c r="T58" i="9"/>
  <c r="AC59" i="9"/>
  <c r="T59" i="9"/>
  <c r="AC60" i="9"/>
  <c r="T60" i="9"/>
  <c r="AC61" i="9"/>
  <c r="T61" i="9"/>
  <c r="AC62" i="9"/>
  <c r="T62" i="9"/>
  <c r="AC63" i="9"/>
  <c r="T63" i="9"/>
  <c r="AC64" i="9"/>
  <c r="T64" i="9"/>
  <c r="AC65" i="9"/>
  <c r="T65" i="9"/>
  <c r="AC66" i="9"/>
  <c r="T66" i="9"/>
  <c r="AC67" i="9"/>
  <c r="T67" i="9"/>
  <c r="AC68" i="9"/>
  <c r="T68" i="9"/>
  <c r="AC69" i="9"/>
  <c r="T69" i="9"/>
  <c r="T70" i="9"/>
  <c r="AC71" i="9"/>
  <c r="T71" i="9"/>
  <c r="AC72" i="9"/>
  <c r="T72" i="9"/>
  <c r="AC73" i="9"/>
  <c r="T73" i="9"/>
  <c r="AC74" i="9"/>
  <c r="T74" i="9"/>
  <c r="AC75" i="9"/>
  <c r="T75" i="9"/>
  <c r="AC76" i="9"/>
  <c r="T76" i="9"/>
  <c r="AC77" i="9"/>
  <c r="T77" i="9"/>
  <c r="AC78" i="9"/>
  <c r="T78" i="9"/>
  <c r="AC79" i="9"/>
  <c r="T79" i="9"/>
  <c r="C96" i="9"/>
  <c r="T96" i="9"/>
  <c r="T95" i="9" s="1"/>
  <c r="AC97" i="9"/>
  <c r="D180" i="113"/>
  <c r="AF189" i="9"/>
  <c r="C185" i="9"/>
  <c r="T185" i="9"/>
  <c r="T184" i="9" s="1"/>
  <c r="AC187" i="9"/>
  <c r="AC188" i="9"/>
  <c r="AC189" i="9"/>
  <c r="AC190" i="9"/>
  <c r="AG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G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E250" i="9"/>
  <c r="C251" i="9"/>
  <c r="T251" i="9"/>
  <c r="T250" i="9" s="1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F297" i="9"/>
  <c r="AC298" i="9"/>
  <c r="AC299" i="9"/>
  <c r="AC300" i="9"/>
  <c r="AC301" i="9"/>
  <c r="AC302" i="9"/>
  <c r="AC303" i="9"/>
  <c r="O320" i="9"/>
  <c r="AF320" i="9"/>
  <c r="AG321" i="9"/>
  <c r="AH326" i="9"/>
  <c r="AH327" i="9" s="1"/>
  <c r="AI326" i="9"/>
  <c r="AI327" i="9" s="1"/>
  <c r="AJ326" i="9"/>
  <c r="AJ327" i="9" s="1"/>
  <c r="AK326" i="9"/>
  <c r="AK327" i="9" s="1"/>
  <c r="AO329" i="9"/>
  <c r="D14" i="113"/>
  <c r="D184" i="113"/>
  <c r="D185" i="113"/>
  <c r="D248" i="113"/>
  <c r="G248" i="113" s="1"/>
  <c r="D311" i="113"/>
  <c r="D313" i="113"/>
  <c r="J179" i="99"/>
  <c r="AC107" i="99"/>
  <c r="AC115" i="99" s="1"/>
  <c r="C156" i="99"/>
  <c r="O156" i="99"/>
  <c r="J168" i="99"/>
  <c r="J169" i="99"/>
  <c r="J170" i="99"/>
  <c r="J171" i="99"/>
  <c r="J172" i="99"/>
  <c r="J173" i="99"/>
  <c r="J174" i="99"/>
  <c r="J175" i="99"/>
  <c r="F176" i="99"/>
  <c r="F178" i="99"/>
  <c r="J178" i="99"/>
  <c r="W197" i="99"/>
  <c r="W198" i="99"/>
  <c r="W199" i="99"/>
  <c r="AC109" i="100"/>
  <c r="AC116" i="100" s="1"/>
  <c r="AA118" i="100"/>
  <c r="F167" i="100"/>
  <c r="J167" i="100" s="1"/>
  <c r="F168" i="100"/>
  <c r="J168" i="100" s="1"/>
  <c r="J172" i="100"/>
  <c r="J173" i="100"/>
  <c r="J174" i="100"/>
  <c r="J175" i="100"/>
  <c r="J176" i="100"/>
  <c r="J177" i="100"/>
  <c r="J178" i="100"/>
  <c r="J179" i="100"/>
  <c r="F180" i="100"/>
  <c r="F182" i="100"/>
  <c r="J182" i="100"/>
  <c r="F183" i="100"/>
  <c r="J183" i="100"/>
  <c r="W201" i="100"/>
  <c r="W202" i="100"/>
  <c r="W203" i="100"/>
  <c r="W144" i="101"/>
  <c r="W145" i="101"/>
  <c r="W146" i="101"/>
  <c r="Y15" i="102"/>
  <c r="Y85" i="102" s="1"/>
  <c r="Y16" i="102"/>
  <c r="AC90" i="102"/>
  <c r="W142" i="102"/>
  <c r="W143" i="102"/>
  <c r="W144" i="102"/>
  <c r="AL12" i="32"/>
  <c r="AM13" i="32" s="1"/>
  <c r="AM15" i="32"/>
  <c r="AM16" i="32"/>
  <c r="AM17" i="32"/>
  <c r="AP18" i="32"/>
  <c r="AQ27" i="32"/>
  <c r="AP53" i="32"/>
  <c r="AJ54" i="32" s="1"/>
  <c r="AJ55" i="32" s="1"/>
  <c r="AQ56" i="32"/>
  <c r="T10" i="9" l="1"/>
  <c r="G104" i="100"/>
  <c r="H104" i="100"/>
  <c r="M100" i="100"/>
  <c r="P100" i="100"/>
  <c r="N100" i="100"/>
  <c r="O100" i="100"/>
  <c r="R100" i="100"/>
  <c r="Q100" i="100"/>
  <c r="P81" i="102"/>
  <c r="O81" i="102"/>
  <c r="Q81" i="102"/>
  <c r="N81" i="102"/>
  <c r="M81" i="102"/>
  <c r="R81" i="102"/>
  <c r="O84" i="102"/>
  <c r="O83" i="102"/>
  <c r="M84" i="102"/>
  <c r="N84" i="102"/>
  <c r="R83" i="102"/>
  <c r="P83" i="102"/>
  <c r="Q80" i="102"/>
  <c r="R84" i="102"/>
  <c r="P84" i="102"/>
  <c r="P80" i="102"/>
  <c r="N83" i="102"/>
  <c r="M83" i="102"/>
  <c r="Q84" i="102"/>
  <c r="Q83" i="102"/>
  <c r="R80" i="102"/>
  <c r="N80" i="102"/>
  <c r="O79" i="102"/>
  <c r="O75" i="102"/>
  <c r="O78" i="102"/>
  <c r="O74" i="102"/>
  <c r="M80" i="102"/>
  <c r="O77" i="102"/>
  <c r="O80" i="102"/>
  <c r="O76" i="102"/>
  <c r="X251" i="9"/>
  <c r="X250" i="9" s="1"/>
  <c r="O60" i="102"/>
  <c r="O68" i="102"/>
  <c r="O33" i="102"/>
  <c r="O65" i="102"/>
  <c r="O20" i="102"/>
  <c r="O22" i="102"/>
  <c r="O54" i="102"/>
  <c r="O37" i="102"/>
  <c r="O69" i="102"/>
  <c r="O28" i="102"/>
  <c r="O47" i="102"/>
  <c r="O42" i="102"/>
  <c r="O25" i="102"/>
  <c r="O57" i="102"/>
  <c r="O35" i="102"/>
  <c r="O67" i="102"/>
  <c r="O46" i="102"/>
  <c r="O29" i="102"/>
  <c r="O61" i="102"/>
  <c r="O72" i="102"/>
  <c r="O39" i="102"/>
  <c r="O71" i="102"/>
  <c r="O18" i="102"/>
  <c r="O50" i="102"/>
  <c r="O43" i="102"/>
  <c r="O44" i="102"/>
  <c r="O64" i="102"/>
  <c r="O24" i="102"/>
  <c r="O23" i="102"/>
  <c r="O32" i="102"/>
  <c r="O17" i="102"/>
  <c r="O49" i="102"/>
  <c r="O48" i="102"/>
  <c r="O38" i="102"/>
  <c r="O70" i="102"/>
  <c r="O21" i="102"/>
  <c r="O53" i="102"/>
  <c r="O56" i="102"/>
  <c r="O31" i="102"/>
  <c r="O63" i="102"/>
  <c r="O26" i="102"/>
  <c r="O58" i="102"/>
  <c r="O41" i="102"/>
  <c r="O73" i="102"/>
  <c r="O19" i="102"/>
  <c r="O51" i="102"/>
  <c r="O30" i="102"/>
  <c r="O62" i="102"/>
  <c r="O45" i="102"/>
  <c r="O40" i="102"/>
  <c r="O55" i="102"/>
  <c r="O34" i="102"/>
  <c r="O66" i="102"/>
  <c r="O27" i="102"/>
  <c r="O59" i="102"/>
  <c r="O52" i="102"/>
  <c r="O36" i="102"/>
  <c r="O16" i="102"/>
  <c r="O80" i="101"/>
  <c r="X185" i="9"/>
  <c r="X184" i="9" s="1"/>
  <c r="W185" i="9"/>
  <c r="W184" i="9" s="1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O71" i="101"/>
  <c r="O64" i="101"/>
  <c r="O42" i="101"/>
  <c r="O77" i="101"/>
  <c r="O75" i="101"/>
  <c r="O46" i="101"/>
  <c r="O53" i="101"/>
  <c r="O31" i="101"/>
  <c r="O34" i="101"/>
  <c r="O61" i="10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O51" i="101"/>
  <c r="O38" i="101"/>
  <c r="O44" i="101"/>
  <c r="O18" i="101"/>
  <c r="P96" i="100"/>
  <c r="O96" i="100"/>
  <c r="P97" i="100"/>
  <c r="O99" i="100"/>
  <c r="O97" i="100"/>
  <c r="P98" i="100"/>
  <c r="M96" i="100"/>
  <c r="Q99" i="100"/>
  <c r="N96" i="100"/>
  <c r="Q98" i="100"/>
  <c r="R98" i="100"/>
  <c r="R104" i="100"/>
  <c r="N97" i="100"/>
  <c r="R97" i="100"/>
  <c r="M99" i="100"/>
  <c r="O104" i="100"/>
  <c r="N104" i="100"/>
  <c r="O98" i="100"/>
  <c r="Q97" i="100"/>
  <c r="Q96" i="100"/>
  <c r="M104" i="100"/>
  <c r="N99" i="100"/>
  <c r="P99" i="100"/>
  <c r="R96" i="100"/>
  <c r="M98" i="100"/>
  <c r="R99" i="100"/>
  <c r="M97" i="100"/>
  <c r="Q104" i="100"/>
  <c r="N98" i="100"/>
  <c r="P104" i="100"/>
  <c r="P95" i="100"/>
  <c r="P94" i="100"/>
  <c r="Q91" i="100"/>
  <c r="N95" i="100"/>
  <c r="P93" i="100"/>
  <c r="O91" i="100"/>
  <c r="N94" i="100"/>
  <c r="Q92" i="100"/>
  <c r="Q95" i="100"/>
  <c r="O95" i="100"/>
  <c r="O94" i="100"/>
  <c r="M95" i="100"/>
  <c r="R92" i="100"/>
  <c r="M94" i="100"/>
  <c r="R93" i="100"/>
  <c r="Q94" i="100"/>
  <c r="M91" i="100"/>
  <c r="O92" i="100"/>
  <c r="P91" i="100"/>
  <c r="R95" i="100"/>
  <c r="N92" i="100"/>
  <c r="R91" i="100"/>
  <c r="M92" i="100"/>
  <c r="R94" i="100"/>
  <c r="Q93" i="100"/>
  <c r="P92" i="100"/>
  <c r="M93" i="100"/>
  <c r="N91" i="100"/>
  <c r="O93" i="100"/>
  <c r="N93" i="100"/>
  <c r="A2277" i="170"/>
  <c r="G2261" i="170"/>
  <c r="Z96" i="9"/>
  <c r="Z95" i="9" s="1"/>
  <c r="W96" i="9"/>
  <c r="W95" i="9" s="1"/>
  <c r="AA96" i="9"/>
  <c r="AA95" i="9" s="1"/>
  <c r="V96" i="9"/>
  <c r="V95" i="9" s="1"/>
  <c r="R96" i="9"/>
  <c r="R95" i="9" s="1"/>
  <c r="V185" i="9"/>
  <c r="V184" i="9" s="1"/>
  <c r="R185" i="9"/>
  <c r="R184" i="9" s="1"/>
  <c r="I75" i="102"/>
  <c r="L75" i="102" s="1"/>
  <c r="R75" i="102"/>
  <c r="P76" i="102"/>
  <c r="I79" i="102"/>
  <c r="L79" i="102" s="1"/>
  <c r="N75" i="102"/>
  <c r="W251" i="9"/>
  <c r="W250" i="9" s="1"/>
  <c r="M76" i="102"/>
  <c r="N77" i="102"/>
  <c r="Q78" i="102"/>
  <c r="I74" i="102"/>
  <c r="L74" i="102" s="1"/>
  <c r="I78" i="102"/>
  <c r="L78" i="102" s="1"/>
  <c r="R74" i="102"/>
  <c r="M78" i="102"/>
  <c r="P79" i="102"/>
  <c r="N74" i="102"/>
  <c r="Q75" i="102"/>
  <c r="R251" i="9"/>
  <c r="R250" i="9" s="1"/>
  <c r="M75" i="102"/>
  <c r="R77" i="102"/>
  <c r="V251" i="9"/>
  <c r="V250" i="9" s="1"/>
  <c r="Q76" i="102"/>
  <c r="P77" i="102"/>
  <c r="Q79" i="102"/>
  <c r="M74" i="102"/>
  <c r="N79" i="102"/>
  <c r="M79" i="102"/>
  <c r="Q77" i="102"/>
  <c r="P78" i="102"/>
  <c r="Q74" i="102"/>
  <c r="N76" i="102"/>
  <c r="I76" i="102"/>
  <c r="L76" i="102" s="1"/>
  <c r="P75" i="102"/>
  <c r="M77" i="102"/>
  <c r="N78" i="102"/>
  <c r="R78" i="102"/>
  <c r="R76" i="102"/>
  <c r="R79" i="102"/>
  <c r="I77" i="102"/>
  <c r="L77" i="102" s="1"/>
  <c r="P74" i="102"/>
  <c r="I23" i="102"/>
  <c r="J23" i="102" s="1"/>
  <c r="I31" i="102"/>
  <c r="J31" i="102" s="1"/>
  <c r="I39" i="102"/>
  <c r="J39" i="102" s="1"/>
  <c r="I47" i="102"/>
  <c r="J47" i="102" s="1"/>
  <c r="I55" i="102"/>
  <c r="J55" i="102" s="1"/>
  <c r="I63" i="102"/>
  <c r="J63" i="102" s="1"/>
  <c r="I71" i="102"/>
  <c r="L71" i="102" s="1"/>
  <c r="I26" i="102"/>
  <c r="J26" i="102" s="1"/>
  <c r="I58" i="102"/>
  <c r="J58" i="102" s="1"/>
  <c r="I30" i="102"/>
  <c r="J30" i="102" s="1"/>
  <c r="I46" i="102"/>
  <c r="J46" i="102" s="1"/>
  <c r="I62" i="102"/>
  <c r="J62" i="102" s="1"/>
  <c r="I41" i="102"/>
  <c r="J41" i="102" s="1"/>
  <c r="I53" i="102"/>
  <c r="J53" i="102" s="1"/>
  <c r="I69" i="102"/>
  <c r="L69" i="102" s="1"/>
  <c r="I73" i="102"/>
  <c r="L73" i="102" s="1"/>
  <c r="I57" i="102"/>
  <c r="J57" i="102" s="1"/>
  <c r="I22" i="102"/>
  <c r="J22" i="102" s="1"/>
  <c r="I38" i="102"/>
  <c r="J38" i="102" s="1"/>
  <c r="I70" i="102"/>
  <c r="L70" i="102" s="1"/>
  <c r="I45" i="102"/>
  <c r="J45" i="102" s="1"/>
  <c r="I25" i="102"/>
  <c r="J25" i="102" s="1"/>
  <c r="I33" i="102"/>
  <c r="J33" i="102" s="1"/>
  <c r="I34" i="102"/>
  <c r="J34" i="102" s="1"/>
  <c r="I37" i="102"/>
  <c r="J37" i="102" s="1"/>
  <c r="I24" i="102"/>
  <c r="J24" i="102" s="1"/>
  <c r="I40" i="102"/>
  <c r="J40" i="102" s="1"/>
  <c r="I48" i="102"/>
  <c r="J48" i="102" s="1"/>
  <c r="I64" i="102"/>
  <c r="J64" i="102" s="1"/>
  <c r="I17" i="102"/>
  <c r="J17" i="102" s="1"/>
  <c r="I42" i="102"/>
  <c r="J42" i="102" s="1"/>
  <c r="I49" i="102"/>
  <c r="J49" i="102" s="1"/>
  <c r="I65" i="102"/>
  <c r="J65" i="102" s="1"/>
  <c r="I20" i="102"/>
  <c r="J20" i="102" s="1"/>
  <c r="I28" i="102"/>
  <c r="J28" i="102" s="1"/>
  <c r="I36" i="102"/>
  <c r="J36" i="102" s="1"/>
  <c r="I44" i="102"/>
  <c r="J44" i="102" s="1"/>
  <c r="I52" i="102"/>
  <c r="J52" i="102" s="1"/>
  <c r="I60" i="102"/>
  <c r="J60" i="102" s="1"/>
  <c r="I68" i="102"/>
  <c r="L68" i="102" s="1"/>
  <c r="I19" i="102"/>
  <c r="J19" i="102" s="1"/>
  <c r="I27" i="102"/>
  <c r="J27" i="102" s="1"/>
  <c r="I35" i="102"/>
  <c r="J35" i="102" s="1"/>
  <c r="I43" i="102"/>
  <c r="J43" i="102" s="1"/>
  <c r="I51" i="102"/>
  <c r="J51" i="102" s="1"/>
  <c r="I59" i="102"/>
  <c r="J59" i="102" s="1"/>
  <c r="I67" i="102"/>
  <c r="I54" i="102"/>
  <c r="J54" i="102" s="1"/>
  <c r="I21" i="102"/>
  <c r="J21" i="102" s="1"/>
  <c r="I61" i="102"/>
  <c r="J61" i="102" s="1"/>
  <c r="I29" i="102"/>
  <c r="J29" i="102" s="1"/>
  <c r="I66" i="102"/>
  <c r="J66" i="102" s="1"/>
  <c r="I18" i="102"/>
  <c r="J18" i="102" s="1"/>
  <c r="I50" i="102"/>
  <c r="J50" i="102" s="1"/>
  <c r="I32" i="102"/>
  <c r="J32" i="102" s="1"/>
  <c r="I56" i="102"/>
  <c r="J56" i="102" s="1"/>
  <c r="I72" i="102"/>
  <c r="L72" i="102" s="1"/>
  <c r="I16" i="102"/>
  <c r="Q58" i="100"/>
  <c r="R71" i="100"/>
  <c r="P86" i="100"/>
  <c r="R58" i="100"/>
  <c r="N70" i="100"/>
  <c r="N79" i="100"/>
  <c r="R70" i="100"/>
  <c r="M58" i="100"/>
  <c r="Q60" i="100"/>
  <c r="O63" i="100"/>
  <c r="M66" i="100"/>
  <c r="Q68" i="100"/>
  <c r="O71" i="100"/>
  <c r="Q76" i="100"/>
  <c r="O79" i="100"/>
  <c r="M82" i="100"/>
  <c r="Q84" i="100"/>
  <c r="O87" i="100"/>
  <c r="M90" i="100"/>
  <c r="Q70" i="100"/>
  <c r="Q86" i="100"/>
  <c r="P58" i="100"/>
  <c r="R63" i="100"/>
  <c r="N87" i="100"/>
  <c r="N58" i="100"/>
  <c r="P63" i="100"/>
  <c r="P79" i="100"/>
  <c r="R84" i="100"/>
  <c r="M63" i="100"/>
  <c r="M71" i="100"/>
  <c r="M79" i="100"/>
  <c r="O84" i="100"/>
  <c r="M87" i="100"/>
  <c r="Q72" i="100"/>
  <c r="O83" i="100"/>
  <c r="R57" i="100"/>
  <c r="R67" i="100"/>
  <c r="P88" i="100"/>
  <c r="N60" i="100"/>
  <c r="P71" i="100"/>
  <c r="P81" i="100"/>
  <c r="N75" i="100"/>
  <c r="R66" i="100"/>
  <c r="M57" i="100"/>
  <c r="Q67" i="100"/>
  <c r="M73" i="100"/>
  <c r="Q83" i="100"/>
  <c r="M89" i="100"/>
  <c r="R90" i="100"/>
  <c r="M70" i="100"/>
  <c r="Q80" i="100"/>
  <c r="R65" i="100"/>
  <c r="P74" i="100"/>
  <c r="P57" i="100"/>
  <c r="R68" i="100"/>
  <c r="R78" i="100"/>
  <c r="N71" i="100"/>
  <c r="N83" i="100"/>
  <c r="R64" i="100"/>
  <c r="R74" i="100"/>
  <c r="N86" i="100"/>
  <c r="O66" i="100"/>
  <c r="Q71" i="100"/>
  <c r="O82" i="100"/>
  <c r="Q87" i="100"/>
  <c r="R86" i="100"/>
  <c r="O67" i="100"/>
  <c r="Q88" i="100"/>
  <c r="N63" i="100"/>
  <c r="N73" i="100"/>
  <c r="P82" i="100"/>
  <c r="P65" i="100"/>
  <c r="R76" i="100"/>
  <c r="N57" i="100"/>
  <c r="P68" i="100"/>
  <c r="N72" i="100"/>
  <c r="P83" i="100"/>
  <c r="M65" i="100"/>
  <c r="O70" i="100"/>
  <c r="Q75" i="100"/>
  <c r="M81" i="100"/>
  <c r="O86" i="100"/>
  <c r="R88" i="100"/>
  <c r="Q64" i="100"/>
  <c r="O75" i="100"/>
  <c r="M86" i="100"/>
  <c r="P60" i="100"/>
  <c r="P70" i="100"/>
  <c r="R79" i="100"/>
  <c r="P90" i="100"/>
  <c r="R62" i="100"/>
  <c r="N74" i="100"/>
  <c r="N84" i="100"/>
  <c r="N65" i="100"/>
  <c r="R87" i="100"/>
  <c r="R80" i="100"/>
  <c r="O58" i="100"/>
  <c r="Q63" i="100"/>
  <c r="O74" i="100"/>
  <c r="Q79" i="100"/>
  <c r="O90" i="100"/>
  <c r="P87" i="100"/>
  <c r="N61" i="100"/>
  <c r="P85" i="100"/>
  <c r="O80" i="100"/>
  <c r="Q78" i="100"/>
  <c r="M69" i="100"/>
  <c r="N67" i="100"/>
  <c r="O57" i="100"/>
  <c r="Q59" i="100"/>
  <c r="N69" i="100"/>
  <c r="N64" i="100"/>
  <c r="M74" i="100"/>
  <c r="R59" i="100"/>
  <c r="O65" i="100"/>
  <c r="P84" i="100"/>
  <c r="O62" i="100"/>
  <c r="N77" i="100"/>
  <c r="R27" i="100"/>
  <c r="N35" i="100"/>
  <c r="Q47" i="100"/>
  <c r="P22" i="100"/>
  <c r="N30" i="100"/>
  <c r="R42" i="100"/>
  <c r="P54" i="100"/>
  <c r="R29" i="100"/>
  <c r="P37" i="100"/>
  <c r="P49" i="100"/>
  <c r="Q20" i="100"/>
  <c r="O32" i="100"/>
  <c r="R40" i="100"/>
  <c r="O52" i="100"/>
  <c r="Q89" i="100"/>
  <c r="O68" i="100"/>
  <c r="R81" i="100"/>
  <c r="P67" i="100"/>
  <c r="O89" i="100"/>
  <c r="M60" i="100"/>
  <c r="R23" i="100"/>
  <c r="M35" i="100"/>
  <c r="P47" i="100"/>
  <c r="R55" i="100"/>
  <c r="R30" i="100"/>
  <c r="M38" i="100"/>
  <c r="M50" i="100"/>
  <c r="Q25" i="100"/>
  <c r="N37" i="100"/>
  <c r="N49" i="100"/>
  <c r="P20" i="100"/>
  <c r="M28" i="100"/>
  <c r="P40" i="100"/>
  <c r="Q48" i="100"/>
  <c r="R19" i="100"/>
  <c r="N27" i="100"/>
  <c r="Q39" i="100"/>
  <c r="R51" i="100"/>
  <c r="N22" i="100"/>
  <c r="P34" i="100"/>
  <c r="M42" i="100"/>
  <c r="N54" i="100"/>
  <c r="O25" i="100"/>
  <c r="M37" i="100"/>
  <c r="R49" i="100"/>
  <c r="N24" i="100"/>
  <c r="P36" i="100"/>
  <c r="M44" i="100"/>
  <c r="N88" i="100"/>
  <c r="O72" i="100"/>
  <c r="P72" i="100"/>
  <c r="P23" i="100"/>
  <c r="R31" i="100"/>
  <c r="M43" i="100"/>
  <c r="P55" i="100"/>
  <c r="P26" i="100"/>
  <c r="O38" i="100"/>
  <c r="M46" i="100"/>
  <c r="N21" i="100"/>
  <c r="N33" i="100"/>
  <c r="Q41" i="100"/>
  <c r="N53" i="100"/>
  <c r="P28" i="100"/>
  <c r="N40" i="100"/>
  <c r="P52" i="100"/>
  <c r="R56" i="100"/>
  <c r="R77" i="100"/>
  <c r="M59" i="100"/>
  <c r="O61" i="100"/>
  <c r="P61" i="100"/>
  <c r="M80" i="100"/>
  <c r="N78" i="100"/>
  <c r="Q66" i="100"/>
  <c r="N76" i="100"/>
  <c r="N62" i="100"/>
  <c r="O69" i="100"/>
  <c r="O77" i="100"/>
  <c r="P64" i="100"/>
  <c r="M72" i="100"/>
  <c r="M61" i="100"/>
  <c r="O59" i="100"/>
  <c r="R89" i="100"/>
  <c r="R85" i="100"/>
  <c r="N19" i="100"/>
  <c r="Q31" i="100"/>
  <c r="R43" i="100"/>
  <c r="N51" i="100"/>
  <c r="O26" i="100"/>
  <c r="Q34" i="100"/>
  <c r="Q46" i="100"/>
  <c r="M21" i="100"/>
  <c r="R33" i="100"/>
  <c r="O41" i="100"/>
  <c r="M53" i="100"/>
  <c r="M24" i="100"/>
  <c r="N36" i="100"/>
  <c r="P48" i="100"/>
  <c r="O76" i="100"/>
  <c r="O60" i="100"/>
  <c r="P73" i="100"/>
  <c r="R82" i="100"/>
  <c r="R83" i="100"/>
  <c r="O81" i="100"/>
  <c r="M19" i="100"/>
  <c r="P31" i="100"/>
  <c r="R39" i="100"/>
  <c r="M51" i="100"/>
  <c r="N26" i="100"/>
  <c r="R34" i="100"/>
  <c r="O46" i="100"/>
  <c r="R21" i="100"/>
  <c r="P29" i="100"/>
  <c r="M41" i="100"/>
  <c r="R53" i="100"/>
  <c r="Q24" i="100"/>
  <c r="R36" i="100"/>
  <c r="O44" i="100"/>
  <c r="M52" i="100"/>
  <c r="Q23" i="100"/>
  <c r="R35" i="100"/>
  <c r="N43" i="100"/>
  <c r="Q55" i="100"/>
  <c r="P30" i="100"/>
  <c r="Q38" i="100"/>
  <c r="N50" i="100"/>
  <c r="P21" i="100"/>
  <c r="P33" i="100"/>
  <c r="R45" i="100"/>
  <c r="P53" i="100"/>
  <c r="Q28" i="100"/>
  <c r="Q40" i="100"/>
  <c r="R52" i="100"/>
  <c r="P89" i="100"/>
  <c r="O88" i="100"/>
  <c r="N82" i="100"/>
  <c r="P75" i="100"/>
  <c r="M27" i="100"/>
  <c r="P39" i="100"/>
  <c r="R47" i="100"/>
  <c r="R22" i="100"/>
  <c r="O34" i="100"/>
  <c r="Q42" i="100"/>
  <c r="R54" i="100"/>
  <c r="M25" i="100"/>
  <c r="R37" i="100"/>
  <c r="P45" i="100"/>
  <c r="M20" i="100"/>
  <c r="M32" i="100"/>
  <c r="Q44" i="100"/>
  <c r="Q56" i="100"/>
  <c r="O56" i="100"/>
  <c r="N59" i="100"/>
  <c r="R61" i="100"/>
  <c r="Q62" i="100"/>
  <c r="P80" i="100"/>
  <c r="O64" i="100"/>
  <c r="M77" i="100"/>
  <c r="R75" i="100"/>
  <c r="O73" i="100"/>
  <c r="P77" i="100"/>
  <c r="M23" i="100"/>
  <c r="Q43" i="100"/>
  <c r="M26" i="100"/>
  <c r="P50" i="100"/>
  <c r="Q37" i="100"/>
  <c r="R20" i="100"/>
  <c r="M36" i="100"/>
  <c r="Q81" i="100"/>
  <c r="N89" i="100"/>
  <c r="O35" i="100"/>
  <c r="O22" i="100"/>
  <c r="P42" i="100"/>
  <c r="Q29" i="100"/>
  <c r="M49" i="100"/>
  <c r="N32" i="100"/>
  <c r="N52" i="100"/>
  <c r="Q19" i="100"/>
  <c r="O39" i="100"/>
  <c r="R26" i="100"/>
  <c r="N46" i="100"/>
  <c r="N29" i="100"/>
  <c r="Q53" i="100"/>
  <c r="O40" i="100"/>
  <c r="M67" i="100"/>
  <c r="N23" i="100"/>
  <c r="O43" i="100"/>
  <c r="O30" i="100"/>
  <c r="R50" i="100"/>
  <c r="M33" i="100"/>
  <c r="N20" i="100"/>
  <c r="R44" i="100"/>
  <c r="P56" i="100"/>
  <c r="Q85" i="100"/>
  <c r="P59" i="100"/>
  <c r="Q77" i="100"/>
  <c r="M64" i="100"/>
  <c r="O78" i="100"/>
  <c r="M39" i="100"/>
  <c r="Q22" i="100"/>
  <c r="P46" i="100"/>
  <c r="O29" i="100"/>
  <c r="O49" i="100"/>
  <c r="Q32" i="100"/>
  <c r="Q57" i="100"/>
  <c r="R72" i="100"/>
  <c r="M76" i="100"/>
  <c r="N31" i="100"/>
  <c r="O51" i="100"/>
  <c r="R38" i="100"/>
  <c r="O21" i="100"/>
  <c r="M45" i="100"/>
  <c r="N28" i="100"/>
  <c r="O48" i="100"/>
  <c r="Q35" i="100"/>
  <c r="O55" i="100"/>
  <c r="O42" i="100"/>
  <c r="P25" i="100"/>
  <c r="O45" i="100"/>
  <c r="R32" i="100"/>
  <c r="Q52" i="100"/>
  <c r="M75" i="100"/>
  <c r="P19" i="100"/>
  <c r="N39" i="100"/>
  <c r="M22" i="100"/>
  <c r="R46" i="100"/>
  <c r="M29" i="100"/>
  <c r="Q49" i="100"/>
  <c r="O36" i="100"/>
  <c r="N56" i="100"/>
  <c r="O85" i="100"/>
  <c r="M85" i="100"/>
  <c r="Q90" i="100"/>
  <c r="M68" i="100"/>
  <c r="R69" i="100"/>
  <c r="M88" i="100"/>
  <c r="N85" i="100"/>
  <c r="M62" i="100"/>
  <c r="O31" i="100"/>
  <c r="M55" i="100"/>
  <c r="N38" i="100"/>
  <c r="R25" i="100"/>
  <c r="N45" i="100"/>
  <c r="O28" i="100"/>
  <c r="M48" i="100"/>
  <c r="Q65" i="100"/>
  <c r="P76" i="100"/>
  <c r="M84" i="100"/>
  <c r="P27" i="100"/>
  <c r="N47" i="100"/>
  <c r="M30" i="100"/>
  <c r="O54" i="100"/>
  <c r="N41" i="100"/>
  <c r="O24" i="100"/>
  <c r="M40" i="100"/>
  <c r="M31" i="100"/>
  <c r="Q51" i="100"/>
  <c r="P38" i="100"/>
  <c r="Q21" i="100"/>
  <c r="R41" i="100"/>
  <c r="R28" i="100"/>
  <c r="N48" i="100"/>
  <c r="P66" i="100"/>
  <c r="P35" i="100"/>
  <c r="N55" i="100"/>
  <c r="N42" i="100"/>
  <c r="N25" i="100"/>
  <c r="Q45" i="100"/>
  <c r="P32" i="100"/>
  <c r="M56" i="100"/>
  <c r="P69" i="100"/>
  <c r="Q61" i="100"/>
  <c r="N80" i="100"/>
  <c r="P78" i="100"/>
  <c r="M83" i="100"/>
  <c r="N81" i="100"/>
  <c r="M78" i="100"/>
  <c r="Q69" i="100"/>
  <c r="Q74" i="100"/>
  <c r="Q82" i="100"/>
  <c r="R60" i="100"/>
  <c r="P62" i="100"/>
  <c r="Q27" i="100"/>
  <c r="O47" i="100"/>
  <c r="N34" i="100"/>
  <c r="Q54" i="100"/>
  <c r="P41" i="100"/>
  <c r="P24" i="100"/>
  <c r="P44" i="100"/>
  <c r="Q73" i="100"/>
  <c r="N68" i="100"/>
  <c r="R73" i="100"/>
  <c r="O19" i="100"/>
  <c r="P43" i="100"/>
  <c r="Q26" i="100"/>
  <c r="O50" i="100"/>
  <c r="Q33" i="100"/>
  <c r="O53" i="100"/>
  <c r="Q36" i="100"/>
  <c r="O23" i="100"/>
  <c r="M47" i="100"/>
  <c r="Q30" i="100"/>
  <c r="Q50" i="100"/>
  <c r="O33" i="100"/>
  <c r="O20" i="100"/>
  <c r="N44" i="100"/>
  <c r="N90" i="100"/>
  <c r="N66" i="100"/>
  <c r="O27" i="100"/>
  <c r="P51" i="100"/>
  <c r="M34" i="100"/>
  <c r="M54" i="100"/>
  <c r="O37" i="100"/>
  <c r="R24" i="100"/>
  <c r="R48" i="100"/>
  <c r="O18" i="100"/>
  <c r="N18" i="100"/>
  <c r="M18" i="100"/>
  <c r="Q18" i="100"/>
  <c r="R18" i="100"/>
  <c r="P18" i="100"/>
  <c r="Q41" i="10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N38" i="101"/>
  <c r="R73" i="101"/>
  <c r="M31" i="101"/>
  <c r="P78" i="101"/>
  <c r="N78" i="101"/>
  <c r="Q25" i="101"/>
  <c r="Q57" i="101"/>
  <c r="P62" i="101"/>
  <c r="N62" i="101"/>
  <c r="Q71" i="101"/>
  <c r="N27" i="101"/>
  <c r="M59" i="101"/>
  <c r="Q24" i="101"/>
  <c r="R32" i="101"/>
  <c r="Q40" i="101"/>
  <c r="Q48" i="101"/>
  <c r="M56" i="101"/>
  <c r="Q64" i="101"/>
  <c r="M72" i="101"/>
  <c r="R70" i="101"/>
  <c r="M26" i="101"/>
  <c r="Q42" i="101"/>
  <c r="N58" i="101"/>
  <c r="M74" i="101"/>
  <c r="M19" i="101"/>
  <c r="N51" i="101"/>
  <c r="P51" i="101"/>
  <c r="M54" i="101"/>
  <c r="M29" i="101"/>
  <c r="N37" i="101"/>
  <c r="P37" i="101"/>
  <c r="M49" i="101"/>
  <c r="N61" i="101"/>
  <c r="P61" i="101"/>
  <c r="M69" i="101"/>
  <c r="P30" i="101"/>
  <c r="Q30" i="101"/>
  <c r="N35" i="101"/>
  <c r="M67" i="101"/>
  <c r="N22" i="10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M55" i="101"/>
  <c r="R47" i="101"/>
  <c r="P47" i="101"/>
  <c r="Q23" i="101"/>
  <c r="M46" i="101"/>
  <c r="R63" i="101"/>
  <c r="P63" i="101"/>
  <c r="R41" i="101"/>
  <c r="R43" i="101"/>
  <c r="P43" i="101"/>
  <c r="Q75" i="10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M38" i="101"/>
  <c r="Q73" i="101"/>
  <c r="N31" i="101"/>
  <c r="P31" i="101"/>
  <c r="R78" i="101"/>
  <c r="R25" i="101"/>
  <c r="R57" i="101"/>
  <c r="R62" i="101"/>
  <c r="R71" i="101"/>
  <c r="P71" i="101"/>
  <c r="M27" i="101"/>
  <c r="N59" i="101"/>
  <c r="P59" i="101"/>
  <c r="R24" i="101"/>
  <c r="Q32" i="101"/>
  <c r="R40" i="101"/>
  <c r="M48" i="101"/>
  <c r="Q56" i="101"/>
  <c r="M64" i="101"/>
  <c r="Q72" i="101"/>
  <c r="P70" i="101"/>
  <c r="N70" i="101"/>
  <c r="Q26" i="101"/>
  <c r="M42" i="101"/>
  <c r="M58" i="101"/>
  <c r="N74" i="101"/>
  <c r="N19" i="101"/>
  <c r="M51" i="101"/>
  <c r="Q54" i="101"/>
  <c r="N29" i="101"/>
  <c r="P29" i="101"/>
  <c r="M37" i="101"/>
  <c r="N49" i="101"/>
  <c r="P49" i="101"/>
  <c r="M61" i="101"/>
  <c r="N69" i="101"/>
  <c r="P69" i="101"/>
  <c r="R30" i="101"/>
  <c r="M35" i="101"/>
  <c r="N67" i="101"/>
  <c r="P67" i="101"/>
  <c r="M22" i="10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N55" i="101"/>
  <c r="Q47" i="101"/>
  <c r="R23" i="101"/>
  <c r="Q46" i="101"/>
  <c r="Q63" i="101"/>
  <c r="M36" i="101"/>
  <c r="R44" i="101"/>
  <c r="Q68" i="101"/>
  <c r="R76" i="101"/>
  <c r="R38" i="101"/>
  <c r="P73" i="101"/>
  <c r="R31" i="101"/>
  <c r="M25" i="101"/>
  <c r="P57" i="101"/>
  <c r="Q27" i="101"/>
  <c r="M24" i="101"/>
  <c r="P40" i="101"/>
  <c r="N48" i="101"/>
  <c r="R56" i="101"/>
  <c r="P72" i="101"/>
  <c r="P42" i="101"/>
  <c r="R58" i="101"/>
  <c r="Q74" i="101"/>
  <c r="Q19" i="101"/>
  <c r="R29" i="101"/>
  <c r="Q37" i="101"/>
  <c r="R69" i="101"/>
  <c r="R67" i="101"/>
  <c r="R22" i="101"/>
  <c r="M34" i="101"/>
  <c r="R21" i="101"/>
  <c r="Q33" i="101"/>
  <c r="R65" i="101"/>
  <c r="Q77" i="101"/>
  <c r="N47" i="101"/>
  <c r="M23" i="101"/>
  <c r="N46" i="101"/>
  <c r="N63" i="101"/>
  <c r="P41" i="101"/>
  <c r="M43" i="101"/>
  <c r="P75" i="101"/>
  <c r="Q20" i="101"/>
  <c r="Q44" i="101"/>
  <c r="R52" i="101"/>
  <c r="Q76" i="101"/>
  <c r="P38" i="101"/>
  <c r="M73" i="101"/>
  <c r="M78" i="101"/>
  <c r="N25" i="101"/>
  <c r="M57" i="101"/>
  <c r="R27" i="101"/>
  <c r="Q59" i="101"/>
  <c r="N24" i="101"/>
  <c r="M32" i="101"/>
  <c r="P48" i="101"/>
  <c r="N56" i="101"/>
  <c r="R64" i="101"/>
  <c r="M70" i="101"/>
  <c r="N26" i="101"/>
  <c r="P58" i="101"/>
  <c r="R74" i="101"/>
  <c r="R19" i="101"/>
  <c r="Q51" i="101"/>
  <c r="N54" i="101"/>
  <c r="R37" i="101"/>
  <c r="Q49" i="101"/>
  <c r="N30" i="101"/>
  <c r="P35" i="101"/>
  <c r="P22" i="101"/>
  <c r="Q34" i="101"/>
  <c r="N50" i="101"/>
  <c r="R33" i="101"/>
  <c r="Q45" i="101"/>
  <c r="R77" i="101"/>
  <c r="Q39" i="101"/>
  <c r="P55" i="101"/>
  <c r="N23" i="101"/>
  <c r="R46" i="101"/>
  <c r="M41" i="101"/>
  <c r="N43" i="101"/>
  <c r="M75" i="101"/>
  <c r="M20" i="101"/>
  <c r="Q28" i="101"/>
  <c r="Q52" i="101"/>
  <c r="R60" i="101"/>
  <c r="N73" i="101"/>
  <c r="Q78" i="101"/>
  <c r="N57" i="101"/>
  <c r="M62" i="101"/>
  <c r="M71" i="101"/>
  <c r="R59" i="101"/>
  <c r="P24" i="101"/>
  <c r="N32" i="101"/>
  <c r="M40" i="101"/>
  <c r="P56" i="101"/>
  <c r="N64" i="101"/>
  <c r="R72" i="101"/>
  <c r="Q70" i="101"/>
  <c r="R26" i="101"/>
  <c r="N42" i="101"/>
  <c r="P74" i="101"/>
  <c r="R51" i="101"/>
  <c r="R54" i="101"/>
  <c r="R49" i="101"/>
  <c r="Q61" i="101"/>
  <c r="M30" i="101"/>
  <c r="Q35" i="101"/>
  <c r="M50" i="101"/>
  <c r="N66" i="101"/>
  <c r="R45" i="101"/>
  <c r="Q53" i="101"/>
  <c r="R39" i="101"/>
  <c r="Q55" i="101"/>
  <c r="P46" i="101"/>
  <c r="N41" i="101"/>
  <c r="N75" i="101"/>
  <c r="M28" i="101"/>
  <c r="Q36" i="101"/>
  <c r="Q60" i="101"/>
  <c r="R68" i="101"/>
  <c r="Q38" i="101"/>
  <c r="Q31" i="101"/>
  <c r="P25" i="101"/>
  <c r="Q62" i="101"/>
  <c r="N71" i="101"/>
  <c r="P27" i="101"/>
  <c r="P32" i="101"/>
  <c r="N40" i="101"/>
  <c r="R48" i="101"/>
  <c r="P64" i="101"/>
  <c r="N72" i="101"/>
  <c r="P26" i="101"/>
  <c r="R42" i="101"/>
  <c r="Q58" i="101"/>
  <c r="P19" i="101"/>
  <c r="P54" i="101"/>
  <c r="Q29" i="101"/>
  <c r="R61" i="101"/>
  <c r="Q69" i="101"/>
  <c r="R35" i="101"/>
  <c r="Q67" i="101"/>
  <c r="Q22" i="101"/>
  <c r="M66" i="101"/>
  <c r="Q21" i="101"/>
  <c r="R53" i="101"/>
  <c r="Q65" i="101"/>
  <c r="R55" i="101"/>
  <c r="M47" i="101"/>
  <c r="P23" i="101"/>
  <c r="M63" i="101"/>
  <c r="R18" i="101"/>
  <c r="N18" i="101"/>
  <c r="M18" i="101"/>
  <c r="P18" i="101"/>
  <c r="Q18" i="101"/>
  <c r="N71" i="102"/>
  <c r="R23" i="102"/>
  <c r="P20" i="102"/>
  <c r="R20" i="102"/>
  <c r="N28" i="102"/>
  <c r="P36" i="102"/>
  <c r="R36" i="102"/>
  <c r="N44" i="102"/>
  <c r="P52" i="102"/>
  <c r="R52" i="102"/>
  <c r="N60" i="102"/>
  <c r="N68" i="102"/>
  <c r="P68" i="102"/>
  <c r="N30" i="102"/>
  <c r="Q42" i="102"/>
  <c r="R62" i="102"/>
  <c r="Q31" i="102"/>
  <c r="R47" i="102"/>
  <c r="Q24" i="102"/>
  <c r="M32" i="102"/>
  <c r="Q40" i="102"/>
  <c r="M48" i="102"/>
  <c r="Q56" i="102"/>
  <c r="M64" i="102"/>
  <c r="R72" i="102"/>
  <c r="M26" i="102"/>
  <c r="P46" i="102"/>
  <c r="N46" i="102"/>
  <c r="R58" i="102"/>
  <c r="P22" i="102"/>
  <c r="M22" i="102"/>
  <c r="R34" i="102"/>
  <c r="N54" i="102"/>
  <c r="Q66" i="102"/>
  <c r="M17" i="102"/>
  <c r="N25" i="102"/>
  <c r="P25" i="102"/>
  <c r="M33" i="102"/>
  <c r="N41" i="102"/>
  <c r="P41" i="102"/>
  <c r="M49" i="102"/>
  <c r="N57" i="102"/>
  <c r="P57" i="102"/>
  <c r="P65" i="102"/>
  <c r="P73" i="102"/>
  <c r="Q73" i="102"/>
  <c r="N39" i="102"/>
  <c r="P39" i="102"/>
  <c r="N63" i="102"/>
  <c r="P63" i="102"/>
  <c r="P18" i="102"/>
  <c r="N18" i="102"/>
  <c r="Q38" i="102"/>
  <c r="M50" i="102"/>
  <c r="N70" i="102"/>
  <c r="N21" i="102"/>
  <c r="P21" i="102"/>
  <c r="M29" i="102"/>
  <c r="N37" i="102"/>
  <c r="P37" i="102"/>
  <c r="M45" i="102"/>
  <c r="N53" i="102"/>
  <c r="P53" i="102"/>
  <c r="M61" i="102"/>
  <c r="P69" i="102"/>
  <c r="N69" i="102"/>
  <c r="Q55" i="102"/>
  <c r="Q19" i="102"/>
  <c r="R27" i="102"/>
  <c r="Q35" i="102"/>
  <c r="R43" i="102"/>
  <c r="P43" i="102"/>
  <c r="Q51" i="102"/>
  <c r="R59" i="102"/>
  <c r="P59" i="102"/>
  <c r="Q67" i="102"/>
  <c r="P71" i="102"/>
  <c r="R71" i="102"/>
  <c r="Q23" i="102"/>
  <c r="N20" i="102"/>
  <c r="P28" i="102"/>
  <c r="R28" i="102"/>
  <c r="N36" i="102"/>
  <c r="P44" i="102"/>
  <c r="R44" i="102"/>
  <c r="N52" i="102"/>
  <c r="P60" i="102"/>
  <c r="R60" i="102"/>
  <c r="M68" i="102"/>
  <c r="Q30" i="102"/>
  <c r="M42" i="102"/>
  <c r="P62" i="102"/>
  <c r="N62" i="102"/>
  <c r="R31" i="102"/>
  <c r="Q47" i="102"/>
  <c r="M24" i="102"/>
  <c r="Q32" i="102"/>
  <c r="M40" i="102"/>
  <c r="R48" i="102"/>
  <c r="M56" i="102"/>
  <c r="R64" i="102"/>
  <c r="Q72" i="102"/>
  <c r="Q26" i="102"/>
  <c r="R46" i="102"/>
  <c r="P58" i="102"/>
  <c r="N58" i="102"/>
  <c r="R22" i="102"/>
  <c r="P34" i="102"/>
  <c r="N34" i="102"/>
  <c r="Q54" i="102"/>
  <c r="R66" i="102"/>
  <c r="N17" i="102"/>
  <c r="P17" i="102"/>
  <c r="M25" i="102"/>
  <c r="N33" i="102"/>
  <c r="P33" i="102"/>
  <c r="M41" i="102"/>
  <c r="N49" i="102"/>
  <c r="P49" i="102"/>
  <c r="M57" i="102"/>
  <c r="N65" i="102"/>
  <c r="R65" i="102"/>
  <c r="R73" i="102"/>
  <c r="M39" i="102"/>
  <c r="M63" i="102"/>
  <c r="R18" i="102"/>
  <c r="N38" i="102"/>
  <c r="Q50" i="102"/>
  <c r="M70" i="102"/>
  <c r="M21" i="102"/>
  <c r="N29" i="102"/>
  <c r="P29" i="102"/>
  <c r="M37" i="102"/>
  <c r="N45" i="102"/>
  <c r="P45" i="102"/>
  <c r="M53" i="102"/>
  <c r="N61" i="102"/>
  <c r="P61" i="102"/>
  <c r="R69" i="102"/>
  <c r="R55" i="102"/>
  <c r="R19" i="102"/>
  <c r="Q27" i="102"/>
  <c r="R35" i="102"/>
  <c r="Q43" i="102"/>
  <c r="R51" i="102"/>
  <c r="Q59" i="102"/>
  <c r="R67" i="102"/>
  <c r="M23" i="102"/>
  <c r="M28" i="102"/>
  <c r="Q36" i="102"/>
  <c r="M60" i="102"/>
  <c r="P30" i="102"/>
  <c r="R42" i="102"/>
  <c r="M62" i="102"/>
  <c r="N47" i="102"/>
  <c r="P32" i="102"/>
  <c r="N40" i="102"/>
  <c r="Q48" i="102"/>
  <c r="P64" i="102"/>
  <c r="M72" i="102"/>
  <c r="P26" i="102"/>
  <c r="Q46" i="102"/>
  <c r="M58" i="102"/>
  <c r="Q34" i="102"/>
  <c r="M54" i="102"/>
  <c r="R17" i="102"/>
  <c r="Q25" i="102"/>
  <c r="R49" i="102"/>
  <c r="Q57" i="102"/>
  <c r="Q65" i="102"/>
  <c r="Q39" i="102"/>
  <c r="M18" i="102"/>
  <c r="P50" i="102"/>
  <c r="Q70" i="102"/>
  <c r="Q21" i="102"/>
  <c r="R45" i="102"/>
  <c r="Q53" i="102"/>
  <c r="M19" i="102"/>
  <c r="P27" i="102"/>
  <c r="N43" i="102"/>
  <c r="M51" i="102"/>
  <c r="N23" i="102"/>
  <c r="M36" i="102"/>
  <c r="Q44" i="102"/>
  <c r="Q68" i="102"/>
  <c r="P42" i="102"/>
  <c r="Q62" i="102"/>
  <c r="P31" i="102"/>
  <c r="R24" i="102"/>
  <c r="P40" i="102"/>
  <c r="N48" i="102"/>
  <c r="R56" i="102"/>
  <c r="N72" i="102"/>
  <c r="Q58" i="102"/>
  <c r="R54" i="102"/>
  <c r="P66" i="102"/>
  <c r="R25" i="102"/>
  <c r="Q33" i="102"/>
  <c r="R57" i="102"/>
  <c r="N73" i="102"/>
  <c r="R39" i="102"/>
  <c r="Q63" i="102"/>
  <c r="Q18" i="102"/>
  <c r="M38" i="102"/>
  <c r="R70" i="102"/>
  <c r="R21" i="102"/>
  <c r="Q29" i="102"/>
  <c r="R53" i="102"/>
  <c r="Q61" i="102"/>
  <c r="M69" i="102"/>
  <c r="P55" i="102"/>
  <c r="N19" i="102"/>
  <c r="M27" i="102"/>
  <c r="P35" i="102"/>
  <c r="N51" i="102"/>
  <c r="M59" i="102"/>
  <c r="M67" i="102"/>
  <c r="Q71" i="102"/>
  <c r="Q20" i="102"/>
  <c r="M44" i="102"/>
  <c r="Q52" i="102"/>
  <c r="R68" i="102"/>
  <c r="M30" i="102"/>
  <c r="M31" i="102"/>
  <c r="P47" i="102"/>
  <c r="N24" i="102"/>
  <c r="R32" i="102"/>
  <c r="P48" i="102"/>
  <c r="N56" i="102"/>
  <c r="Q64" i="102"/>
  <c r="N26" i="102"/>
  <c r="N22" i="102"/>
  <c r="P54" i="102"/>
  <c r="M66" i="102"/>
  <c r="R33" i="102"/>
  <c r="Q41" i="102"/>
  <c r="M65" i="102"/>
  <c r="M73" i="102"/>
  <c r="R63" i="102"/>
  <c r="R38" i="102"/>
  <c r="N50" i="102"/>
  <c r="R29" i="102"/>
  <c r="Q37" i="102"/>
  <c r="R61" i="102"/>
  <c r="Q69" i="102"/>
  <c r="M55" i="102"/>
  <c r="N27" i="102"/>
  <c r="M35" i="102"/>
  <c r="N59" i="102"/>
  <c r="N67" i="102"/>
  <c r="M71" i="102"/>
  <c r="P23" i="102"/>
  <c r="M20" i="102"/>
  <c r="Q28" i="102"/>
  <c r="M52" i="102"/>
  <c r="Q60" i="102"/>
  <c r="R30" i="102"/>
  <c r="N42" i="102"/>
  <c r="N31" i="102"/>
  <c r="M47" i="102"/>
  <c r="P24" i="102"/>
  <c r="N32" i="102"/>
  <c r="R40" i="102"/>
  <c r="P56" i="102"/>
  <c r="N64" i="102"/>
  <c r="P72" i="102"/>
  <c r="R26" i="102"/>
  <c r="M46" i="102"/>
  <c r="Q22" i="102"/>
  <c r="M34" i="102"/>
  <c r="N66" i="102"/>
  <c r="Q17" i="102"/>
  <c r="R41" i="102"/>
  <c r="Q49" i="102"/>
  <c r="P38" i="102"/>
  <c r="R50" i="102"/>
  <c r="P70" i="102"/>
  <c r="R37" i="102"/>
  <c r="Q45" i="102"/>
  <c r="N55" i="102"/>
  <c r="P19" i="102"/>
  <c r="N35" i="102"/>
  <c r="M43" i="102"/>
  <c r="P51" i="102"/>
  <c r="P67" i="102"/>
  <c r="P16" i="102"/>
  <c r="R16" i="102"/>
  <c r="M16" i="102"/>
  <c r="N16" i="102"/>
  <c r="Q16" i="102"/>
  <c r="C592" i="170"/>
  <c r="E592" i="170" s="1"/>
  <c r="E601" i="170" s="1"/>
  <c r="C575" i="170"/>
  <c r="E575" i="170" s="1"/>
  <c r="E584" i="170" s="1"/>
  <c r="C558" i="170"/>
  <c r="E558" i="170" s="1"/>
  <c r="E567" i="170" s="1"/>
  <c r="C541" i="170"/>
  <c r="E541" i="170" s="1"/>
  <c r="E550" i="170" s="1"/>
  <c r="C525" i="170"/>
  <c r="E525" i="170" s="1"/>
  <c r="E534" i="170" s="1"/>
  <c r="C508" i="170"/>
  <c r="E508" i="170" s="1"/>
  <c r="E517" i="170" s="1"/>
  <c r="C491" i="170"/>
  <c r="E491" i="170" s="1"/>
  <c r="E500" i="170" s="1"/>
  <c r="C473" i="170"/>
  <c r="E473" i="170" s="1"/>
  <c r="E482" i="170" s="1"/>
  <c r="C455" i="170"/>
  <c r="E455" i="170" s="1"/>
  <c r="E464" i="170" s="1"/>
  <c r="C439" i="170"/>
  <c r="E439" i="170" s="1"/>
  <c r="E448" i="170" s="1"/>
  <c r="C422" i="170"/>
  <c r="E422" i="170" s="1"/>
  <c r="E431" i="170" s="1"/>
  <c r="C405" i="170"/>
  <c r="E405" i="170" s="1"/>
  <c r="E414" i="170" s="1"/>
  <c r="C387" i="170"/>
  <c r="E387" i="170" s="1"/>
  <c r="E396" i="170" s="1"/>
  <c r="C370" i="170"/>
  <c r="E370" i="170" s="1"/>
  <c r="E379" i="170" s="1"/>
  <c r="C353" i="170"/>
  <c r="E353" i="170" s="1"/>
  <c r="E362" i="170" s="1"/>
  <c r="C335" i="170"/>
  <c r="E335" i="170" s="1"/>
  <c r="E344" i="170" s="1"/>
  <c r="C317" i="170"/>
  <c r="E317" i="170" s="1"/>
  <c r="E326" i="170" s="1"/>
  <c r="C300" i="170"/>
  <c r="E300" i="170" s="1"/>
  <c r="E309" i="170" s="1"/>
  <c r="C283" i="170"/>
  <c r="E283" i="170" s="1"/>
  <c r="E292" i="170" s="1"/>
  <c r="C266" i="170"/>
  <c r="E266" i="170" s="1"/>
  <c r="E275" i="170" s="1"/>
  <c r="C249" i="170"/>
  <c r="E249" i="170" s="1"/>
  <c r="E258" i="170" s="1"/>
  <c r="C232" i="170"/>
  <c r="E232" i="170" s="1"/>
  <c r="E241" i="170" s="1"/>
  <c r="C214" i="170"/>
  <c r="E214" i="170" s="1"/>
  <c r="E223" i="170" s="1"/>
  <c r="C197" i="170"/>
  <c r="E197" i="170" s="1"/>
  <c r="E206" i="170" s="1"/>
  <c r="C180" i="170"/>
  <c r="E180" i="170" s="1"/>
  <c r="E189" i="170" s="1"/>
  <c r="C163" i="170"/>
  <c r="E163" i="170" s="1"/>
  <c r="E172" i="170" s="1"/>
  <c r="C146" i="170"/>
  <c r="E146" i="170" s="1"/>
  <c r="E155" i="170" s="1"/>
  <c r="C129" i="170"/>
  <c r="E129" i="170" s="1"/>
  <c r="E138" i="170" s="1"/>
  <c r="C112" i="170"/>
  <c r="E112" i="170" s="1"/>
  <c r="E121" i="170" s="1"/>
  <c r="C95" i="170"/>
  <c r="E95" i="170" s="1"/>
  <c r="E104" i="170" s="1"/>
  <c r="C78" i="170"/>
  <c r="E78" i="170" s="1"/>
  <c r="E87" i="170" s="1"/>
  <c r="C61" i="170"/>
  <c r="E61" i="170" s="1"/>
  <c r="E70" i="170" s="1"/>
  <c r="C44" i="170"/>
  <c r="E44" i="170" s="1"/>
  <c r="E53" i="170" s="1"/>
  <c r="C27" i="170"/>
  <c r="E27" i="170" s="1"/>
  <c r="E36" i="170" s="1"/>
  <c r="I575" i="170"/>
  <c r="K575" i="170" s="1"/>
  <c r="K584" i="170" s="1"/>
  <c r="I558" i="170"/>
  <c r="K558" i="170" s="1"/>
  <c r="K567" i="170" s="1"/>
  <c r="I525" i="170"/>
  <c r="K525" i="170" s="1"/>
  <c r="K534" i="170" s="1"/>
  <c r="I508" i="170"/>
  <c r="K508" i="170" s="1"/>
  <c r="K517" i="170" s="1"/>
  <c r="I491" i="170"/>
  <c r="K491" i="170" s="1"/>
  <c r="K500" i="170" s="1"/>
  <c r="I473" i="170"/>
  <c r="K473" i="170" s="1"/>
  <c r="K482" i="170" s="1"/>
  <c r="I455" i="170"/>
  <c r="K455" i="170" s="1"/>
  <c r="K464" i="170" s="1"/>
  <c r="I439" i="170"/>
  <c r="K439" i="170" s="1"/>
  <c r="K448" i="170" s="1"/>
  <c r="I422" i="170"/>
  <c r="K422" i="170" s="1"/>
  <c r="K431" i="170" s="1"/>
  <c r="I405" i="170"/>
  <c r="K405" i="170" s="1"/>
  <c r="K414" i="170" s="1"/>
  <c r="I387" i="170"/>
  <c r="K387" i="170" s="1"/>
  <c r="K396" i="170" s="1"/>
  <c r="I370" i="170"/>
  <c r="K370" i="170" s="1"/>
  <c r="K379" i="170" s="1"/>
  <c r="I353" i="170"/>
  <c r="K353" i="170" s="1"/>
  <c r="K362" i="170" s="1"/>
  <c r="I335" i="170"/>
  <c r="K335" i="170" s="1"/>
  <c r="K344" i="170" s="1"/>
  <c r="I317" i="170"/>
  <c r="K317" i="170" s="1"/>
  <c r="K326" i="170" s="1"/>
  <c r="I300" i="170"/>
  <c r="K300" i="170" s="1"/>
  <c r="K309" i="170" s="1"/>
  <c r="I283" i="170"/>
  <c r="K283" i="170" s="1"/>
  <c r="K292" i="170" s="1"/>
  <c r="I266" i="170"/>
  <c r="K266" i="170" s="1"/>
  <c r="K275" i="170" s="1"/>
  <c r="I249" i="170"/>
  <c r="K249" i="170" s="1"/>
  <c r="K258" i="170" s="1"/>
  <c r="I232" i="170"/>
  <c r="K232" i="170" s="1"/>
  <c r="K241" i="170" s="1"/>
  <c r="I214" i="170"/>
  <c r="K214" i="170" s="1"/>
  <c r="K223" i="170" s="1"/>
  <c r="I197" i="170"/>
  <c r="K197" i="170" s="1"/>
  <c r="K206" i="170" s="1"/>
  <c r="I163" i="170"/>
  <c r="K163" i="170" s="1"/>
  <c r="K172" i="170" s="1"/>
  <c r="I146" i="170"/>
  <c r="K146" i="170" s="1"/>
  <c r="K155" i="170" s="1"/>
  <c r="I129" i="170"/>
  <c r="K129" i="170" s="1"/>
  <c r="K138" i="170" s="1"/>
  <c r="I112" i="170"/>
  <c r="K112" i="170" s="1"/>
  <c r="K121" i="170" s="1"/>
  <c r="I95" i="170"/>
  <c r="K95" i="170" s="1"/>
  <c r="K104" i="170" s="1"/>
  <c r="I78" i="170"/>
  <c r="K78" i="170" s="1"/>
  <c r="K87" i="170" s="1"/>
  <c r="I61" i="170"/>
  <c r="K61" i="170" s="1"/>
  <c r="K70" i="170" s="1"/>
  <c r="I44" i="170"/>
  <c r="K44" i="170" s="1"/>
  <c r="K53" i="170" s="1"/>
  <c r="C17" i="100"/>
  <c r="AD96" i="9"/>
  <c r="C15" i="102"/>
  <c r="AD251" i="9"/>
  <c r="C17" i="101"/>
  <c r="AD185" i="9"/>
  <c r="C256" i="151"/>
  <c r="C190" i="151"/>
  <c r="C101" i="151"/>
  <c r="K67" i="100"/>
  <c r="L67" i="100" s="1"/>
  <c r="K65" i="100"/>
  <c r="L65" i="100" s="1"/>
  <c r="K63" i="100"/>
  <c r="L63" i="100" s="1"/>
  <c r="K30" i="100"/>
  <c r="L30" i="100" s="1"/>
  <c r="K27" i="100"/>
  <c r="L27" i="100" s="1"/>
  <c r="K23" i="100"/>
  <c r="L23" i="100" s="1"/>
  <c r="K61" i="100"/>
  <c r="L61" i="100" s="1"/>
  <c r="K59" i="100"/>
  <c r="L59" i="100" s="1"/>
  <c r="K57" i="100"/>
  <c r="L57" i="100" s="1"/>
  <c r="K55" i="100"/>
  <c r="L55" i="100" s="1"/>
  <c r="K53" i="100"/>
  <c r="L53" i="100" s="1"/>
  <c r="K51" i="100"/>
  <c r="L51" i="100" s="1"/>
  <c r="K49" i="100"/>
  <c r="L49" i="100" s="1"/>
  <c r="K45" i="100"/>
  <c r="L45" i="100" s="1"/>
  <c r="K43" i="100"/>
  <c r="L43" i="100" s="1"/>
  <c r="K41" i="100"/>
  <c r="L41" i="100" s="1"/>
  <c r="K39" i="100"/>
  <c r="L39" i="100" s="1"/>
  <c r="K37" i="100"/>
  <c r="L37" i="100" s="1"/>
  <c r="K33" i="100"/>
  <c r="L33" i="100" s="1"/>
  <c r="K26" i="100"/>
  <c r="L26" i="100" s="1"/>
  <c r="K22" i="100"/>
  <c r="L22" i="100" s="1"/>
  <c r="K68" i="100"/>
  <c r="L68" i="100" s="1"/>
  <c r="K66" i="100"/>
  <c r="L66" i="100" s="1"/>
  <c r="K64" i="100"/>
  <c r="L64" i="100" s="1"/>
  <c r="K32" i="100"/>
  <c r="L32" i="100" s="1"/>
  <c r="K25" i="100"/>
  <c r="L25" i="100" s="1"/>
  <c r="K60" i="100"/>
  <c r="L60" i="100" s="1"/>
  <c r="K56" i="100"/>
  <c r="L56" i="100" s="1"/>
  <c r="K52" i="100"/>
  <c r="L52" i="100" s="1"/>
  <c r="K50" i="100"/>
  <c r="L50" i="100" s="1"/>
  <c r="K48" i="100"/>
  <c r="L48" i="100" s="1"/>
  <c r="K46" i="100"/>
  <c r="L46" i="100" s="1"/>
  <c r="K44" i="100"/>
  <c r="L44" i="100" s="1"/>
  <c r="K42" i="100"/>
  <c r="L42" i="100" s="1"/>
  <c r="K40" i="100"/>
  <c r="L40" i="100" s="1"/>
  <c r="K36" i="100"/>
  <c r="L36" i="100" s="1"/>
  <c r="K34" i="100"/>
  <c r="L34" i="100" s="1"/>
  <c r="K31" i="100"/>
  <c r="L31" i="100" s="1"/>
  <c r="K28" i="100"/>
  <c r="L28" i="100" s="1"/>
  <c r="K24" i="100"/>
  <c r="L24" i="100" s="1"/>
  <c r="AL306" i="8"/>
  <c r="K17" i="102"/>
  <c r="K73" i="101"/>
  <c r="L73" i="101" s="1"/>
  <c r="K71" i="101"/>
  <c r="L71" i="101" s="1"/>
  <c r="K69" i="101"/>
  <c r="L69" i="101" s="1"/>
  <c r="K67" i="101"/>
  <c r="L67" i="101" s="1"/>
  <c r="K65" i="101"/>
  <c r="L65" i="101" s="1"/>
  <c r="K63" i="101"/>
  <c r="L63" i="101" s="1"/>
  <c r="K61" i="101"/>
  <c r="L61" i="101" s="1"/>
  <c r="K59" i="101"/>
  <c r="L59" i="101" s="1"/>
  <c r="K57" i="101"/>
  <c r="L57" i="101" s="1"/>
  <c r="K55" i="101"/>
  <c r="L55" i="101" s="1"/>
  <c r="K53" i="101"/>
  <c r="L53" i="101" s="1"/>
  <c r="K51" i="101"/>
  <c r="L51" i="101" s="1"/>
  <c r="K49" i="101"/>
  <c r="L49" i="101" s="1"/>
  <c r="K41" i="101"/>
  <c r="L41" i="101" s="1"/>
  <c r="K38" i="101"/>
  <c r="L38" i="101" s="1"/>
  <c r="K36" i="101"/>
  <c r="L36" i="101" s="1"/>
  <c r="K34" i="101"/>
  <c r="L34" i="101" s="1"/>
  <c r="K32" i="101"/>
  <c r="L32" i="101" s="1"/>
  <c r="K28" i="101"/>
  <c r="L28" i="101" s="1"/>
  <c r="K24" i="101"/>
  <c r="L24" i="101" s="1"/>
  <c r="K20" i="101"/>
  <c r="L20" i="101" s="1"/>
  <c r="K18" i="102"/>
  <c r="L18" i="102" s="1"/>
  <c r="K46" i="101"/>
  <c r="L46" i="101" s="1"/>
  <c r="K42" i="101"/>
  <c r="L42" i="101" s="1"/>
  <c r="K29" i="101"/>
  <c r="L29" i="101" s="1"/>
  <c r="K25" i="101"/>
  <c r="L25" i="101" s="1"/>
  <c r="K21" i="101"/>
  <c r="L21" i="101" s="1"/>
  <c r="K74" i="101"/>
  <c r="L74" i="101" s="1"/>
  <c r="K72" i="101"/>
  <c r="L72" i="101" s="1"/>
  <c r="K70" i="101"/>
  <c r="L70" i="101" s="1"/>
  <c r="K68" i="101"/>
  <c r="L68" i="101" s="1"/>
  <c r="K66" i="101"/>
  <c r="L66" i="101" s="1"/>
  <c r="K64" i="101"/>
  <c r="L64" i="101" s="1"/>
  <c r="K62" i="101"/>
  <c r="L62" i="101" s="1"/>
  <c r="K60" i="101"/>
  <c r="L60" i="101" s="1"/>
  <c r="K58" i="101"/>
  <c r="L58" i="101" s="1"/>
  <c r="K56" i="101"/>
  <c r="L56" i="101" s="1"/>
  <c r="K54" i="101"/>
  <c r="L54" i="101" s="1"/>
  <c r="K52" i="101"/>
  <c r="L52" i="101" s="1"/>
  <c r="K50" i="101"/>
  <c r="L50" i="101" s="1"/>
  <c r="K47" i="101"/>
  <c r="L47" i="101" s="1"/>
  <c r="K43" i="101"/>
  <c r="L43" i="101" s="1"/>
  <c r="K39" i="101"/>
  <c r="L39" i="101" s="1"/>
  <c r="K37" i="101"/>
  <c r="L37" i="101" s="1"/>
  <c r="K35" i="101"/>
  <c r="L35" i="101" s="1"/>
  <c r="K33" i="101"/>
  <c r="L33" i="101" s="1"/>
  <c r="K30" i="101"/>
  <c r="L30" i="101" s="1"/>
  <c r="K26" i="101"/>
  <c r="L26" i="101" s="1"/>
  <c r="K22" i="101"/>
  <c r="L22" i="101" s="1"/>
  <c r="K18" i="100"/>
  <c r="L18" i="100" s="1"/>
  <c r="K48" i="101"/>
  <c r="L48" i="101" s="1"/>
  <c r="K44" i="101"/>
  <c r="L44" i="101" s="1"/>
  <c r="K40" i="101"/>
  <c r="L40" i="101" s="1"/>
  <c r="K31" i="101"/>
  <c r="L31" i="101" s="1"/>
  <c r="K23" i="101"/>
  <c r="L23" i="101" s="1"/>
  <c r="K19" i="101"/>
  <c r="L19" i="101" s="1"/>
  <c r="K58" i="100"/>
  <c r="L58" i="100" s="1"/>
  <c r="K54" i="100"/>
  <c r="L54" i="100" s="1"/>
  <c r="K38" i="100"/>
  <c r="L38" i="100" s="1"/>
  <c r="K20" i="100"/>
  <c r="L20" i="100" s="1"/>
  <c r="K21" i="100"/>
  <c r="L21" i="100" s="1"/>
  <c r="K47" i="100"/>
  <c r="L47" i="100" s="1"/>
  <c r="K35" i="100"/>
  <c r="L35" i="100" s="1"/>
  <c r="K29" i="100"/>
  <c r="L29" i="100" s="1"/>
  <c r="K19" i="100"/>
  <c r="L19" i="100" s="1"/>
  <c r="D13" i="136"/>
  <c r="D22" i="136" s="1"/>
  <c r="F319" i="113"/>
  <c r="L319" i="113" s="1"/>
  <c r="M319" i="113" s="1"/>
  <c r="P319" i="113" s="1"/>
  <c r="S319" i="113" s="1"/>
  <c r="U319" i="113" s="1"/>
  <c r="AC157" i="9"/>
  <c r="AC128" i="9"/>
  <c r="AC162" i="9"/>
  <c r="AC143" i="9"/>
  <c r="AC141" i="9"/>
  <c r="AC123" i="9"/>
  <c r="AC120" i="9"/>
  <c r="AC118" i="9"/>
  <c r="AC112" i="9"/>
  <c r="AC185" i="9"/>
  <c r="AC142" i="9"/>
  <c r="AC111" i="9"/>
  <c r="AC109" i="9"/>
  <c r="AC167" i="9"/>
  <c r="AC155" i="9"/>
  <c r="AC150" i="9"/>
  <c r="AC139" i="9"/>
  <c r="AC137" i="9"/>
  <c r="AC132" i="9"/>
  <c r="AC130" i="9"/>
  <c r="AC110" i="9"/>
  <c r="AC108" i="9"/>
  <c r="AC106" i="9"/>
  <c r="AC102" i="9"/>
  <c r="AC98" i="9"/>
  <c r="AC164" i="9"/>
  <c r="AC153" i="9"/>
  <c r="AC161" i="9"/>
  <c r="AC148" i="9"/>
  <c r="AC146" i="9"/>
  <c r="AC144" i="9"/>
  <c r="AC135" i="9"/>
  <c r="AC117" i="9"/>
  <c r="AC113" i="9"/>
  <c r="AC105" i="9"/>
  <c r="AC166" i="9"/>
  <c r="AC151" i="9"/>
  <c r="AC133" i="9"/>
  <c r="AC131" i="9"/>
  <c r="AC124" i="9"/>
  <c r="AC119" i="9"/>
  <c r="AC107" i="9"/>
  <c r="AC103" i="9"/>
  <c r="AC101" i="9"/>
  <c r="AC99" i="9"/>
  <c r="AC159" i="9"/>
  <c r="AC126" i="9"/>
  <c r="AC115" i="9"/>
  <c r="AC140" i="9"/>
  <c r="AC129" i="9"/>
  <c r="AC127" i="9"/>
  <c r="AC168" i="9"/>
  <c r="AC156" i="9"/>
  <c r="AC154" i="9"/>
  <c r="AC149" i="9"/>
  <c r="AC138" i="9"/>
  <c r="AC125" i="9"/>
  <c r="AC122" i="9"/>
  <c r="AC121" i="9"/>
  <c r="AC163" i="9"/>
  <c r="AC165" i="9"/>
  <c r="AC160" i="9"/>
  <c r="AC158" i="9"/>
  <c r="AC152" i="9"/>
  <c r="AC147" i="9"/>
  <c r="AC145" i="9"/>
  <c r="AC136" i="9"/>
  <c r="AC134" i="9"/>
  <c r="AC116" i="9"/>
  <c r="AC114" i="9"/>
  <c r="AC104" i="9"/>
  <c r="AC100" i="9"/>
  <c r="AC169" i="9"/>
  <c r="D181" i="113"/>
  <c r="G181" i="113" s="1"/>
  <c r="D264" i="113"/>
  <c r="D179" i="113"/>
  <c r="G179" i="113" s="1"/>
  <c r="D261" i="113"/>
  <c r="D143" i="113"/>
  <c r="D241" i="113"/>
  <c r="G241" i="113" s="1"/>
  <c r="AH306" i="8"/>
  <c r="AD306" i="8"/>
  <c r="Z306" i="8"/>
  <c r="V306" i="8"/>
  <c r="R306" i="8"/>
  <c r="N306" i="8"/>
  <c r="J306" i="8"/>
  <c r="F306" i="8"/>
  <c r="L306" i="8"/>
  <c r="H306" i="8"/>
  <c r="AI306" i="8"/>
  <c r="K306" i="8"/>
  <c r="AG306" i="8"/>
  <c r="AC306" i="8"/>
  <c r="Y306" i="8"/>
  <c r="U306" i="8"/>
  <c r="Q306" i="8"/>
  <c r="M306" i="8"/>
  <c r="I306" i="8"/>
  <c r="E306" i="8"/>
  <c r="G252" i="113"/>
  <c r="D183" i="113"/>
  <c r="D249" i="113"/>
  <c r="G249" i="113" s="1"/>
  <c r="G184" i="113"/>
  <c r="W184" i="113"/>
  <c r="D312" i="113"/>
  <c r="G313" i="113"/>
  <c r="W313" i="113"/>
  <c r="G188" i="113"/>
  <c r="G311" i="113"/>
  <c r="W311" i="113"/>
  <c r="F188" i="113"/>
  <c r="W14" i="113"/>
  <c r="D247" i="113"/>
  <c r="W247" i="113" s="1"/>
  <c r="D220" i="113"/>
  <c r="G220" i="113" s="1"/>
  <c r="D205" i="113"/>
  <c r="G205" i="113" s="1"/>
  <c r="F187" i="113"/>
  <c r="F251" i="113"/>
  <c r="D182" i="113"/>
  <c r="I9" i="9"/>
  <c r="I320" i="9" s="1"/>
  <c r="D136" i="113"/>
  <c r="D177" i="113"/>
  <c r="D275" i="113"/>
  <c r="D221" i="113"/>
  <c r="D301" i="113"/>
  <c r="D178" i="113"/>
  <c r="D167" i="113"/>
  <c r="D222" i="113"/>
  <c r="D213" i="113"/>
  <c r="D192" i="113"/>
  <c r="D175" i="113"/>
  <c r="D165" i="113"/>
  <c r="D138" i="113"/>
  <c r="G180" i="113"/>
  <c r="W180" i="113"/>
  <c r="D307" i="113"/>
  <c r="D218" i="113"/>
  <c r="D266" i="113"/>
  <c r="D216" i="113"/>
  <c r="D209" i="113"/>
  <c r="D173" i="113"/>
  <c r="D283" i="113"/>
  <c r="D166" i="113"/>
  <c r="U334" i="113"/>
  <c r="U337" i="113" s="1"/>
  <c r="AC70" i="9"/>
  <c r="AC10" i="9" s="1"/>
  <c r="AE306" i="8"/>
  <c r="AA306" i="8"/>
  <c r="W306" i="8"/>
  <c r="S306" i="8"/>
  <c r="O306" i="8"/>
  <c r="G306" i="8"/>
  <c r="AI24" i="32"/>
  <c r="AI23" i="32"/>
  <c r="AM18" i="32"/>
  <c r="AI26" i="32"/>
  <c r="AI25" i="32"/>
  <c r="AI22" i="32"/>
  <c r="AI21" i="32"/>
  <c r="P29" i="152" s="1"/>
  <c r="AI20" i="32"/>
  <c r="AI19" i="32"/>
  <c r="AF306" i="8"/>
  <c r="AB306" i="8"/>
  <c r="X306" i="8"/>
  <c r="T306" i="8"/>
  <c r="P306" i="8"/>
  <c r="F136" i="102"/>
  <c r="J180" i="100"/>
  <c r="T180" i="100" s="1"/>
  <c r="J176" i="99"/>
  <c r="T176" i="99" s="1"/>
  <c r="AC251" i="9"/>
  <c r="AC250" i="9" s="1"/>
  <c r="AC186" i="9"/>
  <c r="AC96" i="9"/>
  <c r="L9" i="9"/>
  <c r="L320" i="9" s="1"/>
  <c r="J9" i="9"/>
  <c r="J320" i="9" s="1"/>
  <c r="P9" i="9"/>
  <c r="P320" i="9" s="1"/>
  <c r="Q325" i="9" s="1"/>
  <c r="M9" i="9"/>
  <c r="M320" i="9" s="1"/>
  <c r="N9" i="9"/>
  <c r="N320" i="9" s="1"/>
  <c r="G9" i="9"/>
  <c r="G320" i="9" s="1"/>
  <c r="K9" i="9"/>
  <c r="K320" i="9" s="1"/>
  <c r="H320" i="9"/>
  <c r="L17" i="102" l="1"/>
  <c r="F321" i="132"/>
  <c r="H321" i="132"/>
  <c r="F320" i="132"/>
  <c r="G321" i="132"/>
  <c r="Z82" i="102"/>
  <c r="K321" i="132"/>
  <c r="M321" i="132" s="1"/>
  <c r="F314" i="132"/>
  <c r="F313" i="132"/>
  <c r="F322" i="132"/>
  <c r="F316" i="132"/>
  <c r="F315" i="132"/>
  <c r="K323" i="132"/>
  <c r="M323" i="132" s="1"/>
  <c r="F317" i="132"/>
  <c r="F318" i="132"/>
  <c r="F319" i="132"/>
  <c r="F309" i="132"/>
  <c r="F311" i="132"/>
  <c r="F299" i="132"/>
  <c r="F306" i="132"/>
  <c r="F300" i="132"/>
  <c r="F312" i="132"/>
  <c r="F256" i="132"/>
  <c r="F272" i="132"/>
  <c r="F292" i="132"/>
  <c r="F277" i="132"/>
  <c r="F265" i="132"/>
  <c r="F301" i="132"/>
  <c r="F296" i="132"/>
  <c r="F305" i="132"/>
  <c r="F288" i="132"/>
  <c r="F304" i="132"/>
  <c r="F271" i="132"/>
  <c r="F280" i="132"/>
  <c r="F298" i="132"/>
  <c r="F289" i="132"/>
  <c r="F279" i="132"/>
  <c r="F268" i="132"/>
  <c r="F262" i="132"/>
  <c r="F263" i="132"/>
  <c r="F302" i="132"/>
  <c r="F269" i="132"/>
  <c r="F264" i="132"/>
  <c r="F273" i="132"/>
  <c r="F307" i="132"/>
  <c r="F270" i="132"/>
  <c r="F274" i="132"/>
  <c r="F285" i="132"/>
  <c r="F257" i="132"/>
  <c r="F267" i="132"/>
  <c r="F282" i="132"/>
  <c r="F287" i="132"/>
  <c r="F295" i="132"/>
  <c r="F290" i="132"/>
  <c r="F291" i="132"/>
  <c r="F293" i="132"/>
  <c r="F261" i="132"/>
  <c r="F286" i="132"/>
  <c r="F260" i="132"/>
  <c r="F281" i="132"/>
  <c r="F303" i="132"/>
  <c r="F278" i="132"/>
  <c r="F283" i="132"/>
  <c r="F259" i="132"/>
  <c r="F284" i="132"/>
  <c r="F297" i="132"/>
  <c r="F276" i="132"/>
  <c r="F258" i="132"/>
  <c r="F275" i="132"/>
  <c r="F294" i="132"/>
  <c r="F308" i="132"/>
  <c r="F266" i="132"/>
  <c r="F255" i="132"/>
  <c r="F310" i="132"/>
  <c r="G272" i="132"/>
  <c r="C2523" i="170"/>
  <c r="E2523" i="170" s="1"/>
  <c r="G301" i="132"/>
  <c r="G262" i="132"/>
  <c r="C2251" i="170"/>
  <c r="E2251" i="170" s="1"/>
  <c r="G281" i="132"/>
  <c r="C2363" i="170"/>
  <c r="E2363" i="170" s="1"/>
  <c r="I2475" i="170"/>
  <c r="K2475" i="170" s="1"/>
  <c r="I2443" i="170"/>
  <c r="K2443" i="170" s="1"/>
  <c r="C2427" i="170"/>
  <c r="E2427" i="170" s="1"/>
  <c r="G282" i="132"/>
  <c r="C2395" i="170"/>
  <c r="E2395" i="170" s="1"/>
  <c r="C2443" i="170"/>
  <c r="E2443" i="170" s="1"/>
  <c r="I2507" i="170"/>
  <c r="K2507" i="170" s="1"/>
  <c r="AC95" i="9"/>
  <c r="H184" i="132"/>
  <c r="H183" i="132"/>
  <c r="F186" i="132"/>
  <c r="K186" i="132"/>
  <c r="M186" i="132" s="1"/>
  <c r="G186" i="132"/>
  <c r="H186" i="132"/>
  <c r="F185" i="132"/>
  <c r="F184" i="132"/>
  <c r="Z102" i="100"/>
  <c r="Z101" i="100"/>
  <c r="AA101" i="100" s="1"/>
  <c r="K184" i="132"/>
  <c r="M184" i="132" s="1"/>
  <c r="K183" i="132"/>
  <c r="G185" i="132"/>
  <c r="Z104" i="100"/>
  <c r="G184" i="132"/>
  <c r="G255" i="132"/>
  <c r="G269" i="132"/>
  <c r="I2091" i="170"/>
  <c r="K2091" i="170" s="1"/>
  <c r="G266" i="132"/>
  <c r="I2395" i="170"/>
  <c r="K2395" i="170" s="1"/>
  <c r="G274" i="132"/>
  <c r="I2379" i="170"/>
  <c r="K2379" i="170" s="1"/>
  <c r="G310" i="132"/>
  <c r="C2107" i="170"/>
  <c r="E2107" i="170" s="1"/>
  <c r="G277" i="132"/>
  <c r="I2315" i="170"/>
  <c r="K2315" i="170" s="1"/>
  <c r="G270" i="132"/>
  <c r="G250" i="132"/>
  <c r="G251" i="132"/>
  <c r="H252" i="132"/>
  <c r="F250" i="132"/>
  <c r="F251" i="132"/>
  <c r="H250" i="132"/>
  <c r="G252" i="132"/>
  <c r="H251" i="132"/>
  <c r="K250" i="132"/>
  <c r="M250" i="132" s="1"/>
  <c r="Z79" i="101"/>
  <c r="AA79" i="101" s="1"/>
  <c r="F196" i="132"/>
  <c r="F227" i="132"/>
  <c r="F191" i="132"/>
  <c r="F244" i="132"/>
  <c r="F215" i="132"/>
  <c r="F232" i="132"/>
  <c r="F193" i="132"/>
  <c r="F237" i="132"/>
  <c r="F217" i="132"/>
  <c r="F197" i="132"/>
  <c r="F243" i="132"/>
  <c r="F221" i="132"/>
  <c r="F201" i="132"/>
  <c r="F219" i="132"/>
  <c r="F211" i="132"/>
  <c r="F194" i="132"/>
  <c r="F222" i="132"/>
  <c r="F202" i="132"/>
  <c r="F214" i="132"/>
  <c r="F192" i="132"/>
  <c r="F233" i="132"/>
  <c r="F213" i="132"/>
  <c r="F212" i="132"/>
  <c r="F203" i="132"/>
  <c r="F228" i="132"/>
  <c r="F234" i="132"/>
  <c r="F246" i="132"/>
  <c r="F236" i="132"/>
  <c r="F238" i="132"/>
  <c r="F218" i="132"/>
  <c r="F230" i="132"/>
  <c r="F216" i="132"/>
  <c r="F247" i="132"/>
  <c r="F207" i="132"/>
  <c r="F224" i="132"/>
  <c r="F235" i="132"/>
  <c r="F195" i="132"/>
  <c r="F220" i="132"/>
  <c r="F198" i="132"/>
  <c r="F226" i="132"/>
  <c r="F190" i="132"/>
  <c r="F231" i="132"/>
  <c r="F210" i="132"/>
  <c r="F239" i="132"/>
  <c r="F199" i="132"/>
  <c r="F205" i="132"/>
  <c r="F249" i="132"/>
  <c r="F229" i="132"/>
  <c r="F209" i="132"/>
  <c r="F242" i="132"/>
  <c r="F206" i="132"/>
  <c r="F200" i="132"/>
  <c r="F223" i="132"/>
  <c r="F240" i="132"/>
  <c r="F204" i="132"/>
  <c r="F241" i="132"/>
  <c r="F248" i="132"/>
  <c r="F208" i="132"/>
  <c r="F245" i="132"/>
  <c r="F225" i="132"/>
  <c r="F189" i="132"/>
  <c r="Z81" i="101"/>
  <c r="AA81" i="101" s="1"/>
  <c r="F252" i="132"/>
  <c r="K252" i="132"/>
  <c r="M252" i="132" s="1"/>
  <c r="Z80" i="101"/>
  <c r="K251" i="132"/>
  <c r="M251" i="132" s="1"/>
  <c r="G249" i="132"/>
  <c r="G214" i="132"/>
  <c r="G240" i="132"/>
  <c r="G245" i="132"/>
  <c r="G198" i="132"/>
  <c r="G189" i="132"/>
  <c r="G238" i="132"/>
  <c r="G208" i="132"/>
  <c r="G234" i="132"/>
  <c r="G229" i="132"/>
  <c r="G213" i="132"/>
  <c r="G233" i="132"/>
  <c r="G200" i="132"/>
  <c r="G205" i="132"/>
  <c r="G209" i="132"/>
  <c r="G248" i="132"/>
  <c r="G207" i="132"/>
  <c r="G224" i="132"/>
  <c r="G241" i="132"/>
  <c r="G236" i="132"/>
  <c r="G217" i="132"/>
  <c r="G215" i="132"/>
  <c r="G206" i="132"/>
  <c r="G226" i="132"/>
  <c r="G204" i="132"/>
  <c r="G223" i="132"/>
  <c r="G220" i="132"/>
  <c r="G201" i="132"/>
  <c r="G231" i="132"/>
  <c r="G222" i="132"/>
  <c r="G194" i="132"/>
  <c r="G246" i="132"/>
  <c r="G202" i="132"/>
  <c r="G227" i="132"/>
  <c r="G211" i="132"/>
  <c r="G219" i="132"/>
  <c r="G195" i="132"/>
  <c r="G244" i="132"/>
  <c r="G225" i="132"/>
  <c r="G239" i="132"/>
  <c r="G221" i="132"/>
  <c r="G212" i="132"/>
  <c r="G192" i="132"/>
  <c r="G235" i="132"/>
  <c r="G199" i="132"/>
  <c r="G190" i="132"/>
  <c r="G247" i="132"/>
  <c r="G197" i="132"/>
  <c r="G232" i="132"/>
  <c r="G228" i="132"/>
  <c r="G230" i="132"/>
  <c r="G242" i="132"/>
  <c r="G237" i="132"/>
  <c r="G193" i="132"/>
  <c r="G191" i="132"/>
  <c r="G216" i="132"/>
  <c r="G203" i="132"/>
  <c r="G243" i="132"/>
  <c r="G210" i="132"/>
  <c r="G218" i="132"/>
  <c r="G196" i="132"/>
  <c r="J67" i="102"/>
  <c r="L67" i="102"/>
  <c r="C2075" i="170"/>
  <c r="E2075" i="170" s="1"/>
  <c r="C2491" i="170"/>
  <c r="E2491" i="170" s="1"/>
  <c r="I2363" i="170"/>
  <c r="K2363" i="170" s="1"/>
  <c r="I2219" i="170"/>
  <c r="K2219" i="170" s="1"/>
  <c r="G275" i="132"/>
  <c r="C2347" i="170"/>
  <c r="E2347" i="170" s="1"/>
  <c r="C2171" i="170"/>
  <c r="E2171" i="170" s="1"/>
  <c r="G268" i="132"/>
  <c r="I2251" i="170"/>
  <c r="K2251" i="170" s="1"/>
  <c r="C2139" i="170"/>
  <c r="E2139" i="170" s="1"/>
  <c r="G264" i="132"/>
  <c r="I2107" i="170"/>
  <c r="K2107" i="170" s="1"/>
  <c r="C2091" i="170"/>
  <c r="E2091" i="170" s="1"/>
  <c r="G258" i="132"/>
  <c r="I2075" i="170"/>
  <c r="K2075" i="170" s="1"/>
  <c r="C2235" i="170"/>
  <c r="E2235" i="170" s="1"/>
  <c r="G276" i="132"/>
  <c r="I2155" i="170"/>
  <c r="K2155" i="170" s="1"/>
  <c r="I2411" i="170"/>
  <c r="K2411" i="170" s="1"/>
  <c r="G299" i="132"/>
  <c r="C2379" i="170"/>
  <c r="E2379" i="170" s="1"/>
  <c r="C2539" i="170"/>
  <c r="E2539" i="170" s="1"/>
  <c r="G314" i="132"/>
  <c r="V104" i="100"/>
  <c r="G319" i="132"/>
  <c r="H323" i="132"/>
  <c r="I541" i="170"/>
  <c r="K541" i="170" s="1"/>
  <c r="K550" i="170" s="1"/>
  <c r="I27" i="170"/>
  <c r="K27" i="170" s="1"/>
  <c r="K36" i="170" s="1"/>
  <c r="I180" i="170"/>
  <c r="K180" i="170" s="1"/>
  <c r="K189" i="170" s="1"/>
  <c r="J104" i="100"/>
  <c r="C2600" i="170"/>
  <c r="E2600" i="170" s="1"/>
  <c r="C2585" i="170"/>
  <c r="E2585" i="170" s="1"/>
  <c r="C2558" i="170"/>
  <c r="E2558" i="170" s="1"/>
  <c r="I2587" i="170"/>
  <c r="K2587" i="170" s="1"/>
  <c r="I2570" i="170"/>
  <c r="K2570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92" i="170"/>
  <c r="K2592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C2570" i="170"/>
  <c r="E2570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C2250" i="170"/>
  <c r="E2250" i="170" s="1"/>
  <c r="C2252" i="170"/>
  <c r="E2252" i="170" s="1"/>
  <c r="I2250" i="170"/>
  <c r="K2250" i="170" s="1"/>
  <c r="C2205" i="170"/>
  <c r="E2205" i="170" s="1"/>
  <c r="I2312" i="170"/>
  <c r="K2312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C2248" i="170"/>
  <c r="E2248" i="170" s="1"/>
  <c r="I2249" i="170"/>
  <c r="K2249" i="170" s="1"/>
  <c r="I2253" i="170"/>
  <c r="K2253" i="170" s="1"/>
  <c r="C2201" i="170"/>
  <c r="E2201" i="170" s="1"/>
  <c r="C2202" i="170"/>
  <c r="E2202" i="170" s="1"/>
  <c r="I2314" i="170"/>
  <c r="K2314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I2317" i="170"/>
  <c r="K2317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C2301" i="170"/>
  <c r="E2301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I2073" i="170"/>
  <c r="K2073" i="170" s="1"/>
  <c r="C2253" i="170"/>
  <c r="E2253" i="170" s="1"/>
  <c r="I2316" i="170"/>
  <c r="K2316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C2298" i="170"/>
  <c r="E229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I2313" i="170"/>
  <c r="K2313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C2249" i="170"/>
  <c r="E2249" i="170" s="1"/>
  <c r="I2378" i="170"/>
  <c r="K2378" i="170" s="1"/>
  <c r="C2348" i="170"/>
  <c r="E2348" i="170" s="1"/>
  <c r="C2233" i="170"/>
  <c r="E2233" i="170" s="1"/>
  <c r="C2300" i="170"/>
  <c r="E2300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458" i="170"/>
  <c r="E2458" i="170" s="1"/>
  <c r="C2457" i="170"/>
  <c r="E2457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00" i="170"/>
  <c r="K2300" i="170" s="1"/>
  <c r="I2296" i="170"/>
  <c r="K2296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C2297" i="170"/>
  <c r="E2297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460" i="170"/>
  <c r="E2460" i="170" s="1"/>
  <c r="C2184" i="170"/>
  <c r="E2184" i="170" s="1"/>
  <c r="C2156" i="170"/>
  <c r="E2156" i="170" s="1"/>
  <c r="I2298" i="170"/>
  <c r="K2298" i="170" s="1"/>
  <c r="I2493" i="170"/>
  <c r="K2493" i="170" s="1"/>
  <c r="I2490" i="170"/>
  <c r="K2490" i="170" s="1"/>
  <c r="I2445" i="170"/>
  <c r="K2445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C2456" i="170"/>
  <c r="E2456" i="170" s="1"/>
  <c r="I2109" i="170"/>
  <c r="K2109" i="170" s="1"/>
  <c r="I2105" i="170"/>
  <c r="K2105" i="170" s="1"/>
  <c r="C2152" i="170"/>
  <c r="E2152" i="170" s="1"/>
  <c r="I2297" i="170"/>
  <c r="K2297" i="170" s="1"/>
  <c r="I2301" i="170"/>
  <c r="K2301" i="170" s="1"/>
  <c r="I2397" i="170"/>
  <c r="K2397" i="170" s="1"/>
  <c r="I2396" i="170"/>
  <c r="K2396" i="170" s="1"/>
  <c r="I2489" i="170"/>
  <c r="K2489" i="170" s="1"/>
  <c r="I2488" i="170"/>
  <c r="K2488" i="170" s="1"/>
  <c r="I2442" i="170"/>
  <c r="K2442" i="170" s="1"/>
  <c r="C2506" i="170"/>
  <c r="E2506" i="170" s="1"/>
  <c r="C2234" i="170"/>
  <c r="E2234" i="170" s="1"/>
  <c r="C2296" i="170"/>
  <c r="E2296" i="170" s="1"/>
  <c r="I2202" i="170"/>
  <c r="K2202" i="170" s="1"/>
  <c r="C2377" i="170"/>
  <c r="E2377" i="170" s="1"/>
  <c r="I2473" i="170"/>
  <c r="K2473" i="170" s="1"/>
  <c r="C2490" i="170"/>
  <c r="E2490" i="170" s="1"/>
  <c r="C2186" i="170"/>
  <c r="E2186" i="170" s="1"/>
  <c r="C2157" i="170"/>
  <c r="E2157" i="170" s="1"/>
  <c r="I2441" i="170"/>
  <c r="K2441" i="170" s="1"/>
  <c r="C2505" i="170"/>
  <c r="E2505" i="170" s="1"/>
  <c r="C2073" i="170"/>
  <c r="E2073" i="170" s="1"/>
  <c r="I2157" i="170"/>
  <c r="K2157" i="170" s="1"/>
  <c r="I2156" i="170"/>
  <c r="K2156" i="170" s="1"/>
  <c r="I2281" i="170"/>
  <c r="K2281" i="170" s="1"/>
  <c r="I2285" i="170"/>
  <c r="K2285" i="170" s="1"/>
  <c r="C2170" i="170"/>
  <c r="E2170" i="170" s="1"/>
  <c r="C2169" i="170"/>
  <c r="E2169" i="170" s="1"/>
  <c r="C2280" i="170"/>
  <c r="E2280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14" i="170"/>
  <c r="E2314" i="170" s="1"/>
  <c r="C2316" i="170"/>
  <c r="E2316" i="170" s="1"/>
  <c r="C2362" i="170"/>
  <c r="E2362" i="170" s="1"/>
  <c r="I2266" i="170"/>
  <c r="K2266" i="170" s="1"/>
  <c r="C2396" i="170"/>
  <c r="E239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I2444" i="170"/>
  <c r="K2444" i="170" s="1"/>
  <c r="C2508" i="170"/>
  <c r="E2508" i="170" s="1"/>
  <c r="C2074" i="170"/>
  <c r="E2074" i="170" s="1"/>
  <c r="I2154" i="170"/>
  <c r="K2154" i="170" s="1"/>
  <c r="I2284" i="170"/>
  <c r="K228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12" i="170"/>
  <c r="E2312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C2397" i="170"/>
  <c r="E2397" i="170" s="1"/>
  <c r="I2233" i="170"/>
  <c r="K2233" i="170" s="1"/>
  <c r="C2345" i="170"/>
  <c r="E2345" i="170" s="1"/>
  <c r="I2504" i="170"/>
  <c r="K2504" i="170" s="1"/>
  <c r="I2346" i="170"/>
  <c r="K2346" i="170" s="1"/>
  <c r="C2332" i="170"/>
  <c r="E2332" i="170" s="1"/>
  <c r="I2361" i="170"/>
  <c r="K2361" i="170" s="1"/>
  <c r="I2440" i="170"/>
  <c r="K2440" i="170" s="1"/>
  <c r="C2504" i="170"/>
  <c r="E2504" i="170" s="1"/>
  <c r="C2077" i="170"/>
  <c r="E2077" i="170" s="1"/>
  <c r="I2282" i="170"/>
  <c r="K2282" i="170" s="1"/>
  <c r="C2173" i="170"/>
  <c r="E2173" i="170" s="1"/>
  <c r="C2282" i="170"/>
  <c r="E2282" i="170" s="1"/>
  <c r="C2284" i="170"/>
  <c r="E2284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C2461" i="170"/>
  <c r="E2461" i="170" s="1"/>
  <c r="I2106" i="170"/>
  <c r="K2106" i="170" s="1"/>
  <c r="I2492" i="170"/>
  <c r="K2492" i="170" s="1"/>
  <c r="C2509" i="170"/>
  <c r="E2509" i="170" s="1"/>
  <c r="C2076" i="170"/>
  <c r="E2076" i="170" s="1"/>
  <c r="I2153" i="170"/>
  <c r="K2153" i="170" s="1"/>
  <c r="I2152" i="170"/>
  <c r="K2152" i="170" s="1"/>
  <c r="I2280" i="170"/>
  <c r="K2280" i="170" s="1"/>
  <c r="C2172" i="170"/>
  <c r="E2172" i="170" s="1"/>
  <c r="C2168" i="170"/>
  <c r="E2168" i="170" s="1"/>
  <c r="C2285" i="170"/>
  <c r="E2285" i="170" s="1"/>
  <c r="C2281" i="170"/>
  <c r="E2281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C2394" i="170"/>
  <c r="E2394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C2317" i="170"/>
  <c r="E2317" i="170" s="1"/>
  <c r="I2268" i="170"/>
  <c r="K2268" i="170" s="1"/>
  <c r="C2393" i="170"/>
  <c r="E2393" i="170" s="1"/>
  <c r="I2169" i="170"/>
  <c r="K2169" i="170" s="1"/>
  <c r="C2313" i="170"/>
  <c r="E2313" i="170" s="1"/>
  <c r="I2264" i="170"/>
  <c r="K2264" i="170" s="1"/>
  <c r="C2392" i="170"/>
  <c r="E2392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C1135" i="170"/>
  <c r="E1135" i="170" s="1"/>
  <c r="I1099" i="170"/>
  <c r="K1099" i="170" s="1"/>
  <c r="I1103" i="170"/>
  <c r="K1103" i="170" s="1"/>
  <c r="I829" i="170"/>
  <c r="K829" i="170" s="1"/>
  <c r="I828" i="170"/>
  <c r="K828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3" i="170"/>
  <c r="K1083" i="170" s="1"/>
  <c r="I1082" i="170"/>
  <c r="K1082" i="170" s="1"/>
  <c r="C765" i="170"/>
  <c r="E765" i="170" s="1"/>
  <c r="C778" i="170"/>
  <c r="E778" i="170" s="1"/>
  <c r="I1151" i="170"/>
  <c r="K1151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I1220" i="170"/>
  <c r="K1220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C981" i="170"/>
  <c r="E981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C1169" i="170"/>
  <c r="E1169" i="170" s="1"/>
  <c r="I1086" i="170"/>
  <c r="K1086" i="170" s="1"/>
  <c r="C761" i="170"/>
  <c r="E761" i="170" s="1"/>
  <c r="C763" i="170"/>
  <c r="E763" i="170" s="1"/>
  <c r="I900" i="170"/>
  <c r="K900" i="170" s="1"/>
  <c r="I898" i="170"/>
  <c r="K898" i="170" s="1"/>
  <c r="C780" i="170"/>
  <c r="E780" i="170" s="1"/>
  <c r="C779" i="170"/>
  <c r="E779" i="170" s="1"/>
  <c r="I1154" i="170"/>
  <c r="K1154" i="170" s="1"/>
  <c r="I1338" i="170"/>
  <c r="K1338" i="170" s="1"/>
  <c r="I799" i="170"/>
  <c r="K799" i="170" s="1"/>
  <c r="I795" i="170"/>
  <c r="K795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I965" i="170"/>
  <c r="K965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79" i="170"/>
  <c r="K779" i="170" s="1"/>
  <c r="I781" i="170"/>
  <c r="K781" i="170" s="1"/>
  <c r="I1017" i="170"/>
  <c r="K1017" i="170" s="1"/>
  <c r="I1016" i="170"/>
  <c r="K1016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982" i="170"/>
  <c r="E982" i="170" s="1"/>
  <c r="I1014" i="170"/>
  <c r="K1014" i="170" s="1"/>
  <c r="C1168" i="170"/>
  <c r="E1168" i="170" s="1"/>
  <c r="C760" i="170"/>
  <c r="E760" i="170" s="1"/>
  <c r="I896" i="170"/>
  <c r="K896" i="170" s="1"/>
  <c r="C781" i="170"/>
  <c r="E781" i="170" s="1"/>
  <c r="I1155" i="170"/>
  <c r="K1155" i="170" s="1"/>
  <c r="I1337" i="170"/>
  <c r="K1337" i="170" s="1"/>
  <c r="I796" i="170"/>
  <c r="K796" i="170" s="1"/>
  <c r="C883" i="170"/>
  <c r="E883" i="170" s="1"/>
  <c r="C1307" i="170"/>
  <c r="E1307" i="170" s="1"/>
  <c r="I1219" i="170"/>
  <c r="K1219" i="170" s="1"/>
  <c r="C863" i="170"/>
  <c r="E863" i="170" s="1"/>
  <c r="I1240" i="170"/>
  <c r="K1240" i="170" s="1"/>
  <c r="I963" i="170"/>
  <c r="K963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6" i="170"/>
  <c r="E1236" i="170" s="1"/>
  <c r="C1235" i="170"/>
  <c r="E1235" i="170" s="1"/>
  <c r="I1288" i="170"/>
  <c r="K1288" i="170" s="1"/>
  <c r="C1342" i="170"/>
  <c r="E1342" i="170" s="1"/>
  <c r="C1341" i="170"/>
  <c r="E1341" i="170" s="1"/>
  <c r="C829" i="170"/>
  <c r="E829" i="170" s="1"/>
  <c r="C830" i="170"/>
  <c r="E830" i="170" s="1"/>
  <c r="I1135" i="170"/>
  <c r="K1135" i="170" s="1"/>
  <c r="I1134" i="170"/>
  <c r="K1134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897" i="170"/>
  <c r="E897" i="170" s="1"/>
  <c r="C1133" i="170"/>
  <c r="E1133" i="170" s="1"/>
  <c r="I830" i="170"/>
  <c r="K830" i="170" s="1"/>
  <c r="I777" i="170"/>
  <c r="K777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152" i="170"/>
  <c r="K115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I1237" i="170"/>
  <c r="K1237" i="170" s="1"/>
  <c r="C1388" i="170"/>
  <c r="E1388" i="170" s="1"/>
  <c r="C1117" i="170"/>
  <c r="E1117" i="170" s="1"/>
  <c r="C844" i="170"/>
  <c r="E844" i="170" s="1"/>
  <c r="I1053" i="170"/>
  <c r="K1053" i="170" s="1"/>
  <c r="C1340" i="170"/>
  <c r="E1340" i="170" s="1"/>
  <c r="C1339" i="170"/>
  <c r="E1339" i="170" s="1"/>
  <c r="I1133" i="170"/>
  <c r="K1133" i="170" s="1"/>
  <c r="I1137" i="170"/>
  <c r="K1137" i="170" s="1"/>
  <c r="I862" i="170"/>
  <c r="K862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I846" i="170"/>
  <c r="K846" i="170" s="1"/>
  <c r="C899" i="170"/>
  <c r="E899" i="170" s="1"/>
  <c r="C900" i="170"/>
  <c r="E900" i="170" s="1"/>
  <c r="I1101" i="170"/>
  <c r="K1101" i="170" s="1"/>
  <c r="C984" i="170"/>
  <c r="E984" i="170" s="1"/>
  <c r="I1271" i="170"/>
  <c r="K1271" i="170" s="1"/>
  <c r="C813" i="170"/>
  <c r="E813" i="170" s="1"/>
  <c r="I1087" i="170"/>
  <c r="K1087" i="170" s="1"/>
  <c r="C762" i="170"/>
  <c r="E762" i="170" s="1"/>
  <c r="I897" i="170"/>
  <c r="K89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1116" i="170"/>
  <c r="E1116" i="170" s="1"/>
  <c r="C849" i="170"/>
  <c r="E849" i="170" s="1"/>
  <c r="I1051" i="170"/>
  <c r="K1051" i="170" s="1"/>
  <c r="I1050" i="170"/>
  <c r="K1050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I861" i="170"/>
  <c r="K861" i="170" s="1"/>
  <c r="C1220" i="170"/>
  <c r="E1220" i="170" s="1"/>
  <c r="C1219" i="170"/>
  <c r="E1219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I1100" i="170"/>
  <c r="K1100" i="170" s="1"/>
  <c r="C812" i="170"/>
  <c r="E812" i="170" s="1"/>
  <c r="C1305" i="170"/>
  <c r="E1305" i="170" s="1"/>
  <c r="C1410" i="170"/>
  <c r="E1410" i="170" s="1"/>
  <c r="I964" i="170"/>
  <c r="K964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947" i="170"/>
  <c r="K947" i="170" s="1"/>
  <c r="I946" i="170"/>
  <c r="K946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964" i="170"/>
  <c r="E964" i="170" s="1"/>
  <c r="C1069" i="170"/>
  <c r="E1069" i="170" s="1"/>
  <c r="C1070" i="170"/>
  <c r="E1070" i="170" s="1"/>
  <c r="C1082" i="170"/>
  <c r="E1082" i="170" s="1"/>
  <c r="I1117" i="170"/>
  <c r="K1117" i="170" s="1"/>
  <c r="I1116" i="170"/>
  <c r="K1116" i="170" s="1"/>
  <c r="C983" i="170"/>
  <c r="E983" i="170" s="1"/>
  <c r="I895" i="170"/>
  <c r="K895" i="170" s="1"/>
  <c r="C862" i="170"/>
  <c r="E862" i="170" s="1"/>
  <c r="C1393" i="170"/>
  <c r="E1393" i="170" s="1"/>
  <c r="C1118" i="170"/>
  <c r="E1118" i="170" s="1"/>
  <c r="I1048" i="170"/>
  <c r="K1048" i="170" s="1"/>
  <c r="I1291" i="170"/>
  <c r="K1291" i="170" s="1"/>
  <c r="C832" i="170"/>
  <c r="E832" i="170" s="1"/>
  <c r="I1390" i="170"/>
  <c r="K1390" i="170" s="1"/>
  <c r="C896" i="170"/>
  <c r="E896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C1066" i="170"/>
  <c r="E1066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I1015" i="170"/>
  <c r="K1015" i="170" s="1"/>
  <c r="C777" i="170"/>
  <c r="E777" i="170" s="1"/>
  <c r="I1239" i="170"/>
  <c r="K1239" i="170" s="1"/>
  <c r="C1391" i="170"/>
  <c r="E1391" i="170" s="1"/>
  <c r="C846" i="170"/>
  <c r="E846" i="170" s="1"/>
  <c r="C1238" i="170"/>
  <c r="E1238" i="170" s="1"/>
  <c r="I1289" i="170"/>
  <c r="K1289" i="170" s="1"/>
  <c r="C828" i="170"/>
  <c r="E828" i="170" s="1"/>
  <c r="I864" i="170"/>
  <c r="K864" i="170" s="1"/>
  <c r="C947" i="170"/>
  <c r="E947" i="170" s="1"/>
  <c r="I951" i="170"/>
  <c r="K951" i="170" s="1"/>
  <c r="I1371" i="170"/>
  <c r="K1371" i="170" s="1"/>
  <c r="I1374" i="170"/>
  <c r="K1374" i="170" s="1"/>
  <c r="C1254" i="170"/>
  <c r="E1254" i="170" s="1"/>
  <c r="C1253" i="170"/>
  <c r="E1253" i="170" s="1"/>
  <c r="I1322" i="170"/>
  <c r="K1322" i="170" s="1"/>
  <c r="C966" i="170"/>
  <c r="E966" i="170" s="1"/>
  <c r="C965" i="170"/>
  <c r="E965" i="170" s="1"/>
  <c r="C1065" i="170"/>
  <c r="E1065" i="170" s="1"/>
  <c r="I999" i="170"/>
  <c r="K999" i="170" s="1"/>
  <c r="I998" i="170"/>
  <c r="K998" i="170" s="1"/>
  <c r="C1087" i="170"/>
  <c r="E1087" i="170" s="1"/>
  <c r="I1121" i="170"/>
  <c r="K1121" i="170" s="1"/>
  <c r="I1153" i="170"/>
  <c r="K1153" i="170" s="1"/>
  <c r="I844" i="170"/>
  <c r="K844" i="170" s="1"/>
  <c r="C968" i="170"/>
  <c r="E968" i="170" s="1"/>
  <c r="I997" i="170"/>
  <c r="K997" i="170" s="1"/>
  <c r="I1119" i="170"/>
  <c r="K1119" i="170" s="1"/>
  <c r="I1169" i="170"/>
  <c r="K1169" i="170" s="1"/>
  <c r="I1168" i="170"/>
  <c r="K1168" i="170" s="1"/>
  <c r="C1325" i="170"/>
  <c r="E1325" i="170" s="1"/>
  <c r="C1323" i="170"/>
  <c r="E1323" i="170" s="1"/>
  <c r="C1052" i="170"/>
  <c r="E1052" i="170" s="1"/>
  <c r="C1051" i="170"/>
  <c r="E1051" i="170" s="1"/>
  <c r="C1050" i="170"/>
  <c r="E1050" i="170" s="1"/>
  <c r="I916" i="170"/>
  <c r="K916" i="170" s="1"/>
  <c r="C1100" i="170"/>
  <c r="E1100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0" i="170"/>
  <c r="K760" i="170" s="1"/>
  <c r="I765" i="170"/>
  <c r="K765" i="170" s="1"/>
  <c r="C1184" i="170"/>
  <c r="E1184" i="170" s="1"/>
  <c r="C913" i="170"/>
  <c r="E913" i="170" s="1"/>
  <c r="I1187" i="170"/>
  <c r="K1187" i="170" s="1"/>
  <c r="I1186" i="170"/>
  <c r="K1186" i="170" s="1"/>
  <c r="C1376" i="170"/>
  <c r="E1376" i="170" s="1"/>
  <c r="C1375" i="170"/>
  <c r="E1375" i="170" s="1"/>
  <c r="C799" i="170"/>
  <c r="E799" i="170" s="1"/>
  <c r="I880" i="170"/>
  <c r="K880" i="170" s="1"/>
  <c r="I879" i="170"/>
  <c r="K879" i="170" s="1"/>
  <c r="C933" i="170"/>
  <c r="E933" i="170" s="1"/>
  <c r="C934" i="170"/>
  <c r="E934" i="170" s="1"/>
  <c r="I1205" i="170"/>
  <c r="K1205" i="170" s="1"/>
  <c r="I1203" i="170"/>
  <c r="K1203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1031" i="170"/>
  <c r="E1031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I1118" i="170"/>
  <c r="K1118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C1202" i="170"/>
  <c r="E1202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I813" i="170"/>
  <c r="K813" i="170" s="1"/>
  <c r="C1000" i="170"/>
  <c r="E1000" i="170" s="1"/>
  <c r="C999" i="170"/>
  <c r="E999" i="170" s="1"/>
  <c r="I1303" i="170"/>
  <c r="K1303" i="170" s="1"/>
  <c r="I1306" i="170"/>
  <c r="K1306" i="170" s="1"/>
  <c r="I1033" i="170"/>
  <c r="K1033" i="170" s="1"/>
  <c r="I1032" i="170"/>
  <c r="K1032" i="170" s="1"/>
  <c r="I763" i="170"/>
  <c r="K763" i="170" s="1"/>
  <c r="I762" i="170"/>
  <c r="K762" i="170" s="1"/>
  <c r="C1188" i="170"/>
  <c r="E1188" i="170" s="1"/>
  <c r="C1187" i="170"/>
  <c r="E1187" i="170" s="1"/>
  <c r="C1186" i="170"/>
  <c r="E1186" i="170" s="1"/>
  <c r="C912" i="170"/>
  <c r="E912" i="170" s="1"/>
  <c r="I1185" i="170"/>
  <c r="K1185" i="170" s="1"/>
  <c r="I1184" i="170"/>
  <c r="K1184" i="170" s="1"/>
  <c r="C1374" i="170"/>
  <c r="E1374" i="170" s="1"/>
  <c r="C1373" i="170"/>
  <c r="E1373" i="170" s="1"/>
  <c r="C798" i="170"/>
  <c r="E798" i="170" s="1"/>
  <c r="C795" i="170"/>
  <c r="E795" i="170" s="1"/>
  <c r="C797" i="170"/>
  <c r="E797" i="170" s="1"/>
  <c r="I878" i="170"/>
  <c r="K878" i="170" s="1"/>
  <c r="I881" i="170"/>
  <c r="K881" i="170" s="1"/>
  <c r="C930" i="170"/>
  <c r="E930" i="170" s="1"/>
  <c r="I1206" i="170"/>
  <c r="K1206" i="170" s="1"/>
  <c r="I1204" i="170"/>
  <c r="K1204" i="170" s="1"/>
  <c r="C1286" i="170"/>
  <c r="E1286" i="170" s="1"/>
  <c r="C1015" i="170"/>
  <c r="E1015" i="170" s="1"/>
  <c r="I983" i="170"/>
  <c r="K983" i="170" s="1"/>
  <c r="I982" i="170"/>
  <c r="K982" i="170" s="1"/>
  <c r="C1034" i="170"/>
  <c r="E1034" i="170" s="1"/>
  <c r="C1033" i="170"/>
  <c r="E1033" i="170" s="1"/>
  <c r="I1084" i="170"/>
  <c r="K1084" i="170" s="1"/>
  <c r="I1223" i="170"/>
  <c r="K1223" i="170" s="1"/>
  <c r="C1237" i="170"/>
  <c r="E1237" i="170" s="1"/>
  <c r="I948" i="170"/>
  <c r="K948" i="170" s="1"/>
  <c r="C1252" i="170"/>
  <c r="E1252" i="170" s="1"/>
  <c r="C967" i="170"/>
  <c r="E967" i="170" s="1"/>
  <c r="C1067" i="170"/>
  <c r="E10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C1203" i="170"/>
  <c r="E1203" i="170" s="1"/>
  <c r="I1065" i="170"/>
  <c r="K1065" i="170" s="1"/>
  <c r="I1069" i="170"/>
  <c r="K1069" i="170" s="1"/>
  <c r="C1151" i="170"/>
  <c r="E1151" i="170" s="1"/>
  <c r="C845" i="170"/>
  <c r="E845" i="170" s="1"/>
  <c r="I863" i="170"/>
  <c r="K863" i="170" s="1"/>
  <c r="I949" i="170"/>
  <c r="K949" i="170" s="1"/>
  <c r="C1068" i="170"/>
  <c r="E1068" i="170" s="1"/>
  <c r="C1083" i="170"/>
  <c r="E1083" i="170" s="1"/>
  <c r="C1272" i="170"/>
  <c r="E1272" i="170" s="1"/>
  <c r="C1271" i="170"/>
  <c r="E1271" i="170" s="1"/>
  <c r="C1320" i="170"/>
  <c r="E1320" i="170" s="1"/>
  <c r="C1049" i="170"/>
  <c r="E1049" i="170" s="1"/>
  <c r="I915" i="170"/>
  <c r="K915" i="170" s="1"/>
  <c r="I914" i="170"/>
  <c r="K914" i="170" s="1"/>
  <c r="C1102" i="170"/>
  <c r="E1102" i="170" s="1"/>
  <c r="C1101" i="170"/>
  <c r="E1101" i="170" s="1"/>
  <c r="C1201" i="170"/>
  <c r="E1201" i="170" s="1"/>
  <c r="I1067" i="170"/>
  <c r="K1067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2" i="170"/>
  <c r="K812" i="170" s="1"/>
  <c r="I811" i="170"/>
  <c r="K811" i="170" s="1"/>
  <c r="C1001" i="170"/>
  <c r="E1001" i="170" s="1"/>
  <c r="C1002" i="170"/>
  <c r="E1002" i="170" s="1"/>
  <c r="I1308" i="170"/>
  <c r="K1308" i="170" s="1"/>
  <c r="I1031" i="170"/>
  <c r="K1031" i="170" s="1"/>
  <c r="I1035" i="170"/>
  <c r="K1035" i="170" s="1"/>
  <c r="I761" i="170"/>
  <c r="K761" i="170" s="1"/>
  <c r="I764" i="170"/>
  <c r="K764" i="170" s="1"/>
  <c r="C1189" i="170"/>
  <c r="E1189" i="170" s="1"/>
  <c r="C916" i="170"/>
  <c r="E916" i="170" s="1"/>
  <c r="C915" i="170"/>
  <c r="E915" i="170" s="1"/>
  <c r="C914" i="170"/>
  <c r="E914" i="170" s="1"/>
  <c r="I1188" i="170"/>
  <c r="K1188" i="170" s="1"/>
  <c r="C1372" i="170"/>
  <c r="E1372" i="170" s="1"/>
  <c r="C1371" i="170"/>
  <c r="E1371" i="170" s="1"/>
  <c r="C796" i="170"/>
  <c r="E796" i="170" s="1"/>
  <c r="C794" i="170"/>
  <c r="E794" i="170" s="1"/>
  <c r="C929" i="170"/>
  <c r="E929" i="170" s="1"/>
  <c r="I1201" i="170"/>
  <c r="K1201" i="170" s="1"/>
  <c r="I1202" i="170"/>
  <c r="K1202" i="170" s="1"/>
  <c r="I934" i="170"/>
  <c r="K934" i="170" s="1"/>
  <c r="I932" i="170"/>
  <c r="K932" i="170" s="1"/>
  <c r="C1290" i="170"/>
  <c r="E1290" i="170" s="1"/>
  <c r="C1014" i="170"/>
  <c r="E1014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C1185" i="170"/>
  <c r="E1185" i="170" s="1"/>
  <c r="I883" i="170"/>
  <c r="K883" i="170" s="1"/>
  <c r="C1291" i="170"/>
  <c r="E1291" i="170" s="1"/>
  <c r="C1016" i="170"/>
  <c r="E1016" i="170" s="1"/>
  <c r="I1254" i="170"/>
  <c r="K1254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I931" i="170"/>
  <c r="K931" i="170" s="1"/>
  <c r="C1018" i="170"/>
  <c r="E1018" i="170" s="1"/>
  <c r="I984" i="170"/>
  <c r="K984" i="170" s="1"/>
  <c r="I1359" i="170"/>
  <c r="K1359" i="170" s="1"/>
  <c r="C998" i="170"/>
  <c r="E998" i="170" s="1"/>
  <c r="C917" i="170"/>
  <c r="E917" i="170" s="1"/>
  <c r="I882" i="170"/>
  <c r="K882" i="170" s="1"/>
  <c r="C931" i="170"/>
  <c r="E931" i="170" s="1"/>
  <c r="I930" i="170"/>
  <c r="K930" i="170" s="1"/>
  <c r="C1017" i="170"/>
  <c r="E1017" i="170" s="1"/>
  <c r="C1032" i="170"/>
  <c r="E1032" i="170" s="1"/>
  <c r="I748" i="170"/>
  <c r="K748" i="170" s="1"/>
  <c r="I746" i="170"/>
  <c r="K746" i="170" s="1"/>
  <c r="I743" i="170"/>
  <c r="K743" i="170" s="1"/>
  <c r="I745" i="170"/>
  <c r="K745" i="170" s="1"/>
  <c r="I744" i="170"/>
  <c r="K744" i="170" s="1"/>
  <c r="I747" i="170"/>
  <c r="K747" i="170" s="1"/>
  <c r="F381" i="132"/>
  <c r="AC184" i="9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F182" i="132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M183" i="132"/>
  <c r="F183" i="132"/>
  <c r="F181" i="132"/>
  <c r="F180" i="132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U34" i="102"/>
  <c r="U46" i="102"/>
  <c r="U20" i="102"/>
  <c r="U30" i="102"/>
  <c r="U44" i="102"/>
  <c r="U62" i="102"/>
  <c r="U68" i="101"/>
  <c r="U74" i="102"/>
  <c r="U84" i="100"/>
  <c r="U88" i="100"/>
  <c r="U64" i="100"/>
  <c r="U36" i="100"/>
  <c r="U26" i="100"/>
  <c r="U74" i="100"/>
  <c r="U86" i="100"/>
  <c r="G183" i="132"/>
  <c r="G182" i="132"/>
  <c r="U18" i="100"/>
  <c r="U34" i="100"/>
  <c r="U68" i="100"/>
  <c r="U80" i="100"/>
  <c r="U19" i="100"/>
  <c r="U96" i="100"/>
  <c r="U31" i="100"/>
  <c r="U85" i="100"/>
  <c r="U25" i="100"/>
  <c r="U53" i="100"/>
  <c r="U61" i="100"/>
  <c r="U87" i="100"/>
  <c r="U63" i="100"/>
  <c r="U93" i="100"/>
  <c r="U55" i="100"/>
  <c r="U39" i="100"/>
  <c r="U67" i="100"/>
  <c r="U27" i="100"/>
  <c r="U51" i="100"/>
  <c r="U21" i="100"/>
  <c r="U37" i="100"/>
  <c r="U89" i="100"/>
  <c r="U57" i="100"/>
  <c r="U71" i="100"/>
  <c r="U95" i="100"/>
  <c r="U97" i="100"/>
  <c r="U32" i="100"/>
  <c r="U52" i="100"/>
  <c r="U50" i="100"/>
  <c r="U92" i="100"/>
  <c r="U78" i="100"/>
  <c r="U22" i="100"/>
  <c r="U76" i="100"/>
  <c r="U24" i="100"/>
  <c r="U44" i="100"/>
  <c r="U28" i="100"/>
  <c r="U60" i="100"/>
  <c r="U104" i="100"/>
  <c r="U100" i="100"/>
  <c r="U75" i="100"/>
  <c r="U45" i="100"/>
  <c r="U77" i="100"/>
  <c r="U33" i="100"/>
  <c r="U49" i="100"/>
  <c r="U23" i="100"/>
  <c r="U43" i="100"/>
  <c r="U69" i="100"/>
  <c r="U81" i="100"/>
  <c r="U79" i="100"/>
  <c r="U91" i="100"/>
  <c r="U47" i="100"/>
  <c r="U83" i="100"/>
  <c r="U29" i="100"/>
  <c r="U41" i="100"/>
  <c r="U59" i="100"/>
  <c r="U35" i="100"/>
  <c r="U65" i="100"/>
  <c r="U73" i="100"/>
  <c r="U99" i="100"/>
  <c r="U48" i="100"/>
  <c r="U46" i="100"/>
  <c r="U42" i="100"/>
  <c r="U90" i="100"/>
  <c r="U66" i="100"/>
  <c r="U54" i="100"/>
  <c r="U56" i="100"/>
  <c r="U40" i="100"/>
  <c r="U30" i="100"/>
  <c r="U62" i="100"/>
  <c r="U20" i="100"/>
  <c r="U72" i="100"/>
  <c r="U38" i="100"/>
  <c r="U70" i="100"/>
  <c r="U82" i="100"/>
  <c r="U58" i="100"/>
  <c r="U94" i="100"/>
  <c r="U98" i="100"/>
  <c r="U52" i="102"/>
  <c r="U55" i="102"/>
  <c r="U51" i="102"/>
  <c r="U21" i="102"/>
  <c r="U61" i="102"/>
  <c r="U31" i="102"/>
  <c r="U59" i="102"/>
  <c r="U19" i="102"/>
  <c r="U23" i="102"/>
  <c r="U39" i="102"/>
  <c r="U57" i="102"/>
  <c r="U45" i="102"/>
  <c r="U49" i="102"/>
  <c r="U77" i="102"/>
  <c r="U83" i="102"/>
  <c r="U60" i="102"/>
  <c r="U56" i="102"/>
  <c r="U24" i="102"/>
  <c r="U38" i="102"/>
  <c r="U36" i="102"/>
  <c r="U54" i="102"/>
  <c r="U58" i="102"/>
  <c r="U72" i="102"/>
  <c r="U50" i="102"/>
  <c r="U26" i="102"/>
  <c r="U48" i="102"/>
  <c r="U78" i="102"/>
  <c r="U43" i="102"/>
  <c r="U47" i="102"/>
  <c r="U71" i="102"/>
  <c r="U35" i="102"/>
  <c r="U65" i="102"/>
  <c r="U67" i="102"/>
  <c r="U27" i="102"/>
  <c r="U53" i="102"/>
  <c r="U41" i="102"/>
  <c r="U29" i="102"/>
  <c r="U33" i="102"/>
  <c r="U79" i="102"/>
  <c r="U75" i="102"/>
  <c r="U81" i="102"/>
  <c r="U16" i="102"/>
  <c r="U18" i="102"/>
  <c r="U28" i="102"/>
  <c r="U40" i="102"/>
  <c r="U42" i="102"/>
  <c r="U68" i="102"/>
  <c r="U22" i="102"/>
  <c r="U73" i="102"/>
  <c r="U69" i="102"/>
  <c r="U37" i="102"/>
  <c r="U63" i="102"/>
  <c r="U25" i="102"/>
  <c r="U17" i="102"/>
  <c r="U66" i="102"/>
  <c r="U70" i="102"/>
  <c r="U64" i="102"/>
  <c r="U32" i="102"/>
  <c r="U76" i="102"/>
  <c r="U80" i="102"/>
  <c r="U84" i="102"/>
  <c r="U47" i="101"/>
  <c r="U63" i="101"/>
  <c r="U71" i="101"/>
  <c r="U57" i="101"/>
  <c r="U23" i="101"/>
  <c r="U77" i="101"/>
  <c r="U35" i="101"/>
  <c r="U65" i="101"/>
  <c r="U19" i="101"/>
  <c r="U41" i="101"/>
  <c r="U43" i="101"/>
  <c r="U25" i="101"/>
  <c r="U53" i="101"/>
  <c r="U27" i="101"/>
  <c r="U45" i="101"/>
  <c r="U69" i="101"/>
  <c r="U28" i="101"/>
  <c r="U78" i="101"/>
  <c r="U58" i="101"/>
  <c r="U74" i="101"/>
  <c r="U56" i="101"/>
  <c r="U76" i="101"/>
  <c r="U40" i="101"/>
  <c r="U62" i="101"/>
  <c r="U20" i="101"/>
  <c r="U34" i="101"/>
  <c r="U36" i="101"/>
  <c r="U22" i="101"/>
  <c r="U48" i="101"/>
  <c r="U52" i="101"/>
  <c r="U26" i="101"/>
  <c r="U60" i="101"/>
  <c r="U18" i="101"/>
  <c r="U73" i="101"/>
  <c r="U33" i="101"/>
  <c r="U61" i="101"/>
  <c r="U51" i="101"/>
  <c r="U55" i="101"/>
  <c r="U21" i="101"/>
  <c r="U49" i="101"/>
  <c r="U59" i="101"/>
  <c r="U31" i="101"/>
  <c r="U75" i="101"/>
  <c r="U37" i="101"/>
  <c r="U39" i="101"/>
  <c r="U67" i="101"/>
  <c r="U29" i="101"/>
  <c r="U80" i="101"/>
  <c r="U32" i="101"/>
  <c r="U54" i="101"/>
  <c r="U72" i="101"/>
  <c r="U44" i="101"/>
  <c r="U66" i="101"/>
  <c r="U50" i="101"/>
  <c r="U30" i="101"/>
  <c r="U70" i="101"/>
  <c r="U24" i="101"/>
  <c r="U42" i="101"/>
  <c r="U64" i="101"/>
  <c r="U38" i="101"/>
  <c r="U46" i="101"/>
  <c r="C2319" i="170"/>
  <c r="E2319" i="170" s="1"/>
  <c r="I2095" i="170"/>
  <c r="K2095" i="170" s="1"/>
  <c r="I1603" i="170"/>
  <c r="K1603" i="170" s="1"/>
  <c r="C2011" i="170"/>
  <c r="E2011" i="170" s="1"/>
  <c r="C1586" i="170"/>
  <c r="E1586" i="170" s="1"/>
  <c r="I1756" i="170"/>
  <c r="K1756" i="170" s="1"/>
  <c r="I1637" i="170"/>
  <c r="K1637" i="170" s="1"/>
  <c r="C1926" i="170"/>
  <c r="E1926" i="170" s="1"/>
  <c r="C1892" i="170"/>
  <c r="E1892" i="170" s="1"/>
  <c r="I1705" i="170"/>
  <c r="K1705" i="170" s="1"/>
  <c r="I868" i="170"/>
  <c r="K868" i="170" s="1"/>
  <c r="C885" i="170"/>
  <c r="E885" i="170" s="1"/>
  <c r="I936" i="170"/>
  <c r="K936" i="170" s="1"/>
  <c r="C1191" i="170"/>
  <c r="E1191" i="170" s="1"/>
  <c r="I1089" i="170"/>
  <c r="K1089" i="170" s="1"/>
  <c r="C767" i="170"/>
  <c r="E767" i="170" s="1"/>
  <c r="C970" i="170"/>
  <c r="E970" i="170" s="1"/>
  <c r="I1276" i="170"/>
  <c r="K1276" i="170" s="1"/>
  <c r="I2560" i="170"/>
  <c r="K2560" i="170" s="1"/>
  <c r="C2191" i="170"/>
  <c r="E2191" i="170" s="1"/>
  <c r="C2415" i="170"/>
  <c r="E2415" i="170" s="1"/>
  <c r="I2191" i="170"/>
  <c r="K2191" i="170" s="1"/>
  <c r="C2255" i="170"/>
  <c r="E2255" i="170" s="1"/>
  <c r="I2367" i="170"/>
  <c r="K2367" i="170" s="1"/>
  <c r="C2239" i="170"/>
  <c r="E2239" i="170" s="1"/>
  <c r="I1977" i="170"/>
  <c r="K1977" i="170" s="1"/>
  <c r="I1535" i="170"/>
  <c r="K1535" i="170" s="1"/>
  <c r="C1293" i="170"/>
  <c r="E1293" i="170" s="1"/>
  <c r="C1378" i="170"/>
  <c r="E1378" i="170" s="1"/>
  <c r="C801" i="170"/>
  <c r="E801" i="170" s="1"/>
  <c r="C1004" i="170"/>
  <c r="E1004" i="170" s="1"/>
  <c r="I2527" i="170"/>
  <c r="K2527" i="170" s="1"/>
  <c r="I1429" i="170"/>
  <c r="K1429" i="170" s="1"/>
  <c r="T100" i="100"/>
  <c r="C2511" i="170"/>
  <c r="E2511" i="170" s="1"/>
  <c r="C2271" i="170"/>
  <c r="E2271" i="170" s="1"/>
  <c r="I2287" i="170"/>
  <c r="K2287" i="170" s="1"/>
  <c r="I2511" i="170"/>
  <c r="K2511" i="170" s="1"/>
  <c r="I2111" i="170"/>
  <c r="K2111" i="170" s="1"/>
  <c r="I2399" i="170"/>
  <c r="K2399" i="170" s="1"/>
  <c r="C1688" i="170"/>
  <c r="E1688" i="170" s="1"/>
  <c r="I1790" i="170"/>
  <c r="K1790" i="170" s="1"/>
  <c r="I1518" i="170"/>
  <c r="K1518" i="170" s="1"/>
  <c r="I1943" i="170"/>
  <c r="K1943" i="170" s="1"/>
  <c r="I1586" i="170"/>
  <c r="K1586" i="170" s="1"/>
  <c r="C1841" i="170"/>
  <c r="E1841" i="170" s="1"/>
  <c r="C1569" i="170"/>
  <c r="E1569" i="170" s="1"/>
  <c r="I1259" i="170"/>
  <c r="K1259" i="170" s="1"/>
  <c r="C953" i="170"/>
  <c r="E953" i="170" s="1"/>
  <c r="I987" i="170"/>
  <c r="K987" i="170" s="1"/>
  <c r="I1004" i="170"/>
  <c r="K1004" i="170" s="1"/>
  <c r="I1327" i="170"/>
  <c r="K1327" i="170" s="1"/>
  <c r="I1038" i="170"/>
  <c r="K1038" i="170" s="1"/>
  <c r="I1395" i="170"/>
  <c r="K1395" i="170" s="1"/>
  <c r="C868" i="170"/>
  <c r="E868" i="170" s="1"/>
  <c r="C1361" i="170"/>
  <c r="E1361" i="170" s="1"/>
  <c r="I2543" i="170"/>
  <c r="K2543" i="170" s="1"/>
  <c r="C1446" i="170"/>
  <c r="E1446" i="170" s="1"/>
  <c r="G320" i="132"/>
  <c r="I2603" i="170"/>
  <c r="K2603" i="170" s="1"/>
  <c r="I2447" i="170"/>
  <c r="K2447" i="170" s="1"/>
  <c r="C2383" i="170"/>
  <c r="E2383" i="170" s="1"/>
  <c r="I2351" i="170"/>
  <c r="K2351" i="170" s="1"/>
  <c r="I2239" i="170"/>
  <c r="K2239" i="170" s="1"/>
  <c r="I2255" i="170"/>
  <c r="K2255" i="170" s="1"/>
  <c r="C2079" i="170"/>
  <c r="E2079" i="170" s="1"/>
  <c r="C2351" i="170"/>
  <c r="E2351" i="170" s="1"/>
  <c r="I2011" i="170"/>
  <c r="K2011" i="170" s="1"/>
  <c r="I1875" i="170"/>
  <c r="K1875" i="170" s="1"/>
  <c r="C1773" i="170"/>
  <c r="E1773" i="170" s="1"/>
  <c r="I1739" i="170"/>
  <c r="K1739" i="170" s="1"/>
  <c r="C1535" i="170"/>
  <c r="E1535" i="170" s="1"/>
  <c r="C1994" i="170"/>
  <c r="E1994" i="170" s="1"/>
  <c r="C1518" i="170"/>
  <c r="E1518" i="170" s="1"/>
  <c r="I1773" i="170"/>
  <c r="K1773" i="170" s="1"/>
  <c r="C1637" i="170"/>
  <c r="E1637" i="170" s="1"/>
  <c r="C1739" i="170"/>
  <c r="E1739" i="170" s="1"/>
  <c r="C1620" i="170"/>
  <c r="E1620" i="170" s="1"/>
  <c r="I1807" i="170"/>
  <c r="K1807" i="170" s="1"/>
  <c r="I1191" i="170"/>
  <c r="K1191" i="170" s="1"/>
  <c r="I1055" i="170"/>
  <c r="K1055" i="170" s="1"/>
  <c r="I1072" i="170"/>
  <c r="K1072" i="170" s="1"/>
  <c r="I953" i="170"/>
  <c r="K953" i="170" s="1"/>
  <c r="I1157" i="170"/>
  <c r="K1157" i="170" s="1"/>
  <c r="C1327" i="170"/>
  <c r="E1327" i="170" s="1"/>
  <c r="C1242" i="170"/>
  <c r="E1242" i="170" s="1"/>
  <c r="I885" i="170"/>
  <c r="K885" i="170" s="1"/>
  <c r="I1208" i="170"/>
  <c r="K1208" i="170" s="1"/>
  <c r="I851" i="170"/>
  <c r="K851" i="170" s="1"/>
  <c r="C1157" i="170"/>
  <c r="E1157" i="170" s="1"/>
  <c r="C1412" i="170"/>
  <c r="E1412" i="170" s="1"/>
  <c r="I2079" i="170"/>
  <c r="K2079" i="170" s="1"/>
  <c r="I2143" i="170"/>
  <c r="K2143" i="170" s="1"/>
  <c r="I2431" i="170"/>
  <c r="K2431" i="170" s="1"/>
  <c r="I2463" i="170"/>
  <c r="K2463" i="170" s="1"/>
  <c r="C2447" i="170"/>
  <c r="E2447" i="170" s="1"/>
  <c r="C2399" i="170"/>
  <c r="E2399" i="170" s="1"/>
  <c r="C2143" i="170"/>
  <c r="E2143" i="170" s="1"/>
  <c r="I2415" i="170"/>
  <c r="K2415" i="170" s="1"/>
  <c r="I2159" i="170"/>
  <c r="K2159" i="170" s="1"/>
  <c r="C2367" i="170"/>
  <c r="E2367" i="170" s="1"/>
  <c r="I2223" i="170"/>
  <c r="K2223" i="170" s="1"/>
  <c r="C2479" i="170"/>
  <c r="E2479" i="170" s="1"/>
  <c r="I2127" i="170"/>
  <c r="K2127" i="170" s="1"/>
  <c r="I2207" i="170"/>
  <c r="K2207" i="170" s="1"/>
  <c r="I2175" i="170"/>
  <c r="K2175" i="170" s="1"/>
  <c r="C2335" i="170"/>
  <c r="E2335" i="170" s="1"/>
  <c r="I2335" i="170"/>
  <c r="K2335" i="170" s="1"/>
  <c r="I1569" i="170"/>
  <c r="K1569" i="170" s="1"/>
  <c r="I1892" i="170"/>
  <c r="K1892" i="170" s="1"/>
  <c r="I1620" i="170"/>
  <c r="K1620" i="170" s="1"/>
  <c r="I1654" i="170"/>
  <c r="K1654" i="170" s="1"/>
  <c r="I1671" i="170"/>
  <c r="K1671" i="170" s="1"/>
  <c r="C1960" i="170"/>
  <c r="E1960" i="170" s="1"/>
  <c r="I1552" i="170"/>
  <c r="K1552" i="170" s="1"/>
  <c r="C1705" i="170"/>
  <c r="E1705" i="170" s="1"/>
  <c r="I1688" i="170"/>
  <c r="K1688" i="170" s="1"/>
  <c r="C1671" i="170"/>
  <c r="E1671" i="170" s="1"/>
  <c r="C1909" i="170"/>
  <c r="E1909" i="170" s="1"/>
  <c r="C851" i="170"/>
  <c r="E851" i="170" s="1"/>
  <c r="C1140" i="170"/>
  <c r="E1140" i="170" s="1"/>
  <c r="C1344" i="170"/>
  <c r="E1344" i="170" s="1"/>
  <c r="C1123" i="170"/>
  <c r="E1123" i="170" s="1"/>
  <c r="I801" i="170"/>
  <c r="K801" i="170" s="1"/>
  <c r="C1089" i="170"/>
  <c r="E1089" i="170" s="1"/>
  <c r="C1276" i="170"/>
  <c r="E1276" i="170" s="1"/>
  <c r="I1140" i="170"/>
  <c r="K1140" i="170" s="1"/>
  <c r="I1021" i="170"/>
  <c r="K1021" i="170" s="1"/>
  <c r="C1038" i="170"/>
  <c r="E1038" i="170" s="1"/>
  <c r="I1242" i="170"/>
  <c r="K1242" i="170" s="1"/>
  <c r="C1395" i="170"/>
  <c r="E1395" i="170" s="1"/>
  <c r="I902" i="170"/>
  <c r="K902" i="170" s="1"/>
  <c r="C1259" i="170"/>
  <c r="E1259" i="170" s="1"/>
  <c r="I1174" i="170"/>
  <c r="K1174" i="170" s="1"/>
  <c r="I1106" i="170"/>
  <c r="K1106" i="170" s="1"/>
  <c r="I2576" i="170"/>
  <c r="K2576" i="170" s="1"/>
  <c r="C1429" i="170"/>
  <c r="E1429" i="170" s="1"/>
  <c r="T81" i="102"/>
  <c r="W81" i="102" s="1"/>
  <c r="I2271" i="170"/>
  <c r="K2271" i="170" s="1"/>
  <c r="C2527" i="170"/>
  <c r="E2527" i="170" s="1"/>
  <c r="I2495" i="170"/>
  <c r="K2495" i="170" s="1"/>
  <c r="C2159" i="170"/>
  <c r="E2159" i="170" s="1"/>
  <c r="C2463" i="170"/>
  <c r="E2463" i="170" s="1"/>
  <c r="C1722" i="170"/>
  <c r="E1722" i="170" s="1"/>
  <c r="C1756" i="170"/>
  <c r="E1756" i="170" s="1"/>
  <c r="C1021" i="170"/>
  <c r="E1021" i="170" s="1"/>
  <c r="C834" i="170"/>
  <c r="E834" i="170" s="1"/>
  <c r="I970" i="170"/>
  <c r="K970" i="170" s="1"/>
  <c r="I1361" i="170"/>
  <c r="K1361" i="170" s="1"/>
  <c r="C987" i="170"/>
  <c r="E987" i="170" s="1"/>
  <c r="I2063" i="170"/>
  <c r="K2063" i="170" s="1"/>
  <c r="I2319" i="170"/>
  <c r="K2319" i="170" s="1"/>
  <c r="C2495" i="170"/>
  <c r="E2495" i="170" s="1"/>
  <c r="I2479" i="170"/>
  <c r="K2479" i="170" s="1"/>
  <c r="C2095" i="170"/>
  <c r="E2095" i="170" s="1"/>
  <c r="I2383" i="170"/>
  <c r="K2383" i="170" s="1"/>
  <c r="C2287" i="170"/>
  <c r="E2287" i="170" s="1"/>
  <c r="C2207" i="170"/>
  <c r="E2207" i="170" s="1"/>
  <c r="C2223" i="170"/>
  <c r="E2223" i="170" s="1"/>
  <c r="C2303" i="170"/>
  <c r="E2303" i="170" s="1"/>
  <c r="I2303" i="170"/>
  <c r="K2303" i="170" s="1"/>
  <c r="C2127" i="170"/>
  <c r="E2127" i="170" s="1"/>
  <c r="C1654" i="170"/>
  <c r="E1654" i="170" s="1"/>
  <c r="C1977" i="170"/>
  <c r="E1977" i="170" s="1"/>
  <c r="C1807" i="170"/>
  <c r="E1807" i="170" s="1"/>
  <c r="I1994" i="170"/>
  <c r="K1994" i="170" s="1"/>
  <c r="C1858" i="170"/>
  <c r="E1858" i="170" s="1"/>
  <c r="C1824" i="170"/>
  <c r="E1824" i="170" s="1"/>
  <c r="I1824" i="170"/>
  <c r="K1824" i="170" s="1"/>
  <c r="I1722" i="170"/>
  <c r="K1722" i="170" s="1"/>
  <c r="C1875" i="170"/>
  <c r="E1875" i="170" s="1"/>
  <c r="I1960" i="170"/>
  <c r="K1960" i="170" s="1"/>
  <c r="C1943" i="170"/>
  <c r="E1943" i="170" s="1"/>
  <c r="I750" i="170"/>
  <c r="K750" i="170" s="1"/>
  <c r="I784" i="170"/>
  <c r="K784" i="170" s="1"/>
  <c r="C1310" i="170"/>
  <c r="E1310" i="170" s="1"/>
  <c r="C1225" i="170"/>
  <c r="E1225" i="170" s="1"/>
  <c r="I1293" i="170"/>
  <c r="K1293" i="170" s="1"/>
  <c r="C818" i="170"/>
  <c r="E818" i="170" s="1"/>
  <c r="I834" i="170"/>
  <c r="K834" i="170" s="1"/>
  <c r="C919" i="170"/>
  <c r="E919" i="170" s="1"/>
  <c r="I818" i="170"/>
  <c r="K818" i="170" s="1"/>
  <c r="I1225" i="170"/>
  <c r="K1225" i="170" s="1"/>
  <c r="I919" i="170"/>
  <c r="K919" i="170" s="1"/>
  <c r="I1123" i="170"/>
  <c r="K1123" i="170" s="1"/>
  <c r="C1055" i="170"/>
  <c r="E1055" i="170" s="1"/>
  <c r="C1208" i="170"/>
  <c r="E1208" i="170" s="1"/>
  <c r="C1072" i="170"/>
  <c r="E1072" i="170" s="1"/>
  <c r="I767" i="170"/>
  <c r="K767" i="170" s="1"/>
  <c r="C902" i="170"/>
  <c r="E902" i="170" s="1"/>
  <c r="I1378" i="170"/>
  <c r="K1378" i="170" s="1"/>
  <c r="C1106" i="170"/>
  <c r="E1106" i="170" s="1"/>
  <c r="I1310" i="170"/>
  <c r="K1310" i="170" s="1"/>
  <c r="C936" i="170"/>
  <c r="E936" i="170" s="1"/>
  <c r="I1412" i="170"/>
  <c r="K1412" i="170" s="1"/>
  <c r="C2576" i="170"/>
  <c r="E2576" i="170" s="1"/>
  <c r="C2543" i="170"/>
  <c r="E2543" i="170" s="1"/>
  <c r="C1464" i="170"/>
  <c r="E1464" i="170" s="1"/>
  <c r="O17" i="101"/>
  <c r="T54" i="100"/>
  <c r="T47" i="100"/>
  <c r="T83" i="100"/>
  <c r="T56" i="100"/>
  <c r="T40" i="100"/>
  <c r="T30" i="100"/>
  <c r="T62" i="100"/>
  <c r="T29" i="100"/>
  <c r="T72" i="100"/>
  <c r="T38" i="100"/>
  <c r="T65" i="100"/>
  <c r="T93" i="100"/>
  <c r="T92" i="100"/>
  <c r="T80" i="101"/>
  <c r="T84" i="102"/>
  <c r="W84" i="102" s="1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T83" i="102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I15" i="102"/>
  <c r="O15" i="102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T80" i="102"/>
  <c r="T50" i="101"/>
  <c r="T75" i="101"/>
  <c r="T70" i="101"/>
  <c r="T24" i="101"/>
  <c r="T37" i="101"/>
  <c r="T42" i="101"/>
  <c r="T38" i="101"/>
  <c r="T46" i="101"/>
  <c r="T39" i="101"/>
  <c r="W39" i="101" s="1"/>
  <c r="T63" i="101"/>
  <c r="T28" i="101"/>
  <c r="T57" i="101"/>
  <c r="W57" i="101" s="1"/>
  <c r="T35" i="101"/>
  <c r="T68" i="101"/>
  <c r="T19" i="101"/>
  <c r="T76" i="101"/>
  <c r="T40" i="101"/>
  <c r="T62" i="101"/>
  <c r="T20" i="101"/>
  <c r="T41" i="101"/>
  <c r="T43" i="101"/>
  <c r="T34" i="101"/>
  <c r="T25" i="101"/>
  <c r="T36" i="101"/>
  <c r="T53" i="101"/>
  <c r="W53" i="101" s="1"/>
  <c r="T22" i="101"/>
  <c r="T48" i="101"/>
  <c r="T27" i="101"/>
  <c r="T52" i="101"/>
  <c r="T45" i="101"/>
  <c r="T69" i="101"/>
  <c r="T26" i="101"/>
  <c r="T60" i="101"/>
  <c r="T78" i="100"/>
  <c r="T55" i="100"/>
  <c r="T22" i="100"/>
  <c r="T39" i="100"/>
  <c r="T67" i="100"/>
  <c r="T66" i="101"/>
  <c r="T30" i="101"/>
  <c r="T64" i="101"/>
  <c r="T67" i="101"/>
  <c r="T29" i="101"/>
  <c r="W29" i="101" s="1"/>
  <c r="T71" i="101"/>
  <c r="T78" i="101"/>
  <c r="T23" i="101"/>
  <c r="T77" i="101"/>
  <c r="T58" i="101"/>
  <c r="T65" i="101"/>
  <c r="T74" i="101"/>
  <c r="T56" i="101"/>
  <c r="T18" i="101"/>
  <c r="T47" i="101"/>
  <c r="W47" i="101" s="1"/>
  <c r="T32" i="101"/>
  <c r="T73" i="101"/>
  <c r="T33" i="101"/>
  <c r="T61" i="101"/>
  <c r="T51" i="101"/>
  <c r="T55" i="101"/>
  <c r="T21" i="101"/>
  <c r="T49" i="101"/>
  <c r="T54" i="101"/>
  <c r="T72" i="101"/>
  <c r="W72" i="101" s="1"/>
  <c r="T59" i="101"/>
  <c r="T31" i="101"/>
  <c r="T44" i="101"/>
  <c r="T20" i="100"/>
  <c r="T41" i="100"/>
  <c r="T59" i="100"/>
  <c r="T35" i="100"/>
  <c r="T70" i="100"/>
  <c r="W70" i="100" s="1"/>
  <c r="T73" i="100"/>
  <c r="T82" i="100"/>
  <c r="T58" i="100"/>
  <c r="T18" i="100"/>
  <c r="W18" i="100" s="1"/>
  <c r="T31" i="100"/>
  <c r="T84" i="100"/>
  <c r="T88" i="100"/>
  <c r="T85" i="100"/>
  <c r="T64" i="100"/>
  <c r="T36" i="100"/>
  <c r="T26" i="100"/>
  <c r="T32" i="100"/>
  <c r="T25" i="100"/>
  <c r="T52" i="100"/>
  <c r="T53" i="100"/>
  <c r="T61" i="100"/>
  <c r="T50" i="100"/>
  <c r="T74" i="100"/>
  <c r="T86" i="100"/>
  <c r="T87" i="100"/>
  <c r="T63" i="100"/>
  <c r="T95" i="100"/>
  <c r="T97" i="100"/>
  <c r="T76" i="100"/>
  <c r="W76" i="100" s="1"/>
  <c r="T27" i="100"/>
  <c r="T51" i="100"/>
  <c r="T24" i="100"/>
  <c r="T21" i="100"/>
  <c r="T44" i="100"/>
  <c r="T37" i="100"/>
  <c r="T28" i="100"/>
  <c r="T60" i="100"/>
  <c r="W60" i="100" s="1"/>
  <c r="T89" i="100"/>
  <c r="T57" i="100"/>
  <c r="T71" i="100"/>
  <c r="T91" i="100"/>
  <c r="T96" i="100"/>
  <c r="T34" i="100"/>
  <c r="T48" i="100"/>
  <c r="T68" i="100"/>
  <c r="T75" i="100"/>
  <c r="T45" i="100"/>
  <c r="T33" i="100"/>
  <c r="T49" i="100"/>
  <c r="T23" i="100"/>
  <c r="T77" i="100"/>
  <c r="T19" i="100"/>
  <c r="T80" i="100"/>
  <c r="T46" i="100"/>
  <c r="T43" i="100"/>
  <c r="T42" i="100"/>
  <c r="T69" i="100"/>
  <c r="T81" i="100"/>
  <c r="T79" i="100"/>
  <c r="T90" i="100"/>
  <c r="T66" i="100"/>
  <c r="T94" i="100"/>
  <c r="T98" i="100"/>
  <c r="T99" i="100"/>
  <c r="G47" i="132"/>
  <c r="I47" i="132" s="1"/>
  <c r="G32" i="132"/>
  <c r="I32" i="132" s="1"/>
  <c r="G56" i="132"/>
  <c r="I56" i="132" s="1"/>
  <c r="G17" i="132"/>
  <c r="I17" i="132" s="1"/>
  <c r="G25" i="132"/>
  <c r="I25" i="132" s="1"/>
  <c r="G33" i="132"/>
  <c r="I33" i="132" s="1"/>
  <c r="G41" i="132"/>
  <c r="I41" i="132" s="1"/>
  <c r="G45" i="132"/>
  <c r="I45" i="132" s="1"/>
  <c r="G65" i="132"/>
  <c r="I65" i="132" s="1"/>
  <c r="G18" i="132"/>
  <c r="I18" i="132" s="1"/>
  <c r="G26" i="132"/>
  <c r="I26" i="132" s="1"/>
  <c r="G74" i="132"/>
  <c r="I74" i="132" s="1"/>
  <c r="G78" i="132"/>
  <c r="I78" i="132" s="1"/>
  <c r="G82" i="132"/>
  <c r="I82" i="132" s="1"/>
  <c r="L601" i="170"/>
  <c r="G49" i="132"/>
  <c r="I49" i="132" s="1"/>
  <c r="G69" i="132"/>
  <c r="I69" i="132" s="1"/>
  <c r="G73" i="132"/>
  <c r="I73" i="132" s="1"/>
  <c r="G77" i="132"/>
  <c r="I77" i="132" s="1"/>
  <c r="G30" i="132"/>
  <c r="I30" i="132" s="1"/>
  <c r="G34" i="132"/>
  <c r="I34" i="132" s="1"/>
  <c r="G42" i="132"/>
  <c r="I42" i="132" s="1"/>
  <c r="G50" i="132"/>
  <c r="I50" i="132" s="1"/>
  <c r="G54" i="132"/>
  <c r="I54" i="132" s="1"/>
  <c r="G62" i="132"/>
  <c r="I62" i="132" s="1"/>
  <c r="G66" i="132"/>
  <c r="I66" i="132" s="1"/>
  <c r="G70" i="132"/>
  <c r="I70" i="132" s="1"/>
  <c r="G27" i="132"/>
  <c r="I27" i="132" s="1"/>
  <c r="G43" i="132"/>
  <c r="I43" i="132" s="1"/>
  <c r="G51" i="132"/>
  <c r="I51" i="132" s="1"/>
  <c r="G20" i="132"/>
  <c r="I20" i="132" s="1"/>
  <c r="G28" i="132"/>
  <c r="I28" i="132" s="1"/>
  <c r="G40" i="132"/>
  <c r="I40" i="132" s="1"/>
  <c r="G21" i="132"/>
  <c r="I21" i="132" s="1"/>
  <c r="G29" i="132"/>
  <c r="I29" i="132" s="1"/>
  <c r="G37" i="132"/>
  <c r="I37" i="132" s="1"/>
  <c r="G57" i="132"/>
  <c r="I57" i="132" s="1"/>
  <c r="G61" i="132"/>
  <c r="I61" i="132" s="1"/>
  <c r="G81" i="132"/>
  <c r="I81" i="132" s="1"/>
  <c r="G22" i="132"/>
  <c r="I22" i="132" s="1"/>
  <c r="G38" i="132"/>
  <c r="I38" i="132" s="1"/>
  <c r="G46" i="132"/>
  <c r="I46" i="132" s="1"/>
  <c r="G58" i="132"/>
  <c r="I58" i="132" s="1"/>
  <c r="G53" i="132"/>
  <c r="I53" i="132" s="1"/>
  <c r="G19" i="132"/>
  <c r="I19" i="132" s="1"/>
  <c r="G23" i="132"/>
  <c r="I23" i="132" s="1"/>
  <c r="G31" i="132"/>
  <c r="I31" i="132" s="1"/>
  <c r="G35" i="132"/>
  <c r="I35" i="132" s="1"/>
  <c r="G39" i="132"/>
  <c r="I39" i="132" s="1"/>
  <c r="G55" i="132"/>
  <c r="I55" i="132" s="1"/>
  <c r="G59" i="132"/>
  <c r="I59" i="132" s="1"/>
  <c r="G63" i="132"/>
  <c r="I63" i="132" s="1"/>
  <c r="G67" i="132"/>
  <c r="I67" i="132" s="1"/>
  <c r="G71" i="132"/>
  <c r="I71" i="132" s="1"/>
  <c r="G75" i="132"/>
  <c r="I75" i="132" s="1"/>
  <c r="G79" i="132"/>
  <c r="I79" i="132" s="1"/>
  <c r="G16" i="132"/>
  <c r="I16" i="132" s="1"/>
  <c r="G24" i="132"/>
  <c r="I24" i="132" s="1"/>
  <c r="G36" i="132"/>
  <c r="I36" i="132" s="1"/>
  <c r="G44" i="132"/>
  <c r="I44" i="132" s="1"/>
  <c r="G48" i="132"/>
  <c r="I48" i="132" s="1"/>
  <c r="G52" i="132"/>
  <c r="I52" i="132" s="1"/>
  <c r="G60" i="132"/>
  <c r="I60" i="132" s="1"/>
  <c r="G64" i="132"/>
  <c r="I64" i="132" s="1"/>
  <c r="G68" i="132"/>
  <c r="I68" i="132" s="1"/>
  <c r="G72" i="132"/>
  <c r="I72" i="132" s="1"/>
  <c r="G76" i="132"/>
  <c r="I76" i="132" s="1"/>
  <c r="G80" i="132"/>
  <c r="I80" i="132" s="1"/>
  <c r="T70" i="102"/>
  <c r="T17" i="102"/>
  <c r="T32" i="102"/>
  <c r="T74" i="102"/>
  <c r="T73" i="102"/>
  <c r="T34" i="102"/>
  <c r="T46" i="102"/>
  <c r="T20" i="102"/>
  <c r="T55" i="102"/>
  <c r="W55" i="102" s="1"/>
  <c r="T60" i="102"/>
  <c r="T24" i="102"/>
  <c r="T59" i="102"/>
  <c r="T58" i="102"/>
  <c r="W58" i="102" s="1"/>
  <c r="T39" i="102"/>
  <c r="T50" i="102"/>
  <c r="T26" i="102"/>
  <c r="W26" i="102" s="1"/>
  <c r="T77" i="102"/>
  <c r="W77" i="102" s="1"/>
  <c r="T78" i="102"/>
  <c r="T66" i="102"/>
  <c r="T69" i="102"/>
  <c r="T37" i="102"/>
  <c r="T63" i="102"/>
  <c r="T25" i="102"/>
  <c r="T64" i="102"/>
  <c r="W64" i="102" s="1"/>
  <c r="T76" i="102"/>
  <c r="T30" i="102"/>
  <c r="W30" i="102" s="1"/>
  <c r="T44" i="102"/>
  <c r="T51" i="102"/>
  <c r="T62" i="102"/>
  <c r="T21" i="102"/>
  <c r="T56" i="102"/>
  <c r="T61" i="102"/>
  <c r="W61" i="102" s="1"/>
  <c r="T31" i="102"/>
  <c r="W31" i="102" s="1"/>
  <c r="T38" i="102"/>
  <c r="T36" i="102"/>
  <c r="T19" i="102"/>
  <c r="T54" i="102"/>
  <c r="T72" i="102"/>
  <c r="T23" i="102"/>
  <c r="T57" i="102"/>
  <c r="T45" i="102"/>
  <c r="T49" i="102"/>
  <c r="T48" i="102"/>
  <c r="T16" i="102"/>
  <c r="T43" i="102"/>
  <c r="T47" i="102"/>
  <c r="T52" i="102"/>
  <c r="T71" i="102"/>
  <c r="T35" i="102"/>
  <c r="T65" i="102"/>
  <c r="T67" i="102"/>
  <c r="T27" i="102"/>
  <c r="T18" i="102"/>
  <c r="T28" i="102"/>
  <c r="T53" i="102"/>
  <c r="T41" i="102"/>
  <c r="T40" i="102"/>
  <c r="T42" i="102"/>
  <c r="T68" i="102"/>
  <c r="T29" i="102"/>
  <c r="W29" i="102" s="1"/>
  <c r="T33" i="102"/>
  <c r="W33" i="102" s="1"/>
  <c r="T22" i="102"/>
  <c r="T79" i="102"/>
  <c r="T75" i="102"/>
  <c r="I2062" i="170"/>
  <c r="K2062" i="170" s="1"/>
  <c r="C2174" i="170"/>
  <c r="E2174" i="170" s="1"/>
  <c r="I2318" i="170"/>
  <c r="K2318" i="170" s="1"/>
  <c r="I2478" i="170"/>
  <c r="K2478" i="170" s="1"/>
  <c r="I2382" i="170"/>
  <c r="K2382" i="170" s="1"/>
  <c r="C1653" i="170"/>
  <c r="E1653" i="170" s="1"/>
  <c r="I1292" i="170"/>
  <c r="K1292" i="170" s="1"/>
  <c r="C817" i="170"/>
  <c r="E817" i="170" s="1"/>
  <c r="I766" i="170"/>
  <c r="K766" i="170" s="1"/>
  <c r="C2302" i="170"/>
  <c r="E2302" i="170" s="1"/>
  <c r="C1874" i="170"/>
  <c r="E1874" i="170" s="1"/>
  <c r="I749" i="170"/>
  <c r="K749" i="170" s="1"/>
  <c r="C1071" i="170"/>
  <c r="E1071" i="170" s="1"/>
  <c r="C1976" i="170"/>
  <c r="E1976" i="170" s="1"/>
  <c r="C1568" i="170"/>
  <c r="E1568" i="170" s="1"/>
  <c r="I833" i="170"/>
  <c r="K833" i="170" s="1"/>
  <c r="C1105" i="170"/>
  <c r="E1105" i="170" s="1"/>
  <c r="C2094" i="170"/>
  <c r="E2094" i="170" s="1"/>
  <c r="C2222" i="170"/>
  <c r="E2222" i="170" s="1"/>
  <c r="C2126" i="170"/>
  <c r="E2126" i="170" s="1"/>
  <c r="I1959" i="170"/>
  <c r="K1959" i="170" s="1"/>
  <c r="C2510" i="170"/>
  <c r="E2510" i="170" s="1"/>
  <c r="I2270" i="170"/>
  <c r="K2270" i="170" s="1"/>
  <c r="I2398" i="170"/>
  <c r="K2398" i="170" s="1"/>
  <c r="I1755" i="170"/>
  <c r="K1755" i="170" s="1"/>
  <c r="I1789" i="170"/>
  <c r="K1789" i="170" s="1"/>
  <c r="I1585" i="170"/>
  <c r="K1585" i="170" s="1"/>
  <c r="C2190" i="170"/>
  <c r="E2190" i="170" s="1"/>
  <c r="C2414" i="170"/>
  <c r="E2414" i="170" s="1"/>
  <c r="C2382" i="170"/>
  <c r="E2382" i="170" s="1"/>
  <c r="I2366" i="170"/>
  <c r="K2366" i="170" s="1"/>
  <c r="I2238" i="170"/>
  <c r="K2238" i="170" s="1"/>
  <c r="I2010" i="170"/>
  <c r="K2010" i="170" s="1"/>
  <c r="I1857" i="170"/>
  <c r="K1857" i="170" s="1"/>
  <c r="I2526" i="170"/>
  <c r="K2526" i="170" s="1"/>
  <c r="C2542" i="170"/>
  <c r="E2542" i="170" s="1"/>
  <c r="I1500" i="170"/>
  <c r="K1500" i="170" s="1"/>
  <c r="C1857" i="170"/>
  <c r="E1857" i="170" s="1"/>
  <c r="C1602" i="170"/>
  <c r="E1602" i="170" s="1"/>
  <c r="C1309" i="170"/>
  <c r="E1309" i="170" s="1"/>
  <c r="I1224" i="170"/>
  <c r="K1224" i="170" s="1"/>
  <c r="C1207" i="170"/>
  <c r="E1207" i="170" s="1"/>
  <c r="C901" i="170"/>
  <c r="E901" i="170" s="1"/>
  <c r="I1377" i="170"/>
  <c r="K1377" i="170" s="1"/>
  <c r="I2510" i="170"/>
  <c r="K2510" i="170" s="1"/>
  <c r="C2462" i="170"/>
  <c r="E2462" i="170" s="1"/>
  <c r="I2094" i="170"/>
  <c r="K2094" i="170" s="1"/>
  <c r="C2010" i="170"/>
  <c r="E2010" i="170" s="1"/>
  <c r="C1585" i="170"/>
  <c r="E1585" i="170" s="1"/>
  <c r="C1721" i="170"/>
  <c r="E1721" i="170" s="1"/>
  <c r="I1840" i="170"/>
  <c r="K1840" i="170" s="1"/>
  <c r="C1755" i="170"/>
  <c r="E1755" i="170" s="1"/>
  <c r="C1840" i="170"/>
  <c r="E1840" i="170" s="1"/>
  <c r="C1925" i="170"/>
  <c r="E1925" i="170" s="1"/>
  <c r="C1789" i="170"/>
  <c r="E1789" i="170" s="1"/>
  <c r="I1704" i="170"/>
  <c r="K1704" i="170" s="1"/>
  <c r="I867" i="170"/>
  <c r="K867" i="170" s="1"/>
  <c r="C1020" i="170"/>
  <c r="E1020" i="170" s="1"/>
  <c r="C833" i="170"/>
  <c r="E833" i="170" s="1"/>
  <c r="I969" i="170"/>
  <c r="K969" i="170" s="1"/>
  <c r="I1258" i="170"/>
  <c r="K1258" i="170" s="1"/>
  <c r="C952" i="170"/>
  <c r="E952" i="170" s="1"/>
  <c r="C1173" i="170"/>
  <c r="E1173" i="170" s="1"/>
  <c r="I986" i="170"/>
  <c r="K986" i="170" s="1"/>
  <c r="I1360" i="170"/>
  <c r="K1360" i="170" s="1"/>
  <c r="C1190" i="170"/>
  <c r="E1190" i="170" s="1"/>
  <c r="C986" i="170"/>
  <c r="E986" i="170" s="1"/>
  <c r="I1326" i="170"/>
  <c r="K1326" i="170" s="1"/>
  <c r="I1037" i="170"/>
  <c r="K1037" i="170" s="1"/>
  <c r="I1394" i="170"/>
  <c r="K1394" i="170" s="1"/>
  <c r="C766" i="170"/>
  <c r="E766" i="170" s="1"/>
  <c r="C969" i="170"/>
  <c r="E969" i="170" s="1"/>
  <c r="I1275" i="170"/>
  <c r="K1275" i="170" s="1"/>
  <c r="I2542" i="170"/>
  <c r="K2542" i="170" s="1"/>
  <c r="I2575" i="170"/>
  <c r="K2575" i="170" s="1"/>
  <c r="C2430" i="170"/>
  <c r="E2430" i="170" s="1"/>
  <c r="I2190" i="170"/>
  <c r="K2190" i="170" s="1"/>
  <c r="C2238" i="170"/>
  <c r="E2238" i="170" s="1"/>
  <c r="I2350" i="170"/>
  <c r="K2350" i="170" s="1"/>
  <c r="C2078" i="170"/>
  <c r="E2078" i="170" s="1"/>
  <c r="C2110" i="170"/>
  <c r="E2110" i="170" s="1"/>
  <c r="I1874" i="170"/>
  <c r="K1874" i="170" s="1"/>
  <c r="I1738" i="170"/>
  <c r="K1738" i="170" s="1"/>
  <c r="C1534" i="170"/>
  <c r="E1534" i="170" s="1"/>
  <c r="C1993" i="170"/>
  <c r="E1993" i="170" s="1"/>
  <c r="I1976" i="170"/>
  <c r="K1976" i="170" s="1"/>
  <c r="I1772" i="170"/>
  <c r="K1772" i="170" s="1"/>
  <c r="C1636" i="170"/>
  <c r="E1636" i="170" s="1"/>
  <c r="I1908" i="170"/>
  <c r="K1908" i="170" s="1"/>
  <c r="C1738" i="170"/>
  <c r="E1738" i="170" s="1"/>
  <c r="C1619" i="170"/>
  <c r="E1619" i="170" s="1"/>
  <c r="I1190" i="170"/>
  <c r="K1190" i="170" s="1"/>
  <c r="I1054" i="170"/>
  <c r="K1054" i="170" s="1"/>
  <c r="I1071" i="170"/>
  <c r="K1071" i="170" s="1"/>
  <c r="I1156" i="170"/>
  <c r="K1156" i="170" s="1"/>
  <c r="C1326" i="170"/>
  <c r="E1326" i="170" s="1"/>
  <c r="C1241" i="170"/>
  <c r="E1241" i="170" s="1"/>
  <c r="I1207" i="170"/>
  <c r="K1207" i="170" s="1"/>
  <c r="I850" i="170"/>
  <c r="K850" i="170" s="1"/>
  <c r="C783" i="170"/>
  <c r="E783" i="170" s="1"/>
  <c r="C1292" i="170"/>
  <c r="E1292" i="170" s="1"/>
  <c r="C1411" i="170"/>
  <c r="E1411" i="170" s="1"/>
  <c r="C1377" i="170"/>
  <c r="E1377" i="170" s="1"/>
  <c r="C1003" i="170"/>
  <c r="E1003" i="170" s="1"/>
  <c r="C2559" i="170"/>
  <c r="E2559" i="170" s="1"/>
  <c r="C1445" i="170"/>
  <c r="E1445" i="170" s="1"/>
  <c r="I2302" i="170"/>
  <c r="K2302" i="170" s="1"/>
  <c r="I1993" i="170"/>
  <c r="K1993" i="170" s="1"/>
  <c r="I1721" i="170"/>
  <c r="K1721" i="170" s="1"/>
  <c r="C2318" i="170"/>
  <c r="E2318" i="170" s="1"/>
  <c r="I2494" i="170"/>
  <c r="K2494" i="170" s="1"/>
  <c r="C2158" i="170"/>
  <c r="E2158" i="170" s="1"/>
  <c r="I2142" i="170"/>
  <c r="K2142" i="170" s="1"/>
  <c r="I2430" i="170"/>
  <c r="K2430" i="170" s="1"/>
  <c r="I2462" i="170"/>
  <c r="K2462" i="170" s="1"/>
  <c r="C2478" i="170"/>
  <c r="E2478" i="170" s="1"/>
  <c r="I2206" i="170"/>
  <c r="K2206" i="170" s="1"/>
  <c r="I2174" i="170"/>
  <c r="K2174" i="170" s="1"/>
  <c r="I1891" i="170"/>
  <c r="K1891" i="170" s="1"/>
  <c r="I1619" i="170"/>
  <c r="K1619" i="170" s="1"/>
  <c r="I1925" i="170"/>
  <c r="K1925" i="170" s="1"/>
  <c r="I1551" i="170"/>
  <c r="K1551" i="170" s="1"/>
  <c r="I1687" i="170"/>
  <c r="K1687" i="170" s="1"/>
  <c r="C1806" i="170"/>
  <c r="E1806" i="170" s="1"/>
  <c r="C1224" i="170"/>
  <c r="E1224" i="170" s="1"/>
  <c r="C918" i="170"/>
  <c r="E918" i="170" s="1"/>
  <c r="I918" i="170"/>
  <c r="K918" i="170" s="1"/>
  <c r="I1343" i="170"/>
  <c r="K1343" i="170" s="1"/>
  <c r="I1122" i="170"/>
  <c r="K1122" i="170" s="1"/>
  <c r="I1411" i="170"/>
  <c r="K1411" i="170" s="1"/>
  <c r="I2286" i="170"/>
  <c r="K2286" i="170" s="1"/>
  <c r="C2398" i="170"/>
  <c r="E2398" i="170" s="1"/>
  <c r="I2158" i="170"/>
  <c r="K2158" i="170" s="1"/>
  <c r="C2366" i="170"/>
  <c r="E2366" i="170" s="1"/>
  <c r="I2222" i="170"/>
  <c r="K2222" i="170" s="1"/>
  <c r="C2334" i="170"/>
  <c r="E2334" i="170" s="1"/>
  <c r="C1551" i="170"/>
  <c r="E1551" i="170" s="1"/>
  <c r="I1568" i="170"/>
  <c r="K1568" i="170" s="1"/>
  <c r="C1959" i="170"/>
  <c r="E1959" i="170" s="1"/>
  <c r="C1704" i="170"/>
  <c r="E1704" i="170" s="1"/>
  <c r="C1670" i="170"/>
  <c r="E1670" i="170" s="1"/>
  <c r="C850" i="170"/>
  <c r="E850" i="170" s="1"/>
  <c r="C1139" i="170"/>
  <c r="E1139" i="170" s="1"/>
  <c r="C1343" i="170"/>
  <c r="E1343" i="170" s="1"/>
  <c r="I800" i="170"/>
  <c r="K800" i="170" s="1"/>
  <c r="C1088" i="170"/>
  <c r="E1088" i="170" s="1"/>
  <c r="C1275" i="170"/>
  <c r="E1275" i="170" s="1"/>
  <c r="I1020" i="170"/>
  <c r="K1020" i="170" s="1"/>
  <c r="C1037" i="170"/>
  <c r="E1037" i="170" s="1"/>
  <c r="I1241" i="170"/>
  <c r="K1241" i="170" s="1"/>
  <c r="I901" i="170"/>
  <c r="K901" i="170" s="1"/>
  <c r="C1258" i="170"/>
  <c r="E1258" i="170" s="1"/>
  <c r="I1173" i="170"/>
  <c r="K1173" i="170" s="1"/>
  <c r="I1428" i="170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C2331" i="170"/>
  <c r="E2331" i="170" s="1"/>
  <c r="G288" i="132"/>
  <c r="I2491" i="170"/>
  <c r="K2491" i="170" s="1"/>
  <c r="G309" i="132"/>
  <c r="G300" i="132"/>
  <c r="C2283" i="170"/>
  <c r="E2283" i="170" s="1"/>
  <c r="G302" i="132"/>
  <c r="C2475" i="170"/>
  <c r="E2475" i="170" s="1"/>
  <c r="G306" i="132"/>
  <c r="I2283" i="170"/>
  <c r="K2283" i="170" s="1"/>
  <c r="G283" i="132"/>
  <c r="C2572" i="170"/>
  <c r="E2572" i="170" s="1"/>
  <c r="G318" i="132"/>
  <c r="C2588" i="170"/>
  <c r="E2588" i="170" s="1"/>
  <c r="B1492" i="170"/>
  <c r="G312" i="132"/>
  <c r="I2347" i="170"/>
  <c r="K2347" i="170" s="1"/>
  <c r="G291" i="132"/>
  <c r="I2139" i="170"/>
  <c r="K2139" i="170" s="1"/>
  <c r="G265" i="132"/>
  <c r="C2267" i="170"/>
  <c r="E2267" i="170" s="1"/>
  <c r="G280" i="132"/>
  <c r="G278" i="132"/>
  <c r="I2267" i="170"/>
  <c r="K2267" i="170" s="1"/>
  <c r="G307" i="132"/>
  <c r="I2539" i="170"/>
  <c r="K2539" i="170" s="1"/>
  <c r="G315" i="132"/>
  <c r="B741" i="170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G256" i="132"/>
  <c r="G308" i="132"/>
  <c r="G293" i="132"/>
  <c r="G290" i="132"/>
  <c r="G279" i="132"/>
  <c r="G261" i="132"/>
  <c r="G257" i="132"/>
  <c r="G267" i="132"/>
  <c r="G294" i="132"/>
  <c r="I2556" i="170"/>
  <c r="K2556" i="170" s="1"/>
  <c r="G317" i="132"/>
  <c r="C2602" i="170"/>
  <c r="E2602" i="170" s="1"/>
  <c r="G298" i="132"/>
  <c r="C2411" i="170"/>
  <c r="E2411" i="170" s="1"/>
  <c r="G303" i="132"/>
  <c r="G273" i="132"/>
  <c r="I2203" i="170"/>
  <c r="K2203" i="170" s="1"/>
  <c r="G296" i="132"/>
  <c r="I2123" i="170"/>
  <c r="K2123" i="170" s="1"/>
  <c r="G263" i="132"/>
  <c r="G289" i="132"/>
  <c r="I2331" i="170"/>
  <c r="K2331" i="170" s="1"/>
  <c r="G311" i="132"/>
  <c r="I1445" i="170"/>
  <c r="K1445" i="170" s="1"/>
  <c r="C2203" i="170"/>
  <c r="E2203" i="170" s="1"/>
  <c r="I2427" i="170"/>
  <c r="K2427" i="170" s="1"/>
  <c r="C2299" i="170"/>
  <c r="E2299" i="170" s="1"/>
  <c r="G284" i="132"/>
  <c r="C2123" i="170"/>
  <c r="E2123" i="170" s="1"/>
  <c r="G285" i="132"/>
  <c r="I2299" i="170"/>
  <c r="K2299" i="170" s="1"/>
  <c r="G292" i="132"/>
  <c r="G271" i="132"/>
  <c r="I2187" i="170"/>
  <c r="K2187" i="170" s="1"/>
  <c r="C2606" i="170"/>
  <c r="E2606" i="170" s="1"/>
  <c r="C2556" i="170"/>
  <c r="E2556" i="170" s="1"/>
  <c r="G316" i="132"/>
  <c r="I2059" i="170"/>
  <c r="K2059" i="170" s="1"/>
  <c r="G304" i="132"/>
  <c r="C2459" i="170"/>
  <c r="E2459" i="170" s="1"/>
  <c r="I2171" i="170"/>
  <c r="K2171" i="170" s="1"/>
  <c r="G259" i="132"/>
  <c r="C2155" i="170"/>
  <c r="E2155" i="170" s="1"/>
  <c r="G305" i="132"/>
  <c r="I2459" i="170"/>
  <c r="K2459" i="170" s="1"/>
  <c r="G286" i="132"/>
  <c r="C2315" i="170"/>
  <c r="E2315" i="170" s="1"/>
  <c r="G297" i="132"/>
  <c r="C2219" i="170"/>
  <c r="E2219" i="170" s="1"/>
  <c r="G295" i="132"/>
  <c r="C2507" i="170"/>
  <c r="E2507" i="170" s="1"/>
  <c r="G260" i="132"/>
  <c r="I2235" i="170"/>
  <c r="K2235" i="170" s="1"/>
  <c r="G287" i="132"/>
  <c r="C2187" i="170"/>
  <c r="E2187" i="170" s="1"/>
  <c r="I2523" i="170"/>
  <c r="K2523" i="170" s="1"/>
  <c r="G313" i="132"/>
  <c r="I2572" i="170"/>
  <c r="K2572" i="170" s="1"/>
  <c r="C2604" i="170"/>
  <c r="E2604" i="170" s="1"/>
  <c r="C2605" i="170"/>
  <c r="E2605" i="170" s="1"/>
  <c r="I2602" i="170"/>
  <c r="K2602" i="170" s="1"/>
  <c r="I2604" i="170"/>
  <c r="K2604" i="170" s="1"/>
  <c r="T104" i="100"/>
  <c r="I2605" i="170"/>
  <c r="K2605" i="170" s="1"/>
  <c r="V9" i="9"/>
  <c r="W9" i="9"/>
  <c r="A2293" i="170"/>
  <c r="G2277" i="170"/>
  <c r="F175" i="132"/>
  <c r="F176" i="132"/>
  <c r="F177" i="132"/>
  <c r="F174" i="132"/>
  <c r="F172" i="132"/>
  <c r="F178" i="132"/>
  <c r="F173" i="132"/>
  <c r="F179" i="132"/>
  <c r="G180" i="132"/>
  <c r="G179" i="132"/>
  <c r="G181" i="132"/>
  <c r="G178" i="132"/>
  <c r="G175" i="132"/>
  <c r="G177" i="132"/>
  <c r="G176" i="132"/>
  <c r="G173" i="132"/>
  <c r="G172" i="132"/>
  <c r="G174" i="132"/>
  <c r="J69" i="102"/>
  <c r="J71" i="102"/>
  <c r="J74" i="102"/>
  <c r="AA95" i="99"/>
  <c r="AA96" i="99"/>
  <c r="J68" i="102"/>
  <c r="J70" i="102"/>
  <c r="J73" i="102"/>
  <c r="J77" i="102"/>
  <c r="J75" i="102"/>
  <c r="U96" i="9"/>
  <c r="U95" i="9" s="1"/>
  <c r="J76" i="102"/>
  <c r="J72" i="102"/>
  <c r="J78" i="102"/>
  <c r="J79" i="102"/>
  <c r="P17" i="100"/>
  <c r="Y9" i="9"/>
  <c r="R17" i="101"/>
  <c r="Q17" i="101"/>
  <c r="Q17" i="100"/>
  <c r="R17" i="100"/>
  <c r="Z9" i="9"/>
  <c r="Z320" i="9" s="1"/>
  <c r="Q15" i="102"/>
  <c r="R15" i="102"/>
  <c r="AA9" i="9"/>
  <c r="AA320" i="9" s="1"/>
  <c r="M17" i="100"/>
  <c r="X9" i="9"/>
  <c r="O17" i="100"/>
  <c r="N17" i="100"/>
  <c r="P17" i="101"/>
  <c r="E17" i="100"/>
  <c r="E105" i="100" s="1"/>
  <c r="X73" i="151"/>
  <c r="X47" i="151"/>
  <c r="X20" i="151"/>
  <c r="X40" i="151"/>
  <c r="X80" i="151"/>
  <c r="X38" i="151"/>
  <c r="U185" i="9"/>
  <c r="U184" i="9" s="1"/>
  <c r="U251" i="9"/>
  <c r="U250" i="9" s="1"/>
  <c r="R9" i="9"/>
  <c r="R320" i="9" s="1"/>
  <c r="D99" i="132"/>
  <c r="F123" i="132"/>
  <c r="F152" i="132"/>
  <c r="F133" i="132"/>
  <c r="F161" i="132"/>
  <c r="F106" i="132"/>
  <c r="F115" i="132"/>
  <c r="F128" i="132"/>
  <c r="F122" i="132"/>
  <c r="F118" i="132"/>
  <c r="F103" i="132"/>
  <c r="F135" i="132"/>
  <c r="F167" i="132"/>
  <c r="F155" i="132"/>
  <c r="F120" i="132"/>
  <c r="F169" i="132"/>
  <c r="F129" i="132"/>
  <c r="F146" i="132"/>
  <c r="F147" i="132"/>
  <c r="F160" i="132"/>
  <c r="F150" i="132"/>
  <c r="F154" i="132"/>
  <c r="F119" i="132"/>
  <c r="F151" i="132"/>
  <c r="F171" i="132"/>
  <c r="F104" i="132"/>
  <c r="F145" i="132"/>
  <c r="F162" i="132"/>
  <c r="F168" i="132"/>
  <c r="F110" i="132"/>
  <c r="F143" i="132"/>
  <c r="F108" i="132"/>
  <c r="F140" i="132"/>
  <c r="F141" i="132"/>
  <c r="F114" i="132"/>
  <c r="F137" i="132"/>
  <c r="F139" i="132"/>
  <c r="F149" i="132"/>
  <c r="F113" i="132"/>
  <c r="F126" i="132"/>
  <c r="F144" i="132"/>
  <c r="F170" i="132"/>
  <c r="F127" i="132"/>
  <c r="F100" i="132"/>
  <c r="F132" i="132"/>
  <c r="F164" i="132"/>
  <c r="F125" i="132"/>
  <c r="F102" i="132"/>
  <c r="F158" i="132"/>
  <c r="F121" i="132"/>
  <c r="F107" i="132"/>
  <c r="F117" i="132"/>
  <c r="F163" i="132"/>
  <c r="F112" i="132"/>
  <c r="F166" i="132"/>
  <c r="F138" i="132"/>
  <c r="F111" i="132"/>
  <c r="F124" i="132"/>
  <c r="F156" i="132"/>
  <c r="F109" i="132"/>
  <c r="F142" i="132"/>
  <c r="F101" i="132"/>
  <c r="F165" i="132"/>
  <c r="F136" i="132"/>
  <c r="F131" i="132"/>
  <c r="F134" i="132"/>
  <c r="F159" i="132"/>
  <c r="F116" i="132"/>
  <c r="F157" i="132"/>
  <c r="F153" i="132"/>
  <c r="F148" i="132"/>
  <c r="F130" i="132"/>
  <c r="F105" i="132"/>
  <c r="G105" i="132"/>
  <c r="G168" i="132"/>
  <c r="G123" i="132"/>
  <c r="G150" i="132"/>
  <c r="G144" i="132"/>
  <c r="G117" i="132"/>
  <c r="G140" i="132"/>
  <c r="G149" i="132"/>
  <c r="G132" i="132"/>
  <c r="G152" i="132"/>
  <c r="G107" i="132"/>
  <c r="G125" i="132"/>
  <c r="G137" i="132"/>
  <c r="G130" i="132"/>
  <c r="G111" i="132"/>
  <c r="G142" i="132"/>
  <c r="G128" i="132"/>
  <c r="G119" i="132"/>
  <c r="G101" i="132"/>
  <c r="G141" i="132"/>
  <c r="G156" i="132"/>
  <c r="G153" i="132"/>
  <c r="G126" i="132"/>
  <c r="G169" i="132"/>
  <c r="G139" i="132"/>
  <c r="G166" i="132"/>
  <c r="G102" i="132"/>
  <c r="G135" i="132"/>
  <c r="G161" i="132"/>
  <c r="G148" i="132"/>
  <c r="G113" i="132"/>
  <c r="G143" i="132"/>
  <c r="G114" i="132"/>
  <c r="G121" i="132"/>
  <c r="G127" i="132"/>
  <c r="G131" i="132"/>
  <c r="G158" i="132"/>
  <c r="G160" i="132"/>
  <c r="G159" i="132"/>
  <c r="G138" i="132"/>
  <c r="G103" i="132"/>
  <c r="G134" i="132"/>
  <c r="G154" i="132"/>
  <c r="G145" i="132"/>
  <c r="G136" i="132"/>
  <c r="G165" i="132"/>
  <c r="G124" i="132"/>
  <c r="G155" i="132"/>
  <c r="G129" i="132"/>
  <c r="G118" i="132"/>
  <c r="G109" i="132"/>
  <c r="G122" i="132"/>
  <c r="G162" i="132"/>
  <c r="G164" i="132"/>
  <c r="G167" i="132"/>
  <c r="G146" i="132"/>
  <c r="G108" i="132"/>
  <c r="G157" i="132"/>
  <c r="G147" i="132"/>
  <c r="G110" i="132"/>
  <c r="G133" i="132"/>
  <c r="G170" i="132"/>
  <c r="G171" i="132"/>
  <c r="G112" i="132"/>
  <c r="G151" i="132"/>
  <c r="G120" i="132"/>
  <c r="G163" i="132"/>
  <c r="G104" i="132"/>
  <c r="G106" i="132"/>
  <c r="G100" i="132"/>
  <c r="G115" i="132"/>
  <c r="G116" i="132"/>
  <c r="D254" i="132"/>
  <c r="N17" i="101"/>
  <c r="E17" i="101"/>
  <c r="E82" i="101" s="1"/>
  <c r="M17" i="101"/>
  <c r="D188" i="132"/>
  <c r="M15" i="102"/>
  <c r="P15" i="102"/>
  <c r="E15" i="102"/>
  <c r="E85" i="102" s="1"/>
  <c r="N15" i="102"/>
  <c r="R29" i="152"/>
  <c r="P34" i="152"/>
  <c r="P33" i="152"/>
  <c r="R33" i="152" s="1"/>
  <c r="P32" i="152"/>
  <c r="R32" i="152" s="1"/>
  <c r="P30" i="152"/>
  <c r="R30" i="152" s="1"/>
  <c r="P31" i="152"/>
  <c r="R31" i="152" s="1"/>
  <c r="P28" i="152"/>
  <c r="R28" i="152" s="1"/>
  <c r="P27" i="152"/>
  <c r="R27" i="152" s="1"/>
  <c r="E100" i="151"/>
  <c r="E189" i="151"/>
  <c r="K23" i="102"/>
  <c r="L23" i="102" s="1"/>
  <c r="K31" i="102"/>
  <c r="L31" i="102" s="1"/>
  <c r="K39" i="102"/>
  <c r="L39" i="102" s="1"/>
  <c r="K47" i="102"/>
  <c r="L47" i="102" s="1"/>
  <c r="K66" i="102"/>
  <c r="L66" i="102" s="1"/>
  <c r="K22" i="102"/>
  <c r="L22" i="102" s="1"/>
  <c r="K30" i="102"/>
  <c r="L30" i="102" s="1"/>
  <c r="K38" i="102"/>
  <c r="L38" i="102" s="1"/>
  <c r="K46" i="102"/>
  <c r="L46" i="102" s="1"/>
  <c r="K54" i="102"/>
  <c r="L54" i="102" s="1"/>
  <c r="K58" i="102"/>
  <c r="L58" i="102" s="1"/>
  <c r="K62" i="102"/>
  <c r="L62" i="102" s="1"/>
  <c r="K24" i="102"/>
  <c r="L24" i="102" s="1"/>
  <c r="K32" i="102"/>
  <c r="L32" i="102" s="1"/>
  <c r="K40" i="102"/>
  <c r="L40" i="102" s="1"/>
  <c r="K48" i="102"/>
  <c r="L48" i="102" s="1"/>
  <c r="K55" i="102"/>
  <c r="L55" i="102" s="1"/>
  <c r="K59" i="102"/>
  <c r="L59" i="102" s="1"/>
  <c r="K63" i="102"/>
  <c r="L63" i="102" s="1"/>
  <c r="K21" i="102"/>
  <c r="L21" i="102" s="1"/>
  <c r="K29" i="102"/>
  <c r="L29" i="102" s="1"/>
  <c r="K37" i="102"/>
  <c r="L37" i="102" s="1"/>
  <c r="K45" i="102"/>
  <c r="L45" i="102" s="1"/>
  <c r="K53" i="102"/>
  <c r="L53" i="102" s="1"/>
  <c r="K19" i="102"/>
  <c r="L19" i="102" s="1"/>
  <c r="K27" i="102"/>
  <c r="L27" i="102" s="1"/>
  <c r="K35" i="102"/>
  <c r="L35" i="102" s="1"/>
  <c r="K43" i="102"/>
  <c r="L43" i="102" s="1"/>
  <c r="K51" i="102"/>
  <c r="L51" i="102" s="1"/>
  <c r="K26" i="102"/>
  <c r="L26" i="102" s="1"/>
  <c r="K34" i="102"/>
  <c r="L34" i="102" s="1"/>
  <c r="K42" i="102"/>
  <c r="L42" i="102" s="1"/>
  <c r="K50" i="102"/>
  <c r="L50" i="102" s="1"/>
  <c r="K56" i="102"/>
  <c r="L56" i="102" s="1"/>
  <c r="K60" i="102"/>
  <c r="L60" i="102" s="1"/>
  <c r="K65" i="102"/>
  <c r="L65" i="102" s="1"/>
  <c r="K20" i="102"/>
  <c r="L20" i="102" s="1"/>
  <c r="K28" i="102"/>
  <c r="L28" i="102" s="1"/>
  <c r="K36" i="102"/>
  <c r="L36" i="102" s="1"/>
  <c r="K44" i="102"/>
  <c r="L44" i="102" s="1"/>
  <c r="K52" i="102"/>
  <c r="L52" i="102" s="1"/>
  <c r="K57" i="102"/>
  <c r="L57" i="102" s="1"/>
  <c r="K61" i="102"/>
  <c r="L61" i="102" s="1"/>
  <c r="K25" i="102"/>
  <c r="L25" i="102" s="1"/>
  <c r="K33" i="102"/>
  <c r="L33" i="102" s="1"/>
  <c r="K41" i="102"/>
  <c r="L41" i="102" s="1"/>
  <c r="K49" i="102"/>
  <c r="L49" i="102" s="1"/>
  <c r="K64" i="102"/>
  <c r="L64" i="102" s="1"/>
  <c r="K45" i="101"/>
  <c r="L45" i="101" s="1"/>
  <c r="K27" i="101"/>
  <c r="L27" i="101" s="1"/>
  <c r="P27" i="59"/>
  <c r="AI18" i="32"/>
  <c r="AI16" i="32"/>
  <c r="D319" i="128"/>
  <c r="G15" i="135"/>
  <c r="D323" i="128"/>
  <c r="D322" i="128" s="1"/>
  <c r="K322" i="128"/>
  <c r="P322" i="128"/>
  <c r="D320" i="128"/>
  <c r="D318" i="128"/>
  <c r="D321" i="128"/>
  <c r="P321" i="128"/>
  <c r="P13" i="59"/>
  <c r="G16" i="135"/>
  <c r="D102" i="113"/>
  <c r="G102" i="113" s="1"/>
  <c r="D101" i="113"/>
  <c r="G101" i="113" s="1"/>
  <c r="F9" i="9"/>
  <c r="F320" i="9" s="1"/>
  <c r="M326" i="113"/>
  <c r="P326" i="113" s="1"/>
  <c r="S326" i="113" s="1"/>
  <c r="U326" i="113" s="1"/>
  <c r="M324" i="113"/>
  <c r="P324" i="113" s="1"/>
  <c r="S324" i="113" s="1"/>
  <c r="U324" i="113" s="1"/>
  <c r="M322" i="113"/>
  <c r="P322" i="113" s="1"/>
  <c r="S322" i="113" s="1"/>
  <c r="U322" i="113" s="1"/>
  <c r="M328" i="113"/>
  <c r="P328" i="113" s="1"/>
  <c r="S328" i="113" s="1"/>
  <c r="U328" i="113" s="1"/>
  <c r="F100" i="113"/>
  <c r="L100" i="113" s="1"/>
  <c r="M100" i="113" s="1"/>
  <c r="P100" i="113" s="1"/>
  <c r="S100" i="113" s="1"/>
  <c r="U100" i="113" s="1"/>
  <c r="F332" i="113"/>
  <c r="F336" i="113" s="1"/>
  <c r="F105" i="113"/>
  <c r="F104" i="113"/>
  <c r="F108" i="113"/>
  <c r="F103" i="113"/>
  <c r="F111" i="113"/>
  <c r="F115" i="113"/>
  <c r="F114" i="113"/>
  <c r="F109" i="113"/>
  <c r="F106" i="113"/>
  <c r="F112" i="113"/>
  <c r="F110" i="113"/>
  <c r="F129" i="113"/>
  <c r="F135" i="113"/>
  <c r="F134" i="113"/>
  <c r="F121" i="113"/>
  <c r="F127" i="113"/>
  <c r="F107" i="113"/>
  <c r="F113" i="113"/>
  <c r="F126" i="113"/>
  <c r="F131" i="113"/>
  <c r="F117" i="113"/>
  <c r="F125" i="113"/>
  <c r="F122" i="113"/>
  <c r="F132" i="113"/>
  <c r="F120" i="113"/>
  <c r="F116" i="113"/>
  <c r="F123" i="113"/>
  <c r="F128" i="113"/>
  <c r="F133" i="113"/>
  <c r="F119" i="113"/>
  <c r="F130" i="113"/>
  <c r="F124" i="113"/>
  <c r="F118" i="113"/>
  <c r="F13" i="113"/>
  <c r="F99" i="113" s="1"/>
  <c r="F179" i="99"/>
  <c r="W181" i="113"/>
  <c r="W104" i="113"/>
  <c r="F209" i="113"/>
  <c r="D271" i="113"/>
  <c r="G271" i="113" s="1"/>
  <c r="D274" i="113"/>
  <c r="G274" i="113" s="1"/>
  <c r="D280" i="113"/>
  <c r="W280" i="113" s="1"/>
  <c r="D308" i="113"/>
  <c r="W308" i="113" s="1"/>
  <c r="D265" i="113"/>
  <c r="G265" i="113" s="1"/>
  <c r="D302" i="113"/>
  <c r="D295" i="113"/>
  <c r="G295" i="113" s="1"/>
  <c r="D297" i="113"/>
  <c r="W297" i="113" s="1"/>
  <c r="D291" i="113"/>
  <c r="G291" i="113" s="1"/>
  <c r="D256" i="113"/>
  <c r="W256" i="113" s="1"/>
  <c r="D270" i="113"/>
  <c r="W270" i="113" s="1"/>
  <c r="D254" i="113"/>
  <c r="W254" i="113" s="1"/>
  <c r="D236" i="113"/>
  <c r="F236" i="113" s="1"/>
  <c r="D210" i="113"/>
  <c r="W210" i="113" s="1"/>
  <c r="D287" i="113"/>
  <c r="F287" i="113" s="1"/>
  <c r="D292" i="113"/>
  <c r="W292" i="113" s="1"/>
  <c r="D244" i="113"/>
  <c r="F244" i="113" s="1"/>
  <c r="D289" i="113"/>
  <c r="F289" i="113" s="1"/>
  <c r="D263" i="113"/>
  <c r="F263" i="113" s="1"/>
  <c r="D286" i="113"/>
  <c r="D212" i="113"/>
  <c r="W212" i="113" s="1"/>
  <c r="D141" i="113"/>
  <c r="G141" i="113" s="1"/>
  <c r="D237" i="113"/>
  <c r="W237" i="113" s="1"/>
  <c r="D284" i="113"/>
  <c r="G284" i="113" s="1"/>
  <c r="D208" i="113"/>
  <c r="F208" i="113" s="1"/>
  <c r="D279" i="113"/>
  <c r="W279" i="113" s="1"/>
  <c r="D268" i="113"/>
  <c r="F268" i="113" s="1"/>
  <c r="D257" i="113"/>
  <c r="G257" i="113" s="1"/>
  <c r="D278" i="113"/>
  <c r="W278" i="113" s="1"/>
  <c r="D298" i="113"/>
  <c r="W298" i="113" s="1"/>
  <c r="D290" i="113"/>
  <c r="W290" i="113" s="1"/>
  <c r="D235" i="113"/>
  <c r="G235" i="113" s="1"/>
  <c r="D258" i="113"/>
  <c r="W258" i="113" s="1"/>
  <c r="D260" i="113"/>
  <c r="W260" i="113" s="1"/>
  <c r="D310" i="113"/>
  <c r="W310" i="113" s="1"/>
  <c r="D296" i="113"/>
  <c r="G296" i="113" s="1"/>
  <c r="D282" i="113"/>
  <c r="G282" i="113" s="1"/>
  <c r="D276" i="113"/>
  <c r="W276" i="113" s="1"/>
  <c r="D277" i="113"/>
  <c r="F277" i="113" s="1"/>
  <c r="D299" i="113"/>
  <c r="W299" i="113" s="1"/>
  <c r="D304" i="113"/>
  <c r="F304" i="113" s="1"/>
  <c r="D272" i="113"/>
  <c r="D267" i="113"/>
  <c r="F267" i="113" s="1"/>
  <c r="D204" i="113"/>
  <c r="G204" i="113" s="1"/>
  <c r="W113" i="113"/>
  <c r="D152" i="113"/>
  <c r="W152" i="113" s="1"/>
  <c r="W121" i="113"/>
  <c r="D159" i="113"/>
  <c r="W159" i="113" s="1"/>
  <c r="D224" i="113"/>
  <c r="W224" i="113" s="1"/>
  <c r="D223" i="113"/>
  <c r="W223" i="113" s="1"/>
  <c r="D211" i="113"/>
  <c r="W211" i="113" s="1"/>
  <c r="D164" i="113"/>
  <c r="D153" i="113"/>
  <c r="D196" i="113"/>
  <c r="G196" i="113" s="1"/>
  <c r="D226" i="113"/>
  <c r="W226" i="113" s="1"/>
  <c r="D234" i="113"/>
  <c r="G234" i="113" s="1"/>
  <c r="W103" i="113"/>
  <c r="D198" i="113"/>
  <c r="F198" i="113" s="1"/>
  <c r="D239" i="113"/>
  <c r="F239" i="113" s="1"/>
  <c r="D171" i="113"/>
  <c r="F171" i="113" s="1"/>
  <c r="D158" i="113"/>
  <c r="D140" i="113"/>
  <c r="F140" i="113" s="1"/>
  <c r="D202" i="113"/>
  <c r="F202" i="113" s="1"/>
  <c r="W128" i="113"/>
  <c r="D157" i="113"/>
  <c r="D245" i="113"/>
  <c r="D160" i="113"/>
  <c r="G160" i="113" s="1"/>
  <c r="D150" i="113"/>
  <c r="W150" i="113" s="1"/>
  <c r="D161" i="113"/>
  <c r="G161" i="113" s="1"/>
  <c r="D151" i="113"/>
  <c r="W151" i="113" s="1"/>
  <c r="W134" i="113"/>
  <c r="D149" i="113"/>
  <c r="W149" i="113" s="1"/>
  <c r="D228" i="113"/>
  <c r="G228" i="113" s="1"/>
  <c r="D139" i="113"/>
  <c r="F139" i="113" s="1"/>
  <c r="D190" i="113"/>
  <c r="D194" i="113"/>
  <c r="F194" i="113" s="1"/>
  <c r="D214" i="113"/>
  <c r="G214" i="113" s="1"/>
  <c r="D163" i="113"/>
  <c r="W163" i="113" s="1"/>
  <c r="D206" i="113"/>
  <c r="W206" i="113" s="1"/>
  <c r="D154" i="113"/>
  <c r="F154" i="113" s="1"/>
  <c r="D193" i="113"/>
  <c r="G193" i="113" s="1"/>
  <c r="D203" i="113"/>
  <c r="W203" i="113" s="1"/>
  <c r="D231" i="113"/>
  <c r="F231" i="113" s="1"/>
  <c r="D147" i="113"/>
  <c r="F147" i="113" s="1"/>
  <c r="D232" i="113"/>
  <c r="F232" i="113" s="1"/>
  <c r="D172" i="113"/>
  <c r="F172" i="113" s="1"/>
  <c r="D174" i="113"/>
  <c r="F174" i="113" s="1"/>
  <c r="D243" i="113"/>
  <c r="F243" i="113" s="1"/>
  <c r="D137" i="113"/>
  <c r="F137" i="113" s="1"/>
  <c r="D195" i="113"/>
  <c r="F195" i="113" s="1"/>
  <c r="D230" i="113"/>
  <c r="F230" i="113" s="1"/>
  <c r="D170" i="113"/>
  <c r="G170" i="113" s="1"/>
  <c r="D229" i="113"/>
  <c r="W229" i="113" s="1"/>
  <c r="W111" i="113"/>
  <c r="D240" i="113"/>
  <c r="G240" i="113" s="1"/>
  <c r="D144" i="113"/>
  <c r="W144" i="113" s="1"/>
  <c r="D155" i="113"/>
  <c r="G155" i="113" s="1"/>
  <c r="D189" i="113"/>
  <c r="G189" i="113" s="1"/>
  <c r="L188" i="113"/>
  <c r="M188" i="113" s="1"/>
  <c r="P188" i="113" s="1"/>
  <c r="S188" i="113" s="1"/>
  <c r="U188" i="113" s="1"/>
  <c r="D259" i="113"/>
  <c r="F259" i="113" s="1"/>
  <c r="D300" i="113"/>
  <c r="W300" i="113" s="1"/>
  <c r="D200" i="113"/>
  <c r="W200" i="113" s="1"/>
  <c r="D191" i="113"/>
  <c r="G191" i="113" s="1"/>
  <c r="D281" i="113"/>
  <c r="G281" i="113" s="1"/>
  <c r="D169" i="113"/>
  <c r="W169" i="113" s="1"/>
  <c r="D306" i="113"/>
  <c r="D168" i="113"/>
  <c r="M331" i="113"/>
  <c r="P331" i="113" s="1"/>
  <c r="S331" i="113" s="1"/>
  <c r="U331" i="113" s="1"/>
  <c r="W179" i="113"/>
  <c r="G312" i="113"/>
  <c r="W312" i="113"/>
  <c r="G183" i="113"/>
  <c r="W183" i="113"/>
  <c r="W220" i="113"/>
  <c r="F252" i="113"/>
  <c r="L252" i="113" s="1"/>
  <c r="M252" i="113" s="1"/>
  <c r="P252" i="113" s="1"/>
  <c r="S252" i="113" s="1"/>
  <c r="U252" i="113" s="1"/>
  <c r="D162" i="113"/>
  <c r="G162" i="113" s="1"/>
  <c r="D285" i="113"/>
  <c r="D156" i="113"/>
  <c r="W205" i="113"/>
  <c r="W241" i="113"/>
  <c r="D227" i="113"/>
  <c r="G182" i="113"/>
  <c r="W182" i="113"/>
  <c r="G307" i="113"/>
  <c r="F307" i="113"/>
  <c r="W307" i="113"/>
  <c r="G136" i="113"/>
  <c r="F136" i="113"/>
  <c r="W136" i="113"/>
  <c r="D225" i="113"/>
  <c r="G175" i="113"/>
  <c r="F175" i="113"/>
  <c r="W175" i="113"/>
  <c r="W118" i="113"/>
  <c r="F143" i="113"/>
  <c r="G143" i="113"/>
  <c r="W143" i="113"/>
  <c r="D255" i="113"/>
  <c r="D309" i="113"/>
  <c r="D197" i="113"/>
  <c r="F249" i="113"/>
  <c r="N249" i="113"/>
  <c r="F241" i="113"/>
  <c r="F248" i="113"/>
  <c r="F220" i="113"/>
  <c r="F247" i="113"/>
  <c r="D288" i="113"/>
  <c r="D145" i="113"/>
  <c r="D146" i="113"/>
  <c r="D238" i="113"/>
  <c r="D242" i="113"/>
  <c r="D293" i="113"/>
  <c r="F205" i="113"/>
  <c r="D176" i="113"/>
  <c r="D219" i="113"/>
  <c r="D246" i="113"/>
  <c r="W126" i="113"/>
  <c r="D305" i="113"/>
  <c r="D269" i="113"/>
  <c r="D273" i="113"/>
  <c r="F183" i="113"/>
  <c r="F180" i="113"/>
  <c r="D148" i="113"/>
  <c r="D233" i="113"/>
  <c r="D294" i="113"/>
  <c r="G261" i="113"/>
  <c r="W261" i="113"/>
  <c r="F173" i="113"/>
  <c r="G173" i="113"/>
  <c r="W173" i="113"/>
  <c r="W125" i="113"/>
  <c r="G216" i="113"/>
  <c r="F216" i="113"/>
  <c r="W216" i="113"/>
  <c r="F218" i="113"/>
  <c r="W218" i="113"/>
  <c r="G218" i="113"/>
  <c r="D215" i="113"/>
  <c r="D142" i="113"/>
  <c r="D199" i="113"/>
  <c r="G167" i="113"/>
  <c r="F167" i="113"/>
  <c r="W167" i="113"/>
  <c r="F301" i="113"/>
  <c r="G301" i="113"/>
  <c r="W301" i="113"/>
  <c r="G264" i="113"/>
  <c r="F264" i="113"/>
  <c r="W264" i="113"/>
  <c r="F166" i="113"/>
  <c r="G166" i="113"/>
  <c r="W166" i="113"/>
  <c r="F283" i="113"/>
  <c r="G283" i="113"/>
  <c r="W283" i="113"/>
  <c r="G266" i="113"/>
  <c r="F266" i="113"/>
  <c r="W266" i="113"/>
  <c r="D217" i="113"/>
  <c r="D262" i="113"/>
  <c r="W133" i="113"/>
  <c r="G165" i="113"/>
  <c r="F165" i="113"/>
  <c r="W165" i="113"/>
  <c r="F221" i="113"/>
  <c r="G221" i="113"/>
  <c r="W221" i="113"/>
  <c r="F179" i="113"/>
  <c r="N182" i="113"/>
  <c r="F184" i="113"/>
  <c r="F181" i="113"/>
  <c r="D201" i="113"/>
  <c r="D303" i="113"/>
  <c r="D253" i="113"/>
  <c r="F311" i="113"/>
  <c r="F312" i="113"/>
  <c r="N313" i="113"/>
  <c r="N312" i="113"/>
  <c r="F313" i="113"/>
  <c r="G209" i="113"/>
  <c r="W209" i="113"/>
  <c r="D207" i="113"/>
  <c r="G138" i="113"/>
  <c r="F138" i="113"/>
  <c r="W138" i="113"/>
  <c r="F192" i="113"/>
  <c r="G192" i="113"/>
  <c r="W192" i="113"/>
  <c r="F213" i="113"/>
  <c r="G213" i="113"/>
  <c r="W213" i="113"/>
  <c r="F222" i="113"/>
  <c r="G222" i="113"/>
  <c r="W222" i="113"/>
  <c r="W116" i="113"/>
  <c r="F178" i="113"/>
  <c r="G178" i="113"/>
  <c r="W178" i="113"/>
  <c r="G275" i="113"/>
  <c r="F275" i="113"/>
  <c r="W275" i="113"/>
  <c r="G177" i="113"/>
  <c r="F177" i="113"/>
  <c r="W177" i="113"/>
  <c r="N181" i="113"/>
  <c r="N183" i="113"/>
  <c r="F182" i="113"/>
  <c r="AJ306" i="8"/>
  <c r="O178" i="113"/>
  <c r="L180" i="113"/>
  <c r="M180" i="113" s="1"/>
  <c r="AB320" i="9"/>
  <c r="O248" i="113"/>
  <c r="L177" i="113"/>
  <c r="M177" i="113" s="1"/>
  <c r="L312" i="113"/>
  <c r="M312" i="113" s="1"/>
  <c r="L179" i="113"/>
  <c r="M179" i="113" s="1"/>
  <c r="T9" i="9"/>
  <c r="T320" i="9" s="1"/>
  <c r="AS311" i="8"/>
  <c r="S9" i="9"/>
  <c r="S320" i="9" s="1"/>
  <c r="E9" i="9"/>
  <c r="E320" i="9" s="1"/>
  <c r="O184" i="113"/>
  <c r="W72" i="102" l="1"/>
  <c r="W48" i="100"/>
  <c r="W71" i="100"/>
  <c r="W28" i="100"/>
  <c r="W35" i="100"/>
  <c r="W54" i="101"/>
  <c r="W67" i="101"/>
  <c r="W34" i="101"/>
  <c r="W63" i="101"/>
  <c r="W42" i="101"/>
  <c r="W83" i="102"/>
  <c r="W36" i="102"/>
  <c r="W50" i="102"/>
  <c r="X50" i="102" s="1"/>
  <c r="W38" i="102"/>
  <c r="W78" i="102"/>
  <c r="W57" i="100"/>
  <c r="W51" i="100"/>
  <c r="W36" i="100"/>
  <c r="W59" i="100"/>
  <c r="W96" i="100"/>
  <c r="X96" i="100" s="1"/>
  <c r="W89" i="100"/>
  <c r="W27" i="100"/>
  <c r="W73" i="100"/>
  <c r="W41" i="100"/>
  <c r="I252" i="132"/>
  <c r="I250" i="132"/>
  <c r="X40" i="99"/>
  <c r="W47" i="102"/>
  <c r="W49" i="102"/>
  <c r="X49" i="102" s="1"/>
  <c r="W42" i="100"/>
  <c r="W24" i="100"/>
  <c r="W97" i="100"/>
  <c r="X97" i="100" s="1"/>
  <c r="W53" i="100"/>
  <c r="W44" i="101"/>
  <c r="W74" i="101"/>
  <c r="W22" i="101"/>
  <c r="W62" i="101"/>
  <c r="W40" i="102"/>
  <c r="W54" i="102"/>
  <c r="W73" i="102"/>
  <c r="X73" i="102" s="1"/>
  <c r="W43" i="100"/>
  <c r="W77" i="100"/>
  <c r="W34" i="100"/>
  <c r="W82" i="100"/>
  <c r="W49" i="101"/>
  <c r="W61" i="101"/>
  <c r="W65" i="101"/>
  <c r="W60" i="101"/>
  <c r="W37" i="101"/>
  <c r="W93" i="100"/>
  <c r="W56" i="100"/>
  <c r="W67" i="102"/>
  <c r="X67" i="102" s="1"/>
  <c r="W52" i="102"/>
  <c r="W23" i="102"/>
  <c r="W56" i="102"/>
  <c r="W25" i="102"/>
  <c r="X25" i="102" s="1"/>
  <c r="W91" i="100"/>
  <c r="X91" i="100" s="1"/>
  <c r="W20" i="100"/>
  <c r="W69" i="101"/>
  <c r="W25" i="101"/>
  <c r="W38" i="101"/>
  <c r="W70" i="101"/>
  <c r="W80" i="101"/>
  <c r="W84" i="100"/>
  <c r="W44" i="102"/>
  <c r="X41" i="99"/>
  <c r="W34" i="102"/>
  <c r="W26" i="100"/>
  <c r="W51" i="101"/>
  <c r="W32" i="101"/>
  <c r="W23" i="101"/>
  <c r="W92" i="100"/>
  <c r="X92" i="100" s="1"/>
  <c r="W56" i="101"/>
  <c r="W66" i="101"/>
  <c r="W48" i="101"/>
  <c r="W20" i="101"/>
  <c r="W19" i="101"/>
  <c r="W28" i="101"/>
  <c r="X55" i="99"/>
  <c r="W19" i="100"/>
  <c r="W86" i="100"/>
  <c r="W67" i="100"/>
  <c r="W45" i="101"/>
  <c r="W68" i="101"/>
  <c r="W75" i="101"/>
  <c r="X75" i="101" s="1"/>
  <c r="W79" i="100"/>
  <c r="W22" i="102"/>
  <c r="W28" i="102"/>
  <c r="W65" i="102"/>
  <c r="X65" i="102" s="1"/>
  <c r="W21" i="102"/>
  <c r="W63" i="102"/>
  <c r="W60" i="102"/>
  <c r="W43" i="102"/>
  <c r="X43" i="102" s="1"/>
  <c r="W45" i="102"/>
  <c r="W70" i="102"/>
  <c r="W98" i="100"/>
  <c r="W45" i="100"/>
  <c r="W37" i="100"/>
  <c r="W95" i="100"/>
  <c r="W64" i="101"/>
  <c r="W43" i="101"/>
  <c r="W40" i="101"/>
  <c r="W35" i="101"/>
  <c r="X19" i="99"/>
  <c r="X53" i="99"/>
  <c r="W54" i="100"/>
  <c r="W29" i="100"/>
  <c r="W62" i="102"/>
  <c r="X62" i="102" s="1"/>
  <c r="W52" i="100"/>
  <c r="W74" i="100"/>
  <c r="W31" i="101"/>
  <c r="W78" i="101"/>
  <c r="W39" i="100"/>
  <c r="W52" i="101"/>
  <c r="W50" i="101"/>
  <c r="H191" i="132"/>
  <c r="I191" i="132" s="1"/>
  <c r="W59" i="101"/>
  <c r="W21" i="101"/>
  <c r="W33" i="101"/>
  <c r="W18" i="101"/>
  <c r="W58" i="101"/>
  <c r="W71" i="101"/>
  <c r="W30" i="101"/>
  <c r="W26" i="101"/>
  <c r="W27" i="101"/>
  <c r="W36" i="101"/>
  <c r="W41" i="101"/>
  <c r="W76" i="101"/>
  <c r="X76" i="101" s="1"/>
  <c r="W46" i="101"/>
  <c r="W24" i="101"/>
  <c r="W66" i="100"/>
  <c r="W80" i="100"/>
  <c r="W49" i="100"/>
  <c r="W21" i="100"/>
  <c r="W87" i="100"/>
  <c r="W85" i="100"/>
  <c r="W55" i="101"/>
  <c r="W73" i="101"/>
  <c r="W77" i="101"/>
  <c r="W38" i="100"/>
  <c r="W30" i="100"/>
  <c r="H108" i="132"/>
  <c r="I108" i="132" s="1"/>
  <c r="H257" i="132"/>
  <c r="I257" i="132" s="1"/>
  <c r="H105" i="132"/>
  <c r="I105" i="132" s="1"/>
  <c r="H116" i="132"/>
  <c r="I116" i="132" s="1"/>
  <c r="H171" i="132"/>
  <c r="I171" i="132" s="1"/>
  <c r="H140" i="132"/>
  <c r="I140" i="132" s="1"/>
  <c r="H122" i="132"/>
  <c r="I122" i="132" s="1"/>
  <c r="H318" i="132"/>
  <c r="I318" i="132" s="1"/>
  <c r="H104" i="132"/>
  <c r="I104" i="132" s="1"/>
  <c r="W75" i="102"/>
  <c r="W41" i="102"/>
  <c r="W27" i="102"/>
  <c r="W71" i="102"/>
  <c r="X71" i="102" s="1"/>
  <c r="W16" i="102"/>
  <c r="W19" i="102"/>
  <c r="W69" i="102"/>
  <c r="X69" i="102" s="1"/>
  <c r="W74" i="102"/>
  <c r="X74" i="102" s="1"/>
  <c r="W94" i="100"/>
  <c r="X94" i="100" s="1"/>
  <c r="W81" i="100"/>
  <c r="W46" i="100"/>
  <c r="W23" i="100"/>
  <c r="W75" i="100"/>
  <c r="W44" i="100"/>
  <c r="W63" i="100"/>
  <c r="W50" i="100"/>
  <c r="W25" i="100"/>
  <c r="W64" i="100"/>
  <c r="W31" i="100"/>
  <c r="W22" i="100"/>
  <c r="W80" i="102"/>
  <c r="W65" i="100"/>
  <c r="W62" i="100"/>
  <c r="W83" i="100"/>
  <c r="W48" i="102"/>
  <c r="W24" i="102"/>
  <c r="W46" i="102"/>
  <c r="W32" i="102"/>
  <c r="W69" i="100"/>
  <c r="W68" i="100"/>
  <c r="W61" i="100"/>
  <c r="W32" i="100"/>
  <c r="W55" i="100"/>
  <c r="W47" i="100"/>
  <c r="W100" i="100"/>
  <c r="X100" i="100" s="1"/>
  <c r="W42" i="102"/>
  <c r="X42" i="102" s="1"/>
  <c r="W39" i="102"/>
  <c r="W17" i="102"/>
  <c r="W99" i="100"/>
  <c r="X99" i="100" s="1"/>
  <c r="W90" i="100"/>
  <c r="W33" i="100"/>
  <c r="W88" i="100"/>
  <c r="W58" i="100"/>
  <c r="W78" i="100"/>
  <c r="W72" i="100"/>
  <c r="W40" i="100"/>
  <c r="W18" i="102"/>
  <c r="W35" i="102"/>
  <c r="X35" i="102" s="1"/>
  <c r="W76" i="102"/>
  <c r="W37" i="102"/>
  <c r="I251" i="132"/>
  <c r="X72" i="99"/>
  <c r="H282" i="132"/>
  <c r="I282" i="132" s="1"/>
  <c r="W57" i="102"/>
  <c r="X57" i="102" s="1"/>
  <c r="W51" i="102"/>
  <c r="X51" i="102" s="1"/>
  <c r="W59" i="102"/>
  <c r="W20" i="102"/>
  <c r="H299" i="132"/>
  <c r="I299" i="132" s="1"/>
  <c r="W79" i="102"/>
  <c r="X79" i="102" s="1"/>
  <c r="W68" i="102"/>
  <c r="W53" i="102"/>
  <c r="W66" i="102"/>
  <c r="X66" i="102" s="1"/>
  <c r="H196" i="132"/>
  <c r="I196" i="132" s="1"/>
  <c r="H199" i="132"/>
  <c r="I199" i="132" s="1"/>
  <c r="H259" i="132"/>
  <c r="I259" i="132" s="1"/>
  <c r="H304" i="132"/>
  <c r="I304" i="132" s="1"/>
  <c r="H309" i="132"/>
  <c r="I309" i="132" s="1"/>
  <c r="H173" i="132"/>
  <c r="I173" i="132" s="1"/>
  <c r="H154" i="132"/>
  <c r="I154" i="132" s="1"/>
  <c r="H204" i="132"/>
  <c r="I204" i="132" s="1"/>
  <c r="H245" i="132"/>
  <c r="I245" i="132" s="1"/>
  <c r="H260" i="132"/>
  <c r="I260" i="132" s="1"/>
  <c r="H179" i="132"/>
  <c r="I179" i="132" s="1"/>
  <c r="H133" i="132"/>
  <c r="I133" i="132" s="1"/>
  <c r="H265" i="132"/>
  <c r="I265" i="132" s="1"/>
  <c r="H319" i="132"/>
  <c r="I319" i="132" s="1"/>
  <c r="H164" i="132"/>
  <c r="I164" i="132" s="1"/>
  <c r="H262" i="132"/>
  <c r="I262" i="132" s="1"/>
  <c r="H284" i="132"/>
  <c r="I284" i="132" s="1"/>
  <c r="H268" i="132"/>
  <c r="I268" i="132" s="1"/>
  <c r="I321" i="132"/>
  <c r="H168" i="132"/>
  <c r="I168" i="132" s="1"/>
  <c r="H127" i="132"/>
  <c r="I127" i="132" s="1"/>
  <c r="H128" i="132"/>
  <c r="I128" i="132" s="1"/>
  <c r="H223" i="132"/>
  <c r="I223" i="132" s="1"/>
  <c r="H198" i="132"/>
  <c r="I198" i="132" s="1"/>
  <c r="H136" i="132"/>
  <c r="I136" i="132" s="1"/>
  <c r="H152" i="132"/>
  <c r="I152" i="132" s="1"/>
  <c r="H237" i="132"/>
  <c r="I237" i="132" s="1"/>
  <c r="H246" i="132"/>
  <c r="I246" i="132" s="1"/>
  <c r="H276" i="132"/>
  <c r="I276" i="132" s="1"/>
  <c r="H161" i="132"/>
  <c r="I161" i="132" s="1"/>
  <c r="H106" i="132"/>
  <c r="I106" i="132" s="1"/>
  <c r="H239" i="132"/>
  <c r="I239" i="132" s="1"/>
  <c r="H203" i="132"/>
  <c r="I203" i="132" s="1"/>
  <c r="H275" i="132"/>
  <c r="I275" i="132" s="1"/>
  <c r="H185" i="132"/>
  <c r="I185" i="132" s="1"/>
  <c r="H119" i="132"/>
  <c r="I119" i="132" s="1"/>
  <c r="H215" i="132"/>
  <c r="I215" i="132" s="1"/>
  <c r="H224" i="132"/>
  <c r="I224" i="132" s="1"/>
  <c r="H274" i="132"/>
  <c r="I274" i="132" s="1"/>
  <c r="H255" i="132"/>
  <c r="I255" i="132" s="1"/>
  <c r="H151" i="132"/>
  <c r="I151" i="132" s="1"/>
  <c r="H126" i="132"/>
  <c r="I126" i="132" s="1"/>
  <c r="H213" i="132"/>
  <c r="I213" i="132" s="1"/>
  <c r="H248" i="132"/>
  <c r="I248" i="132" s="1"/>
  <c r="H177" i="132"/>
  <c r="I177" i="132" s="1"/>
  <c r="H256" i="132"/>
  <c r="I256" i="132" s="1"/>
  <c r="I184" i="132"/>
  <c r="H159" i="132"/>
  <c r="I159" i="132" s="1"/>
  <c r="H132" i="132"/>
  <c r="I132" i="132" s="1"/>
  <c r="H111" i="132"/>
  <c r="I111" i="132" s="1"/>
  <c r="H211" i="132"/>
  <c r="I211" i="132" s="1"/>
  <c r="H235" i="132"/>
  <c r="I235" i="132" s="1"/>
  <c r="H273" i="132"/>
  <c r="I273" i="132" s="1"/>
  <c r="H296" i="132"/>
  <c r="I296" i="132" s="1"/>
  <c r="H174" i="132"/>
  <c r="I174" i="132" s="1"/>
  <c r="H100" i="132"/>
  <c r="I100" i="132" s="1"/>
  <c r="H316" i="132"/>
  <c r="I316" i="132" s="1"/>
  <c r="H125" i="132"/>
  <c r="I125" i="132" s="1"/>
  <c r="H123" i="132"/>
  <c r="I123" i="132" s="1"/>
  <c r="H228" i="132"/>
  <c r="I228" i="132" s="1"/>
  <c r="H310" i="132"/>
  <c r="I310" i="132" s="1"/>
  <c r="H157" i="132"/>
  <c r="I157" i="132" s="1"/>
  <c r="H202" i="132"/>
  <c r="I202" i="132" s="1"/>
  <c r="H217" i="132"/>
  <c r="I217" i="132" s="1"/>
  <c r="H277" i="132"/>
  <c r="I277" i="132" s="1"/>
  <c r="I186" i="132"/>
  <c r="H195" i="132"/>
  <c r="I195" i="132" s="1"/>
  <c r="H292" i="132"/>
  <c r="I292" i="132" s="1"/>
  <c r="H170" i="132"/>
  <c r="I170" i="132" s="1"/>
  <c r="H232" i="132"/>
  <c r="I232" i="132" s="1"/>
  <c r="H285" i="132"/>
  <c r="I285" i="132" s="1"/>
  <c r="H287" i="132"/>
  <c r="I287" i="132" s="1"/>
  <c r="C1394" i="170"/>
  <c r="E1394" i="170" s="1"/>
  <c r="E1400" i="170" s="1"/>
  <c r="H175" i="132"/>
  <c r="I175" i="132" s="1"/>
  <c r="C1908" i="170"/>
  <c r="E1908" i="170" s="1"/>
  <c r="I2126" i="170"/>
  <c r="K2126" i="170" s="1"/>
  <c r="K2131" i="170" s="1"/>
  <c r="H263" i="132"/>
  <c r="I263" i="132" s="1"/>
  <c r="C935" i="170"/>
  <c r="E935" i="170" s="1"/>
  <c r="E941" i="170" s="1"/>
  <c r="C2206" i="170"/>
  <c r="E2206" i="170" s="1"/>
  <c r="E2211" i="170" s="1"/>
  <c r="H272" i="132"/>
  <c r="I272" i="132" s="1"/>
  <c r="I2334" i="170"/>
  <c r="K2334" i="170" s="1"/>
  <c r="K2339" i="170" s="1"/>
  <c r="I2078" i="170"/>
  <c r="K2078" i="170" s="1"/>
  <c r="K2083" i="170" s="1"/>
  <c r="C2286" i="170"/>
  <c r="E2286" i="170" s="1"/>
  <c r="E2291" i="170" s="1"/>
  <c r="C1156" i="170"/>
  <c r="E1156" i="170" s="1"/>
  <c r="E1162" i="170" s="1"/>
  <c r="H147" i="132"/>
  <c r="I147" i="132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H135" i="132"/>
  <c r="I135" i="132" s="1"/>
  <c r="C2575" i="170"/>
  <c r="E2575" i="170" s="1"/>
  <c r="E2580" i="170" s="1"/>
  <c r="C2350" i="170"/>
  <c r="E2350" i="170" s="1"/>
  <c r="E2355" i="170" s="1"/>
  <c r="C2254" i="170"/>
  <c r="E2254" i="170" s="1"/>
  <c r="E2259" i="170" s="1"/>
  <c r="I1517" i="170"/>
  <c r="K1517" i="170" s="1"/>
  <c r="K1523" i="170" s="1"/>
  <c r="I2110" i="170"/>
  <c r="K2110" i="170" s="1"/>
  <c r="K2115" i="170" s="1"/>
  <c r="I1823" i="170"/>
  <c r="K1823" i="170" s="1"/>
  <c r="K1829" i="170" s="1"/>
  <c r="H227" i="132"/>
  <c r="I227" i="132" s="1"/>
  <c r="C1428" i="170"/>
  <c r="E1428" i="170" s="1"/>
  <c r="E1434" i="170" s="1"/>
  <c r="C2526" i="170"/>
  <c r="E2526" i="170" s="1"/>
  <c r="E2531" i="170" s="1"/>
  <c r="H312" i="132"/>
  <c r="I312" i="132" s="1"/>
  <c r="I1309" i="170"/>
  <c r="K1309" i="170" s="1"/>
  <c r="K1315" i="170" s="1"/>
  <c r="I783" i="170"/>
  <c r="K783" i="170" s="1"/>
  <c r="K789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I1139" i="170"/>
  <c r="K1139" i="170" s="1"/>
  <c r="K1145" i="170" s="1"/>
  <c r="C1122" i="170"/>
  <c r="E1122" i="170" s="1"/>
  <c r="E1128" i="170" s="1"/>
  <c r="I1670" i="170"/>
  <c r="K1670" i="170" s="1"/>
  <c r="K1676" i="170" s="1"/>
  <c r="H209" i="132"/>
  <c r="I209" i="132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I1806" i="170"/>
  <c r="K1806" i="170" s="1"/>
  <c r="K1812" i="170" s="1"/>
  <c r="H225" i="132"/>
  <c r="I225" i="132" s="1"/>
  <c r="C1517" i="170"/>
  <c r="E1517" i="170" s="1"/>
  <c r="E1523" i="170" s="1"/>
  <c r="I2446" i="170"/>
  <c r="K2446" i="170" s="1"/>
  <c r="K2451" i="170" s="1"/>
  <c r="C867" i="170"/>
  <c r="E867" i="170" s="1"/>
  <c r="E873" i="170" s="1"/>
  <c r="I1003" i="170"/>
  <c r="K1003" i="170" s="1"/>
  <c r="K1009" i="170" s="1"/>
  <c r="C884" i="170"/>
  <c r="E884" i="170" s="1"/>
  <c r="E890" i="170" s="1"/>
  <c r="C1687" i="170"/>
  <c r="E1687" i="170" s="1"/>
  <c r="E1693" i="170" s="1"/>
  <c r="H210" i="132"/>
  <c r="I210" i="132" s="1"/>
  <c r="C1823" i="170"/>
  <c r="E1823" i="170" s="1"/>
  <c r="E1829" i="170" s="1"/>
  <c r="C1942" i="170"/>
  <c r="E1942" i="170" s="1"/>
  <c r="E1948" i="170" s="1"/>
  <c r="H240" i="132"/>
  <c r="I240" i="132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H148" i="132"/>
  <c r="I148" i="132" s="1"/>
  <c r="H313" i="132"/>
  <c r="I313" i="132" s="1"/>
  <c r="H109" i="132"/>
  <c r="I109" i="132" s="1"/>
  <c r="H153" i="132"/>
  <c r="I153" i="132" s="1"/>
  <c r="H155" i="132"/>
  <c r="I155" i="132" s="1"/>
  <c r="H221" i="132"/>
  <c r="I221" i="132" s="1"/>
  <c r="H118" i="132"/>
  <c r="I118" i="132" s="1"/>
  <c r="H301" i="132"/>
  <c r="I301" i="132" s="1"/>
  <c r="I183" i="132"/>
  <c r="W104" i="100"/>
  <c r="X104" i="100" s="1"/>
  <c r="H205" i="132"/>
  <c r="I205" i="132" s="1"/>
  <c r="H138" i="132"/>
  <c r="I138" i="132" s="1"/>
  <c r="H158" i="132"/>
  <c r="I158" i="132" s="1"/>
  <c r="H129" i="132"/>
  <c r="I129" i="132" s="1"/>
  <c r="H249" i="132"/>
  <c r="I249" i="132" s="1"/>
  <c r="H294" i="132"/>
  <c r="I294" i="132" s="1"/>
  <c r="H270" i="132"/>
  <c r="I270" i="132" s="1"/>
  <c r="H162" i="132"/>
  <c r="I162" i="132" s="1"/>
  <c r="H283" i="132"/>
  <c r="I283" i="132" s="1"/>
  <c r="X72" i="102"/>
  <c r="H222" i="132"/>
  <c r="I222" i="132" s="1"/>
  <c r="H163" i="132"/>
  <c r="I163" i="132" s="1"/>
  <c r="H134" i="132"/>
  <c r="I134" i="132" s="1"/>
  <c r="H218" i="132"/>
  <c r="I218" i="132" s="1"/>
  <c r="H300" i="132"/>
  <c r="I300" i="132" s="1"/>
  <c r="H295" i="132"/>
  <c r="I295" i="132" s="1"/>
  <c r="H146" i="132"/>
  <c r="I146" i="132" s="1"/>
  <c r="H178" i="132"/>
  <c r="I178" i="132" s="1"/>
  <c r="H165" i="132"/>
  <c r="I165" i="132" s="1"/>
  <c r="H103" i="132"/>
  <c r="I103" i="132" s="1"/>
  <c r="H243" i="132"/>
  <c r="I243" i="132" s="1"/>
  <c r="H143" i="132"/>
  <c r="I143" i="132" s="1"/>
  <c r="H144" i="132"/>
  <c r="I144" i="132" s="1"/>
  <c r="H241" i="132"/>
  <c r="I241" i="132" s="1"/>
  <c r="H214" i="132"/>
  <c r="I214" i="132" s="1"/>
  <c r="H261" i="132"/>
  <c r="I261" i="132" s="1"/>
  <c r="H290" i="132"/>
  <c r="I290" i="132" s="1"/>
  <c r="H279" i="132"/>
  <c r="I279" i="132" s="1"/>
  <c r="H139" i="132"/>
  <c r="I139" i="132" s="1"/>
  <c r="H145" i="132"/>
  <c r="I145" i="132" s="1"/>
  <c r="H288" i="132"/>
  <c r="I288" i="132" s="1"/>
  <c r="H302" i="132"/>
  <c r="I302" i="132" s="1"/>
  <c r="H244" i="132"/>
  <c r="I244" i="132" s="1"/>
  <c r="H180" i="132"/>
  <c r="I180" i="132" s="1"/>
  <c r="H166" i="132"/>
  <c r="I166" i="132" s="1"/>
  <c r="H314" i="132"/>
  <c r="I314" i="132" s="1"/>
  <c r="H101" i="132"/>
  <c r="I101" i="132" s="1"/>
  <c r="H160" i="132"/>
  <c r="I160" i="132" s="1"/>
  <c r="H131" i="132"/>
  <c r="I131" i="132" s="1"/>
  <c r="H219" i="132"/>
  <c r="I219" i="132" s="1"/>
  <c r="H297" i="132"/>
  <c r="I297" i="132" s="1"/>
  <c r="H311" i="132"/>
  <c r="I311" i="132" s="1"/>
  <c r="H281" i="132"/>
  <c r="I281" i="132" s="1"/>
  <c r="H317" i="132"/>
  <c r="I317" i="132" s="1"/>
  <c r="H190" i="132"/>
  <c r="I190" i="132" s="1"/>
  <c r="H192" i="132"/>
  <c r="I192" i="132" s="1"/>
  <c r="H220" i="132"/>
  <c r="I220" i="132" s="1"/>
  <c r="H293" i="132"/>
  <c r="I293" i="132" s="1"/>
  <c r="H278" i="132"/>
  <c r="I278" i="132" s="1"/>
  <c r="H230" i="132"/>
  <c r="I230" i="132" s="1"/>
  <c r="H307" i="132"/>
  <c r="I307" i="132" s="1"/>
  <c r="H142" i="132"/>
  <c r="I142" i="132" s="1"/>
  <c r="H236" i="132"/>
  <c r="I236" i="132" s="1"/>
  <c r="H194" i="132"/>
  <c r="I194" i="132" s="1"/>
  <c r="H269" i="132"/>
  <c r="I269" i="132" s="1"/>
  <c r="H306" i="132"/>
  <c r="I306" i="132" s="1"/>
  <c r="H267" i="132"/>
  <c r="I267" i="132" s="1"/>
  <c r="H305" i="132"/>
  <c r="I305" i="132" s="1"/>
  <c r="J346" i="151"/>
  <c r="H258" i="132"/>
  <c r="I258" i="132" s="1"/>
  <c r="H102" i="132"/>
  <c r="I102" i="132" s="1"/>
  <c r="H120" i="132"/>
  <c r="I120" i="132" s="1"/>
  <c r="H110" i="132"/>
  <c r="I110" i="132" s="1"/>
  <c r="H176" i="132"/>
  <c r="I176" i="132" s="1"/>
  <c r="H172" i="132"/>
  <c r="I172" i="132" s="1"/>
  <c r="H234" i="132"/>
  <c r="I234" i="132" s="1"/>
  <c r="H238" i="132"/>
  <c r="I238" i="132" s="1"/>
  <c r="H201" i="132"/>
  <c r="I201" i="132" s="1"/>
  <c r="H266" i="132"/>
  <c r="I266" i="132" s="1"/>
  <c r="H112" i="132"/>
  <c r="I112" i="132" s="1"/>
  <c r="H167" i="132"/>
  <c r="I167" i="132" s="1"/>
  <c r="H124" i="132"/>
  <c r="I124" i="132" s="1"/>
  <c r="H231" i="132"/>
  <c r="I231" i="132" s="1"/>
  <c r="H291" i="132"/>
  <c r="I291" i="132" s="1"/>
  <c r="H271" i="132"/>
  <c r="I271" i="132" s="1"/>
  <c r="H247" i="132"/>
  <c r="I247" i="132" s="1"/>
  <c r="H169" i="132"/>
  <c r="I169" i="132" s="1"/>
  <c r="H207" i="132"/>
  <c r="I207" i="132" s="1"/>
  <c r="H197" i="132"/>
  <c r="I197" i="132" s="1"/>
  <c r="H289" i="132"/>
  <c r="I289" i="132" s="1"/>
  <c r="H206" i="132"/>
  <c r="I206" i="132" s="1"/>
  <c r="H322" i="132"/>
  <c r="I322" i="132" s="1"/>
  <c r="H121" i="132"/>
  <c r="I121" i="132" s="1"/>
  <c r="H141" i="132"/>
  <c r="I141" i="132" s="1"/>
  <c r="H117" i="132"/>
  <c r="I117" i="132" s="1"/>
  <c r="H137" i="132"/>
  <c r="I137" i="132" s="1"/>
  <c r="H107" i="132"/>
  <c r="I107" i="132" s="1"/>
  <c r="I10" i="170"/>
  <c r="K10" i="170" s="1"/>
  <c r="K19" i="170" s="1"/>
  <c r="H113" i="132"/>
  <c r="I113" i="132" s="1"/>
  <c r="H130" i="132"/>
  <c r="I130" i="132" s="1"/>
  <c r="H149" i="132"/>
  <c r="I149" i="132" s="1"/>
  <c r="H115" i="132"/>
  <c r="I115" i="132" s="1"/>
  <c r="H114" i="132"/>
  <c r="I114" i="132" s="1"/>
  <c r="H229" i="132"/>
  <c r="I229" i="132" s="1"/>
  <c r="H280" i="132"/>
  <c r="I280" i="132" s="1"/>
  <c r="H286" i="132"/>
  <c r="I286" i="132" s="1"/>
  <c r="H200" i="132"/>
  <c r="I200" i="132" s="1"/>
  <c r="H308" i="132"/>
  <c r="I308" i="132" s="1"/>
  <c r="H181" i="132"/>
  <c r="I181" i="132" s="1"/>
  <c r="H315" i="132"/>
  <c r="I315" i="132" s="1"/>
  <c r="H216" i="132"/>
  <c r="I216" i="132" s="1"/>
  <c r="H193" i="132"/>
  <c r="I193" i="132" s="1"/>
  <c r="H233" i="132"/>
  <c r="I233" i="132" s="1"/>
  <c r="H303" i="132"/>
  <c r="I303" i="132" s="1"/>
  <c r="H298" i="132"/>
  <c r="I298" i="132" s="1"/>
  <c r="H226" i="132"/>
  <c r="I226" i="132" s="1"/>
  <c r="H182" i="132"/>
  <c r="I182" i="132" s="1"/>
  <c r="H150" i="132"/>
  <c r="I150" i="132" s="1"/>
  <c r="H208" i="132"/>
  <c r="I208" i="132" s="1"/>
  <c r="H212" i="132"/>
  <c r="I212" i="132" s="1"/>
  <c r="H242" i="132"/>
  <c r="I242" i="132" s="1"/>
  <c r="H264" i="132"/>
  <c r="I264" i="132" s="1"/>
  <c r="H189" i="132"/>
  <c r="I189" i="132" s="1"/>
  <c r="H156" i="132"/>
  <c r="I156" i="132" s="1"/>
  <c r="X44" i="99"/>
  <c r="X54" i="99"/>
  <c r="X32" i="99"/>
  <c r="X37" i="102"/>
  <c r="X34" i="102"/>
  <c r="X77" i="102"/>
  <c r="O100" i="99"/>
  <c r="K2467" i="170"/>
  <c r="I2591" i="170"/>
  <c r="K2591" i="170" s="1"/>
  <c r="K2387" i="170"/>
  <c r="E2467" i="170"/>
  <c r="E924" i="170"/>
  <c r="K992" i="170"/>
  <c r="E1383" i="170"/>
  <c r="K1332" i="170"/>
  <c r="K1230" i="170"/>
  <c r="E772" i="170"/>
  <c r="E1145" i="170"/>
  <c r="K2531" i="170"/>
  <c r="K2403" i="170"/>
  <c r="E2131" i="170"/>
  <c r="K2435" i="170"/>
  <c r="K2163" i="170"/>
  <c r="K2275" i="170"/>
  <c r="E2547" i="170"/>
  <c r="K2499" i="170"/>
  <c r="K755" i="170"/>
  <c r="E1213" i="170"/>
  <c r="E1281" i="170"/>
  <c r="K772" i="170"/>
  <c r="K1077" i="170"/>
  <c r="E1111" i="170"/>
  <c r="E1043" i="170"/>
  <c r="K1128" i="170"/>
  <c r="K1383" i="170"/>
  <c r="K1060" i="170"/>
  <c r="K1400" i="170"/>
  <c r="E1230" i="170"/>
  <c r="K975" i="170"/>
  <c r="K1026" i="170"/>
  <c r="K1281" i="170"/>
  <c r="K1451" i="170"/>
  <c r="C2591" i="170"/>
  <c r="E2591" i="170" s="1"/>
  <c r="E2596" i="170" s="1"/>
  <c r="K2323" i="170"/>
  <c r="E2307" i="170"/>
  <c r="K2371" i="170"/>
  <c r="E2083" i="170"/>
  <c r="K1213" i="170"/>
  <c r="K1179" i="170"/>
  <c r="E856" i="170"/>
  <c r="K839" i="170"/>
  <c r="K2099" i="170"/>
  <c r="E2403" i="170"/>
  <c r="E2387" i="170"/>
  <c r="K2547" i="170"/>
  <c r="K2355" i="170"/>
  <c r="E2483" i="170"/>
  <c r="X28" i="99"/>
  <c r="X62" i="99"/>
  <c r="E2227" i="170"/>
  <c r="E2323" i="170"/>
  <c r="K2179" i="170"/>
  <c r="K2067" i="170"/>
  <c r="E2371" i="170"/>
  <c r="K2515" i="170"/>
  <c r="K2211" i="170"/>
  <c r="E2419" i="170"/>
  <c r="E2099" i="170"/>
  <c r="K2483" i="170"/>
  <c r="E1026" i="170"/>
  <c r="K1366" i="170"/>
  <c r="K924" i="170"/>
  <c r="K890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K1111" i="170"/>
  <c r="E1451" i="170"/>
  <c r="K1434" i="170"/>
  <c r="E1332" i="170"/>
  <c r="K856" i="170"/>
  <c r="E1094" i="170"/>
  <c r="K2580" i="170"/>
  <c r="E2195" i="170"/>
  <c r="K2243" i="170"/>
  <c r="E2515" i="170"/>
  <c r="E2163" i="170"/>
  <c r="K2195" i="170"/>
  <c r="K2307" i="170"/>
  <c r="E2243" i="170"/>
  <c r="K2227" i="170"/>
  <c r="K2147" i="170"/>
  <c r="K2291" i="170"/>
  <c r="E2339" i="170"/>
  <c r="X30" i="102"/>
  <c r="K1264" i="170"/>
  <c r="E1298" i="170"/>
  <c r="K1196" i="170"/>
  <c r="K1043" i="170"/>
  <c r="E1009" i="170"/>
  <c r="K1162" i="170"/>
  <c r="E1264" i="170"/>
  <c r="E992" i="170"/>
  <c r="E907" i="170"/>
  <c r="K873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91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X77" i="101"/>
  <c r="X75" i="102"/>
  <c r="X45" i="102"/>
  <c r="X21" i="102"/>
  <c r="U17" i="100"/>
  <c r="X95" i="100"/>
  <c r="X93" i="100"/>
  <c r="X98" i="100"/>
  <c r="X84" i="99"/>
  <c r="X29" i="102"/>
  <c r="X61" i="102"/>
  <c r="X64" i="99"/>
  <c r="X68" i="99"/>
  <c r="X63" i="102"/>
  <c r="X66" i="99"/>
  <c r="X82" i="99"/>
  <c r="X46" i="99"/>
  <c r="X56" i="99"/>
  <c r="X20" i="99"/>
  <c r="X31" i="102"/>
  <c r="X55" i="102"/>
  <c r="X78" i="99"/>
  <c r="X76" i="102"/>
  <c r="X39" i="102"/>
  <c r="X26" i="102"/>
  <c r="X54" i="102"/>
  <c r="X80" i="102"/>
  <c r="X70" i="102"/>
  <c r="X81" i="102"/>
  <c r="X48" i="102"/>
  <c r="X58" i="102"/>
  <c r="X84" i="102"/>
  <c r="X64" i="102"/>
  <c r="X68" i="102"/>
  <c r="X78" i="102"/>
  <c r="X60" i="102"/>
  <c r="U15" i="102"/>
  <c r="X38" i="99"/>
  <c r="X32" i="102"/>
  <c r="X28" i="102"/>
  <c r="X83" i="102"/>
  <c r="X85" i="102" s="1"/>
  <c r="R34" i="152"/>
  <c r="H35" i="154" s="1"/>
  <c r="U17" i="101"/>
  <c r="X74" i="101"/>
  <c r="X80" i="101"/>
  <c r="X26" i="99"/>
  <c r="X50" i="99"/>
  <c r="X86" i="99"/>
  <c r="X52" i="99"/>
  <c r="X76" i="99"/>
  <c r="X80" i="99"/>
  <c r="X24" i="99"/>
  <c r="X22" i="99"/>
  <c r="X42" i="99"/>
  <c r="X18" i="99"/>
  <c r="X70" i="99"/>
  <c r="X58" i="99"/>
  <c r="X74" i="99"/>
  <c r="X60" i="99"/>
  <c r="X36" i="99"/>
  <c r="X81" i="99"/>
  <c r="X35" i="99"/>
  <c r="X43" i="99"/>
  <c r="X75" i="99"/>
  <c r="X63" i="99"/>
  <c r="X51" i="99"/>
  <c r="X71" i="99"/>
  <c r="C9" i="170"/>
  <c r="E9" i="170" s="1"/>
  <c r="T17" i="101"/>
  <c r="T17" i="100"/>
  <c r="L155" i="170"/>
  <c r="L584" i="170"/>
  <c r="L379" i="170"/>
  <c r="T15" i="102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C744" i="170"/>
  <c r="E744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C745" i="170"/>
  <c r="E745" i="170" s="1"/>
  <c r="L500" i="170"/>
  <c r="L431" i="170"/>
  <c r="L189" i="170"/>
  <c r="L822" i="170"/>
  <c r="L292" i="170"/>
  <c r="L87" i="170"/>
  <c r="G2293" i="170"/>
  <c r="A2309" i="170"/>
  <c r="X34" i="99"/>
  <c r="X29" i="99"/>
  <c r="X73" i="99"/>
  <c r="X85" i="99"/>
  <c r="X25" i="99"/>
  <c r="X45" i="99"/>
  <c r="X69" i="99"/>
  <c r="X79" i="99"/>
  <c r="X21" i="99"/>
  <c r="X67" i="99"/>
  <c r="X30" i="99"/>
  <c r="X23" i="99"/>
  <c r="X61" i="99"/>
  <c r="X33" i="99"/>
  <c r="X47" i="99"/>
  <c r="X37" i="99"/>
  <c r="X87" i="99"/>
  <c r="X65" i="99"/>
  <c r="X31" i="99"/>
  <c r="X83" i="99"/>
  <c r="X57" i="99"/>
  <c r="X39" i="99"/>
  <c r="X77" i="99"/>
  <c r="X59" i="99"/>
  <c r="X48" i="99"/>
  <c r="X49" i="99"/>
  <c r="X27" i="99"/>
  <c r="G17" i="135"/>
  <c r="J17" i="135" s="1"/>
  <c r="F17" i="100"/>
  <c r="F105" i="100" s="1"/>
  <c r="G15" i="132"/>
  <c r="X61" i="151"/>
  <c r="Z61" i="151" s="1"/>
  <c r="X56" i="151"/>
  <c r="X18" i="151"/>
  <c r="X81" i="151"/>
  <c r="X28" i="151"/>
  <c r="Z28" i="151" s="1"/>
  <c r="X58" i="151"/>
  <c r="X84" i="151"/>
  <c r="Z84" i="151" s="1"/>
  <c r="X37" i="151"/>
  <c r="Z37" i="151" s="1"/>
  <c r="X87" i="151"/>
  <c r="I381" i="132"/>
  <c r="X54" i="151"/>
  <c r="X79" i="151"/>
  <c r="Z79" i="151" s="1"/>
  <c r="X52" i="151"/>
  <c r="Z52" i="151" s="1"/>
  <c r="X77" i="151"/>
  <c r="X85" i="151"/>
  <c r="X55" i="151"/>
  <c r="X59" i="151"/>
  <c r="Z59" i="151" s="1"/>
  <c r="X78" i="151"/>
  <c r="X36" i="151"/>
  <c r="Z36" i="151" s="1"/>
  <c r="X43" i="151"/>
  <c r="Z43" i="151" s="1"/>
  <c r="X82" i="151"/>
  <c r="X32" i="151"/>
  <c r="Z32" i="151" s="1"/>
  <c r="X31" i="151"/>
  <c r="X45" i="151"/>
  <c r="Z45" i="151" s="1"/>
  <c r="X34" i="151"/>
  <c r="X44" i="151"/>
  <c r="Z44" i="151" s="1"/>
  <c r="X75" i="151"/>
  <c r="Z75" i="151" s="1"/>
  <c r="X41" i="151"/>
  <c r="Z41" i="151" s="1"/>
  <c r="X21" i="151"/>
  <c r="X71" i="151"/>
  <c r="X63" i="151"/>
  <c r="X39" i="151"/>
  <c r="Z39" i="151" s="1"/>
  <c r="F15" i="102"/>
  <c r="F85" i="102" s="1"/>
  <c r="X30" i="151"/>
  <c r="F17" i="101"/>
  <c r="F82" i="101" s="1"/>
  <c r="X24" i="151"/>
  <c r="X46" i="151"/>
  <c r="Z46" i="151" s="1"/>
  <c r="X62" i="151"/>
  <c r="Z62" i="151" s="1"/>
  <c r="AH101" i="151"/>
  <c r="AF101" i="151"/>
  <c r="X22" i="151"/>
  <c r="X67" i="151"/>
  <c r="X26" i="151"/>
  <c r="X27" i="151"/>
  <c r="X35" i="151"/>
  <c r="X83" i="151"/>
  <c r="X53" i="151"/>
  <c r="Z53" i="151" s="1"/>
  <c r="X69" i="151"/>
  <c r="Z69" i="151" s="1"/>
  <c r="X74" i="151"/>
  <c r="X19" i="151"/>
  <c r="Z19" i="151" s="1"/>
  <c r="X64" i="151"/>
  <c r="Z64" i="151" s="1"/>
  <c r="X70" i="151"/>
  <c r="Z70" i="151" s="1"/>
  <c r="X51" i="151"/>
  <c r="X50" i="151"/>
  <c r="X72" i="151"/>
  <c r="X29" i="151"/>
  <c r="X48" i="151"/>
  <c r="X86" i="151"/>
  <c r="Z86" i="151" s="1"/>
  <c r="X42" i="151"/>
  <c r="X65" i="151"/>
  <c r="X23" i="151"/>
  <c r="Z23" i="151" s="1"/>
  <c r="X25" i="151"/>
  <c r="X76" i="151"/>
  <c r="X66" i="151"/>
  <c r="X33" i="151"/>
  <c r="X49" i="151"/>
  <c r="Z49" i="151" s="1"/>
  <c r="X57" i="151"/>
  <c r="Z57" i="151" s="1"/>
  <c r="AG16" i="151"/>
  <c r="X60" i="151"/>
  <c r="Z60" i="151" s="1"/>
  <c r="X68" i="151"/>
  <c r="Z68" i="151" s="1"/>
  <c r="M323" i="113"/>
  <c r="P323" i="113" s="1"/>
  <c r="S323" i="113" s="1"/>
  <c r="U323" i="113" s="1"/>
  <c r="X320" i="9"/>
  <c r="Z80" i="151"/>
  <c r="Z20" i="151"/>
  <c r="Z47" i="151"/>
  <c r="Z40" i="151"/>
  <c r="Z38" i="151"/>
  <c r="Z73" i="151"/>
  <c r="AG101" i="151"/>
  <c r="AE101" i="151"/>
  <c r="F189" i="151"/>
  <c r="F254" i="132"/>
  <c r="F100" i="151"/>
  <c r="D317" i="128"/>
  <c r="D324" i="128" s="1"/>
  <c r="K317" i="128"/>
  <c r="K324" i="128" s="1"/>
  <c r="H17" i="100"/>
  <c r="H105" i="100" s="1"/>
  <c r="W320" i="9"/>
  <c r="Y320" i="9"/>
  <c r="G17" i="100"/>
  <c r="G105" i="100" s="1"/>
  <c r="K17" i="100"/>
  <c r="K17" i="101"/>
  <c r="K18" i="101"/>
  <c r="K15" i="102"/>
  <c r="K16" i="102"/>
  <c r="G15" i="102"/>
  <c r="G16" i="102"/>
  <c r="G18" i="101"/>
  <c r="H18" i="101"/>
  <c r="G17" i="101"/>
  <c r="H17" i="101"/>
  <c r="AI27" i="32"/>
  <c r="U9" i="9"/>
  <c r="U320" i="9" s="1"/>
  <c r="P317" i="128"/>
  <c r="P324" i="128" s="1"/>
  <c r="F101" i="113"/>
  <c r="W214" i="113"/>
  <c r="G210" i="113"/>
  <c r="W102" i="113"/>
  <c r="W101" i="113"/>
  <c r="L105" i="113"/>
  <c r="M105" i="113" s="1"/>
  <c r="L316" i="113"/>
  <c r="M316" i="113" s="1"/>
  <c r="P316" i="113" s="1"/>
  <c r="M327" i="113"/>
  <c r="P327" i="113" s="1"/>
  <c r="S327" i="113" s="1"/>
  <c r="U327" i="113" s="1"/>
  <c r="M325" i="113"/>
  <c r="P325" i="113" s="1"/>
  <c r="S325" i="113" s="1"/>
  <c r="U325" i="113" s="1"/>
  <c r="M321" i="113"/>
  <c r="P321" i="113" s="1"/>
  <c r="S321" i="113" s="1"/>
  <c r="U321" i="113" s="1"/>
  <c r="M329" i="113"/>
  <c r="P329" i="113" s="1"/>
  <c r="S329" i="113" s="1"/>
  <c r="U329" i="113" s="1"/>
  <c r="F102" i="113"/>
  <c r="L114" i="113"/>
  <c r="M114" i="113" s="1"/>
  <c r="L107" i="113"/>
  <c r="M107" i="113" s="1"/>
  <c r="L108" i="113"/>
  <c r="M108" i="113" s="1"/>
  <c r="L104" i="113"/>
  <c r="M104" i="113" s="1"/>
  <c r="L133" i="113"/>
  <c r="M133" i="113" s="1"/>
  <c r="N133" i="113"/>
  <c r="N122" i="113"/>
  <c r="N119" i="113"/>
  <c r="L119" i="113"/>
  <c r="M119" i="113" s="1"/>
  <c r="N128" i="113"/>
  <c r="L122" i="113"/>
  <c r="M122" i="113" s="1"/>
  <c r="L120" i="113"/>
  <c r="M120" i="113" s="1"/>
  <c r="L128" i="113"/>
  <c r="M128" i="113" s="1"/>
  <c r="N104" i="113"/>
  <c r="L175" i="113"/>
  <c r="M175" i="113" s="1"/>
  <c r="N108" i="113"/>
  <c r="N114" i="113"/>
  <c r="N105" i="113"/>
  <c r="N107" i="113"/>
  <c r="N120" i="113"/>
  <c r="X59" i="102"/>
  <c r="F180" i="99"/>
  <c r="L318" i="113"/>
  <c r="M318" i="113" s="1"/>
  <c r="P318" i="113" s="1"/>
  <c r="G308" i="113"/>
  <c r="F150" i="113"/>
  <c r="G290" i="113"/>
  <c r="F290" i="113"/>
  <c r="F144" i="113"/>
  <c r="G236" i="113"/>
  <c r="G152" i="113"/>
  <c r="W161" i="113"/>
  <c r="W236" i="113"/>
  <c r="F291" i="113"/>
  <c r="F257" i="113"/>
  <c r="W265" i="113"/>
  <c r="W291" i="113"/>
  <c r="F210" i="113"/>
  <c r="G169" i="113"/>
  <c r="F163" i="113"/>
  <c r="F237" i="113"/>
  <c r="W257" i="113"/>
  <c r="G258" i="113"/>
  <c r="W112" i="113"/>
  <c r="G150" i="113"/>
  <c r="F271" i="113"/>
  <c r="W271" i="113"/>
  <c r="W193" i="113"/>
  <c r="W115" i="113"/>
  <c r="W295" i="113"/>
  <c r="W235" i="113"/>
  <c r="F224" i="113"/>
  <c r="W196" i="113"/>
  <c r="F234" i="113"/>
  <c r="G151" i="113"/>
  <c r="W274" i="113"/>
  <c r="W282" i="113"/>
  <c r="W204" i="113"/>
  <c r="F204" i="113"/>
  <c r="W141" i="113"/>
  <c r="L307" i="113"/>
  <c r="M307" i="113" s="1"/>
  <c r="L210" i="113"/>
  <c r="M210" i="113" s="1"/>
  <c r="W296" i="113"/>
  <c r="L195" i="113"/>
  <c r="M195" i="113" s="1"/>
  <c r="L165" i="113"/>
  <c r="M165" i="113" s="1"/>
  <c r="L220" i="113"/>
  <c r="M220" i="113" s="1"/>
  <c r="L213" i="113"/>
  <c r="M213" i="113" s="1"/>
  <c r="G256" i="113"/>
  <c r="G223" i="113"/>
  <c r="L301" i="113"/>
  <c r="M301" i="113" s="1"/>
  <c r="L232" i="113"/>
  <c r="M232" i="113" s="1"/>
  <c r="L221" i="113"/>
  <c r="M221" i="113" s="1"/>
  <c r="F279" i="113"/>
  <c r="F189" i="113"/>
  <c r="F164" i="113"/>
  <c r="L166" i="113"/>
  <c r="M166" i="113" s="1"/>
  <c r="W189" i="113"/>
  <c r="L205" i="113"/>
  <c r="M205" i="113" s="1"/>
  <c r="L192" i="113"/>
  <c r="M192" i="113" s="1"/>
  <c r="L222" i="113"/>
  <c r="M222" i="113" s="1"/>
  <c r="F278" i="113"/>
  <c r="G229" i="113"/>
  <c r="G278" i="113"/>
  <c r="W155" i="113"/>
  <c r="L218" i="113"/>
  <c r="M218" i="113" s="1"/>
  <c r="F310" i="113"/>
  <c r="N175" i="113"/>
  <c r="N218" i="113"/>
  <c r="N136" i="113"/>
  <c r="L136" i="113"/>
  <c r="M136" i="113" s="1"/>
  <c r="L138" i="113"/>
  <c r="M138" i="113" s="1"/>
  <c r="W259" i="113"/>
  <c r="F295" i="113"/>
  <c r="F286" i="113"/>
  <c r="F153" i="113"/>
  <c r="F272" i="113"/>
  <c r="F302" i="113"/>
  <c r="F191" i="113"/>
  <c r="F158" i="113"/>
  <c r="L171" i="113"/>
  <c r="M171" i="113" s="1"/>
  <c r="W160" i="113"/>
  <c r="W191" i="113"/>
  <c r="G212" i="113"/>
  <c r="G279" i="113"/>
  <c r="F152" i="113"/>
  <c r="F157" i="113"/>
  <c r="W234" i="113"/>
  <c r="G260" i="113"/>
  <c r="W170" i="113"/>
  <c r="G224" i="113"/>
  <c r="G300" i="113"/>
  <c r="W268" i="113"/>
  <c r="W244" i="113"/>
  <c r="F196" i="113"/>
  <c r="W124" i="113"/>
  <c r="F296" i="113"/>
  <c r="F240" i="113"/>
  <c r="F270" i="113"/>
  <c r="N171" i="113"/>
  <c r="W240" i="113"/>
  <c r="G163" i="113"/>
  <c r="G208" i="113"/>
  <c r="W208" i="113"/>
  <c r="F299" i="113"/>
  <c r="F226" i="113"/>
  <c r="L289" i="113"/>
  <c r="M289" i="113" s="1"/>
  <c r="L198" i="113"/>
  <c r="M198" i="113" s="1"/>
  <c r="F258" i="113"/>
  <c r="F292" i="113"/>
  <c r="G259" i="113"/>
  <c r="F141" i="113"/>
  <c r="G310" i="113"/>
  <c r="G237" i="113"/>
  <c r="F206" i="113"/>
  <c r="G299" i="113"/>
  <c r="G298" i="113"/>
  <c r="F261" i="113"/>
  <c r="F193" i="113"/>
  <c r="F168" i="113"/>
  <c r="F284" i="113"/>
  <c r="G276" i="113"/>
  <c r="L208" i="113"/>
  <c r="M208" i="113" s="1"/>
  <c r="L203" i="113"/>
  <c r="M203" i="113" s="1"/>
  <c r="F256" i="113"/>
  <c r="G292" i="113"/>
  <c r="F308" i="113"/>
  <c r="F155" i="113"/>
  <c r="F151" i="113"/>
  <c r="F228" i="113"/>
  <c r="G211" i="113"/>
  <c r="L249" i="113"/>
  <c r="M249" i="113" s="1"/>
  <c r="L182" i="113"/>
  <c r="M182" i="113" s="1"/>
  <c r="L306" i="113"/>
  <c r="M306" i="113" s="1"/>
  <c r="G244" i="113"/>
  <c r="F235" i="113"/>
  <c r="W228" i="113"/>
  <c r="F190" i="113"/>
  <c r="L292" i="113"/>
  <c r="M292" i="113" s="1"/>
  <c r="F260" i="113"/>
  <c r="F160" i="113"/>
  <c r="F300" i="113"/>
  <c r="F306" i="113"/>
  <c r="G270" i="113"/>
  <c r="G268" i="113"/>
  <c r="G297" i="113"/>
  <c r="G280" i="113"/>
  <c r="G206" i="113"/>
  <c r="G226" i="113"/>
  <c r="W284" i="113"/>
  <c r="F212" i="113"/>
  <c r="F211" i="113"/>
  <c r="W105" i="113"/>
  <c r="F203" i="113"/>
  <c r="G149" i="113"/>
  <c r="L157" i="113"/>
  <c r="M157" i="113" s="1"/>
  <c r="F274" i="113"/>
  <c r="G159" i="113"/>
  <c r="G203" i="113"/>
  <c r="F254" i="113"/>
  <c r="G254" i="113"/>
  <c r="F200" i="113"/>
  <c r="L308" i="113"/>
  <c r="M308" i="113" s="1"/>
  <c r="L313" i="113"/>
  <c r="M313" i="113" s="1"/>
  <c r="F281" i="113"/>
  <c r="W281" i="113"/>
  <c r="F265" i="113"/>
  <c r="W289" i="113"/>
  <c r="G289" i="113"/>
  <c r="G302" i="113"/>
  <c r="W302" i="113"/>
  <c r="W263" i="113"/>
  <c r="G263" i="113"/>
  <c r="G200" i="113"/>
  <c r="G272" i="113"/>
  <c r="W272" i="113"/>
  <c r="W277" i="113"/>
  <c r="G277" i="113"/>
  <c r="W267" i="113"/>
  <c r="G267" i="113"/>
  <c r="W304" i="113"/>
  <c r="G304" i="113"/>
  <c r="W286" i="113"/>
  <c r="G286" i="113"/>
  <c r="W287" i="113"/>
  <c r="G287" i="113"/>
  <c r="G144" i="113"/>
  <c r="G195" i="113"/>
  <c r="W195" i="113"/>
  <c r="W108" i="113"/>
  <c r="W135" i="113"/>
  <c r="W194" i="113"/>
  <c r="G194" i="113"/>
  <c r="W190" i="113"/>
  <c r="G190" i="113"/>
  <c r="G202" i="113"/>
  <c r="W202" i="113"/>
  <c r="W129" i="113"/>
  <c r="W239" i="113"/>
  <c r="G239" i="113"/>
  <c r="W164" i="113"/>
  <c r="G164" i="113"/>
  <c r="W130" i="113"/>
  <c r="W137" i="113"/>
  <c r="G137" i="113"/>
  <c r="W243" i="113"/>
  <c r="G243" i="113"/>
  <c r="W172" i="113"/>
  <c r="G172" i="113"/>
  <c r="G232" i="113"/>
  <c r="W232" i="113"/>
  <c r="W107" i="113"/>
  <c r="W245" i="113"/>
  <c r="G245" i="113"/>
  <c r="W157" i="113"/>
  <c r="G157" i="113"/>
  <c r="G198" i="113"/>
  <c r="W198" i="113"/>
  <c r="W132" i="113"/>
  <c r="W122" i="113"/>
  <c r="W174" i="113"/>
  <c r="G174" i="113"/>
  <c r="W147" i="113"/>
  <c r="G147" i="113"/>
  <c r="W114" i="113"/>
  <c r="W139" i="113"/>
  <c r="G139" i="113"/>
  <c r="W158" i="113"/>
  <c r="G158" i="113"/>
  <c r="W127" i="113"/>
  <c r="G153" i="113"/>
  <c r="W153" i="113"/>
  <c r="W230" i="113"/>
  <c r="G230" i="113"/>
  <c r="W231" i="113"/>
  <c r="G231" i="113"/>
  <c r="W154" i="113"/>
  <c r="G154" i="113"/>
  <c r="W120" i="113"/>
  <c r="W140" i="113"/>
  <c r="G140" i="113"/>
  <c r="G171" i="113"/>
  <c r="W171" i="113"/>
  <c r="W119" i="113"/>
  <c r="N248" i="113"/>
  <c r="G306" i="113"/>
  <c r="W306" i="113"/>
  <c r="G168" i="113"/>
  <c r="W168" i="113"/>
  <c r="M330" i="113"/>
  <c r="P330" i="113" s="1"/>
  <c r="S330" i="113" s="1"/>
  <c r="U330" i="113" s="1"/>
  <c r="F159" i="113"/>
  <c r="F162" i="113"/>
  <c r="W162" i="113"/>
  <c r="F223" i="113"/>
  <c r="F276" i="113"/>
  <c r="F227" i="113"/>
  <c r="W285" i="113"/>
  <c r="G285" i="113"/>
  <c r="F214" i="113"/>
  <c r="F169" i="113"/>
  <c r="F161" i="113"/>
  <c r="F280" i="113"/>
  <c r="F156" i="113"/>
  <c r="F229" i="113"/>
  <c r="F245" i="113"/>
  <c r="F285" i="113"/>
  <c r="F149" i="113"/>
  <c r="F170" i="113"/>
  <c r="G227" i="113"/>
  <c r="W227" i="113"/>
  <c r="F282" i="113"/>
  <c r="F298" i="113"/>
  <c r="N220" i="113"/>
  <c r="W110" i="113"/>
  <c r="G156" i="113"/>
  <c r="W156" i="113"/>
  <c r="V320" i="9"/>
  <c r="N138" i="113"/>
  <c r="N198" i="113"/>
  <c r="N203" i="113"/>
  <c r="L247" i="113"/>
  <c r="M247" i="113" s="1"/>
  <c r="L248" i="113"/>
  <c r="M248" i="113" s="1"/>
  <c r="N292" i="113"/>
  <c r="N301" i="113"/>
  <c r="N166" i="113"/>
  <c r="L244" i="113"/>
  <c r="M244" i="113" s="1"/>
  <c r="N232" i="113"/>
  <c r="N247" i="113"/>
  <c r="O312" i="113"/>
  <c r="L311" i="113"/>
  <c r="M311" i="113" s="1"/>
  <c r="F297" i="113"/>
  <c r="N177" i="113"/>
  <c r="N157" i="113"/>
  <c r="L154" i="113"/>
  <c r="M154" i="113" s="1"/>
  <c r="N178" i="113"/>
  <c r="N165" i="113"/>
  <c r="N180" i="113"/>
  <c r="W106" i="113"/>
  <c r="F288" i="113"/>
  <c r="G288" i="113"/>
  <c r="W288" i="113"/>
  <c r="F255" i="113"/>
  <c r="G255" i="113"/>
  <c r="W255" i="113"/>
  <c r="W131" i="113"/>
  <c r="G253" i="113"/>
  <c r="F253" i="113"/>
  <c r="W253" i="113"/>
  <c r="G303" i="113"/>
  <c r="F303" i="113"/>
  <c r="W303" i="113"/>
  <c r="G199" i="113"/>
  <c r="F199" i="113"/>
  <c r="W199" i="113"/>
  <c r="G219" i="113"/>
  <c r="F219" i="113"/>
  <c r="W219" i="113"/>
  <c r="G242" i="113"/>
  <c r="F242" i="113"/>
  <c r="W242" i="113"/>
  <c r="G225" i="113"/>
  <c r="F225" i="113"/>
  <c r="W225" i="113"/>
  <c r="W117" i="113"/>
  <c r="W123" i="113"/>
  <c r="F142" i="113"/>
  <c r="G142" i="113"/>
  <c r="W142" i="113"/>
  <c r="W233" i="113"/>
  <c r="G233" i="113"/>
  <c r="F233" i="113"/>
  <c r="G269" i="113"/>
  <c r="F269" i="113"/>
  <c r="W269" i="113"/>
  <c r="F246" i="113"/>
  <c r="G246" i="113"/>
  <c r="W246" i="113"/>
  <c r="W238" i="113"/>
  <c r="F238" i="113"/>
  <c r="G238" i="113"/>
  <c r="G146" i="113"/>
  <c r="F146" i="113"/>
  <c r="W146" i="113"/>
  <c r="F145" i="113"/>
  <c r="G145" i="113"/>
  <c r="W145" i="113"/>
  <c r="G309" i="113"/>
  <c r="F309" i="113"/>
  <c r="W309" i="113"/>
  <c r="N210" i="113"/>
  <c r="N221" i="113"/>
  <c r="N295" i="113"/>
  <c r="N179" i="113"/>
  <c r="AF324" i="9"/>
  <c r="O177" i="113"/>
  <c r="O313" i="113"/>
  <c r="L295" i="113"/>
  <c r="M295" i="113" s="1"/>
  <c r="N208" i="113"/>
  <c r="L155" i="113"/>
  <c r="M155" i="113" s="1"/>
  <c r="L181" i="113"/>
  <c r="M181" i="113" s="1"/>
  <c r="L183" i="113"/>
  <c r="M183" i="113" s="1"/>
  <c r="O247" i="113"/>
  <c r="W109" i="113"/>
  <c r="G201" i="113"/>
  <c r="F201" i="113"/>
  <c r="W201" i="113"/>
  <c r="G294" i="113"/>
  <c r="F294" i="113"/>
  <c r="W294" i="113"/>
  <c r="F176" i="113"/>
  <c r="G176" i="113"/>
  <c r="W176" i="113"/>
  <c r="G207" i="113"/>
  <c r="W207" i="113"/>
  <c r="F207" i="113"/>
  <c r="G148" i="113"/>
  <c r="F148" i="113"/>
  <c r="W148" i="113"/>
  <c r="F273" i="113"/>
  <c r="G273" i="113"/>
  <c r="W273" i="113"/>
  <c r="G197" i="113"/>
  <c r="F197" i="113"/>
  <c r="W197" i="113"/>
  <c r="N154" i="113"/>
  <c r="L153" i="113"/>
  <c r="M153" i="113" s="1"/>
  <c r="N195" i="113"/>
  <c r="G262" i="113"/>
  <c r="F262" i="113"/>
  <c r="W262" i="113"/>
  <c r="F217" i="113"/>
  <c r="G217" i="113"/>
  <c r="W217" i="113"/>
  <c r="G215" i="113"/>
  <c r="F215" i="113"/>
  <c r="W215" i="113"/>
  <c r="F305" i="113"/>
  <c r="G305" i="113"/>
  <c r="W305" i="113"/>
  <c r="G293" i="113"/>
  <c r="F293" i="113"/>
  <c r="W293" i="113"/>
  <c r="N222" i="113"/>
  <c r="N289" i="113"/>
  <c r="N155" i="113"/>
  <c r="N192" i="113"/>
  <c r="N311" i="113"/>
  <c r="O180" i="113"/>
  <c r="N153" i="113"/>
  <c r="L178" i="113"/>
  <c r="M178" i="113" s="1"/>
  <c r="N213" i="113"/>
  <c r="N244" i="113"/>
  <c r="N205" i="113"/>
  <c r="L176" i="113"/>
  <c r="M176" i="113" s="1"/>
  <c r="AF322" i="9"/>
  <c r="AF323" i="9"/>
  <c r="AP306" i="8"/>
  <c r="AA80" i="101" l="1"/>
  <c r="X82" i="101"/>
  <c r="L16" i="102"/>
  <c r="X16" i="99"/>
  <c r="W100" i="99"/>
  <c r="L18" i="101"/>
  <c r="W15" i="102"/>
  <c r="F188" i="132"/>
  <c r="F187" i="132" s="1"/>
  <c r="W17" i="101"/>
  <c r="W17" i="100"/>
  <c r="L15" i="102"/>
  <c r="L17" i="101"/>
  <c r="L17" i="100"/>
  <c r="Z45" i="99"/>
  <c r="AA45" i="99" s="1"/>
  <c r="K43" i="132"/>
  <c r="Z37" i="99"/>
  <c r="AA37" i="99" s="1"/>
  <c r="K35" i="132"/>
  <c r="Z73" i="99"/>
  <c r="AA73" i="99" s="1"/>
  <c r="K71" i="132"/>
  <c r="Z20" i="99"/>
  <c r="AA20" i="99" s="1"/>
  <c r="K18" i="132"/>
  <c r="Z68" i="99"/>
  <c r="AA68" i="99" s="1"/>
  <c r="K66" i="132"/>
  <c r="Z49" i="99"/>
  <c r="AA49" i="99" s="1"/>
  <c r="K47" i="132"/>
  <c r="M47" i="132" s="1"/>
  <c r="Z86" i="99"/>
  <c r="AA86" i="99" s="1"/>
  <c r="K84" i="132"/>
  <c r="M84" i="132" s="1"/>
  <c r="Z19" i="99"/>
  <c r="AA19" i="99" s="1"/>
  <c r="K17" i="132"/>
  <c r="Z62" i="99"/>
  <c r="AA62" i="99" s="1"/>
  <c r="K60" i="132"/>
  <c r="Z75" i="99"/>
  <c r="AA75" i="99" s="1"/>
  <c r="K73" i="132"/>
  <c r="Z36" i="99"/>
  <c r="AA36" i="99" s="1"/>
  <c r="K34" i="132"/>
  <c r="Z84" i="99"/>
  <c r="AA84" i="99" s="1"/>
  <c r="K82" i="132"/>
  <c r="M82" i="132" s="1"/>
  <c r="X322" i="151"/>
  <c r="Z322" i="151" s="1"/>
  <c r="H320" i="132"/>
  <c r="I320" i="132" s="1"/>
  <c r="G188" i="132"/>
  <c r="Z57" i="99"/>
  <c r="AA57" i="99" s="1"/>
  <c r="K55" i="132"/>
  <c r="M55" i="132" s="1"/>
  <c r="Z64" i="99"/>
  <c r="AA64" i="99" s="1"/>
  <c r="K62" i="132"/>
  <c r="Z41" i="99"/>
  <c r="AA41" i="99" s="1"/>
  <c r="K39" i="132"/>
  <c r="Z43" i="99"/>
  <c r="AA43" i="99" s="1"/>
  <c r="K41" i="132"/>
  <c r="Z79" i="99"/>
  <c r="AA79" i="99" s="1"/>
  <c r="K77" i="132"/>
  <c r="G254" i="132"/>
  <c r="Z38" i="99"/>
  <c r="AA38" i="99" s="1"/>
  <c r="K36" i="132"/>
  <c r="M36" i="132" s="1"/>
  <c r="Z80" i="99"/>
  <c r="AA80" i="99" s="1"/>
  <c r="K78" i="132"/>
  <c r="Z60" i="99"/>
  <c r="AA60" i="99" s="1"/>
  <c r="K58" i="132"/>
  <c r="Z23" i="99"/>
  <c r="K21" i="132"/>
  <c r="Z46" i="99"/>
  <c r="AA46" i="99" s="1"/>
  <c r="K44" i="132"/>
  <c r="Z44" i="99"/>
  <c r="AA44" i="99" s="1"/>
  <c r="K42" i="132"/>
  <c r="Z32" i="99"/>
  <c r="AA32" i="99" s="1"/>
  <c r="K30" i="132"/>
  <c r="Z47" i="99"/>
  <c r="AA47" i="99" s="1"/>
  <c r="K45" i="132"/>
  <c r="Z53" i="99"/>
  <c r="AA53" i="99" s="1"/>
  <c r="K51" i="132"/>
  <c r="Z39" i="99"/>
  <c r="AA39" i="99" s="1"/>
  <c r="K37" i="132"/>
  <c r="Z40" i="99"/>
  <c r="AA40" i="99" s="1"/>
  <c r="K38" i="132"/>
  <c r="Z70" i="99"/>
  <c r="AA70" i="99" s="1"/>
  <c r="K68" i="132"/>
  <c r="Z69" i="99"/>
  <c r="AA69" i="99" s="1"/>
  <c r="K67" i="132"/>
  <c r="M67" i="132" s="1"/>
  <c r="Z59" i="99"/>
  <c r="AA59" i="99" s="1"/>
  <c r="K57" i="132"/>
  <c r="Z52" i="99"/>
  <c r="AA52" i="99" s="1"/>
  <c r="K50" i="132"/>
  <c r="Z28" i="99"/>
  <c r="AA28" i="99" s="1"/>
  <c r="K26" i="132"/>
  <c r="M26" i="132" s="1"/>
  <c r="Z61" i="99"/>
  <c r="AA61" i="99" s="1"/>
  <c r="K59" i="132"/>
  <c r="G13" i="132"/>
  <c r="I15" i="132"/>
  <c r="J343" i="151"/>
  <c r="J344" i="151"/>
  <c r="L344" i="151" s="1"/>
  <c r="J345" i="151"/>
  <c r="L345" i="151" s="1"/>
  <c r="C2063" i="170"/>
  <c r="E2063" i="170" s="1"/>
  <c r="U319" i="128"/>
  <c r="U318" i="128"/>
  <c r="K100" i="99"/>
  <c r="L2612" i="170"/>
  <c r="L1486" i="170"/>
  <c r="C750" i="170"/>
  <c r="E750" i="170" s="1"/>
  <c r="X187" i="151"/>
  <c r="Z187" i="151" s="1"/>
  <c r="D29" i="154"/>
  <c r="C14" i="170"/>
  <c r="E14" i="170" s="1"/>
  <c r="L1469" i="170"/>
  <c r="C1501" i="170"/>
  <c r="E1501" i="170" s="1"/>
  <c r="U100" i="99"/>
  <c r="H100" i="99"/>
  <c r="T100" i="99"/>
  <c r="G100" i="99"/>
  <c r="AB101" i="99" s="1"/>
  <c r="X184" i="151"/>
  <c r="Z184" i="151" s="1"/>
  <c r="M35" i="132"/>
  <c r="X88" i="99"/>
  <c r="L2195" i="170"/>
  <c r="L2259" i="170"/>
  <c r="L2275" i="170"/>
  <c r="L2307" i="170"/>
  <c r="L2099" i="170"/>
  <c r="L2483" i="170"/>
  <c r="X317" i="151"/>
  <c r="Z317" i="151" s="1"/>
  <c r="L2419" i="170"/>
  <c r="L2323" i="170"/>
  <c r="L2451" i="170"/>
  <c r="L2291" i="170"/>
  <c r="L2467" i="170"/>
  <c r="L2147" i="170"/>
  <c r="L1366" i="170"/>
  <c r="L2515" i="170"/>
  <c r="L1710" i="170"/>
  <c r="C2057" i="170"/>
  <c r="E2057" i="170" s="1"/>
  <c r="C1495" i="170"/>
  <c r="E1495" i="170" s="1"/>
  <c r="L1009" i="170"/>
  <c r="L941" i="170"/>
  <c r="L1761" i="170"/>
  <c r="L1332" i="170"/>
  <c r="L1676" i="170"/>
  <c r="X181" i="151"/>
  <c r="Z181" i="151" s="1"/>
  <c r="L1162" i="170"/>
  <c r="L1383" i="170"/>
  <c r="X183" i="151"/>
  <c r="Z183" i="151" s="1"/>
  <c r="X204" i="151"/>
  <c r="Z204" i="151" s="1"/>
  <c r="X275" i="151"/>
  <c r="Z275" i="151" s="1"/>
  <c r="X240" i="151"/>
  <c r="Z240" i="151" s="1"/>
  <c r="X283" i="151"/>
  <c r="Z283" i="151" s="1"/>
  <c r="X265" i="151"/>
  <c r="Z265" i="151" s="1"/>
  <c r="X216" i="151"/>
  <c r="Z216" i="151" s="1"/>
  <c r="X297" i="151"/>
  <c r="Z297" i="151" s="1"/>
  <c r="X259" i="151"/>
  <c r="Z259" i="151" s="1"/>
  <c r="X301" i="151"/>
  <c r="Z301" i="151" s="1"/>
  <c r="X215" i="151"/>
  <c r="Z215" i="151" s="1"/>
  <c r="X213" i="151"/>
  <c r="Z213" i="151" s="1"/>
  <c r="X266" i="151"/>
  <c r="Z266" i="151" s="1"/>
  <c r="X292" i="151"/>
  <c r="Z292" i="151" s="1"/>
  <c r="X295" i="151"/>
  <c r="Z295" i="151" s="1"/>
  <c r="X267" i="151"/>
  <c r="Z267" i="151" s="1"/>
  <c r="X214" i="151"/>
  <c r="Z214" i="151" s="1"/>
  <c r="X285" i="151"/>
  <c r="Z285" i="151" s="1"/>
  <c r="X260" i="151"/>
  <c r="Z260" i="151" s="1"/>
  <c r="X263" i="151"/>
  <c r="Z263" i="151" s="1"/>
  <c r="X230" i="151"/>
  <c r="Z230" i="151" s="1"/>
  <c r="X287" i="151"/>
  <c r="Z287" i="151" s="1"/>
  <c r="X288" i="151"/>
  <c r="Z288" i="151" s="1"/>
  <c r="X304" i="151"/>
  <c r="Z304" i="151" s="1"/>
  <c r="X194" i="151"/>
  <c r="Z194" i="151" s="1"/>
  <c r="X242" i="151"/>
  <c r="Z242" i="151" s="1"/>
  <c r="X222" i="151"/>
  <c r="Z222" i="151" s="1"/>
  <c r="X270" i="151"/>
  <c r="Z270" i="151" s="1"/>
  <c r="X261" i="151"/>
  <c r="Z261" i="151" s="1"/>
  <c r="X273" i="151"/>
  <c r="Z273" i="151" s="1"/>
  <c r="X277" i="151"/>
  <c r="Z277" i="151" s="1"/>
  <c r="X286" i="151"/>
  <c r="Z286" i="151" s="1"/>
  <c r="X279" i="151"/>
  <c r="Z279" i="151" s="1"/>
  <c r="X281" i="151"/>
  <c r="Z281" i="151" s="1"/>
  <c r="X119" i="151"/>
  <c r="Z119" i="151" s="1"/>
  <c r="X262" i="151"/>
  <c r="Z262" i="151" s="1"/>
  <c r="X290" i="151"/>
  <c r="Z290" i="151" s="1"/>
  <c r="X284" i="151"/>
  <c r="Z284" i="151" s="1"/>
  <c r="X271" i="151"/>
  <c r="Z271" i="151" s="1"/>
  <c r="X289" i="151"/>
  <c r="Z289" i="151" s="1"/>
  <c r="X246" i="151"/>
  <c r="Z246" i="151" s="1"/>
  <c r="X193" i="151"/>
  <c r="Z193" i="151" s="1"/>
  <c r="X239" i="151"/>
  <c r="Z239" i="151" s="1"/>
  <c r="X302" i="151"/>
  <c r="Z302" i="151" s="1"/>
  <c r="X299" i="151"/>
  <c r="Z299" i="151" s="1"/>
  <c r="X272" i="151"/>
  <c r="Z272" i="151" s="1"/>
  <c r="X219" i="151"/>
  <c r="Z219" i="151" s="1"/>
  <c r="X235" i="151"/>
  <c r="Z235" i="151" s="1"/>
  <c r="X221" i="151"/>
  <c r="Z221" i="151" s="1"/>
  <c r="X206" i="151"/>
  <c r="Z206" i="151" s="1"/>
  <c r="X225" i="151"/>
  <c r="Z225" i="151" s="1"/>
  <c r="X238" i="151"/>
  <c r="X228" i="151"/>
  <c r="Z228" i="151" s="1"/>
  <c r="X202" i="151"/>
  <c r="Z202" i="151" s="1"/>
  <c r="X234" i="151"/>
  <c r="Z234" i="151" s="1"/>
  <c r="X205" i="151"/>
  <c r="Z205" i="151" s="1"/>
  <c r="X139" i="151"/>
  <c r="Z139" i="151" s="1"/>
  <c r="X114" i="151"/>
  <c r="Z114" i="151" s="1"/>
  <c r="X319" i="151"/>
  <c r="Z319" i="151" s="1"/>
  <c r="X229" i="151"/>
  <c r="Z229" i="151" s="1"/>
  <c r="X198" i="151"/>
  <c r="Z198" i="151" s="1"/>
  <c r="X211" i="151"/>
  <c r="Z211" i="151" s="1"/>
  <c r="X210" i="151"/>
  <c r="Z210" i="151" s="1"/>
  <c r="X195" i="151"/>
  <c r="Z195" i="151" s="1"/>
  <c r="X208" i="151"/>
  <c r="Z208" i="151" s="1"/>
  <c r="X209" i="151"/>
  <c r="Z209" i="151" s="1"/>
  <c r="X200" i="151"/>
  <c r="Z200" i="151" s="1"/>
  <c r="X226" i="151"/>
  <c r="Z226" i="151" s="1"/>
  <c r="X212" i="151"/>
  <c r="Z212" i="151" s="1"/>
  <c r="X121" i="151"/>
  <c r="Z121" i="151" s="1"/>
  <c r="X151" i="151"/>
  <c r="Z151" i="151" s="1"/>
  <c r="X157" i="151"/>
  <c r="Z157" i="151" s="1"/>
  <c r="X173" i="151"/>
  <c r="L1247" i="170"/>
  <c r="X162" i="151"/>
  <c r="Z162" i="151" s="1"/>
  <c r="X115" i="151"/>
  <c r="Z115" i="151" s="1"/>
  <c r="X125" i="151"/>
  <c r="Z125" i="151" s="1"/>
  <c r="X107" i="151"/>
  <c r="Z107" i="151" s="1"/>
  <c r="X164" i="151"/>
  <c r="Z164" i="151" s="1"/>
  <c r="X129" i="151"/>
  <c r="Z129" i="151" s="1"/>
  <c r="X137" i="151"/>
  <c r="Z137" i="151" s="1"/>
  <c r="X161" i="151"/>
  <c r="Z161" i="151" s="1"/>
  <c r="X106" i="151"/>
  <c r="Z106" i="151" s="1"/>
  <c r="X166" i="151"/>
  <c r="Z166" i="151" s="1"/>
  <c r="X142" i="151"/>
  <c r="Z142" i="151" s="1"/>
  <c r="X169" i="151"/>
  <c r="Z169" i="151" s="1"/>
  <c r="X149" i="151"/>
  <c r="Z149" i="151" s="1"/>
  <c r="L806" i="170"/>
  <c r="X105" i="151"/>
  <c r="Z105" i="151" s="1"/>
  <c r="X143" i="151"/>
  <c r="Z143" i="151" s="1"/>
  <c r="X153" i="151"/>
  <c r="Z153" i="151" s="1"/>
  <c r="X147" i="151"/>
  <c r="Z147" i="151" s="1"/>
  <c r="X158" i="151"/>
  <c r="Z158" i="151" s="1"/>
  <c r="L1026" i="170"/>
  <c r="L1298" i="170"/>
  <c r="L2339" i="170"/>
  <c r="L1999" i="170"/>
  <c r="X320" i="151"/>
  <c r="L1043" i="170"/>
  <c r="L1574" i="170"/>
  <c r="L1846" i="170"/>
  <c r="L1744" i="170"/>
  <c r="L2115" i="170"/>
  <c r="L1077" i="170"/>
  <c r="L1315" i="170"/>
  <c r="L1727" i="170"/>
  <c r="L1417" i="170"/>
  <c r="L907" i="170"/>
  <c r="L958" i="170"/>
  <c r="L1145" i="170"/>
  <c r="X324" i="151"/>
  <c r="X250" i="151"/>
  <c r="Z250" i="151" s="1"/>
  <c r="X318" i="151"/>
  <c r="Z318" i="151" s="1"/>
  <c r="L1128" i="170"/>
  <c r="L1451" i="170"/>
  <c r="L1434" i="170"/>
  <c r="L1094" i="170"/>
  <c r="L1880" i="170"/>
  <c r="L2580" i="170"/>
  <c r="L1540" i="170"/>
  <c r="L992" i="170"/>
  <c r="L2531" i="170"/>
  <c r="L1829" i="170"/>
  <c r="L1281" i="170"/>
  <c r="L1111" i="170"/>
  <c r="L1264" i="170"/>
  <c r="X316" i="151"/>
  <c r="Z316" i="151" s="1"/>
  <c r="L856" i="170"/>
  <c r="L1608" i="170"/>
  <c r="L1982" i="170"/>
  <c r="L2403" i="170"/>
  <c r="L2564" i="170"/>
  <c r="L1230" i="170"/>
  <c r="L1196" i="170"/>
  <c r="L1591" i="170"/>
  <c r="X111" i="151"/>
  <c r="Z111" i="151" s="1"/>
  <c r="X136" i="151"/>
  <c r="Z136" i="151" s="1"/>
  <c r="L975" i="170"/>
  <c r="L2033" i="170"/>
  <c r="X182" i="151"/>
  <c r="X127" i="151"/>
  <c r="Z127" i="151" s="1"/>
  <c r="X150" i="151"/>
  <c r="Z150" i="151" s="1"/>
  <c r="X140" i="151"/>
  <c r="Z140" i="151" s="1"/>
  <c r="X264" i="151"/>
  <c r="Z264" i="151" s="1"/>
  <c r="X217" i="151"/>
  <c r="Z217" i="151" s="1"/>
  <c r="X244" i="151"/>
  <c r="Z244" i="151" s="1"/>
  <c r="X191" i="151"/>
  <c r="Z191" i="151" s="1"/>
  <c r="X247" i="151"/>
  <c r="Z247" i="151" s="1"/>
  <c r="X305" i="151"/>
  <c r="Z305" i="151" s="1"/>
  <c r="X241" i="151"/>
  <c r="Z241" i="151" s="1"/>
  <c r="X315" i="151"/>
  <c r="X321" i="151"/>
  <c r="X103" i="151"/>
  <c r="X110" i="151"/>
  <c r="Z110" i="151" s="1"/>
  <c r="X199" i="151"/>
  <c r="Z199" i="151" s="1"/>
  <c r="X232" i="151"/>
  <c r="Z232" i="151" s="1"/>
  <c r="X268" i="151"/>
  <c r="Z268" i="151" s="1"/>
  <c r="X128" i="151"/>
  <c r="Z128" i="151" s="1"/>
  <c r="X102" i="151"/>
  <c r="Z102" i="151" s="1"/>
  <c r="X171" i="151"/>
  <c r="Z171" i="151" s="1"/>
  <c r="X108" i="151"/>
  <c r="Z108" i="151" s="1"/>
  <c r="X148" i="151"/>
  <c r="Z148" i="151" s="1"/>
  <c r="X113" i="151"/>
  <c r="Z113" i="151" s="1"/>
  <c r="X172" i="151"/>
  <c r="Z172" i="151" s="1"/>
  <c r="X248" i="151"/>
  <c r="Z248" i="151" s="1"/>
  <c r="X257" i="151"/>
  <c r="Z257" i="151" s="1"/>
  <c r="X231" i="151"/>
  <c r="Z231" i="151" s="1"/>
  <c r="X243" i="151"/>
  <c r="Z243" i="151" s="1"/>
  <c r="X192" i="151"/>
  <c r="Z192" i="151" s="1"/>
  <c r="X294" i="151"/>
  <c r="Z294" i="151" s="1"/>
  <c r="X274" i="151"/>
  <c r="Z274" i="151" s="1"/>
  <c r="X236" i="151"/>
  <c r="Z236" i="151" s="1"/>
  <c r="X258" i="151"/>
  <c r="Z258" i="151" s="1"/>
  <c r="X180" i="151"/>
  <c r="X116" i="151"/>
  <c r="Z116" i="151" s="1"/>
  <c r="X112" i="151"/>
  <c r="Z112" i="151" s="1"/>
  <c r="X120" i="151"/>
  <c r="Z120" i="151" s="1"/>
  <c r="X176" i="151"/>
  <c r="X174" i="151"/>
  <c r="Z174" i="151" s="1"/>
  <c r="X156" i="151"/>
  <c r="Z156" i="151" s="1"/>
  <c r="X163" i="151"/>
  <c r="Z163" i="151" s="1"/>
  <c r="X126" i="151"/>
  <c r="Z126" i="151" s="1"/>
  <c r="X178" i="151"/>
  <c r="X152" i="151"/>
  <c r="Z152" i="151" s="1"/>
  <c r="X218" i="151"/>
  <c r="Z218" i="151" s="1"/>
  <c r="X306" i="151"/>
  <c r="Z306" i="151" s="1"/>
  <c r="X227" i="151"/>
  <c r="Z227" i="151" s="1"/>
  <c r="X233" i="151"/>
  <c r="Z233" i="151" s="1"/>
  <c r="X269" i="151"/>
  <c r="Z269" i="151" s="1"/>
  <c r="X291" i="151"/>
  <c r="Z291" i="151" s="1"/>
  <c r="X307" i="151"/>
  <c r="Z307" i="151" s="1"/>
  <c r="X207" i="151"/>
  <c r="Z207" i="151" s="1"/>
  <c r="X201" i="151"/>
  <c r="Z201" i="151" s="1"/>
  <c r="X220" i="151"/>
  <c r="Z220" i="151" s="1"/>
  <c r="X296" i="151"/>
  <c r="Z296" i="151" s="1"/>
  <c r="X300" i="151"/>
  <c r="Z300" i="151" s="1"/>
  <c r="X203" i="151"/>
  <c r="Z203" i="151" s="1"/>
  <c r="X276" i="151"/>
  <c r="Z276" i="151" s="1"/>
  <c r="X293" i="151"/>
  <c r="Z293" i="151" s="1"/>
  <c r="X196" i="151"/>
  <c r="Z196" i="151" s="1"/>
  <c r="X298" i="151"/>
  <c r="Z298" i="151" s="1"/>
  <c r="X303" i="151"/>
  <c r="Z303" i="151" s="1"/>
  <c r="L1659" i="170"/>
  <c r="L789" i="170"/>
  <c r="L1863" i="170"/>
  <c r="L1625" i="170"/>
  <c r="L1795" i="170"/>
  <c r="L2499" i="170"/>
  <c r="X175" i="151"/>
  <c r="X104" i="151"/>
  <c r="Z104" i="151" s="1"/>
  <c r="X170" i="151"/>
  <c r="Z170" i="151" s="1"/>
  <c r="X124" i="151"/>
  <c r="Z124" i="151" s="1"/>
  <c r="X134" i="151"/>
  <c r="Z134" i="151" s="1"/>
  <c r="X309" i="151"/>
  <c r="Z309" i="151" s="1"/>
  <c r="L772" i="170"/>
  <c r="X109" i="151"/>
  <c r="Z109" i="151" s="1"/>
  <c r="X131" i="151"/>
  <c r="Z131" i="151" s="1"/>
  <c r="X155" i="151"/>
  <c r="Z155" i="151" s="1"/>
  <c r="X123" i="151"/>
  <c r="Z123" i="151" s="1"/>
  <c r="X132" i="151"/>
  <c r="Z132" i="151" s="1"/>
  <c r="X179" i="151"/>
  <c r="X249" i="151"/>
  <c r="Z249" i="151" s="1"/>
  <c r="X311" i="151"/>
  <c r="Z311" i="151" s="1"/>
  <c r="L1179" i="170"/>
  <c r="X310" i="151"/>
  <c r="Z310" i="151" s="1"/>
  <c r="L890" i="170"/>
  <c r="L873" i="170"/>
  <c r="L1914" i="170"/>
  <c r="L1213" i="170"/>
  <c r="L1642" i="170"/>
  <c r="L1060" i="170"/>
  <c r="L924" i="170"/>
  <c r="X251" i="151"/>
  <c r="Z251" i="151" s="1"/>
  <c r="L2243" i="170"/>
  <c r="L1693" i="170"/>
  <c r="L1778" i="170"/>
  <c r="L839" i="170"/>
  <c r="L2227" i="170"/>
  <c r="X312" i="151"/>
  <c r="Z312" i="151" s="1"/>
  <c r="X168" i="151"/>
  <c r="Z168" i="151" s="1"/>
  <c r="X165" i="151"/>
  <c r="Z165" i="151" s="1"/>
  <c r="X159" i="151"/>
  <c r="Z159" i="151" s="1"/>
  <c r="X154" i="151"/>
  <c r="Z154" i="151" s="1"/>
  <c r="X130" i="151"/>
  <c r="Z130" i="151" s="1"/>
  <c r="X144" i="151"/>
  <c r="Z144" i="151" s="1"/>
  <c r="X117" i="151"/>
  <c r="Z117" i="151" s="1"/>
  <c r="X314" i="151"/>
  <c r="Z314" i="151" s="1"/>
  <c r="X313" i="151"/>
  <c r="Z313" i="151" s="1"/>
  <c r="X177" i="151"/>
  <c r="X122" i="151"/>
  <c r="Z122" i="151" s="1"/>
  <c r="D26" i="154"/>
  <c r="G26" i="154" s="1"/>
  <c r="L1965" i="170"/>
  <c r="L1349" i="170"/>
  <c r="L1523" i="170"/>
  <c r="L1948" i="170"/>
  <c r="L1400" i="170"/>
  <c r="L1897" i="170"/>
  <c r="L1931" i="170"/>
  <c r="L1557" i="170"/>
  <c r="L2016" i="170"/>
  <c r="D27" i="154"/>
  <c r="G27" i="154" s="1"/>
  <c r="C2062" i="170"/>
  <c r="E2062" i="170" s="1"/>
  <c r="X278" i="151"/>
  <c r="Z278" i="151" s="1"/>
  <c r="X224" i="151"/>
  <c r="Z224" i="151" s="1"/>
  <c r="C749" i="170"/>
  <c r="E749" i="170" s="1"/>
  <c r="C1500" i="170"/>
  <c r="E1500" i="170" s="1"/>
  <c r="X282" i="151"/>
  <c r="Z282" i="151" s="1"/>
  <c r="X197" i="151"/>
  <c r="Z197" i="151" s="1"/>
  <c r="X245" i="151"/>
  <c r="Z245" i="151" s="1"/>
  <c r="X145" i="151"/>
  <c r="Z145" i="151" s="1"/>
  <c r="X118" i="151"/>
  <c r="Z118" i="151" s="1"/>
  <c r="X141" i="151"/>
  <c r="Z141" i="151" s="1"/>
  <c r="X133" i="151"/>
  <c r="Z133" i="151" s="1"/>
  <c r="X160" i="151"/>
  <c r="Z160" i="151" s="1"/>
  <c r="X167" i="151"/>
  <c r="Z167" i="151" s="1"/>
  <c r="X146" i="151"/>
  <c r="Z146" i="151" s="1"/>
  <c r="X138" i="151"/>
  <c r="Z138" i="151" s="1"/>
  <c r="X135" i="151"/>
  <c r="Z135" i="151" s="1"/>
  <c r="X223" i="151"/>
  <c r="Z223" i="151" s="1"/>
  <c r="X308" i="151"/>
  <c r="X237" i="151"/>
  <c r="Z237" i="151" s="1"/>
  <c r="X280" i="151"/>
  <c r="Z280" i="151" s="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U320" i="128"/>
  <c r="U321" i="128"/>
  <c r="U323" i="128"/>
  <c r="U322" i="128" s="1"/>
  <c r="D25" i="154"/>
  <c r="X78" i="101"/>
  <c r="Z81" i="151"/>
  <c r="Z56" i="151"/>
  <c r="Z71" i="151"/>
  <c r="Z58" i="151"/>
  <c r="Z78" i="151"/>
  <c r="Z18" i="151"/>
  <c r="Z54" i="151"/>
  <c r="Z85" i="151"/>
  <c r="Z87" i="151"/>
  <c r="X17" i="151"/>
  <c r="Z77" i="151"/>
  <c r="Z55" i="151"/>
  <c r="Z21" i="151"/>
  <c r="Z34" i="151"/>
  <c r="Z82" i="151"/>
  <c r="Z63" i="151"/>
  <c r="Z31" i="151"/>
  <c r="Z30" i="151"/>
  <c r="Z24" i="151"/>
  <c r="Z27" i="151"/>
  <c r="G99" i="132"/>
  <c r="Z35" i="151"/>
  <c r="Z48" i="151"/>
  <c r="Z67" i="151"/>
  <c r="Z22" i="151"/>
  <c r="Z51" i="151"/>
  <c r="Z83" i="151"/>
  <c r="Z50" i="151"/>
  <c r="Z26" i="151"/>
  <c r="Z29" i="151"/>
  <c r="Z74" i="151"/>
  <c r="Z72" i="151"/>
  <c r="Z42" i="151"/>
  <c r="V43" i="152"/>
  <c r="Z76" i="151"/>
  <c r="Z65" i="151"/>
  <c r="Z66" i="151"/>
  <c r="D22" i="154"/>
  <c r="G22" i="154" s="1"/>
  <c r="Z33" i="151"/>
  <c r="Z25" i="151"/>
  <c r="X88" i="151"/>
  <c r="D24" i="154"/>
  <c r="H24" i="154" s="1"/>
  <c r="F99" i="132"/>
  <c r="F98" i="132" s="1"/>
  <c r="P26" i="152"/>
  <c r="R26" i="152" s="1"/>
  <c r="P24" i="152"/>
  <c r="J17" i="100"/>
  <c r="D23" i="154"/>
  <c r="G23" i="154" s="1"/>
  <c r="H31" i="154"/>
  <c r="D31" i="154" s="1"/>
  <c r="G31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X20" i="100"/>
  <c r="J15" i="102"/>
  <c r="J18" i="101"/>
  <c r="J16" i="102"/>
  <c r="K381" i="132"/>
  <c r="J17" i="101"/>
  <c r="M320" i="113"/>
  <c r="P320" i="113" s="1"/>
  <c r="L172" i="113"/>
  <c r="M172" i="113" s="1"/>
  <c r="L225" i="113"/>
  <c r="M225" i="113" s="1"/>
  <c r="L263" i="113"/>
  <c r="M263" i="113" s="1"/>
  <c r="L233" i="113"/>
  <c r="M233" i="113" s="1"/>
  <c r="L283" i="113"/>
  <c r="M283" i="113" s="1"/>
  <c r="L229" i="113"/>
  <c r="M229" i="113" s="1"/>
  <c r="L259" i="113"/>
  <c r="M259" i="113" s="1"/>
  <c r="L287" i="113"/>
  <c r="M287" i="113" s="1"/>
  <c r="L288" i="113"/>
  <c r="M288" i="113" s="1"/>
  <c r="L167" i="113"/>
  <c r="M167" i="113" s="1"/>
  <c r="L147" i="113"/>
  <c r="M147" i="113" s="1"/>
  <c r="L270" i="113"/>
  <c r="M270" i="113" s="1"/>
  <c r="L299" i="113"/>
  <c r="M299" i="113" s="1"/>
  <c r="L219" i="113"/>
  <c r="M219" i="113" s="1"/>
  <c r="L266" i="113"/>
  <c r="M266" i="113" s="1"/>
  <c r="L211" i="113"/>
  <c r="M211" i="113" s="1"/>
  <c r="L227" i="113"/>
  <c r="M227" i="113" s="1"/>
  <c r="L236" i="113"/>
  <c r="M236" i="113" s="1"/>
  <c r="L277" i="113"/>
  <c r="M277" i="113" s="1"/>
  <c r="L123" i="113"/>
  <c r="M123" i="113" s="1"/>
  <c r="L118" i="113"/>
  <c r="M118" i="113" s="1"/>
  <c r="L139" i="113"/>
  <c r="M139" i="113" s="1"/>
  <c r="L163" i="113"/>
  <c r="M163" i="113" s="1"/>
  <c r="L146" i="113"/>
  <c r="M146" i="113" s="1"/>
  <c r="L144" i="113"/>
  <c r="M144" i="113" s="1"/>
  <c r="L196" i="113"/>
  <c r="M196" i="113" s="1"/>
  <c r="L239" i="113"/>
  <c r="M239" i="113" s="1"/>
  <c r="L264" i="113"/>
  <c r="M264" i="113" s="1"/>
  <c r="L300" i="113"/>
  <c r="M300" i="113" s="1"/>
  <c r="L297" i="113"/>
  <c r="M297" i="113" s="1"/>
  <c r="L269" i="113"/>
  <c r="M269" i="113" s="1"/>
  <c r="L273" i="113"/>
  <c r="M273" i="113" s="1"/>
  <c r="L212" i="113"/>
  <c r="M212" i="113" s="1"/>
  <c r="L194" i="113"/>
  <c r="M194" i="113" s="1"/>
  <c r="L243" i="113"/>
  <c r="M243" i="113" s="1"/>
  <c r="L116" i="113"/>
  <c r="M116" i="113" s="1"/>
  <c r="L126" i="113"/>
  <c r="M126" i="113" s="1"/>
  <c r="L224" i="113"/>
  <c r="M224" i="113" s="1"/>
  <c r="L206" i="113"/>
  <c r="M206" i="113" s="1"/>
  <c r="L217" i="113"/>
  <c r="M217" i="113" s="1"/>
  <c r="L230" i="113"/>
  <c r="M230" i="113" s="1"/>
  <c r="L234" i="113"/>
  <c r="M234" i="113" s="1"/>
  <c r="L268" i="113"/>
  <c r="M268" i="113" s="1"/>
  <c r="L303" i="113"/>
  <c r="M303" i="113" s="1"/>
  <c r="L304" i="113"/>
  <c r="M304" i="113" s="1"/>
  <c r="L293" i="113"/>
  <c r="M293" i="113" s="1"/>
  <c r="L272" i="113"/>
  <c r="M272" i="113" s="1"/>
  <c r="L235" i="113"/>
  <c r="M235" i="113" s="1"/>
  <c r="L193" i="113"/>
  <c r="M193" i="113" s="1"/>
  <c r="L238" i="113"/>
  <c r="M238" i="113" s="1"/>
  <c r="L137" i="113"/>
  <c r="M137" i="113" s="1"/>
  <c r="L140" i="113"/>
  <c r="M140" i="113" s="1"/>
  <c r="L216" i="113"/>
  <c r="M216" i="113" s="1"/>
  <c r="L143" i="113"/>
  <c r="M143" i="113" s="1"/>
  <c r="L141" i="113"/>
  <c r="M141" i="113" s="1"/>
  <c r="L148" i="113"/>
  <c r="M148" i="113" s="1"/>
  <c r="L173" i="113"/>
  <c r="M173" i="113" s="1"/>
  <c r="L207" i="113"/>
  <c r="M207" i="113" s="1"/>
  <c r="L201" i="113"/>
  <c r="M201" i="113" s="1"/>
  <c r="L296" i="113"/>
  <c r="M296" i="113" s="1"/>
  <c r="L164" i="113"/>
  <c r="M164" i="113" s="1"/>
  <c r="L280" i="113"/>
  <c r="M280" i="113" s="1"/>
  <c r="L130" i="113"/>
  <c r="M130" i="113" s="1"/>
  <c r="L200" i="113"/>
  <c r="M200" i="113" s="1"/>
  <c r="L202" i="113"/>
  <c r="M202" i="113" s="1"/>
  <c r="L125" i="113"/>
  <c r="M125" i="113" s="1"/>
  <c r="L132" i="113"/>
  <c r="M132" i="113" s="1"/>
  <c r="L103" i="113"/>
  <c r="M103" i="113" s="1"/>
  <c r="L152" i="113"/>
  <c r="M152" i="113" s="1"/>
  <c r="L267" i="113"/>
  <c r="M267" i="113" s="1"/>
  <c r="L281" i="113"/>
  <c r="M281" i="113" s="1"/>
  <c r="L305" i="113"/>
  <c r="M305" i="113" s="1"/>
  <c r="L302" i="113"/>
  <c r="M302" i="113" s="1"/>
  <c r="L209" i="113"/>
  <c r="M209" i="113" s="1"/>
  <c r="L158" i="113"/>
  <c r="M158" i="113" s="1"/>
  <c r="L275" i="113"/>
  <c r="M275" i="113" s="1"/>
  <c r="L298" i="113"/>
  <c r="M298" i="113" s="1"/>
  <c r="L286" i="113"/>
  <c r="M286" i="113" s="1"/>
  <c r="L226" i="113"/>
  <c r="M226" i="113" s="1"/>
  <c r="L191" i="113"/>
  <c r="M191" i="113" s="1"/>
  <c r="L174" i="113"/>
  <c r="M174" i="113" s="1"/>
  <c r="L101" i="113"/>
  <c r="M101" i="113" s="1"/>
  <c r="X85" i="100"/>
  <c r="X65" i="100"/>
  <c r="X23" i="100"/>
  <c r="X68" i="100"/>
  <c r="X19" i="100"/>
  <c r="X56" i="100"/>
  <c r="X28" i="100"/>
  <c r="X55" i="100"/>
  <c r="X25" i="100"/>
  <c r="X34" i="100"/>
  <c r="X62" i="100"/>
  <c r="X35" i="100"/>
  <c r="X83" i="100"/>
  <c r="X24" i="100"/>
  <c r="X47" i="100"/>
  <c r="X21" i="100"/>
  <c r="X75" i="100"/>
  <c r="X33" i="100"/>
  <c r="X59" i="100"/>
  <c r="X52" i="100"/>
  <c r="X37" i="100"/>
  <c r="X57" i="100"/>
  <c r="X72" i="100"/>
  <c r="X22" i="100"/>
  <c r="X45" i="100"/>
  <c r="X61" i="100"/>
  <c r="X50" i="100"/>
  <c r="X79" i="100"/>
  <c r="X51" i="100"/>
  <c r="X88" i="100"/>
  <c r="X60" i="100"/>
  <c r="X31" i="100"/>
  <c r="X54" i="100"/>
  <c r="X89" i="100"/>
  <c r="X67" i="100"/>
  <c r="X40" i="100"/>
  <c r="X86" i="100"/>
  <c r="X29" i="100"/>
  <c r="X69" i="100"/>
  <c r="X87" i="100"/>
  <c r="X49" i="100"/>
  <c r="X46" i="100"/>
  <c r="X80" i="100"/>
  <c r="X74" i="100"/>
  <c r="X66" i="100"/>
  <c r="X32" i="100"/>
  <c r="X90" i="100"/>
  <c r="X27" i="100"/>
  <c r="X44" i="100"/>
  <c r="X71" i="100"/>
  <c r="X77" i="100"/>
  <c r="X53" i="100"/>
  <c r="X73" i="100"/>
  <c r="X63" i="100"/>
  <c r="X26" i="100"/>
  <c r="X43" i="100"/>
  <c r="X36" i="100"/>
  <c r="X81" i="100"/>
  <c r="X38" i="100"/>
  <c r="X39" i="100"/>
  <c r="X82" i="100"/>
  <c r="X70" i="100"/>
  <c r="X64" i="100"/>
  <c r="X30" i="100"/>
  <c r="X42" i="100"/>
  <c r="X41" i="100"/>
  <c r="X48" i="100"/>
  <c r="L253" i="113"/>
  <c r="M253" i="113" s="1"/>
  <c r="L231" i="113"/>
  <c r="M231" i="113" s="1"/>
  <c r="N231" i="113"/>
  <c r="L241" i="113"/>
  <c r="M241" i="113" s="1"/>
  <c r="X18" i="102"/>
  <c r="X19" i="102"/>
  <c r="L254" i="113"/>
  <c r="M254" i="113" s="1"/>
  <c r="X17" i="102"/>
  <c r="X20" i="102"/>
  <c r="X22" i="102"/>
  <c r="X23" i="102"/>
  <c r="N265" i="113"/>
  <c r="L113" i="113"/>
  <c r="M113" i="113" s="1"/>
  <c r="L109" i="113"/>
  <c r="M109" i="113" s="1"/>
  <c r="L134" i="113"/>
  <c r="M134" i="113" s="1"/>
  <c r="L110" i="113"/>
  <c r="M110" i="113" s="1"/>
  <c r="L121" i="113"/>
  <c r="M121" i="113" s="1"/>
  <c r="L135" i="113"/>
  <c r="M135" i="113" s="1"/>
  <c r="L129" i="113"/>
  <c r="M129" i="113" s="1"/>
  <c r="L127" i="113"/>
  <c r="M127" i="113" s="1"/>
  <c r="L102" i="113"/>
  <c r="M102" i="113" s="1"/>
  <c r="L111" i="113"/>
  <c r="M111" i="113" s="1"/>
  <c r="L106" i="113"/>
  <c r="M106" i="113" s="1"/>
  <c r="L112" i="113"/>
  <c r="M112" i="113" s="1"/>
  <c r="L115" i="113"/>
  <c r="M115" i="113" s="1"/>
  <c r="X24" i="102"/>
  <c r="X65" i="101"/>
  <c r="N123" i="113"/>
  <c r="N116" i="113"/>
  <c r="N113" i="113"/>
  <c r="N126" i="113"/>
  <c r="N109" i="113"/>
  <c r="N106" i="113"/>
  <c r="L124" i="113"/>
  <c r="M124" i="113" s="1"/>
  <c r="N115" i="113"/>
  <c r="L131" i="113"/>
  <c r="M131" i="113" s="1"/>
  <c r="N111" i="113"/>
  <c r="N117" i="113"/>
  <c r="N140" i="113"/>
  <c r="N174" i="113"/>
  <c r="N101" i="113"/>
  <c r="N132" i="113"/>
  <c r="N135" i="113"/>
  <c r="N110" i="113"/>
  <c r="N121" i="113"/>
  <c r="N127" i="113"/>
  <c r="N134" i="113"/>
  <c r="N129" i="113"/>
  <c r="N103" i="113"/>
  <c r="N112" i="113"/>
  <c r="N102" i="113"/>
  <c r="N125" i="113"/>
  <c r="N124" i="113"/>
  <c r="N118" i="113"/>
  <c r="N131" i="113"/>
  <c r="L117" i="113"/>
  <c r="M117" i="113" s="1"/>
  <c r="N130" i="113"/>
  <c r="X36" i="102"/>
  <c r="X40" i="102"/>
  <c r="X44" i="102"/>
  <c r="X33" i="102"/>
  <c r="X41" i="102"/>
  <c r="L315" i="113"/>
  <c r="L309" i="113"/>
  <c r="M309" i="113" s="1"/>
  <c r="L237" i="113"/>
  <c r="M237" i="113" s="1"/>
  <c r="L199" i="113"/>
  <c r="M199" i="113" s="1"/>
  <c r="L310" i="113"/>
  <c r="M310" i="113" s="1"/>
  <c r="L215" i="113"/>
  <c r="M215" i="113" s="1"/>
  <c r="X43" i="101"/>
  <c r="L294" i="113"/>
  <c r="M294" i="113" s="1"/>
  <c r="X56" i="102"/>
  <c r="L285" i="113"/>
  <c r="M285" i="113" s="1"/>
  <c r="X47" i="102"/>
  <c r="L242" i="113"/>
  <c r="M242" i="113" s="1"/>
  <c r="X70" i="101"/>
  <c r="L261" i="113"/>
  <c r="M261" i="113" s="1"/>
  <c r="L284" i="113"/>
  <c r="M284" i="113" s="1"/>
  <c r="X46" i="102"/>
  <c r="L160" i="113"/>
  <c r="M160" i="113" s="1"/>
  <c r="L204" i="113"/>
  <c r="M204" i="113" s="1"/>
  <c r="X32" i="101"/>
  <c r="L246" i="113"/>
  <c r="M246" i="113" s="1"/>
  <c r="L223" i="113"/>
  <c r="M223" i="113" s="1"/>
  <c r="X51" i="101"/>
  <c r="L228" i="113"/>
  <c r="M228" i="113" s="1"/>
  <c r="X56" i="101"/>
  <c r="L265" i="113"/>
  <c r="M265" i="113" s="1"/>
  <c r="X27" i="102"/>
  <c r="L168" i="113"/>
  <c r="M168" i="113" s="1"/>
  <c r="L291" i="113"/>
  <c r="M291" i="113" s="1"/>
  <c r="X53" i="102"/>
  <c r="L290" i="113"/>
  <c r="M290" i="113" s="1"/>
  <c r="X52" i="102"/>
  <c r="L214" i="113"/>
  <c r="M214" i="113" s="1"/>
  <c r="X42" i="101"/>
  <c r="L276" i="113"/>
  <c r="M276" i="113" s="1"/>
  <c r="X38" i="102"/>
  <c r="L162" i="113"/>
  <c r="M162" i="113" s="1"/>
  <c r="N200" i="113"/>
  <c r="N228" i="113"/>
  <c r="N284" i="113"/>
  <c r="N297" i="113"/>
  <c r="N269" i="113"/>
  <c r="N256" i="113"/>
  <c r="N278" i="113"/>
  <c r="N296" i="113"/>
  <c r="N257" i="113"/>
  <c r="N280" i="113"/>
  <c r="N288" i="113"/>
  <c r="N298" i="113"/>
  <c r="N268" i="113"/>
  <c r="N303" i="113"/>
  <c r="N255" i="113"/>
  <c r="N236" i="113"/>
  <c r="N194" i="113"/>
  <c r="N310" i="113"/>
  <c r="L142" i="113"/>
  <c r="M142" i="113" s="1"/>
  <c r="N223" i="113"/>
  <c r="N238" i="113"/>
  <c r="N212" i="113"/>
  <c r="N199" i="113"/>
  <c r="N206" i="113"/>
  <c r="N158" i="113"/>
  <c r="N243" i="113"/>
  <c r="N216" i="113"/>
  <c r="N202" i="113"/>
  <c r="N219" i="113"/>
  <c r="N197" i="113"/>
  <c r="N142" i="113"/>
  <c r="N163" i="113"/>
  <c r="N201" i="113"/>
  <c r="N144" i="113"/>
  <c r="N237" i="113"/>
  <c r="N191" i="113"/>
  <c r="N145" i="113"/>
  <c r="N234" i="113"/>
  <c r="N277" i="113"/>
  <c r="N193" i="113"/>
  <c r="N290" i="113"/>
  <c r="N209" i="113"/>
  <c r="N226" i="113"/>
  <c r="N143" i="113"/>
  <c r="N167" i="113"/>
  <c r="N300" i="113"/>
  <c r="N235" i="113"/>
  <c r="N164" i="113"/>
  <c r="N211" i="113"/>
  <c r="N241" i="113"/>
  <c r="N239" i="113"/>
  <c r="N264" i="113"/>
  <c r="N230" i="113"/>
  <c r="N141" i="113"/>
  <c r="L156" i="113"/>
  <c r="M156" i="113" s="1"/>
  <c r="L184" i="113"/>
  <c r="M184" i="113" s="1"/>
  <c r="N184" i="113"/>
  <c r="L197" i="113"/>
  <c r="M197" i="113" s="1"/>
  <c r="N149" i="113"/>
  <c r="N161" i="113"/>
  <c r="N225" i="113"/>
  <c r="N217" i="113"/>
  <c r="N162" i="113"/>
  <c r="N150" i="113"/>
  <c r="N169" i="113"/>
  <c r="N170" i="113"/>
  <c r="N156" i="113"/>
  <c r="L282" i="113"/>
  <c r="M282" i="113" s="1"/>
  <c r="N293" i="113"/>
  <c r="N207" i="113"/>
  <c r="L151" i="113"/>
  <c r="M151" i="113" s="1"/>
  <c r="N309" i="113"/>
  <c r="N224" i="113"/>
  <c r="N242" i="113"/>
  <c r="N227" i="113"/>
  <c r="L145" i="113"/>
  <c r="M145" i="113" s="1"/>
  <c r="L161" i="113"/>
  <c r="M161" i="113" s="1"/>
  <c r="L169" i="113"/>
  <c r="M169" i="113" s="1"/>
  <c r="L150" i="113"/>
  <c r="M150" i="113" s="1"/>
  <c r="L170" i="113"/>
  <c r="M170" i="113" s="1"/>
  <c r="L149" i="113"/>
  <c r="M149" i="113" s="1"/>
  <c r="L262" i="113"/>
  <c r="M262" i="113" s="1"/>
  <c r="N294" i="113"/>
  <c r="L245" i="113"/>
  <c r="M245" i="113" s="1"/>
  <c r="N246" i="113"/>
  <c r="L159" i="113"/>
  <c r="M159" i="113" s="1"/>
  <c r="L257" i="113"/>
  <c r="M257" i="113" s="1"/>
  <c r="L278" i="113"/>
  <c r="M278" i="113" s="1"/>
  <c r="O179" i="113"/>
  <c r="F250" i="113"/>
  <c r="N148" i="113"/>
  <c r="F186" i="113"/>
  <c r="N139" i="113"/>
  <c r="N263" i="113"/>
  <c r="N254" i="113"/>
  <c r="N270" i="113"/>
  <c r="N299" i="113"/>
  <c r="N168" i="113"/>
  <c r="N291" i="113"/>
  <c r="N307" i="113"/>
  <c r="N285" i="113"/>
  <c r="N286" i="113"/>
  <c r="L260" i="113"/>
  <c r="M260" i="113" s="1"/>
  <c r="L240" i="113"/>
  <c r="M240" i="113" s="1"/>
  <c r="N272" i="113"/>
  <c r="N306" i="113"/>
  <c r="N279" i="113"/>
  <c r="N260" i="113"/>
  <c r="N240" i="113"/>
  <c r="N266" i="113"/>
  <c r="N283" i="113"/>
  <c r="N152" i="113"/>
  <c r="N258" i="113"/>
  <c r="N160" i="113"/>
  <c r="L279" i="113"/>
  <c r="M279" i="113" s="1"/>
  <c r="L274" i="113"/>
  <c r="M274" i="113" s="1"/>
  <c r="N204" i="113"/>
  <c r="N215" i="113"/>
  <c r="N262" i="113"/>
  <c r="N273" i="113"/>
  <c r="N233" i="113"/>
  <c r="F314" i="113"/>
  <c r="N253" i="113"/>
  <c r="L255" i="113"/>
  <c r="M255" i="113" s="1"/>
  <c r="N308" i="113"/>
  <c r="N137" i="113"/>
  <c r="N267" i="113"/>
  <c r="N302" i="113"/>
  <c r="N196" i="113"/>
  <c r="N271" i="113"/>
  <c r="N304" i="113"/>
  <c r="N281" i="113"/>
  <c r="N274" i="113"/>
  <c r="N147" i="113"/>
  <c r="N259" i="113"/>
  <c r="N282" i="113"/>
  <c r="L258" i="113"/>
  <c r="M258" i="113" s="1"/>
  <c r="N245" i="113"/>
  <c r="N229" i="113"/>
  <c r="N214" i="113"/>
  <c r="N287" i="113"/>
  <c r="N173" i="113"/>
  <c r="N261" i="113"/>
  <c r="N159" i="113"/>
  <c r="N275" i="113"/>
  <c r="L271" i="113"/>
  <c r="M271" i="113" s="1"/>
  <c r="N151" i="113"/>
  <c r="N276" i="113"/>
  <c r="L256" i="113"/>
  <c r="M256" i="113" s="1"/>
  <c r="N172" i="113"/>
  <c r="N305" i="113"/>
  <c r="N176" i="113"/>
  <c r="N146" i="113"/>
  <c r="H29" i="154" l="1"/>
  <c r="G29" i="154"/>
  <c r="H99" i="132"/>
  <c r="I99" i="132" s="1"/>
  <c r="I98" i="132" s="1"/>
  <c r="G98" i="132"/>
  <c r="Z29" i="99"/>
  <c r="AA29" i="99" s="1"/>
  <c r="K27" i="132"/>
  <c r="M27" i="132" s="1"/>
  <c r="Z51" i="99"/>
  <c r="AA51" i="99" s="1"/>
  <c r="K49" i="132"/>
  <c r="M49" i="132" s="1"/>
  <c r="Z30" i="99"/>
  <c r="AA30" i="99" s="1"/>
  <c r="K28" i="132"/>
  <c r="M28" i="132" s="1"/>
  <c r="Z34" i="99"/>
  <c r="AA34" i="99" s="1"/>
  <c r="K32" i="132"/>
  <c r="M32" i="132" s="1"/>
  <c r="Z18" i="99"/>
  <c r="AA18" i="99" s="1"/>
  <c r="K16" i="132"/>
  <c r="M16" i="132" s="1"/>
  <c r="Z56" i="99"/>
  <c r="AA56" i="99" s="1"/>
  <c r="K54" i="132"/>
  <c r="M54" i="132" s="1"/>
  <c r="Z34" i="100"/>
  <c r="AA34" i="100" s="1"/>
  <c r="K116" i="132"/>
  <c r="M116" i="132" s="1"/>
  <c r="Z70" i="100"/>
  <c r="AA70" i="100" s="1"/>
  <c r="K152" i="132"/>
  <c r="M152" i="132" s="1"/>
  <c r="Z39" i="100"/>
  <c r="AA39" i="100" s="1"/>
  <c r="K121" i="132"/>
  <c r="M121" i="132" s="1"/>
  <c r="Z55" i="102"/>
  <c r="AA55" i="102" s="1"/>
  <c r="K294" i="132"/>
  <c r="M294" i="132" s="1"/>
  <c r="Z90" i="100"/>
  <c r="AA90" i="100" s="1"/>
  <c r="K172" i="132"/>
  <c r="M172" i="132" s="1"/>
  <c r="K229" i="132"/>
  <c r="M229" i="132" s="1"/>
  <c r="Z58" i="101"/>
  <c r="AA58" i="101" s="1"/>
  <c r="K197" i="132"/>
  <c r="M197" i="132" s="1"/>
  <c r="Z26" i="101"/>
  <c r="AA26" i="101" s="1"/>
  <c r="Z56" i="100"/>
  <c r="AA56" i="100" s="1"/>
  <c r="K138" i="132"/>
  <c r="M138" i="132" s="1"/>
  <c r="Z75" i="102"/>
  <c r="K314" i="132"/>
  <c r="M314" i="132" s="1"/>
  <c r="Z65" i="100"/>
  <c r="AA65" i="100" s="1"/>
  <c r="K147" i="132"/>
  <c r="M147" i="132" s="1"/>
  <c r="Z78" i="100"/>
  <c r="K160" i="132"/>
  <c r="M160" i="132" s="1"/>
  <c r="K208" i="132"/>
  <c r="M208" i="132" s="1"/>
  <c r="Z37" i="101"/>
  <c r="AA37" i="101" s="1"/>
  <c r="Z61" i="101"/>
  <c r="K232" i="132"/>
  <c r="M232" i="132" s="1"/>
  <c r="K237" i="132"/>
  <c r="M237" i="132" s="1"/>
  <c r="Z66" i="101"/>
  <c r="AA66" i="101" s="1"/>
  <c r="K275" i="132"/>
  <c r="M275" i="132" s="1"/>
  <c r="Z36" i="102"/>
  <c r="AA36" i="102" s="1"/>
  <c r="Z19" i="102"/>
  <c r="AA19" i="102" s="1"/>
  <c r="K258" i="132"/>
  <c r="M258" i="132" s="1"/>
  <c r="K185" i="132"/>
  <c r="M185" i="132" s="1"/>
  <c r="Z103" i="100"/>
  <c r="AA103" i="100" s="1"/>
  <c r="G253" i="132"/>
  <c r="G187" i="132"/>
  <c r="Z66" i="99"/>
  <c r="AA66" i="99" s="1"/>
  <c r="K64" i="132"/>
  <c r="M64" i="132" s="1"/>
  <c r="Z42" i="99"/>
  <c r="AA42" i="99" s="1"/>
  <c r="K40" i="132"/>
  <c r="M40" i="132" s="1"/>
  <c r="Z26" i="99"/>
  <c r="AA26" i="99" s="1"/>
  <c r="K24" i="132"/>
  <c r="M24" i="132" s="1"/>
  <c r="Z31" i="99"/>
  <c r="AA31" i="99" s="1"/>
  <c r="K29" i="132"/>
  <c r="M29" i="132" s="1"/>
  <c r="Z21" i="99"/>
  <c r="AA21" i="99" s="1"/>
  <c r="K19" i="132"/>
  <c r="M19" i="132" s="1"/>
  <c r="Z87" i="99"/>
  <c r="AA87" i="99" s="1"/>
  <c r="K85" i="132"/>
  <c r="M85" i="132" s="1"/>
  <c r="Z78" i="99"/>
  <c r="AA78" i="99" s="1"/>
  <c r="K76" i="132"/>
  <c r="M76" i="132" s="1"/>
  <c r="Z81" i="99"/>
  <c r="AA81" i="99" s="1"/>
  <c r="K79" i="132"/>
  <c r="M79" i="132" s="1"/>
  <c r="Z39" i="102"/>
  <c r="AA39" i="102" s="1"/>
  <c r="K278" i="132"/>
  <c r="M278" i="132" s="1"/>
  <c r="Z51" i="100"/>
  <c r="AA51" i="100" s="1"/>
  <c r="K133" i="132"/>
  <c r="M133" i="132" s="1"/>
  <c r="Z76" i="100"/>
  <c r="K158" i="132"/>
  <c r="M158" i="132" s="1"/>
  <c r="Z61" i="100"/>
  <c r="AA61" i="100" s="1"/>
  <c r="K143" i="132"/>
  <c r="M143" i="132" s="1"/>
  <c r="Z38" i="100"/>
  <c r="AA38" i="100" s="1"/>
  <c r="K120" i="132"/>
  <c r="M120" i="132" s="1"/>
  <c r="Z33" i="100"/>
  <c r="AA33" i="100" s="1"/>
  <c r="K115" i="132"/>
  <c r="M115" i="132" s="1"/>
  <c r="Z75" i="100"/>
  <c r="AA75" i="100" s="1"/>
  <c r="K157" i="132"/>
  <c r="M157" i="132" s="1"/>
  <c r="K247" i="132"/>
  <c r="M247" i="132" s="1"/>
  <c r="Z76" i="101"/>
  <c r="AA76" i="101" s="1"/>
  <c r="Z71" i="100"/>
  <c r="AA71" i="100" s="1"/>
  <c r="K153" i="132"/>
  <c r="M153" i="132" s="1"/>
  <c r="K307" i="132"/>
  <c r="M307" i="132" s="1"/>
  <c r="Z68" i="102"/>
  <c r="AA68" i="102" s="1"/>
  <c r="Z20" i="100"/>
  <c r="AA20" i="100" s="1"/>
  <c r="K102" i="132"/>
  <c r="M102" i="132" s="1"/>
  <c r="K301" i="132"/>
  <c r="M301" i="132" s="1"/>
  <c r="Z62" i="102"/>
  <c r="AA62" i="102" s="1"/>
  <c r="Z35" i="102"/>
  <c r="AA35" i="102" s="1"/>
  <c r="K274" i="132"/>
  <c r="M274" i="132" s="1"/>
  <c r="K218" i="132"/>
  <c r="M218" i="132" s="1"/>
  <c r="Z47" i="101"/>
  <c r="AA47" i="101" s="1"/>
  <c r="K289" i="132"/>
  <c r="M289" i="132" s="1"/>
  <c r="Z50" i="102"/>
  <c r="AA50" i="102" s="1"/>
  <c r="K304" i="132"/>
  <c r="M304" i="132" s="1"/>
  <c r="Z65" i="102"/>
  <c r="AA65" i="102" s="1"/>
  <c r="Z42" i="100"/>
  <c r="AA42" i="100" s="1"/>
  <c r="K124" i="132"/>
  <c r="M124" i="132" s="1"/>
  <c r="Z53" i="102"/>
  <c r="AA53" i="102" s="1"/>
  <c r="K292" i="132"/>
  <c r="M292" i="132" s="1"/>
  <c r="K255" i="132"/>
  <c r="M255" i="132" s="1"/>
  <c r="Z16" i="102"/>
  <c r="Z64" i="100"/>
  <c r="AA64" i="100" s="1"/>
  <c r="K146" i="132"/>
  <c r="M146" i="132" s="1"/>
  <c r="Z44" i="100"/>
  <c r="AA44" i="100" s="1"/>
  <c r="K126" i="132"/>
  <c r="M126" i="132" s="1"/>
  <c r="Z26" i="100"/>
  <c r="AA26" i="100" s="1"/>
  <c r="K108" i="132"/>
  <c r="M108" i="132" s="1"/>
  <c r="K239" i="132"/>
  <c r="M239" i="132" s="1"/>
  <c r="Z68" i="101"/>
  <c r="K242" i="132"/>
  <c r="M242" i="132" s="1"/>
  <c r="Z71" i="101"/>
  <c r="AA71" i="101" s="1"/>
  <c r="Z66" i="100"/>
  <c r="AA66" i="100" s="1"/>
  <c r="K148" i="132"/>
  <c r="M148" i="132" s="1"/>
  <c r="Z59" i="100"/>
  <c r="AA59" i="100" s="1"/>
  <c r="K141" i="132"/>
  <c r="M141" i="132" s="1"/>
  <c r="Z85" i="100"/>
  <c r="AA85" i="100" s="1"/>
  <c r="K167" i="132"/>
  <c r="M167" i="132" s="1"/>
  <c r="Z77" i="100"/>
  <c r="AA77" i="100" s="1"/>
  <c r="K159" i="132"/>
  <c r="M159" i="132" s="1"/>
  <c r="Z23" i="100"/>
  <c r="AA23" i="100" s="1"/>
  <c r="K105" i="132"/>
  <c r="M105" i="132" s="1"/>
  <c r="Z37" i="100"/>
  <c r="AA37" i="100" s="1"/>
  <c r="K119" i="132"/>
  <c r="M119" i="132" s="1"/>
  <c r="K207" i="132"/>
  <c r="M207" i="132" s="1"/>
  <c r="Z36" i="101"/>
  <c r="AA36" i="101" s="1"/>
  <c r="K209" i="132"/>
  <c r="M209" i="132" s="1"/>
  <c r="Z38" i="101"/>
  <c r="AA38" i="101" s="1"/>
  <c r="Z30" i="100"/>
  <c r="AA30" i="100" s="1"/>
  <c r="K112" i="132"/>
  <c r="M112" i="132" s="1"/>
  <c r="K200" i="132"/>
  <c r="M200" i="132" s="1"/>
  <c r="Z29" i="101"/>
  <c r="AA29" i="101" s="1"/>
  <c r="Z33" i="101"/>
  <c r="AA33" i="101" s="1"/>
  <c r="K204" i="132"/>
  <c r="M204" i="132" s="1"/>
  <c r="K270" i="132"/>
  <c r="M270" i="132" s="1"/>
  <c r="Z31" i="102"/>
  <c r="AA31" i="102" s="1"/>
  <c r="Z20" i="101"/>
  <c r="AA20" i="101" s="1"/>
  <c r="K191" i="132"/>
  <c r="M191" i="132" s="1"/>
  <c r="K282" i="132"/>
  <c r="M282" i="132" s="1"/>
  <c r="Z43" i="102"/>
  <c r="AA43" i="102" s="1"/>
  <c r="K279" i="132"/>
  <c r="M279" i="132" s="1"/>
  <c r="Z40" i="102"/>
  <c r="AA40" i="102" s="1"/>
  <c r="Z32" i="102"/>
  <c r="AA32" i="102" s="1"/>
  <c r="K271" i="132"/>
  <c r="M271" i="132" s="1"/>
  <c r="K240" i="132"/>
  <c r="M240" i="132" s="1"/>
  <c r="Z69" i="101"/>
  <c r="AA69" i="101" s="1"/>
  <c r="K285" i="132"/>
  <c r="M285" i="132" s="1"/>
  <c r="Z46" i="102"/>
  <c r="AA46" i="102" s="1"/>
  <c r="Z44" i="102"/>
  <c r="AA44" i="102" s="1"/>
  <c r="K283" i="132"/>
  <c r="M283" i="132" s="1"/>
  <c r="Z51" i="102"/>
  <c r="AA51" i="102" s="1"/>
  <c r="K290" i="132"/>
  <c r="M290" i="132" s="1"/>
  <c r="K299" i="132"/>
  <c r="M299" i="132" s="1"/>
  <c r="Z60" i="102"/>
  <c r="AA60" i="102" s="1"/>
  <c r="K263" i="132"/>
  <c r="M263" i="132" s="1"/>
  <c r="Z24" i="102"/>
  <c r="AA24" i="102" s="1"/>
  <c r="Z31" i="101"/>
  <c r="AA31" i="101" s="1"/>
  <c r="K202" i="132"/>
  <c r="M202" i="132" s="1"/>
  <c r="Z97" i="100"/>
  <c r="AA97" i="100" s="1"/>
  <c r="K179" i="132"/>
  <c r="M179" i="132" s="1"/>
  <c r="Z100" i="100"/>
  <c r="AA100" i="100" s="1"/>
  <c r="K182" i="132"/>
  <c r="M182" i="132" s="1"/>
  <c r="Z35" i="99"/>
  <c r="AA35" i="99" s="1"/>
  <c r="K33" i="132"/>
  <c r="M33" i="132" s="1"/>
  <c r="K221" i="132"/>
  <c r="M221" i="132" s="1"/>
  <c r="Z50" i="101"/>
  <c r="AA50" i="101" s="1"/>
  <c r="K280" i="132"/>
  <c r="M280" i="132" s="1"/>
  <c r="Z41" i="102"/>
  <c r="AA41" i="102" s="1"/>
  <c r="K312" i="132"/>
  <c r="M312" i="132" s="1"/>
  <c r="Z73" i="102"/>
  <c r="AA73" i="102" s="1"/>
  <c r="K309" i="132"/>
  <c r="M309" i="132" s="1"/>
  <c r="Z70" i="102"/>
  <c r="AA70" i="102" s="1"/>
  <c r="Z86" i="100"/>
  <c r="AA86" i="100" s="1"/>
  <c r="K168" i="132"/>
  <c r="M168" i="132" s="1"/>
  <c r="Z66" i="102"/>
  <c r="AA66" i="102" s="1"/>
  <c r="K305" i="132"/>
  <c r="M305" i="132" s="1"/>
  <c r="K272" i="132"/>
  <c r="M272" i="132" s="1"/>
  <c r="Z33" i="102"/>
  <c r="AA33" i="102" s="1"/>
  <c r="Z18" i="100"/>
  <c r="K100" i="132"/>
  <c r="M100" i="132" s="1"/>
  <c r="Z22" i="100"/>
  <c r="AA22" i="100" s="1"/>
  <c r="K104" i="132"/>
  <c r="M104" i="132" s="1"/>
  <c r="K198" i="132"/>
  <c r="M198" i="132" s="1"/>
  <c r="Z27" i="101"/>
  <c r="K223" i="132"/>
  <c r="M223" i="132" s="1"/>
  <c r="Z52" i="101"/>
  <c r="AA52" i="101" s="1"/>
  <c r="Z35" i="100"/>
  <c r="AA35" i="100" s="1"/>
  <c r="K117" i="132"/>
  <c r="M117" i="132" s="1"/>
  <c r="K286" i="132"/>
  <c r="M286" i="132" s="1"/>
  <c r="Z47" i="102"/>
  <c r="AA47" i="102" s="1"/>
  <c r="Z54" i="102"/>
  <c r="AA54" i="102" s="1"/>
  <c r="K293" i="132"/>
  <c r="M293" i="132" s="1"/>
  <c r="Z43" i="101"/>
  <c r="AA43" i="101" s="1"/>
  <c r="K214" i="132"/>
  <c r="M214" i="132" s="1"/>
  <c r="K273" i="132"/>
  <c r="M273" i="132" s="1"/>
  <c r="Z34" i="102"/>
  <c r="AA34" i="102" s="1"/>
  <c r="Z25" i="99"/>
  <c r="AA25" i="99" s="1"/>
  <c r="K23" i="132"/>
  <c r="M23" i="132" s="1"/>
  <c r="Z50" i="99"/>
  <c r="AA50" i="99" s="1"/>
  <c r="K48" i="132"/>
  <c r="M48" i="132" s="1"/>
  <c r="Z63" i="99"/>
  <c r="AA63" i="99" s="1"/>
  <c r="K61" i="132"/>
  <c r="M61" i="132" s="1"/>
  <c r="Z58" i="99"/>
  <c r="AA58" i="99" s="1"/>
  <c r="K56" i="132"/>
  <c r="M56" i="132" s="1"/>
  <c r="K215" i="132"/>
  <c r="M215" i="132" s="1"/>
  <c r="Z44" i="101"/>
  <c r="AA44" i="101" s="1"/>
  <c r="K244" i="132"/>
  <c r="M244" i="132" s="1"/>
  <c r="Z73" i="101"/>
  <c r="Z83" i="100"/>
  <c r="AA83" i="100" s="1"/>
  <c r="K165" i="132"/>
  <c r="M165" i="132" s="1"/>
  <c r="K276" i="132"/>
  <c r="M276" i="132" s="1"/>
  <c r="Z37" i="102"/>
  <c r="AA37" i="102" s="1"/>
  <c r="K310" i="132"/>
  <c r="M310" i="132" s="1"/>
  <c r="Z71" i="102"/>
  <c r="AA71" i="102" s="1"/>
  <c r="K291" i="132"/>
  <c r="M291" i="132" s="1"/>
  <c r="Z52" i="102"/>
  <c r="AA52" i="102" s="1"/>
  <c r="K225" i="132"/>
  <c r="M225" i="132" s="1"/>
  <c r="Z54" i="101"/>
  <c r="AA54" i="101" s="1"/>
  <c r="Z32" i="100"/>
  <c r="AA32" i="100" s="1"/>
  <c r="K114" i="132"/>
  <c r="M114" i="132" s="1"/>
  <c r="Z29" i="100"/>
  <c r="AA29" i="100" s="1"/>
  <c r="K111" i="132"/>
  <c r="M111" i="132" s="1"/>
  <c r="K189" i="132"/>
  <c r="M189" i="132" s="1"/>
  <c r="Z18" i="101"/>
  <c r="Z69" i="100"/>
  <c r="AA69" i="100" s="1"/>
  <c r="K151" i="132"/>
  <c r="M151" i="132" s="1"/>
  <c r="Z80" i="100"/>
  <c r="AA80" i="100" s="1"/>
  <c r="K162" i="132"/>
  <c r="M162" i="132" s="1"/>
  <c r="Z67" i="100"/>
  <c r="AA67" i="100" s="1"/>
  <c r="K149" i="132"/>
  <c r="M149" i="132" s="1"/>
  <c r="K317" i="132"/>
  <c r="M317" i="132" s="1"/>
  <c r="Z78" i="102"/>
  <c r="AA78" i="102" s="1"/>
  <c r="K217" i="132"/>
  <c r="M217" i="132" s="1"/>
  <c r="Z46" i="101"/>
  <c r="AA46" i="101" s="1"/>
  <c r="Z30" i="102"/>
  <c r="AA30" i="102" s="1"/>
  <c r="K269" i="132"/>
  <c r="M269" i="132" s="1"/>
  <c r="Z49" i="101"/>
  <c r="AA49" i="101" s="1"/>
  <c r="K220" i="132"/>
  <c r="M220" i="132" s="1"/>
  <c r="K213" i="132"/>
  <c r="M213" i="132" s="1"/>
  <c r="Z42" i="101"/>
  <c r="AA42" i="101" s="1"/>
  <c r="Z65" i="99"/>
  <c r="AA65" i="99" s="1"/>
  <c r="K63" i="132"/>
  <c r="M63" i="132" s="1"/>
  <c r="Z72" i="99"/>
  <c r="AA72" i="99" s="1"/>
  <c r="K70" i="132"/>
  <c r="M70" i="132" s="1"/>
  <c r="Z67" i="99"/>
  <c r="AA67" i="99" s="1"/>
  <c r="K65" i="132"/>
  <c r="M65" i="132" s="1"/>
  <c r="Z27" i="99"/>
  <c r="AA27" i="99" s="1"/>
  <c r="K25" i="132"/>
  <c r="M25" i="132" s="1"/>
  <c r="Z55" i="99"/>
  <c r="AA55" i="99" s="1"/>
  <c r="K53" i="132"/>
  <c r="M53" i="132" s="1"/>
  <c r="Z85" i="99"/>
  <c r="AA85" i="99" s="1"/>
  <c r="K83" i="132"/>
  <c r="M83" i="132" s="1"/>
  <c r="K235" i="132"/>
  <c r="M235" i="132" s="1"/>
  <c r="Z64" i="101"/>
  <c r="AA64" i="101" s="1"/>
  <c r="Z54" i="100"/>
  <c r="AA54" i="100" s="1"/>
  <c r="K136" i="132"/>
  <c r="M136" i="132" s="1"/>
  <c r="Z49" i="100"/>
  <c r="AA49" i="100" s="1"/>
  <c r="K131" i="132"/>
  <c r="M131" i="132" s="1"/>
  <c r="K243" i="132"/>
  <c r="M243" i="132" s="1"/>
  <c r="Z72" i="101"/>
  <c r="AA72" i="101" s="1"/>
  <c r="Z60" i="100"/>
  <c r="AA60" i="100" s="1"/>
  <c r="K142" i="132"/>
  <c r="M142" i="132" s="1"/>
  <c r="Z81" i="100"/>
  <c r="AA81" i="100" s="1"/>
  <c r="K163" i="132"/>
  <c r="M163" i="132" s="1"/>
  <c r="K249" i="132"/>
  <c r="M249" i="132" s="1"/>
  <c r="Z78" i="101"/>
  <c r="AA78" i="101" s="1"/>
  <c r="Z69" i="102"/>
  <c r="AA69" i="102" s="1"/>
  <c r="K308" i="132"/>
  <c r="M308" i="132" s="1"/>
  <c r="Z47" i="100"/>
  <c r="AA47" i="100" s="1"/>
  <c r="K129" i="132"/>
  <c r="M129" i="132" s="1"/>
  <c r="Z50" i="100"/>
  <c r="AA50" i="100" s="1"/>
  <c r="K132" i="132"/>
  <c r="M132" i="132" s="1"/>
  <c r="K296" i="132"/>
  <c r="M296" i="132" s="1"/>
  <c r="Z57" i="102"/>
  <c r="AA57" i="102" s="1"/>
  <c r="K201" i="132"/>
  <c r="M201" i="132" s="1"/>
  <c r="Z30" i="101"/>
  <c r="AA30" i="101" s="1"/>
  <c r="K199" i="132"/>
  <c r="M199" i="132" s="1"/>
  <c r="Z28" i="101"/>
  <c r="AA28" i="101" s="1"/>
  <c r="K267" i="132"/>
  <c r="M267" i="132" s="1"/>
  <c r="Z28" i="102"/>
  <c r="AA28" i="102" s="1"/>
  <c r="Z45" i="101"/>
  <c r="AA45" i="101" s="1"/>
  <c r="K216" i="132"/>
  <c r="M216" i="132" s="1"/>
  <c r="Z79" i="100"/>
  <c r="AA79" i="100" s="1"/>
  <c r="K161" i="132"/>
  <c r="M161" i="132" s="1"/>
  <c r="Z36" i="100"/>
  <c r="AA36" i="100" s="1"/>
  <c r="K118" i="132"/>
  <c r="M118" i="132" s="1"/>
  <c r="K256" i="132"/>
  <c r="M256" i="132" s="1"/>
  <c r="Z17" i="102"/>
  <c r="AA17" i="102" s="1"/>
  <c r="K190" i="132"/>
  <c r="M190" i="132" s="1"/>
  <c r="Z19" i="101"/>
  <c r="AA19" i="101" s="1"/>
  <c r="Z75" i="101"/>
  <c r="AA75" i="101" s="1"/>
  <c r="K246" i="132"/>
  <c r="M246" i="132" s="1"/>
  <c r="Z24" i="100"/>
  <c r="AA24" i="100" s="1"/>
  <c r="K106" i="132"/>
  <c r="M106" i="132" s="1"/>
  <c r="K266" i="132"/>
  <c r="M266" i="132" s="1"/>
  <c r="Z27" i="102"/>
  <c r="AA27" i="102" s="1"/>
  <c r="Z64" i="102"/>
  <c r="AA64" i="102" s="1"/>
  <c r="K303" i="132"/>
  <c r="M303" i="132" s="1"/>
  <c r="Z43" i="100"/>
  <c r="AA43" i="100" s="1"/>
  <c r="K125" i="132"/>
  <c r="M125" i="132" s="1"/>
  <c r="Z52" i="100"/>
  <c r="AA52" i="100" s="1"/>
  <c r="K134" i="132"/>
  <c r="M134" i="132" s="1"/>
  <c r="Z77" i="102"/>
  <c r="AA77" i="102" s="1"/>
  <c r="K316" i="132"/>
  <c r="M316" i="132" s="1"/>
  <c r="Z74" i="100"/>
  <c r="AA74" i="100" s="1"/>
  <c r="K156" i="132"/>
  <c r="M156" i="132" s="1"/>
  <c r="Z21" i="100"/>
  <c r="AA21" i="100" s="1"/>
  <c r="K103" i="132"/>
  <c r="M103" i="132" s="1"/>
  <c r="Z58" i="100"/>
  <c r="K140" i="132"/>
  <c r="M140" i="132" s="1"/>
  <c r="Z53" i="100"/>
  <c r="K135" i="132"/>
  <c r="Z41" i="100"/>
  <c r="AA41" i="100" s="1"/>
  <c r="K123" i="132"/>
  <c r="M123" i="132" s="1"/>
  <c r="K210" i="132"/>
  <c r="M210" i="132" s="1"/>
  <c r="Z39" i="101"/>
  <c r="AA39" i="101" s="1"/>
  <c r="Z35" i="101"/>
  <c r="AA35" i="101" s="1"/>
  <c r="K206" i="132"/>
  <c r="M206" i="132" s="1"/>
  <c r="K196" i="132"/>
  <c r="M196" i="132" s="1"/>
  <c r="Z25" i="101"/>
  <c r="Z55" i="100"/>
  <c r="K137" i="132"/>
  <c r="K226" i="132"/>
  <c r="M226" i="132" s="1"/>
  <c r="Z55" i="101"/>
  <c r="AA55" i="101" s="1"/>
  <c r="K219" i="132"/>
  <c r="M219" i="132" s="1"/>
  <c r="Z48" i="101"/>
  <c r="AA48" i="101" s="1"/>
  <c r="K297" i="132"/>
  <c r="M297" i="132" s="1"/>
  <c r="Z58" i="102"/>
  <c r="AA58" i="102" s="1"/>
  <c r="K288" i="132"/>
  <c r="M288" i="132" s="1"/>
  <c r="Z49" i="102"/>
  <c r="AA49" i="102" s="1"/>
  <c r="K277" i="132"/>
  <c r="M277" i="132" s="1"/>
  <c r="Z38" i="102"/>
  <c r="AA38" i="102" s="1"/>
  <c r="K259" i="132"/>
  <c r="M259" i="132" s="1"/>
  <c r="Z20" i="102"/>
  <c r="AA20" i="102" s="1"/>
  <c r="K192" i="132"/>
  <c r="M192" i="132" s="1"/>
  <c r="Z21" i="101"/>
  <c r="AA21" i="101" s="1"/>
  <c r="K228" i="132"/>
  <c r="M228" i="132" s="1"/>
  <c r="Z57" i="101"/>
  <c r="AA57" i="101" s="1"/>
  <c r="K212" i="132"/>
  <c r="M212" i="132" s="1"/>
  <c r="Z41" i="101"/>
  <c r="AA41" i="101" s="1"/>
  <c r="K264" i="132"/>
  <c r="M264" i="132" s="1"/>
  <c r="Z25" i="102"/>
  <c r="AA25" i="102" s="1"/>
  <c r="K257" i="132"/>
  <c r="M257" i="132" s="1"/>
  <c r="Z18" i="102"/>
  <c r="AA18" i="102" s="1"/>
  <c r="K281" i="132"/>
  <c r="M281" i="132" s="1"/>
  <c r="Z42" i="102"/>
  <c r="AA42" i="102" s="1"/>
  <c r="Z99" i="100"/>
  <c r="AA99" i="100" s="1"/>
  <c r="K181" i="132"/>
  <c r="H188" i="132"/>
  <c r="H187" i="132" s="1"/>
  <c r="Z33" i="99"/>
  <c r="AA33" i="99" s="1"/>
  <c r="K31" i="132"/>
  <c r="M31" i="132" s="1"/>
  <c r="Z76" i="99"/>
  <c r="AA76" i="99" s="1"/>
  <c r="K74" i="132"/>
  <c r="M74" i="132" s="1"/>
  <c r="Z74" i="99"/>
  <c r="AA74" i="99" s="1"/>
  <c r="K72" i="132"/>
  <c r="M72" i="132" s="1"/>
  <c r="Z83" i="99"/>
  <c r="AA83" i="99" s="1"/>
  <c r="K81" i="132"/>
  <c r="M81" i="132" s="1"/>
  <c r="Z48" i="99"/>
  <c r="AA48" i="99" s="1"/>
  <c r="K46" i="132"/>
  <c r="M46" i="132" s="1"/>
  <c r="Z24" i="99"/>
  <c r="AA24" i="99" s="1"/>
  <c r="K22" i="132"/>
  <c r="M22" i="132" s="1"/>
  <c r="Z82" i="99"/>
  <c r="AA82" i="99" s="1"/>
  <c r="K80" i="132"/>
  <c r="M80" i="132" s="1"/>
  <c r="Z77" i="99"/>
  <c r="AA77" i="99" s="1"/>
  <c r="K75" i="132"/>
  <c r="M75" i="132" s="1"/>
  <c r="Z54" i="99"/>
  <c r="AA54" i="99" s="1"/>
  <c r="K52" i="132"/>
  <c r="M52" i="132" s="1"/>
  <c r="Z71" i="99"/>
  <c r="AA71" i="99" s="1"/>
  <c r="K69" i="132"/>
  <c r="M69" i="132" s="1"/>
  <c r="Z62" i="100"/>
  <c r="AA62" i="100" s="1"/>
  <c r="K144" i="132"/>
  <c r="M144" i="132" s="1"/>
  <c r="Z57" i="100"/>
  <c r="AA57" i="100" s="1"/>
  <c r="K139" i="132"/>
  <c r="M139" i="132" s="1"/>
  <c r="Z24" i="101"/>
  <c r="AA24" i="101" s="1"/>
  <c r="K195" i="132"/>
  <c r="M195" i="132" s="1"/>
  <c r="Z51" i="101"/>
  <c r="AA51" i="101" s="1"/>
  <c r="K222" i="132"/>
  <c r="M222" i="132" s="1"/>
  <c r="K311" i="132"/>
  <c r="M311" i="132" s="1"/>
  <c r="Z72" i="102"/>
  <c r="AA72" i="102" s="1"/>
  <c r="Z46" i="100"/>
  <c r="AA46" i="100" s="1"/>
  <c r="K128" i="132"/>
  <c r="M128" i="132" s="1"/>
  <c r="Z84" i="100"/>
  <c r="K166" i="132"/>
  <c r="M166" i="132" s="1"/>
  <c r="Z48" i="100"/>
  <c r="AA48" i="100" s="1"/>
  <c r="K130" i="132"/>
  <c r="M130" i="132" s="1"/>
  <c r="Z25" i="100"/>
  <c r="AA25" i="100" s="1"/>
  <c r="K107" i="132"/>
  <c r="M107" i="132" s="1"/>
  <c r="Z40" i="100"/>
  <c r="AA40" i="100" s="1"/>
  <c r="K122" i="132"/>
  <c r="M122" i="132" s="1"/>
  <c r="K194" i="132"/>
  <c r="M194" i="132" s="1"/>
  <c r="Z23" i="101"/>
  <c r="AA23" i="101" s="1"/>
  <c r="K298" i="132"/>
  <c r="M298" i="132" s="1"/>
  <c r="Z59" i="102"/>
  <c r="AA59" i="102" s="1"/>
  <c r="K205" i="132"/>
  <c r="M205" i="132" s="1"/>
  <c r="Z34" i="101"/>
  <c r="AA34" i="101" s="1"/>
  <c r="K231" i="132"/>
  <c r="M231" i="132" s="1"/>
  <c r="Z60" i="101"/>
  <c r="AA60" i="101" s="1"/>
  <c r="Z68" i="100"/>
  <c r="AA68" i="100" s="1"/>
  <c r="K150" i="132"/>
  <c r="M150" i="132" s="1"/>
  <c r="Z72" i="100"/>
  <c r="AA72" i="100" s="1"/>
  <c r="K154" i="132"/>
  <c r="M154" i="132" s="1"/>
  <c r="Z28" i="100"/>
  <c r="AA28" i="100" s="1"/>
  <c r="K110" i="132"/>
  <c r="M110" i="132" s="1"/>
  <c r="Z63" i="101"/>
  <c r="AA63" i="101" s="1"/>
  <c r="K234" i="132"/>
  <c r="M234" i="132" s="1"/>
  <c r="K241" i="132"/>
  <c r="M241" i="132" s="1"/>
  <c r="Z70" i="101"/>
  <c r="AA70" i="101" s="1"/>
  <c r="Z88" i="100"/>
  <c r="AA88" i="100" s="1"/>
  <c r="K170" i="132"/>
  <c r="M170" i="132" s="1"/>
  <c r="Z87" i="100"/>
  <c r="AA87" i="100" s="1"/>
  <c r="K169" i="132"/>
  <c r="M169" i="132" s="1"/>
  <c r="Z59" i="101"/>
  <c r="AA59" i="101" s="1"/>
  <c r="K230" i="132"/>
  <c r="M230" i="132" s="1"/>
  <c r="K245" i="132"/>
  <c r="M245" i="132" s="1"/>
  <c r="Z74" i="101"/>
  <c r="AA74" i="101" s="1"/>
  <c r="K262" i="132"/>
  <c r="M262" i="132" s="1"/>
  <c r="Z23" i="102"/>
  <c r="AA23" i="102" s="1"/>
  <c r="Z27" i="100"/>
  <c r="AA27" i="100" s="1"/>
  <c r="K109" i="132"/>
  <c r="M109" i="132" s="1"/>
  <c r="Z77" i="101"/>
  <c r="AA77" i="101" s="1"/>
  <c r="K248" i="132"/>
  <c r="M248" i="132" s="1"/>
  <c r="Z63" i="100"/>
  <c r="AA63" i="100" s="1"/>
  <c r="K145" i="132"/>
  <c r="M145" i="132" s="1"/>
  <c r="Z82" i="100"/>
  <c r="AA82" i="100" s="1"/>
  <c r="K164" i="132"/>
  <c r="M164" i="132" s="1"/>
  <c r="Z45" i="100"/>
  <c r="AA45" i="100" s="1"/>
  <c r="K127" i="132"/>
  <c r="M127" i="132" s="1"/>
  <c r="Z31" i="100"/>
  <c r="AA31" i="100" s="1"/>
  <c r="K113" i="132"/>
  <c r="M113" i="132" s="1"/>
  <c r="Z73" i="100"/>
  <c r="AA73" i="100" s="1"/>
  <c r="K155" i="132"/>
  <c r="M155" i="132" s="1"/>
  <c r="K224" i="132"/>
  <c r="M224" i="132" s="1"/>
  <c r="Z53" i="101"/>
  <c r="AA53" i="101" s="1"/>
  <c r="K193" i="132"/>
  <c r="M193" i="132" s="1"/>
  <c r="Z22" i="101"/>
  <c r="AA22" i="101" s="1"/>
  <c r="K227" i="132"/>
  <c r="M227" i="132" s="1"/>
  <c r="Z56" i="101"/>
  <c r="AA56" i="101" s="1"/>
  <c r="K203" i="132"/>
  <c r="M203" i="132" s="1"/>
  <c r="Z32" i="101"/>
  <c r="AA32" i="101" s="1"/>
  <c r="K233" i="132"/>
  <c r="M233" i="132" s="1"/>
  <c r="Z62" i="101"/>
  <c r="AA62" i="101" s="1"/>
  <c r="K300" i="132"/>
  <c r="M300" i="132" s="1"/>
  <c r="Z61" i="102"/>
  <c r="AA61" i="102" s="1"/>
  <c r="K287" i="132"/>
  <c r="M287" i="132" s="1"/>
  <c r="Z48" i="102"/>
  <c r="AA48" i="102" s="1"/>
  <c r="Z21" i="102"/>
  <c r="AA21" i="102" s="1"/>
  <c r="K260" i="132"/>
  <c r="M260" i="132" s="1"/>
  <c r="K284" i="132"/>
  <c r="M284" i="132" s="1"/>
  <c r="Z45" i="102"/>
  <c r="AA45" i="102" s="1"/>
  <c r="K268" i="132"/>
  <c r="M268" i="132" s="1"/>
  <c r="Z29" i="102"/>
  <c r="AA29" i="102" s="1"/>
  <c r="Z63" i="102"/>
  <c r="AA63" i="102" s="1"/>
  <c r="K302" i="132"/>
  <c r="M302" i="132" s="1"/>
  <c r="K261" i="132"/>
  <c r="M261" i="132" s="1"/>
  <c r="Z22" i="102"/>
  <c r="AA22" i="102" s="1"/>
  <c r="K265" i="132"/>
  <c r="M265" i="132" s="1"/>
  <c r="Z26" i="102"/>
  <c r="AA26" i="102" s="1"/>
  <c r="K211" i="132"/>
  <c r="M211" i="132" s="1"/>
  <c r="Z40" i="101"/>
  <c r="AA40" i="101" s="1"/>
  <c r="K295" i="132"/>
  <c r="M295" i="132" s="1"/>
  <c r="Z56" i="102"/>
  <c r="AA56" i="102" s="1"/>
  <c r="Z67" i="101"/>
  <c r="AA67" i="101" s="1"/>
  <c r="K238" i="132"/>
  <c r="M238" i="132" s="1"/>
  <c r="K315" i="132"/>
  <c r="M315" i="132" s="1"/>
  <c r="Z76" i="102"/>
  <c r="AA76" i="102" s="1"/>
  <c r="H254" i="132"/>
  <c r="H253" i="132" s="1"/>
  <c r="H14" i="132"/>
  <c r="I14" i="132" s="1"/>
  <c r="Z81" i="102"/>
  <c r="K320" i="132"/>
  <c r="M320" i="132" s="1"/>
  <c r="K20" i="132"/>
  <c r="M20" i="132" s="1"/>
  <c r="Z22" i="99"/>
  <c r="AA22" i="99" s="1"/>
  <c r="J348" i="151"/>
  <c r="L343" i="151"/>
  <c r="L348" i="151" s="1"/>
  <c r="J100" i="99"/>
  <c r="E2067" i="170"/>
  <c r="L2067" i="170" s="1"/>
  <c r="E1506" i="170"/>
  <c r="L1506" i="170" s="1"/>
  <c r="M2050" i="170" s="1"/>
  <c r="P35" i="152"/>
  <c r="E19" i="170"/>
  <c r="L19" i="170" s="1"/>
  <c r="M738" i="170" s="1"/>
  <c r="E755" i="170"/>
  <c r="L755" i="170" s="1"/>
  <c r="M1489" i="170" s="1"/>
  <c r="O1489" i="170" s="1"/>
  <c r="I380" i="132"/>
  <c r="AA102" i="100"/>
  <c r="L100" i="99"/>
  <c r="AA23" i="99"/>
  <c r="Z103" i="151"/>
  <c r="Z238" i="151"/>
  <c r="W27" i="152"/>
  <c r="D34" i="154"/>
  <c r="G34" i="154" s="1"/>
  <c r="AA104" i="100"/>
  <c r="AA61" i="101"/>
  <c r="H22" i="154"/>
  <c r="L2211" i="170"/>
  <c r="L2179" i="170"/>
  <c r="L2355" i="170"/>
  <c r="L2163" i="170"/>
  <c r="L2435" i="170"/>
  <c r="L2547" i="170"/>
  <c r="L2131" i="170"/>
  <c r="L2371" i="170"/>
  <c r="L2387" i="170"/>
  <c r="L2083" i="170"/>
  <c r="X17" i="101"/>
  <c r="X17" i="99"/>
  <c r="Z173" i="151"/>
  <c r="Z320" i="151"/>
  <c r="Z324" i="151"/>
  <c r="Z176" i="151"/>
  <c r="Z178" i="151"/>
  <c r="Z321" i="151"/>
  <c r="Z182" i="151"/>
  <c r="Z180" i="151"/>
  <c r="Z315" i="151"/>
  <c r="Z175" i="151"/>
  <c r="H26" i="154"/>
  <c r="Z177" i="151"/>
  <c r="Z179" i="151"/>
  <c r="H27" i="154"/>
  <c r="Z308" i="151"/>
  <c r="N357" i="151"/>
  <c r="A2341" i="170"/>
  <c r="G2325" i="170"/>
  <c r="X16" i="151"/>
  <c r="X15" i="151" s="1"/>
  <c r="X256" i="151"/>
  <c r="X190" i="151"/>
  <c r="X189" i="151" s="1"/>
  <c r="X101" i="151"/>
  <c r="X100" i="151" s="1"/>
  <c r="U317" i="128"/>
  <c r="U324" i="128" s="1"/>
  <c r="G25" i="154"/>
  <c r="H25" i="154"/>
  <c r="Z17" i="151"/>
  <c r="M381" i="132"/>
  <c r="X17" i="100"/>
  <c r="W35" i="152"/>
  <c r="G24" i="154"/>
  <c r="Z88" i="151"/>
  <c r="H23" i="154"/>
  <c r="R24" i="152"/>
  <c r="X27" i="101"/>
  <c r="X68" i="101"/>
  <c r="X73" i="101"/>
  <c r="M77" i="132"/>
  <c r="M30" i="132"/>
  <c r="M18" i="132"/>
  <c r="M38" i="132"/>
  <c r="M39" i="132"/>
  <c r="M37" i="132"/>
  <c r="M43" i="132"/>
  <c r="M71" i="132"/>
  <c r="M45" i="132"/>
  <c r="M21" i="132"/>
  <c r="M59" i="132"/>
  <c r="M44" i="132"/>
  <c r="M50" i="132"/>
  <c r="M58" i="132"/>
  <c r="M60" i="132"/>
  <c r="M34" i="132"/>
  <c r="M42" i="132"/>
  <c r="M41" i="132"/>
  <c r="M51" i="132"/>
  <c r="M68" i="132"/>
  <c r="M78" i="132"/>
  <c r="M57" i="132"/>
  <c r="M66" i="132"/>
  <c r="M73" i="132"/>
  <c r="M62" i="132"/>
  <c r="M17" i="132"/>
  <c r="L317" i="113"/>
  <c r="M317" i="113" s="1"/>
  <c r="P317" i="113" s="1"/>
  <c r="X15" i="102"/>
  <c r="X58" i="100"/>
  <c r="X18" i="100"/>
  <c r="X25" i="101"/>
  <c r="X76" i="100"/>
  <c r="X84" i="100"/>
  <c r="X78" i="100"/>
  <c r="F158" i="99"/>
  <c r="J158" i="99" s="1"/>
  <c r="X16" i="102"/>
  <c r="X18" i="101"/>
  <c r="F181" i="100"/>
  <c r="F195" i="100" s="1"/>
  <c r="R318" i="113"/>
  <c r="S318" i="113" s="1"/>
  <c r="U318" i="113" s="1"/>
  <c r="F157" i="99"/>
  <c r="J157" i="99" s="1"/>
  <c r="F159" i="99"/>
  <c r="J159" i="99" s="1"/>
  <c r="F156" i="99"/>
  <c r="J156" i="99" s="1"/>
  <c r="L190" i="113"/>
  <c r="M190" i="113" s="1"/>
  <c r="L189" i="113"/>
  <c r="M189" i="113" s="1"/>
  <c r="R316" i="113"/>
  <c r="S316" i="113" s="1"/>
  <c r="U316" i="113" s="1"/>
  <c r="F380" i="132"/>
  <c r="R315" i="113"/>
  <c r="M315" i="113"/>
  <c r="L332" i="113"/>
  <c r="F335" i="113"/>
  <c r="F338" i="113" s="1"/>
  <c r="N314" i="113"/>
  <c r="S320" i="113"/>
  <c r="N190" i="113"/>
  <c r="N189" i="113"/>
  <c r="M186" i="113"/>
  <c r="L186" i="113"/>
  <c r="N186" i="113"/>
  <c r="F177" i="99"/>
  <c r="F191" i="99" s="1"/>
  <c r="F125" i="102"/>
  <c r="F184" i="100"/>
  <c r="J20" i="153" l="1"/>
  <c r="L20" i="153" s="1"/>
  <c r="J15" i="153"/>
  <c r="J14" i="153"/>
  <c r="H98" i="132"/>
  <c r="K306" i="132"/>
  <c r="M306" i="132" s="1"/>
  <c r="Z67" i="102"/>
  <c r="AA67" i="102" s="1"/>
  <c r="Z98" i="100"/>
  <c r="K180" i="132"/>
  <c r="M180" i="132" s="1"/>
  <c r="Z17" i="99"/>
  <c r="AA17" i="99" s="1"/>
  <c r="K15" i="132"/>
  <c r="M15" i="132" s="1"/>
  <c r="Z19" i="100"/>
  <c r="AA19" i="100" s="1"/>
  <c r="K101" i="132"/>
  <c r="M101" i="132" s="1"/>
  <c r="I254" i="132"/>
  <c r="Z65" i="101"/>
  <c r="AA65" i="101" s="1"/>
  <c r="K236" i="132"/>
  <c r="M236" i="132" s="1"/>
  <c r="Z91" i="100"/>
  <c r="AA91" i="100" s="1"/>
  <c r="K173" i="132"/>
  <c r="M173" i="132" s="1"/>
  <c r="K319" i="132"/>
  <c r="M319" i="132" s="1"/>
  <c r="Z80" i="102"/>
  <c r="AA80" i="102" s="1"/>
  <c r="K318" i="132"/>
  <c r="M318" i="132" s="1"/>
  <c r="Z79" i="102"/>
  <c r="AA79" i="102" s="1"/>
  <c r="Z95" i="100"/>
  <c r="AA95" i="100" s="1"/>
  <c r="K177" i="132"/>
  <c r="M177" i="132" s="1"/>
  <c r="K313" i="132"/>
  <c r="M313" i="132" s="1"/>
  <c r="Z74" i="102"/>
  <c r="AA74" i="102" s="1"/>
  <c r="Z94" i="100"/>
  <c r="AA94" i="100" s="1"/>
  <c r="K176" i="132"/>
  <c r="M176" i="132" s="1"/>
  <c r="Z89" i="100"/>
  <c r="AA89" i="100" s="1"/>
  <c r="K171" i="132"/>
  <c r="M171" i="132" s="1"/>
  <c r="I188" i="132"/>
  <c r="I187" i="132" s="1"/>
  <c r="K322" i="132"/>
  <c r="M322" i="132" s="1"/>
  <c r="Z83" i="102"/>
  <c r="AA83" i="102" s="1"/>
  <c r="Z88" i="99"/>
  <c r="AA88" i="99" s="1"/>
  <c r="K86" i="132"/>
  <c r="M86" i="132" s="1"/>
  <c r="Z93" i="100"/>
  <c r="AA93" i="100" s="1"/>
  <c r="K175" i="132"/>
  <c r="M175" i="132" s="1"/>
  <c r="Z96" i="100"/>
  <c r="AA96" i="100" s="1"/>
  <c r="K178" i="132"/>
  <c r="M178" i="132" s="1"/>
  <c r="Z92" i="100"/>
  <c r="AA92" i="100" s="1"/>
  <c r="K174" i="132"/>
  <c r="M174" i="132" s="1"/>
  <c r="G33" i="154"/>
  <c r="I13" i="132"/>
  <c r="H13" i="132"/>
  <c r="O2050" i="170"/>
  <c r="M181" i="132"/>
  <c r="AA75" i="102"/>
  <c r="X100" i="99"/>
  <c r="O738" i="170"/>
  <c r="AA68" i="101"/>
  <c r="AE316" i="151"/>
  <c r="D28" i="154"/>
  <c r="Z256" i="151"/>
  <c r="Z16" i="151"/>
  <c r="G2341" i="170"/>
  <c r="A2357" i="170"/>
  <c r="AA16" i="102"/>
  <c r="Z190" i="151"/>
  <c r="Z101" i="151"/>
  <c r="AA27" i="101"/>
  <c r="AA18" i="101"/>
  <c r="AA25" i="101"/>
  <c r="AA73" i="101"/>
  <c r="R35" i="152"/>
  <c r="T35" i="152" s="1"/>
  <c r="H34" i="154"/>
  <c r="H33" i="154" s="1"/>
  <c r="L37" i="154" s="1"/>
  <c r="V35" i="152"/>
  <c r="T41" i="152"/>
  <c r="T38" i="152"/>
  <c r="V40" i="152"/>
  <c r="T40" i="152"/>
  <c r="U35" i="152"/>
  <c r="V41" i="152"/>
  <c r="J18" i="153"/>
  <c r="J21" i="153"/>
  <c r="L21" i="153" s="1"/>
  <c r="AA76" i="100"/>
  <c r="AA53" i="100"/>
  <c r="M135" i="132"/>
  <c r="M137" i="132"/>
  <c r="AA55" i="100"/>
  <c r="AA18" i="100"/>
  <c r="AA58" i="100"/>
  <c r="AA78" i="100"/>
  <c r="AA84" i="100"/>
  <c r="G379" i="132"/>
  <c r="G384" i="132" s="1"/>
  <c r="J181" i="100"/>
  <c r="F185" i="100" s="1"/>
  <c r="L185" i="100" s="1"/>
  <c r="J380" i="132"/>
  <c r="R317" i="113"/>
  <c r="S317" i="113" s="1"/>
  <c r="U317" i="113" s="1"/>
  <c r="F166" i="99"/>
  <c r="J166" i="99"/>
  <c r="O101" i="113"/>
  <c r="P102" i="113"/>
  <c r="S102" i="113" s="1"/>
  <c r="O102" i="113"/>
  <c r="O104" i="113"/>
  <c r="O236" i="113"/>
  <c r="P101" i="113"/>
  <c r="S101" i="113" s="1"/>
  <c r="P104" i="113"/>
  <c r="S104" i="113" s="1"/>
  <c r="U104" i="113" s="1"/>
  <c r="P315" i="113"/>
  <c r="P332" i="113" s="1"/>
  <c r="P336" i="113" s="1"/>
  <c r="M332" i="113"/>
  <c r="M336" i="113" s="1"/>
  <c r="P301" i="113"/>
  <c r="S301" i="113" s="1"/>
  <c r="U301" i="113" s="1"/>
  <c r="O239" i="113"/>
  <c r="O241" i="113"/>
  <c r="O166" i="113"/>
  <c r="O226" i="113"/>
  <c r="O143" i="113"/>
  <c r="O157" i="113"/>
  <c r="O181" i="113"/>
  <c r="O182" i="113"/>
  <c r="J184" i="100"/>
  <c r="O171" i="113"/>
  <c r="O230" i="113"/>
  <c r="O209" i="113"/>
  <c r="O174" i="113"/>
  <c r="O150" i="113"/>
  <c r="O156" i="113"/>
  <c r="O170" i="113"/>
  <c r="O149" i="113"/>
  <c r="O161" i="113"/>
  <c r="O145" i="113"/>
  <c r="O169" i="113"/>
  <c r="O244" i="113"/>
  <c r="O208" i="113"/>
  <c r="O300" i="113"/>
  <c r="P175" i="113"/>
  <c r="S175" i="113" s="1"/>
  <c r="U175" i="113" s="1"/>
  <c r="O175" i="113"/>
  <c r="O211" i="113"/>
  <c r="O158" i="113"/>
  <c r="O235" i="113"/>
  <c r="O210" i="113"/>
  <c r="O289" i="113"/>
  <c r="O237" i="113"/>
  <c r="O245" i="113"/>
  <c r="O311" i="113"/>
  <c r="O295" i="113"/>
  <c r="O221" i="113"/>
  <c r="O194" i="113"/>
  <c r="O198" i="113"/>
  <c r="O183" i="113"/>
  <c r="O213" i="113"/>
  <c r="O249" i="113"/>
  <c r="O167" i="113"/>
  <c r="O191" i="113"/>
  <c r="O165" i="113"/>
  <c r="O220" i="113"/>
  <c r="O231" i="113"/>
  <c r="O222" i="113"/>
  <c r="O192" i="113"/>
  <c r="O218" i="113"/>
  <c r="O243" i="113"/>
  <c r="O212" i="113"/>
  <c r="O154" i="113"/>
  <c r="O141" i="113"/>
  <c r="O193" i="113"/>
  <c r="O203" i="113"/>
  <c r="O216" i="113"/>
  <c r="O202" i="113"/>
  <c r="O164" i="113"/>
  <c r="O153" i="113"/>
  <c r="O268" i="113"/>
  <c r="N250" i="113"/>
  <c r="N335" i="113" s="1"/>
  <c r="N338" i="113" s="1"/>
  <c r="P249" i="113"/>
  <c r="S249" i="113" s="1"/>
  <c r="U249" i="113" s="1"/>
  <c r="P248" i="113"/>
  <c r="S248" i="113" s="1"/>
  <c r="U248" i="113" s="1"/>
  <c r="P247" i="113"/>
  <c r="S247" i="113" s="1"/>
  <c r="U247" i="113" s="1"/>
  <c r="P311" i="113"/>
  <c r="S311" i="113" s="1"/>
  <c r="U311" i="113" s="1"/>
  <c r="O205" i="113"/>
  <c r="O199" i="113"/>
  <c r="O144" i="113"/>
  <c r="P208" i="113"/>
  <c r="S208" i="113" s="1"/>
  <c r="U208" i="113" s="1"/>
  <c r="P180" i="113"/>
  <c r="S180" i="113" s="1"/>
  <c r="U180" i="113" s="1"/>
  <c r="P313" i="113"/>
  <c r="S313" i="113" s="1"/>
  <c r="U313" i="113" s="1"/>
  <c r="P183" i="113"/>
  <c r="S183" i="113" s="1"/>
  <c r="U183" i="113" s="1"/>
  <c r="P312" i="113"/>
  <c r="S312" i="113" s="1"/>
  <c r="U312" i="113" s="1"/>
  <c r="P181" i="113"/>
  <c r="S181" i="113" s="1"/>
  <c r="U181" i="113" s="1"/>
  <c r="P236" i="113"/>
  <c r="S236" i="113" s="1"/>
  <c r="U236" i="113" s="1"/>
  <c r="O227" i="113"/>
  <c r="P182" i="113"/>
  <c r="S182" i="113" s="1"/>
  <c r="U182" i="113" s="1"/>
  <c r="P177" i="113"/>
  <c r="S177" i="113" s="1"/>
  <c r="U177" i="113" s="1"/>
  <c r="P184" i="113"/>
  <c r="S184" i="113" s="1"/>
  <c r="U184" i="113" s="1"/>
  <c r="O162" i="113"/>
  <c r="O228" i="113"/>
  <c r="O217" i="113"/>
  <c r="O196" i="113"/>
  <c r="O225" i="113"/>
  <c r="J177" i="99"/>
  <c r="F181" i="99" s="1"/>
  <c r="L181" i="99" s="1"/>
  <c r="U320" i="113"/>
  <c r="J125" i="102"/>
  <c r="F126" i="102" s="1"/>
  <c r="J180" i="99"/>
  <c r="J170" i="100"/>
  <c r="G19" i="79"/>
  <c r="G25" i="79" s="1"/>
  <c r="G27" i="79" s="1"/>
  <c r="K34" i="59"/>
  <c r="K42" i="59" s="1"/>
  <c r="F170" i="100"/>
  <c r="O20" i="153" l="1"/>
  <c r="P20" i="153" s="1"/>
  <c r="L14" i="153"/>
  <c r="O14" i="153"/>
  <c r="P14" i="153" s="1"/>
  <c r="J19" i="153"/>
  <c r="L19" i="153" s="1"/>
  <c r="L18" i="153"/>
  <c r="H28" i="154"/>
  <c r="H21" i="154" s="1"/>
  <c r="G28" i="154"/>
  <c r="G21" i="154" s="1"/>
  <c r="H379" i="132"/>
  <c r="H384" i="132" s="1"/>
  <c r="Z15" i="151"/>
  <c r="Z16" i="99"/>
  <c r="K14" i="132"/>
  <c r="K13" i="132" s="1"/>
  <c r="Z100" i="151"/>
  <c r="Z17" i="100"/>
  <c r="Z105" i="100" s="1"/>
  <c r="K99" i="132"/>
  <c r="K98" i="132" s="1"/>
  <c r="K254" i="132"/>
  <c r="Z15" i="102"/>
  <c r="Z189" i="151"/>
  <c r="K188" i="132"/>
  <c r="Z17" i="101"/>
  <c r="Z82" i="101" s="1"/>
  <c r="AA98" i="100"/>
  <c r="A2373" i="170"/>
  <c r="G2357" i="170"/>
  <c r="J13" i="153"/>
  <c r="L13" i="153" s="1"/>
  <c r="J16" i="153"/>
  <c r="G17" i="136"/>
  <c r="O21" i="153"/>
  <c r="P21" i="153" s="1"/>
  <c r="O24" i="153"/>
  <c r="O15" i="153"/>
  <c r="P15" i="153" s="1"/>
  <c r="L15" i="153"/>
  <c r="M170" i="100"/>
  <c r="W170" i="100" s="1"/>
  <c r="R332" i="113"/>
  <c r="R336" i="113" s="1"/>
  <c r="J187" i="100"/>
  <c r="O131" i="113"/>
  <c r="O109" i="113"/>
  <c r="O125" i="113"/>
  <c r="O115" i="113"/>
  <c r="O114" i="113"/>
  <c r="O119" i="113"/>
  <c r="O106" i="113"/>
  <c r="O133" i="113"/>
  <c r="O232" i="113"/>
  <c r="O301" i="113"/>
  <c r="O117" i="113"/>
  <c r="O134" i="113"/>
  <c r="O129" i="113"/>
  <c r="O108" i="113"/>
  <c r="O132" i="113"/>
  <c r="O111" i="113"/>
  <c r="O124" i="113"/>
  <c r="O126" i="113"/>
  <c r="O105" i="113"/>
  <c r="O116" i="113"/>
  <c r="O107" i="113"/>
  <c r="O123" i="113"/>
  <c r="O127" i="113"/>
  <c r="O118" i="113"/>
  <c r="O135" i="113"/>
  <c r="O110" i="113"/>
  <c r="O112" i="113"/>
  <c r="O113" i="113"/>
  <c r="O128" i="113"/>
  <c r="O122" i="113"/>
  <c r="O130" i="113"/>
  <c r="O155" i="113"/>
  <c r="O103" i="113"/>
  <c r="O121" i="113"/>
  <c r="O120" i="113"/>
  <c r="O200" i="113"/>
  <c r="P155" i="113"/>
  <c r="S155" i="113" s="1"/>
  <c r="U155" i="113" s="1"/>
  <c r="S315" i="113"/>
  <c r="U315" i="113" s="1"/>
  <c r="U332" i="113" s="1"/>
  <c r="U336" i="113" s="1"/>
  <c r="P126" i="113"/>
  <c r="S126" i="113" s="1"/>
  <c r="U126" i="113" s="1"/>
  <c r="P118" i="113"/>
  <c r="S118" i="113" s="1"/>
  <c r="U118" i="113" s="1"/>
  <c r="P124" i="113"/>
  <c r="S124" i="113" s="1"/>
  <c r="U124" i="113" s="1"/>
  <c r="P117" i="113"/>
  <c r="S117" i="113" s="1"/>
  <c r="U117" i="113" s="1"/>
  <c r="P123" i="113"/>
  <c r="S123" i="113" s="1"/>
  <c r="U123" i="113" s="1"/>
  <c r="P120" i="113"/>
  <c r="S120" i="113" s="1"/>
  <c r="U120" i="113" s="1"/>
  <c r="P125" i="113"/>
  <c r="S125" i="113" s="1"/>
  <c r="U125" i="113" s="1"/>
  <c r="P110" i="113"/>
  <c r="S110" i="113" s="1"/>
  <c r="U110" i="113" s="1"/>
  <c r="P121" i="113"/>
  <c r="S121" i="113" s="1"/>
  <c r="U121" i="113" s="1"/>
  <c r="P135" i="113"/>
  <c r="S135" i="113" s="1"/>
  <c r="U135" i="113" s="1"/>
  <c r="P134" i="113"/>
  <c r="S134" i="113" s="1"/>
  <c r="U134" i="113" s="1"/>
  <c r="P127" i="113"/>
  <c r="S127" i="113" s="1"/>
  <c r="U127" i="113" s="1"/>
  <c r="P129" i="113"/>
  <c r="S129" i="113" s="1"/>
  <c r="U129" i="113" s="1"/>
  <c r="P114" i="113"/>
  <c r="S114" i="113" s="1"/>
  <c r="U114" i="113" s="1"/>
  <c r="P112" i="113"/>
  <c r="S112" i="113" s="1"/>
  <c r="U112" i="113" s="1"/>
  <c r="P119" i="113"/>
  <c r="S119" i="113" s="1"/>
  <c r="U119" i="113" s="1"/>
  <c r="P113" i="113"/>
  <c r="S113" i="113" s="1"/>
  <c r="U113" i="113" s="1"/>
  <c r="P106" i="113"/>
  <c r="S106" i="113" s="1"/>
  <c r="U106" i="113" s="1"/>
  <c r="P128" i="113"/>
  <c r="S128" i="113" s="1"/>
  <c r="U128" i="113" s="1"/>
  <c r="P111" i="113"/>
  <c r="S111" i="113" s="1"/>
  <c r="U111" i="113" s="1"/>
  <c r="P122" i="113"/>
  <c r="S122" i="113" s="1"/>
  <c r="U122" i="113" s="1"/>
  <c r="P103" i="113"/>
  <c r="S103" i="113" s="1"/>
  <c r="U103" i="113" s="1"/>
  <c r="P131" i="113"/>
  <c r="S131" i="113" s="1"/>
  <c r="U131" i="113" s="1"/>
  <c r="P105" i="113"/>
  <c r="S105" i="113" s="1"/>
  <c r="U105" i="113" s="1"/>
  <c r="P116" i="113"/>
  <c r="S116" i="113" s="1"/>
  <c r="U116" i="113" s="1"/>
  <c r="P107" i="113"/>
  <c r="S107" i="113" s="1"/>
  <c r="U107" i="113" s="1"/>
  <c r="P109" i="113"/>
  <c r="S109" i="113" s="1"/>
  <c r="U109" i="113" s="1"/>
  <c r="P115" i="113"/>
  <c r="S115" i="113" s="1"/>
  <c r="U115" i="113" s="1"/>
  <c r="P108" i="113"/>
  <c r="S108" i="113" s="1"/>
  <c r="U108" i="113" s="1"/>
  <c r="P132" i="113"/>
  <c r="S132" i="113" s="1"/>
  <c r="U132" i="113" s="1"/>
  <c r="P130" i="113"/>
  <c r="S130" i="113" s="1"/>
  <c r="U130" i="113" s="1"/>
  <c r="P133" i="113"/>
  <c r="S133" i="113" s="1"/>
  <c r="U133" i="113" s="1"/>
  <c r="P141" i="113"/>
  <c r="S141" i="113" s="1"/>
  <c r="U141" i="113" s="1"/>
  <c r="P295" i="113"/>
  <c r="S295" i="113" s="1"/>
  <c r="U295" i="113" s="1"/>
  <c r="P156" i="113"/>
  <c r="S156" i="113" s="1"/>
  <c r="U156" i="113" s="1"/>
  <c r="P149" i="113"/>
  <c r="S149" i="113" s="1"/>
  <c r="U149" i="113" s="1"/>
  <c r="P243" i="113"/>
  <c r="S243" i="113" s="1"/>
  <c r="U243" i="113" s="1"/>
  <c r="P213" i="113"/>
  <c r="S213" i="113" s="1"/>
  <c r="U213" i="113" s="1"/>
  <c r="P231" i="113"/>
  <c r="S231" i="113" s="1"/>
  <c r="U231" i="113" s="1"/>
  <c r="P161" i="113"/>
  <c r="S161" i="113" s="1"/>
  <c r="U161" i="113" s="1"/>
  <c r="P212" i="113"/>
  <c r="S212" i="113" s="1"/>
  <c r="U212" i="113" s="1"/>
  <c r="P203" i="113"/>
  <c r="S203" i="113" s="1"/>
  <c r="U203" i="113" s="1"/>
  <c r="P170" i="113"/>
  <c r="S170" i="113" s="1"/>
  <c r="U170" i="113" s="1"/>
  <c r="O271" i="113"/>
  <c r="O281" i="113"/>
  <c r="O290" i="113"/>
  <c r="O258" i="113"/>
  <c r="O280" i="113"/>
  <c r="O255" i="113"/>
  <c r="O292" i="113"/>
  <c r="P289" i="113"/>
  <c r="S289" i="113" s="1"/>
  <c r="U289" i="113" s="1"/>
  <c r="O266" i="113"/>
  <c r="O274" i="113"/>
  <c r="O259" i="113"/>
  <c r="O257" i="113"/>
  <c r="O291" i="113"/>
  <c r="O306" i="113"/>
  <c r="O277" i="113"/>
  <c r="O264" i="113"/>
  <c r="P309" i="113"/>
  <c r="S309" i="113" s="1"/>
  <c r="U309" i="113" s="1"/>
  <c r="O285" i="113"/>
  <c r="O287" i="113"/>
  <c r="O278" i="113"/>
  <c r="O302" i="113"/>
  <c r="O265" i="113"/>
  <c r="O305" i="113"/>
  <c r="O276" i="113"/>
  <c r="P164" i="113"/>
  <c r="S164" i="113" s="1"/>
  <c r="U164" i="113" s="1"/>
  <c r="P210" i="113"/>
  <c r="S210" i="113" s="1"/>
  <c r="U210" i="113" s="1"/>
  <c r="P222" i="113"/>
  <c r="S222" i="113" s="1"/>
  <c r="U222" i="113" s="1"/>
  <c r="P150" i="113"/>
  <c r="S150" i="113" s="1"/>
  <c r="U150" i="113" s="1"/>
  <c r="P209" i="113"/>
  <c r="S209" i="113" s="1"/>
  <c r="U209" i="113" s="1"/>
  <c r="P200" i="113"/>
  <c r="S200" i="113" s="1"/>
  <c r="U200" i="113" s="1"/>
  <c r="P244" i="113"/>
  <c r="S244" i="113" s="1"/>
  <c r="U244" i="113" s="1"/>
  <c r="P169" i="113"/>
  <c r="S169" i="113" s="1"/>
  <c r="U169" i="113" s="1"/>
  <c r="P221" i="113"/>
  <c r="S221" i="113" s="1"/>
  <c r="U221" i="113" s="1"/>
  <c r="P216" i="113"/>
  <c r="S216" i="113" s="1"/>
  <c r="U216" i="113" s="1"/>
  <c r="P211" i="113"/>
  <c r="S211" i="113" s="1"/>
  <c r="U211" i="113" s="1"/>
  <c r="P237" i="113"/>
  <c r="S237" i="113" s="1"/>
  <c r="U237" i="113" s="1"/>
  <c r="P145" i="113"/>
  <c r="S145" i="113" s="1"/>
  <c r="U145" i="113" s="1"/>
  <c r="P153" i="113"/>
  <c r="S153" i="113" s="1"/>
  <c r="U153" i="113" s="1"/>
  <c r="P202" i="113"/>
  <c r="S202" i="113" s="1"/>
  <c r="U202" i="113" s="1"/>
  <c r="G34" i="59"/>
  <c r="G42" i="59" s="1"/>
  <c r="C48" i="59"/>
  <c r="K6" i="59"/>
  <c r="K14" i="59" s="1"/>
  <c r="P230" i="113"/>
  <c r="S230" i="113" s="1"/>
  <c r="U230" i="113" s="1"/>
  <c r="P158" i="113"/>
  <c r="S158" i="113" s="1"/>
  <c r="U158" i="113" s="1"/>
  <c r="P143" i="113"/>
  <c r="S143" i="113" s="1"/>
  <c r="U143" i="113" s="1"/>
  <c r="P154" i="113"/>
  <c r="S154" i="113" s="1"/>
  <c r="U154" i="113" s="1"/>
  <c r="P192" i="113"/>
  <c r="S192" i="113" s="1"/>
  <c r="U192" i="113" s="1"/>
  <c r="P198" i="113"/>
  <c r="S198" i="113" s="1"/>
  <c r="U198" i="113" s="1"/>
  <c r="P165" i="113"/>
  <c r="S165" i="113" s="1"/>
  <c r="U165" i="113" s="1"/>
  <c r="P239" i="113"/>
  <c r="S239" i="113" s="1"/>
  <c r="U239" i="113" s="1"/>
  <c r="P235" i="113"/>
  <c r="S235" i="113" s="1"/>
  <c r="U235" i="113" s="1"/>
  <c r="P191" i="113"/>
  <c r="S191" i="113" s="1"/>
  <c r="U191" i="113" s="1"/>
  <c r="P166" i="113"/>
  <c r="S166" i="113" s="1"/>
  <c r="U166" i="113" s="1"/>
  <c r="P241" i="113"/>
  <c r="S241" i="113" s="1"/>
  <c r="U241" i="113" s="1"/>
  <c r="P174" i="113"/>
  <c r="S174" i="113" s="1"/>
  <c r="U174" i="113" s="1"/>
  <c r="P226" i="113"/>
  <c r="S226" i="113" s="1"/>
  <c r="U226" i="113" s="1"/>
  <c r="P218" i="113"/>
  <c r="S218" i="113" s="1"/>
  <c r="U218" i="113" s="1"/>
  <c r="P292" i="113"/>
  <c r="S292" i="113" s="1"/>
  <c r="U292" i="113" s="1"/>
  <c r="P157" i="113"/>
  <c r="S157" i="113" s="1"/>
  <c r="U157" i="113" s="1"/>
  <c r="P232" i="113"/>
  <c r="S232" i="113" s="1"/>
  <c r="U232" i="113" s="1"/>
  <c r="P193" i="113"/>
  <c r="S193" i="113" s="1"/>
  <c r="U193" i="113" s="1"/>
  <c r="P300" i="113"/>
  <c r="S300" i="113" s="1"/>
  <c r="U300" i="113" s="1"/>
  <c r="P167" i="113"/>
  <c r="S167" i="113" s="1"/>
  <c r="U167" i="113" s="1"/>
  <c r="P268" i="113"/>
  <c r="S268" i="113" s="1"/>
  <c r="U268" i="113" s="1"/>
  <c r="P220" i="113"/>
  <c r="S220" i="113" s="1"/>
  <c r="U220" i="113" s="1"/>
  <c r="P194" i="113"/>
  <c r="S194" i="113" s="1"/>
  <c r="U194" i="113" s="1"/>
  <c r="P171" i="113"/>
  <c r="S171" i="113" s="1"/>
  <c r="U171" i="113" s="1"/>
  <c r="P253" i="113"/>
  <c r="S253" i="113" s="1"/>
  <c r="O253" i="113"/>
  <c r="O279" i="113"/>
  <c r="O214" i="113"/>
  <c r="O233" i="113"/>
  <c r="O246" i="113"/>
  <c r="O309" i="113"/>
  <c r="O272" i="113"/>
  <c r="O299" i="113"/>
  <c r="O173" i="113"/>
  <c r="P136" i="113"/>
  <c r="S136" i="113" s="1"/>
  <c r="U136" i="113" s="1"/>
  <c r="O136" i="113"/>
  <c r="O148" i="113"/>
  <c r="O204" i="113"/>
  <c r="P178" i="113"/>
  <c r="S178" i="113" s="1"/>
  <c r="U178" i="113" s="1"/>
  <c r="O261" i="113"/>
  <c r="O267" i="113"/>
  <c r="O263" i="113"/>
  <c r="O283" i="113"/>
  <c r="O240" i="113"/>
  <c r="O262" i="113"/>
  <c r="O275" i="113"/>
  <c r="O195" i="113"/>
  <c r="O168" i="113"/>
  <c r="O151" i="113"/>
  <c r="O294" i="113"/>
  <c r="O229" i="113"/>
  <c r="O288" i="113"/>
  <c r="O201" i="113"/>
  <c r="O207" i="113"/>
  <c r="O303" i="113"/>
  <c r="O298" i="113"/>
  <c r="O215" i="113"/>
  <c r="P206" i="113"/>
  <c r="S206" i="113" s="1"/>
  <c r="U206" i="113" s="1"/>
  <c r="O206" i="113"/>
  <c r="O224" i="113"/>
  <c r="O297" i="113"/>
  <c r="O307" i="113"/>
  <c r="O308" i="113"/>
  <c r="O146" i="113"/>
  <c r="O163" i="113"/>
  <c r="O223" i="113"/>
  <c r="O296" i="113"/>
  <c r="O234" i="113"/>
  <c r="O242" i="113"/>
  <c r="O273" i="113"/>
  <c r="O284" i="113"/>
  <c r="O140" i="113"/>
  <c r="O293" i="113"/>
  <c r="O269" i="113"/>
  <c r="O172" i="113"/>
  <c r="O254" i="113"/>
  <c r="P138" i="113"/>
  <c r="S138" i="113" s="1"/>
  <c r="U138" i="113" s="1"/>
  <c r="O138" i="113"/>
  <c r="O147" i="113"/>
  <c r="O152" i="113"/>
  <c r="O282" i="113"/>
  <c r="O256" i="113"/>
  <c r="O304" i="113"/>
  <c r="O190" i="113"/>
  <c r="O270" i="113"/>
  <c r="O159" i="113"/>
  <c r="O260" i="113"/>
  <c r="O286" i="113"/>
  <c r="O160" i="113"/>
  <c r="O238" i="113"/>
  <c r="O197" i="113"/>
  <c r="O219" i="113"/>
  <c r="O310" i="113"/>
  <c r="P142" i="113"/>
  <c r="S142" i="113" s="1"/>
  <c r="U142" i="113" s="1"/>
  <c r="O142" i="113"/>
  <c r="P140" i="113"/>
  <c r="S140" i="113" s="1"/>
  <c r="U140" i="113" s="1"/>
  <c r="P298" i="113"/>
  <c r="S298" i="113" s="1"/>
  <c r="U298" i="113" s="1"/>
  <c r="P215" i="113"/>
  <c r="S215" i="113" s="1"/>
  <c r="U215" i="113" s="1"/>
  <c r="P224" i="113"/>
  <c r="S224" i="113" s="1"/>
  <c r="U224" i="113" s="1"/>
  <c r="P296" i="113"/>
  <c r="S296" i="113" s="1"/>
  <c r="U296" i="113" s="1"/>
  <c r="P294" i="113"/>
  <c r="S294" i="113" s="1"/>
  <c r="U294" i="113" s="1"/>
  <c r="P284" i="113"/>
  <c r="S284" i="113" s="1"/>
  <c r="U284" i="113" s="1"/>
  <c r="P246" i="113"/>
  <c r="S246" i="113" s="1"/>
  <c r="U246" i="113" s="1"/>
  <c r="P269" i="113"/>
  <c r="S269" i="113" s="1"/>
  <c r="U269" i="113" s="1"/>
  <c r="P280" i="113"/>
  <c r="S280" i="113" s="1"/>
  <c r="U280" i="113" s="1"/>
  <c r="P197" i="113"/>
  <c r="S197" i="113" s="1"/>
  <c r="U197" i="113" s="1"/>
  <c r="P233" i="113"/>
  <c r="S233" i="113" s="1"/>
  <c r="U233" i="113" s="1"/>
  <c r="P273" i="113"/>
  <c r="S273" i="113" s="1"/>
  <c r="U273" i="113" s="1"/>
  <c r="P260" i="113"/>
  <c r="S260" i="113" s="1"/>
  <c r="U260" i="113" s="1"/>
  <c r="P238" i="113"/>
  <c r="S238" i="113" s="1"/>
  <c r="U238" i="113" s="1"/>
  <c r="P282" i="113"/>
  <c r="S282" i="113" s="1"/>
  <c r="U282" i="113" s="1"/>
  <c r="P272" i="113"/>
  <c r="S272" i="113" s="1"/>
  <c r="U272" i="113" s="1"/>
  <c r="P146" i="113"/>
  <c r="S146" i="113" s="1"/>
  <c r="U146" i="113" s="1"/>
  <c r="P219" i="113"/>
  <c r="S219" i="113" s="1"/>
  <c r="U219" i="113" s="1"/>
  <c r="P173" i="113"/>
  <c r="S173" i="113" s="1"/>
  <c r="U173" i="113" s="1"/>
  <c r="P159" i="113"/>
  <c r="S159" i="113" s="1"/>
  <c r="U159" i="113" s="1"/>
  <c r="P242" i="113"/>
  <c r="S242" i="113" s="1"/>
  <c r="U242" i="113" s="1"/>
  <c r="P308" i="113"/>
  <c r="S308" i="113" s="1"/>
  <c r="U308" i="113" s="1"/>
  <c r="P310" i="113"/>
  <c r="S310" i="113" s="1"/>
  <c r="U310" i="113" s="1"/>
  <c r="P304" i="113"/>
  <c r="S304" i="113" s="1"/>
  <c r="U304" i="113" s="1"/>
  <c r="P285" i="113"/>
  <c r="S285" i="113" s="1"/>
  <c r="U285" i="113" s="1"/>
  <c r="P196" i="113"/>
  <c r="S196" i="113" s="1"/>
  <c r="U196" i="113" s="1"/>
  <c r="P290" i="113"/>
  <c r="S290" i="113" s="1"/>
  <c r="U290" i="113" s="1"/>
  <c r="P306" i="113"/>
  <c r="S306" i="113" s="1"/>
  <c r="U306" i="113" s="1"/>
  <c r="P225" i="113"/>
  <c r="S225" i="113" s="1"/>
  <c r="U225" i="113" s="1"/>
  <c r="P217" i="113"/>
  <c r="S217" i="113" s="1"/>
  <c r="U217" i="113" s="1"/>
  <c r="P228" i="113"/>
  <c r="S228" i="113" s="1"/>
  <c r="U228" i="113" s="1"/>
  <c r="P162" i="113"/>
  <c r="S162" i="113" s="1"/>
  <c r="U162" i="113" s="1"/>
  <c r="P144" i="113"/>
  <c r="S144" i="113" s="1"/>
  <c r="U144" i="113" s="1"/>
  <c r="P255" i="113"/>
  <c r="S255" i="113" s="1"/>
  <c r="U255" i="113" s="1"/>
  <c r="P204" i="113"/>
  <c r="S204" i="113" s="1"/>
  <c r="U204" i="113" s="1"/>
  <c r="P293" i="113"/>
  <c r="S293" i="113" s="1"/>
  <c r="U293" i="113" s="1"/>
  <c r="P195" i="113"/>
  <c r="S195" i="113" s="1"/>
  <c r="U195" i="113" s="1"/>
  <c r="P256" i="113"/>
  <c r="S256" i="113" s="1"/>
  <c r="U256" i="113" s="1"/>
  <c r="P283" i="113"/>
  <c r="S283" i="113" s="1"/>
  <c r="U283" i="113" s="1"/>
  <c r="P279" i="113"/>
  <c r="S279" i="113" s="1"/>
  <c r="U279" i="113" s="1"/>
  <c r="P168" i="113"/>
  <c r="S168" i="113" s="1"/>
  <c r="U168" i="113" s="1"/>
  <c r="P234" i="113"/>
  <c r="S234" i="113" s="1"/>
  <c r="U234" i="113" s="1"/>
  <c r="P266" i="113"/>
  <c r="S266" i="113" s="1"/>
  <c r="U266" i="113" s="1"/>
  <c r="P259" i="113"/>
  <c r="S259" i="113" s="1"/>
  <c r="U259" i="113" s="1"/>
  <c r="P271" i="113"/>
  <c r="S271" i="113" s="1"/>
  <c r="U271" i="113" s="1"/>
  <c r="P281" i="113"/>
  <c r="S281" i="113" s="1"/>
  <c r="U281" i="113" s="1"/>
  <c r="P278" i="113"/>
  <c r="S278" i="113" s="1"/>
  <c r="U278" i="113" s="1"/>
  <c r="P274" i="113"/>
  <c r="S274" i="113" s="1"/>
  <c r="U274" i="113" s="1"/>
  <c r="P302" i="113"/>
  <c r="S302" i="113" s="1"/>
  <c r="U302" i="113" s="1"/>
  <c r="P205" i="113"/>
  <c r="S205" i="113" s="1"/>
  <c r="U205" i="113" s="1"/>
  <c r="P258" i="113"/>
  <c r="S258" i="113" s="1"/>
  <c r="U258" i="113" s="1"/>
  <c r="P257" i="113"/>
  <c r="S257" i="113" s="1"/>
  <c r="U257" i="113" s="1"/>
  <c r="P277" i="113"/>
  <c r="S277" i="113" s="1"/>
  <c r="U277" i="113" s="1"/>
  <c r="P264" i="113"/>
  <c r="S264" i="113" s="1"/>
  <c r="U264" i="113" s="1"/>
  <c r="P287" i="113"/>
  <c r="S287" i="113" s="1"/>
  <c r="U287" i="113" s="1"/>
  <c r="P291" i="113"/>
  <c r="S291" i="113" s="1"/>
  <c r="U291" i="113" s="1"/>
  <c r="P265" i="113"/>
  <c r="S265" i="113" s="1"/>
  <c r="U265" i="113" s="1"/>
  <c r="P227" i="113"/>
  <c r="S227" i="113" s="1"/>
  <c r="U227" i="113" s="1"/>
  <c r="P305" i="113"/>
  <c r="S305" i="113" s="1"/>
  <c r="U305" i="113" s="1"/>
  <c r="P199" i="113"/>
  <c r="S199" i="113" s="1"/>
  <c r="U199" i="113" s="1"/>
  <c r="P276" i="113"/>
  <c r="S276" i="113" s="1"/>
  <c r="U276" i="113" s="1"/>
  <c r="P303" i="113"/>
  <c r="S303" i="113" s="1"/>
  <c r="U303" i="113" s="1"/>
  <c r="P223" i="113"/>
  <c r="S223" i="113" s="1"/>
  <c r="U223" i="113" s="1"/>
  <c r="P207" i="113"/>
  <c r="S207" i="113" s="1"/>
  <c r="U207" i="113" s="1"/>
  <c r="P214" i="113"/>
  <c r="S214" i="113" s="1"/>
  <c r="U214" i="113" s="1"/>
  <c r="P299" i="113"/>
  <c r="S299" i="113" s="1"/>
  <c r="U299" i="113" s="1"/>
  <c r="P261" i="113"/>
  <c r="S261" i="113" s="1"/>
  <c r="U261" i="113" s="1"/>
  <c r="P263" i="113"/>
  <c r="S263" i="113" s="1"/>
  <c r="U263" i="113" s="1"/>
  <c r="P172" i="113"/>
  <c r="S172" i="113" s="1"/>
  <c r="U172" i="113" s="1"/>
  <c r="P179" i="113"/>
  <c r="S179" i="113" s="1"/>
  <c r="U179" i="113" s="1"/>
  <c r="P201" i="113"/>
  <c r="S201" i="113" s="1"/>
  <c r="U201" i="113" s="1"/>
  <c r="P163" i="113"/>
  <c r="S163" i="113" s="1"/>
  <c r="U163" i="113" s="1"/>
  <c r="P148" i="113"/>
  <c r="S148" i="113" s="1"/>
  <c r="U148" i="113" s="1"/>
  <c r="P245" i="113"/>
  <c r="S245" i="113" s="1"/>
  <c r="U245" i="113" s="1"/>
  <c r="P288" i="113"/>
  <c r="S288" i="113" s="1"/>
  <c r="U288" i="113" s="1"/>
  <c r="P229" i="113"/>
  <c r="S229" i="113" s="1"/>
  <c r="U229" i="113" s="1"/>
  <c r="P307" i="113"/>
  <c r="S307" i="113" s="1"/>
  <c r="U307" i="113" s="1"/>
  <c r="P297" i="113"/>
  <c r="S297" i="113" s="1"/>
  <c r="U297" i="113" s="1"/>
  <c r="P147" i="113"/>
  <c r="S147" i="113" s="1"/>
  <c r="U147" i="113" s="1"/>
  <c r="U102" i="113"/>
  <c r="P267" i="113"/>
  <c r="S267" i="113" s="1"/>
  <c r="U267" i="113" s="1"/>
  <c r="P190" i="113"/>
  <c r="S190" i="113" s="1"/>
  <c r="U190" i="113" s="1"/>
  <c r="P151" i="113"/>
  <c r="S151" i="113" s="1"/>
  <c r="U151" i="113" s="1"/>
  <c r="P262" i="113"/>
  <c r="S262" i="113" s="1"/>
  <c r="U262" i="113" s="1"/>
  <c r="P254" i="113"/>
  <c r="S254" i="113" s="1"/>
  <c r="U254" i="113" s="1"/>
  <c r="P160" i="113"/>
  <c r="S160" i="113" s="1"/>
  <c r="U160" i="113" s="1"/>
  <c r="P152" i="113"/>
  <c r="S152" i="113" s="1"/>
  <c r="U152" i="113" s="1"/>
  <c r="P240" i="113"/>
  <c r="S240" i="113" s="1"/>
  <c r="U240" i="113" s="1"/>
  <c r="P270" i="113"/>
  <c r="S270" i="113" s="1"/>
  <c r="U270" i="113" s="1"/>
  <c r="P275" i="113"/>
  <c r="S275" i="113" s="1"/>
  <c r="U275" i="113" s="1"/>
  <c r="P286" i="113"/>
  <c r="S286" i="113" s="1"/>
  <c r="U286" i="113" s="1"/>
  <c r="M166" i="99"/>
  <c r="W166" i="99" s="1"/>
  <c r="G20" i="59"/>
  <c r="G28" i="59" s="1"/>
  <c r="O20" i="59"/>
  <c r="O6" i="59"/>
  <c r="O14" i="59" s="1"/>
  <c r="K187" i="113"/>
  <c r="K250" i="113" s="1"/>
  <c r="J128" i="102"/>
  <c r="J183" i="99"/>
  <c r="G15" i="136" l="1"/>
  <c r="O16" i="153"/>
  <c r="P16" i="153" s="1"/>
  <c r="L16" i="153"/>
  <c r="L12" i="153" s="1"/>
  <c r="M188" i="132"/>
  <c r="M187" i="132" s="1"/>
  <c r="K187" i="132"/>
  <c r="M254" i="132"/>
  <c r="M253" i="132" s="1"/>
  <c r="K253" i="132"/>
  <c r="Z100" i="99"/>
  <c r="AB103" i="99" s="1"/>
  <c r="AA16" i="99"/>
  <c r="AA107" i="100"/>
  <c r="AA105" i="100"/>
  <c r="M14" i="132"/>
  <c r="M13" i="132" s="1"/>
  <c r="AA17" i="100"/>
  <c r="AA17" i="101"/>
  <c r="AA15" i="102"/>
  <c r="AA82" i="101"/>
  <c r="G2373" i="170"/>
  <c r="A2389" i="170"/>
  <c r="M99" i="132"/>
  <c r="M98" i="132" s="1"/>
  <c r="O13" i="153"/>
  <c r="P13" i="153" s="1"/>
  <c r="J12" i="153"/>
  <c r="K380" i="132"/>
  <c r="O28" i="59"/>
  <c r="P48" i="59"/>
  <c r="C56" i="59"/>
  <c r="P56" i="59" s="1"/>
  <c r="S332" i="113"/>
  <c r="S336" i="113" s="1"/>
  <c r="P137" i="113"/>
  <c r="S137" i="113" s="1"/>
  <c r="U137" i="113" s="1"/>
  <c r="O137" i="113"/>
  <c r="P176" i="113"/>
  <c r="S176" i="113" s="1"/>
  <c r="U176" i="113" s="1"/>
  <c r="O176" i="113"/>
  <c r="O139" i="113"/>
  <c r="O314" i="113"/>
  <c r="P189" i="113"/>
  <c r="S189" i="113" s="1"/>
  <c r="U189" i="113" s="1"/>
  <c r="O189" i="113"/>
  <c r="O250" i="113" s="1"/>
  <c r="P139" i="113"/>
  <c r="S139" i="113" s="1"/>
  <c r="U139" i="113" s="1"/>
  <c r="U101" i="113"/>
  <c r="U253" i="113"/>
  <c r="C6" i="59"/>
  <c r="F15" i="167" l="1"/>
  <c r="I348" i="132"/>
  <c r="F348" i="132"/>
  <c r="AA100" i="99"/>
  <c r="AB85" i="101"/>
  <c r="A2405" i="170"/>
  <c r="G2389" i="170"/>
  <c r="J17" i="153"/>
  <c r="O18" i="153"/>
  <c r="P18" i="153" s="1"/>
  <c r="L17" i="153"/>
  <c r="H15" i="136"/>
  <c r="J348" i="132" s="1"/>
  <c r="M380" i="132"/>
  <c r="C14" i="59"/>
  <c r="O186" i="113"/>
  <c r="O335" i="113" s="1"/>
  <c r="O338" i="113" s="1"/>
  <c r="P186" i="113"/>
  <c r="X186" i="113" s="1"/>
  <c r="Y186" i="113" s="1"/>
  <c r="U186" i="113"/>
  <c r="S186" i="113"/>
  <c r="G6" i="59"/>
  <c r="G14" i="59" s="1"/>
  <c r="K348" i="132" l="1"/>
  <c r="M348" i="132" s="1"/>
  <c r="G2405" i="170"/>
  <c r="A2421" i="170"/>
  <c r="G15" i="167"/>
  <c r="I15" i="136"/>
  <c r="P14" i="59"/>
  <c r="P6" i="59"/>
  <c r="F17" i="167" l="1"/>
  <c r="I350" i="132"/>
  <c r="F350" i="132"/>
  <c r="A2437" i="170"/>
  <c r="G2421" i="170"/>
  <c r="G16" i="136"/>
  <c r="H17" i="136"/>
  <c r="J350" i="132" s="1"/>
  <c r="J187" i="113"/>
  <c r="J251" i="113"/>
  <c r="K350" i="132" l="1"/>
  <c r="M350" i="132" s="1"/>
  <c r="F16" i="167"/>
  <c r="I349" i="132"/>
  <c r="F349" i="132"/>
  <c r="A2453" i="170"/>
  <c r="G2437" i="170"/>
  <c r="G17" i="167"/>
  <c r="H16" i="136"/>
  <c r="J349" i="132" s="1"/>
  <c r="I17" i="136"/>
  <c r="C34" i="59"/>
  <c r="G187" i="113"/>
  <c r="G250" i="113" s="1"/>
  <c r="J250" i="113"/>
  <c r="L187" i="113"/>
  <c r="J314" i="113"/>
  <c r="L251" i="113"/>
  <c r="K349" i="132" l="1"/>
  <c r="M349" i="132" s="1"/>
  <c r="A2469" i="170"/>
  <c r="G2453" i="170"/>
  <c r="I16" i="136"/>
  <c r="G16" i="167"/>
  <c r="C42" i="59"/>
  <c r="C20" i="59"/>
  <c r="M187" i="113"/>
  <c r="L250" i="113"/>
  <c r="L314" i="113"/>
  <c r="M251" i="113"/>
  <c r="A2485" i="170" l="1"/>
  <c r="G2469" i="170"/>
  <c r="O187" i="132"/>
  <c r="P187" i="132" s="1"/>
  <c r="C28" i="59"/>
  <c r="R251" i="113"/>
  <c r="R314" i="113" s="1"/>
  <c r="R187" i="113"/>
  <c r="R250" i="113" s="1"/>
  <c r="P251" i="113"/>
  <c r="M314" i="113"/>
  <c r="P187" i="113"/>
  <c r="M250" i="113"/>
  <c r="A2501" i="170" l="1"/>
  <c r="G2485" i="170"/>
  <c r="P314" i="113"/>
  <c r="S251" i="113"/>
  <c r="P250" i="113"/>
  <c r="X250" i="113" s="1"/>
  <c r="Y250" i="113" s="1"/>
  <c r="S187" i="113"/>
  <c r="G2501" i="170" l="1"/>
  <c r="A2517" i="170"/>
  <c r="S314" i="113"/>
  <c r="U251" i="113"/>
  <c r="U314" i="113" s="1"/>
  <c r="U187" i="113"/>
  <c r="U250" i="113" s="1"/>
  <c r="S250" i="113"/>
  <c r="G2517" i="170" l="1"/>
  <c r="A2533" i="170"/>
  <c r="K20" i="59"/>
  <c r="P20" i="59" s="1"/>
  <c r="G2533" i="170" l="1"/>
  <c r="A2550" i="170"/>
  <c r="K28" i="59"/>
  <c r="P28" i="59" s="1"/>
  <c r="G2550" i="170" l="1"/>
  <c r="A2566" i="170"/>
  <c r="G2566" i="170" l="1"/>
  <c r="A2582" i="170"/>
  <c r="G2582" i="170" l="1"/>
  <c r="A2598" i="170"/>
  <c r="G2598" i="170" s="1"/>
  <c r="G14" i="136" l="1"/>
  <c r="F347" i="132" l="1"/>
  <c r="F346" i="132" s="1"/>
  <c r="I347" i="132"/>
  <c r="F14" i="167"/>
  <c r="F20" i="167" s="1"/>
  <c r="K23" i="167" s="1"/>
  <c r="G13" i="136"/>
  <c r="H14" i="136"/>
  <c r="J347" i="132" s="1"/>
  <c r="J346" i="132" s="1"/>
  <c r="F22" i="136"/>
  <c r="G13" i="113"/>
  <c r="J13" i="113"/>
  <c r="G22" i="136" l="1"/>
  <c r="G40" i="154"/>
  <c r="G39" i="154" s="1"/>
  <c r="I14" i="136"/>
  <c r="K347" i="132"/>
  <c r="I346" i="132"/>
  <c r="I382" i="132" s="1"/>
  <c r="G14" i="167"/>
  <c r="G20" i="167" s="1"/>
  <c r="H13" i="136"/>
  <c r="H22" i="136" s="1"/>
  <c r="F382" i="132"/>
  <c r="I13" i="136"/>
  <c r="I22" i="136" s="1"/>
  <c r="J99" i="113"/>
  <c r="L13" i="113"/>
  <c r="M347" i="132" l="1"/>
  <c r="M346" i="132" s="1"/>
  <c r="K346" i="132"/>
  <c r="J382" i="132"/>
  <c r="H40" i="154"/>
  <c r="M13" i="113"/>
  <c r="L99" i="113"/>
  <c r="R13" i="113"/>
  <c r="R99" i="113" s="1"/>
  <c r="R335" i="113" s="1"/>
  <c r="R338" i="113" s="1"/>
  <c r="U363" i="113" s="1"/>
  <c r="H39" i="154" l="1"/>
  <c r="K382" i="132"/>
  <c r="J379" i="132"/>
  <c r="J384" i="132" s="1"/>
  <c r="P13" i="113"/>
  <c r="M99" i="113"/>
  <c r="M335" i="113" s="1"/>
  <c r="M338" i="113" s="1"/>
  <c r="M382" i="132" l="1"/>
  <c r="S13" i="113"/>
  <c r="P99" i="113"/>
  <c r="O98" i="132"/>
  <c r="U13" i="113" l="1"/>
  <c r="U99" i="113" s="1"/>
  <c r="U335" i="113" s="1"/>
  <c r="U338" i="113" s="1"/>
  <c r="S99" i="113"/>
  <c r="S335" i="113" s="1"/>
  <c r="S338" i="113" s="1"/>
  <c r="P335" i="113"/>
  <c r="X99" i="113"/>
  <c r="X340" i="113" l="1"/>
  <c r="Y338" i="113"/>
  <c r="Y342" i="113"/>
  <c r="Y343" i="113" s="1"/>
  <c r="P338" i="113"/>
  <c r="X353" i="113" l="1"/>
  <c r="Z341" i="113"/>
  <c r="R358" i="113"/>
  <c r="Y353" i="113"/>
  <c r="AC9" i="9" l="1"/>
  <c r="AC320" i="9" s="1"/>
  <c r="Q9" i="9"/>
  <c r="E325" i="151"/>
  <c r="I2585" i="170" s="1"/>
  <c r="K2585" i="170" s="1"/>
  <c r="K2596" i="170" s="1"/>
  <c r="F325" i="151" l="1"/>
  <c r="F323" i="132" s="1"/>
  <c r="E255" i="151"/>
  <c r="J359" i="151" s="1"/>
  <c r="AI18" i="9"/>
  <c r="L2596" i="170"/>
  <c r="M2609" i="170" s="1"/>
  <c r="L126" i="102"/>
  <c r="AF28" i="9"/>
  <c r="AG9" i="9"/>
  <c r="Q320" i="9"/>
  <c r="AI8" i="9"/>
  <c r="AG20" i="9"/>
  <c r="AG21" i="9" s="1"/>
  <c r="AG22" i="9" s="1"/>
  <c r="T4" i="9"/>
  <c r="AG254" i="9"/>
  <c r="I323" i="132" l="1"/>
  <c r="I253" i="132" s="1"/>
  <c r="I379" i="132" s="1"/>
  <c r="I384" i="132" s="1"/>
  <c r="F253" i="132"/>
  <c r="O2611" i="170"/>
  <c r="M2611" i="170"/>
  <c r="F255" i="151"/>
  <c r="F326" i="151" s="1"/>
  <c r="H30" i="154" s="1"/>
  <c r="H14" i="154" s="1"/>
  <c r="H13" i="154" s="1"/>
  <c r="H43" i="154" s="1"/>
  <c r="X325" i="151"/>
  <c r="L2615" i="170"/>
  <c r="M2622" i="170" s="1"/>
  <c r="L359" i="151"/>
  <c r="O348" i="151" s="1"/>
  <c r="Y348" i="151" s="1"/>
  <c r="E326" i="151"/>
  <c r="D30" i="154" s="1"/>
  <c r="G30" i="154" l="1"/>
  <c r="K22" i="154" s="1"/>
  <c r="F379" i="132"/>
  <c r="F384" i="132" s="1"/>
  <c r="Z325" i="151"/>
  <c r="Z84" i="102" s="1"/>
  <c r="X255" i="151"/>
  <c r="X326" i="151" s="1"/>
  <c r="M2624" i="170"/>
  <c r="K47" i="154"/>
  <c r="G14" i="154" l="1"/>
  <c r="G13" i="154" s="1"/>
  <c r="O253" i="132"/>
  <c r="P253" i="132" s="1"/>
  <c r="Z255" i="151"/>
  <c r="Z85" i="102"/>
  <c r="O398" i="132"/>
  <c r="Z326" i="151" l="1"/>
  <c r="L361" i="151"/>
  <c r="K379" i="132"/>
  <c r="K384" i="132" s="1"/>
  <c r="AA84" i="102"/>
  <c r="P398" i="132"/>
  <c r="AP28" i="32"/>
  <c r="AJ47" i="32"/>
  <c r="C15" i="157"/>
  <c r="M379" i="132" l="1"/>
  <c r="M384" i="132" s="1"/>
  <c r="K34" i="154" s="1"/>
  <c r="AE326" i="151"/>
  <c r="AF327" i="151" s="1"/>
  <c r="AF331" i="151" s="1"/>
  <c r="AA85" i="102"/>
  <c r="C12" i="158"/>
  <c r="C15" i="158" s="1"/>
  <c r="E12" i="157"/>
  <c r="E15" i="157" s="1"/>
  <c r="K37" i="154" l="1"/>
  <c r="L41" i="154" s="1"/>
  <c r="O379" i="132"/>
  <c r="K23" i="154" s="1"/>
  <c r="L23" i="154" s="1"/>
  <c r="E12" i="158"/>
  <c r="E15" i="158" l="1"/>
  <c r="D17" i="79" s="1"/>
  <c r="D20" i="79" l="1"/>
  <c r="G23" i="79" s="1"/>
  <c r="G16" i="79" l="1"/>
  <c r="G32" i="79"/>
  <c r="G43" i="154"/>
  <c r="K41" i="154" s="1"/>
  <c r="K38" i="154"/>
</calcChain>
</file>

<file path=xl/sharedStrings.xml><?xml version="1.0" encoding="utf-8"?>
<sst xmlns="http://schemas.openxmlformats.org/spreadsheetml/2006/main" count="15877" uniqueCount="1185">
  <si>
    <t>N. Kẻ</t>
  </si>
  <si>
    <t>N. Phết</t>
  </si>
  <si>
    <t>N. Nô La</t>
  </si>
  <si>
    <t>Báo vệ</t>
  </si>
  <si>
    <t xml:space="preserve"> Pợt</t>
  </si>
  <si>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</si>
  <si>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</si>
  <si>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</si>
  <si>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</si>
  <si>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</si>
  <si>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</si>
  <si>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</si>
  <si>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</si>
  <si>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</si>
  <si>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</si>
  <si>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</si>
  <si>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</si>
  <si>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</si>
  <si>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</si>
  <si>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</si>
  <si>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</si>
  <si>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</si>
  <si>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</si>
  <si>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</si>
  <si>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</si>
  <si>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</si>
  <si>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</si>
  <si>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</si>
  <si>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</si>
  <si>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</si>
  <si>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</si>
  <si>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</si>
  <si>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</si>
  <si>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</si>
  <si>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</si>
  <si>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</si>
  <si>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</si>
  <si>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</si>
  <si>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</si>
  <si>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 xml:space="preserve">Lào </t>
  </si>
  <si>
    <t>Thành 
tiền</t>
  </si>
  <si>
    <t xml:space="preserve">Hạng
kỹ
thuật
</t>
  </si>
  <si>
    <t>Thành
tiền</t>
  </si>
  <si>
    <t>CNKT</t>
  </si>
  <si>
    <t>GIÁM ĐỐC NT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</si>
  <si>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</si>
  <si>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</si>
  <si>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</si>
  <si>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</si>
  <si>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</si>
  <si>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</si>
  <si>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</si>
  <si>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</si>
  <si>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</si>
  <si>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</si>
  <si>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</si>
  <si>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</si>
  <si>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</si>
  <si>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</si>
  <si>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ĐVT: Kip</t>
  </si>
  <si>
    <t xml:space="preserve">Tổng cộng 
thu nhập
 </t>
  </si>
  <si>
    <t>Tổng lương
 quy đổi
 USD - Kip</t>
  </si>
  <si>
    <t xml:space="preserve">Tỷ giá Việt qua Kip </t>
  </si>
  <si>
    <t>ì©</t>
  </si>
  <si>
    <t>§ˆ²¾¦¾ì¾¸</t>
  </si>
  <si>
    <t>§ˆ²¾¦¾¹¸¼©</t>
  </si>
  <si>
    <t>ª¿ÁÎÈ¤</t>
  </si>
  <si>
    <t>¸ñ­¤¾­</t>
  </si>
  <si>
    <t>À¤ò­Â©ì¾</t>
  </si>
  <si>
    <t>À¯ñ­À¤ò­</t>
  </si>
  <si>
    <t>À¤ò­À©õº­£ò©À¯ñ­À¤ò­¡ó®</t>
  </si>
  <si>
    <t>¦½¹¸ñ©©ó¡¾­</t>
  </si>
  <si>
    <t>ì¸´À¤ò­»ñ®</t>
  </si>
  <si>
    <t>À¤ò­£ñ¤¡¿´½®¾­</t>
  </si>
  <si>
    <t>À¤ò­»ñ®ªö¸¥ò¤</t>
  </si>
  <si>
    <t>À§ñ­»ñ®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</si>
  <si>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</si>
  <si>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</si>
  <si>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</si>
  <si>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</si>
  <si>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</si>
  <si>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</si>
  <si>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</si>
  <si>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</si>
  <si>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</si>
  <si>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</si>
  <si>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</si>
  <si>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P. Giám đốc</t>
  </si>
  <si>
    <t>Cấp dưỡng</t>
  </si>
  <si>
    <t>Bảo vệ</t>
  </si>
  <si>
    <t>CỘNG HÒA DÂN CHỦ NHÂN DÂN LÀO</t>
  </si>
  <si>
    <t>Hòa Bình -Độc Lập  - Dân Chủ - thống Nhất - Thịnh Vượng</t>
  </si>
  <si>
    <t>TT</t>
  </si>
  <si>
    <t>HỌ VÀ TÊN</t>
  </si>
  <si>
    <t>BẢN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</si>
  <si>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</si>
  <si>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</si>
  <si>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</si>
  <si>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</si>
  <si>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</si>
  <si>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</si>
  <si>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</si>
  <si>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</si>
  <si>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PHÒNG TC - HC</t>
  </si>
  <si>
    <t>PHÒNG TC - KT</t>
  </si>
  <si>
    <t>Tên Công nhân</t>
  </si>
  <si>
    <t>Ghi chú</t>
  </si>
  <si>
    <t>In Ton</t>
  </si>
  <si>
    <t>Nông luông</t>
  </si>
  <si>
    <t>Cong Khăm</t>
  </si>
  <si>
    <t>Đội I</t>
  </si>
  <si>
    <t>Đội II</t>
  </si>
  <si>
    <t>Đội III</t>
  </si>
  <si>
    <t xml:space="preserve"> ĐƠN VỊ: NÔNG TRƯỜNG 2</t>
  </si>
  <si>
    <t>I</t>
  </si>
  <si>
    <t>Ngày công</t>
  </si>
  <si>
    <t>Pha Lu</t>
  </si>
  <si>
    <t>KÝ NHẬN</t>
  </si>
  <si>
    <t>GHI CHÚ</t>
  </si>
  <si>
    <t>CHỨC VỤ</t>
  </si>
  <si>
    <t>Kíp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</si>
  <si>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</si>
  <si>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</si>
  <si>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</si>
  <si>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</si>
  <si>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</si>
  <si>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</si>
  <si>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</si>
  <si>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</si>
  <si>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</si>
  <si>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</si>
  <si>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</si>
  <si>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</si>
  <si>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</si>
  <si>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 xml:space="preserve"> ĐỘI 2 </t>
  </si>
  <si>
    <t xml:space="preserve"> ĐỘI 3</t>
  </si>
  <si>
    <t>Von</t>
  </si>
  <si>
    <t>May</t>
  </si>
  <si>
    <t>Vông</t>
  </si>
  <si>
    <t>La</t>
  </si>
  <si>
    <t>Xi</t>
  </si>
  <si>
    <t>Đăm</t>
  </si>
  <si>
    <t>THỰC NHẬN</t>
  </si>
  <si>
    <t>BẢNG CHẤM CÔNG CB QUẢN LÝ, PHỤC VỤ SẢN XUẤT</t>
  </si>
  <si>
    <t>III</t>
  </si>
  <si>
    <t>Mã số nhân viên</t>
  </si>
  <si>
    <t>Mứt</t>
  </si>
  <si>
    <t>Nộ Na</t>
  </si>
  <si>
    <t>Thăm Mã La</t>
  </si>
  <si>
    <t>Pết</t>
  </si>
  <si>
    <t>A Xít</t>
  </si>
  <si>
    <t>Bun Lơng</t>
  </si>
  <si>
    <t>Khăn Hạ</t>
  </si>
  <si>
    <t>Khăm Xúc</t>
  </si>
  <si>
    <t>00383</t>
  </si>
  <si>
    <t>00317</t>
  </si>
  <si>
    <t>00316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</si>
  <si>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</si>
  <si>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</si>
  <si>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</si>
  <si>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</si>
  <si>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</si>
  <si>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</si>
  <si>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</si>
  <si>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</si>
  <si>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</si>
  <si>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</si>
  <si>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</si>
  <si>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</si>
  <si>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Đội IV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</si>
  <si>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</si>
  <si>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</si>
  <si>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</si>
  <si>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</si>
  <si>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</si>
  <si>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</si>
  <si>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</si>
  <si>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</si>
  <si>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LẬP BIỂU</t>
  </si>
  <si>
    <t>Tổng
 cộng</t>
  </si>
  <si>
    <t>Tổng 
công</t>
  </si>
  <si>
    <t>Quy khô
DRC=50</t>
  </si>
  <si>
    <t xml:space="preserve"> ĐỘI 1</t>
  </si>
  <si>
    <t>Trần Viết Dũng</t>
  </si>
  <si>
    <t xml:space="preserve">VC KINH DOANH NĂM </t>
  </si>
  <si>
    <t>Công</t>
  </si>
  <si>
    <t>GIÁM ĐỐC NÔNG TRƯỜNG 2</t>
  </si>
  <si>
    <t xml:space="preserve">                     NÔNG TRƯỜNG 2</t>
  </si>
  <si>
    <t>Nguyễn Trí Thạch</t>
  </si>
  <si>
    <t>NÔNG TRƯỜNG CAO SU SỐ 2</t>
  </si>
  <si>
    <t>BẢNG THANH TOÁN TIỀN HỖ TRỢ CÁC TRƯỞNG BẢN
 CÓ CÔNG NHÂN LÀM VIỆC CHO NÔNG TRƯỜNG VÀ CÔNG AN CỤM BẢN</t>
  </si>
  <si>
    <t>Trưởng Công an</t>
  </si>
  <si>
    <t>BẢNG CHẤM CÔNG CB QUẢN LÝ CÁC ĐỘI KHAI THÁC</t>
  </si>
  <si>
    <t>Hòa bình - Độc lập - Dân chủ - Thống nhất - Thịnh Vượng</t>
  </si>
  <si>
    <t xml:space="preserve">Tổng
</t>
  </si>
  <si>
    <t>Quy khô</t>
  </si>
  <si>
    <t>NGƯỜI LẬP</t>
  </si>
  <si>
    <t>GĐ. NÔNG TRƯỜNG</t>
  </si>
  <si>
    <t>Khối lượng hàng ngày làm việc</t>
  </si>
  <si>
    <t>IV</t>
  </si>
  <si>
    <t>TL.NN</t>
  </si>
  <si>
    <t>T.Xê</t>
  </si>
  <si>
    <t xml:space="preserve">Trần Văn Lý </t>
  </si>
  <si>
    <t>Tổng sản lượng mủ tạp+mủ dây quy khô</t>
  </si>
  <si>
    <t>Lái xe</t>
  </si>
  <si>
    <t xml:space="preserve">Tỷ giá USD qua Kíp </t>
  </si>
  <si>
    <t>Lương USD</t>
  </si>
  <si>
    <t>Các khoản trừ</t>
  </si>
  <si>
    <t>Mủ cán
 quy
khô
(tấn)</t>
  </si>
  <si>
    <t>(+) TRẠM CÁN NT</t>
  </si>
  <si>
    <t>Mã nhân viên</t>
  </si>
  <si>
    <t>Tổng lương quy đổi</t>
  </si>
  <si>
    <t>Thuế TNCN</t>
  </si>
  <si>
    <t>Bảo Vệ</t>
  </si>
  <si>
    <t>A Viêng</t>
  </si>
  <si>
    <t xml:space="preserve">Lập biểu </t>
  </si>
  <si>
    <t>NV-NN</t>
  </si>
  <si>
    <t>Ca Tăn</t>
  </si>
  <si>
    <t>Xum Phon</t>
  </si>
  <si>
    <t>Đội 1</t>
  </si>
  <si>
    <t>Đội 3</t>
  </si>
  <si>
    <t>T. Đi</t>
  </si>
  <si>
    <t>T. Nhung</t>
  </si>
  <si>
    <t>BẢNG CHẤM CÔNG TRẠM CÁN</t>
  </si>
  <si>
    <t>Tài xế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</si>
  <si>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</si>
  <si>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</si>
  <si>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</si>
  <si>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</si>
  <si>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</si>
  <si>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</si>
  <si>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</si>
  <si>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T. Cỏ</t>
  </si>
  <si>
    <t>00894</t>
  </si>
  <si>
    <t>01196</t>
  </si>
  <si>
    <t>01233</t>
  </si>
  <si>
    <t>ທ ບຸນ</t>
  </si>
  <si>
    <t>ໄຂ່ຄຳ</t>
  </si>
  <si>
    <t>ສົມພັນ</t>
  </si>
  <si>
    <t>ກະຕັນ</t>
  </si>
  <si>
    <t>ບຸນເລືອກ</t>
  </si>
  <si>
    <t>ທ້າວ ສີ</t>
  </si>
  <si>
    <t>Dò</t>
  </si>
  <si>
    <t>tiền lê</t>
  </si>
  <si>
    <t>Cưng</t>
  </si>
  <si>
    <t>Keo</t>
  </si>
  <si>
    <t>Vay</t>
  </si>
  <si>
    <t>Vi Khăm</t>
  </si>
  <si>
    <t>T. Pu</t>
  </si>
  <si>
    <t>01925</t>
  </si>
  <si>
    <t>01926</t>
  </si>
  <si>
    <t>01927</t>
  </si>
  <si>
    <t>01928</t>
  </si>
  <si>
    <t>01929</t>
  </si>
  <si>
    <t>01930</t>
  </si>
  <si>
    <t>MSVV</t>
  </si>
  <si>
    <t>Tổng cộng</t>
  </si>
  <si>
    <t>Tôn Ma</t>
  </si>
  <si>
    <t>Nang Quamg</t>
  </si>
  <si>
    <t>Leo</t>
  </si>
  <si>
    <t>Phi</t>
  </si>
  <si>
    <t>01945</t>
  </si>
  <si>
    <t>01956</t>
  </si>
  <si>
    <t>01957</t>
  </si>
  <si>
    <t>01963</t>
  </si>
  <si>
    <t>Bun Khăm</t>
  </si>
  <si>
    <t xml:space="preserve">  PHÒNG TC - KT</t>
  </si>
  <si>
    <t xml:space="preserve">       PHÒNG TC - HC</t>
  </si>
  <si>
    <t xml:space="preserve"> </t>
  </si>
  <si>
    <t>TỔNG CÔNG</t>
  </si>
  <si>
    <t>ĐƠN GIÁ ( 25.000 KÍP )</t>
  </si>
  <si>
    <t>THÀNH TIỀN</t>
  </si>
  <si>
    <t>Đao Tha La</t>
  </si>
  <si>
    <t>01984</t>
  </si>
  <si>
    <r>
      <t xml:space="preserve">Tổng lương </t>
    </r>
    <r>
      <rPr>
        <sz val="10"/>
        <rFont val="Times New Roman"/>
        <family val="1"/>
      </rPr>
      <t>(8)+(9)+(10)
+(11)+(12)</t>
    </r>
  </si>
  <si>
    <t>Thuế TNCN</t>
  </si>
  <si>
    <t>ịi</t>
  </si>
  <si>
    <t>Thảo Phôn Chay</t>
  </si>
  <si>
    <t>Bun Khưn</t>
  </si>
  <si>
    <t>T .Nhum</t>
  </si>
  <si>
    <t>T . Phết</t>
  </si>
  <si>
    <t>T. Sắc</t>
  </si>
  <si>
    <t>N . Khâm (1)</t>
  </si>
  <si>
    <t>A Nóc</t>
  </si>
  <si>
    <t>N. Tinh</t>
  </si>
  <si>
    <t>T. Bi Ly</t>
  </si>
  <si>
    <t>T . Thau</t>
  </si>
  <si>
    <t>T Viêng</t>
  </si>
  <si>
    <t>T. Pha Đi</t>
  </si>
  <si>
    <t>Tạp vụ</t>
  </si>
  <si>
    <t>Tạp Vụ</t>
  </si>
  <si>
    <t>lương Đội Lào Phôn +bun khưn</t>
  </si>
  <si>
    <t>A lane Xaykhamsouk</t>
  </si>
  <si>
    <t>Sum Mai</t>
  </si>
  <si>
    <t>02358</t>
  </si>
  <si>
    <t>Viêng Khăm</t>
  </si>
  <si>
    <t>CN cán mủ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</si>
  <si>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</si>
  <si>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</si>
  <si>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</si>
  <si>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</si>
  <si>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</si>
  <si>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</si>
  <si>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</si>
  <si>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</si>
  <si>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</si>
  <si>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</si>
  <si>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</si>
  <si>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</si>
  <si>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</si>
  <si>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Tấn</t>
  </si>
  <si>
    <t>Bảo vệ</t>
  </si>
  <si>
    <t>CHI PHÍ KHÁC</t>
  </si>
  <si>
    <t>Phụ cấp Trưởng bản</t>
  </si>
  <si>
    <t>TỔNG CỘNG:</t>
  </si>
  <si>
    <t xml:space="preserve">           TỔNG GIÁM ĐỐC</t>
  </si>
  <si>
    <t>PHÒNG TC-KT</t>
  </si>
  <si>
    <t>T . Lốc</t>
  </si>
  <si>
    <t>Công việc khác</t>
  </si>
  <si>
    <t>TL. BV</t>
  </si>
  <si>
    <t>T.Son say A</t>
  </si>
  <si>
    <t>Đội IV</t>
  </si>
  <si>
    <t xml:space="preserve">Tỷ giá: USD qua Kíp : </t>
  </si>
  <si>
    <t xml:space="preserve">Tỷ giá Việt qua Kip :  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</si>
  <si>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</si>
  <si>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</si>
  <si>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</si>
  <si>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</si>
  <si>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ĐP - NL</t>
  </si>
  <si>
    <t>N. La</t>
  </si>
  <si>
    <t>TL - KH</t>
  </si>
  <si>
    <t>CÔNG TY TNHH CP QUASA-GERUCO LÀO</t>
  </si>
  <si>
    <t>Phụ cấp xe ViGO biển số nn 0125</t>
  </si>
  <si>
    <t>Nguyễn Ngọc Huấn</t>
  </si>
  <si>
    <t>Đội trưởng</t>
  </si>
  <si>
    <t>Thảo Lẹ</t>
  </si>
  <si>
    <t>T. Phô Thong</t>
  </si>
  <si>
    <t>T. Sô Đa</t>
  </si>
  <si>
    <t>N. Tủn</t>
  </si>
  <si>
    <t>T. Lung</t>
  </si>
  <si>
    <t xml:space="preserve">N. Khăm </t>
  </si>
  <si>
    <t>N. Phôn</t>
  </si>
  <si>
    <t>Veo Khăm</t>
  </si>
  <si>
    <t>Khăm Phiêng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</si>
  <si>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</si>
  <si>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</si>
  <si>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</si>
  <si>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</si>
  <si>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</si>
  <si>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</si>
  <si>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</si>
  <si>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T. Chăn</t>
  </si>
  <si>
    <t>T . Cổ</t>
  </si>
  <si>
    <t>Xô La</t>
  </si>
  <si>
    <t>Khâm Đi</t>
  </si>
  <si>
    <t>T. Ve</t>
  </si>
  <si>
    <t>T. Thèo</t>
  </si>
  <si>
    <t>Kèo Xột</t>
  </si>
  <si>
    <t>N. Chít</t>
  </si>
  <si>
    <t>T. Phim</t>
  </si>
  <si>
    <t>T Chăn Thi</t>
  </si>
  <si>
    <t>N. Văn Thong</t>
  </si>
  <si>
    <t>T. Dở</t>
  </si>
  <si>
    <t>T. Tắt</t>
  </si>
  <si>
    <t>T. Hách</t>
  </si>
  <si>
    <t>Khay Khăm</t>
  </si>
  <si>
    <t>T.Mon</t>
  </si>
  <si>
    <t>T. Đông</t>
  </si>
  <si>
    <t>T Pết</t>
  </si>
  <si>
    <t>T. Be</t>
  </si>
  <si>
    <t>T . Mưn</t>
  </si>
  <si>
    <t>T. Ô</t>
  </si>
  <si>
    <t>T. Nọi</t>
  </si>
  <si>
    <t>T. Mi</t>
  </si>
  <si>
    <t>T. Xủm</t>
  </si>
  <si>
    <t>T. Choi</t>
  </si>
  <si>
    <t>Vông Chăn</t>
  </si>
  <si>
    <t>Xợt</t>
  </si>
  <si>
    <t xml:space="preserve">Nang On Teng </t>
  </si>
  <si>
    <t>T. Sa Văn</t>
  </si>
  <si>
    <t>T . Vay</t>
  </si>
  <si>
    <t>T . Khon</t>
  </si>
  <si>
    <t>Lăm Ngân</t>
  </si>
  <si>
    <t>N. Ting</t>
  </si>
  <si>
    <t>T Nôn</t>
  </si>
  <si>
    <t>Khiêng Khăm</t>
  </si>
  <si>
    <t>N. Teo</t>
  </si>
  <si>
    <t>Nang La Ty</t>
  </si>
  <si>
    <t>Số tiền bằng chữ: Năm trăm ngàn kíp</t>
  </si>
  <si>
    <t>T. Đôn Ma</t>
  </si>
  <si>
    <t>T. Son Sa May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</si>
  <si>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</si>
  <si>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</si>
  <si>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</si>
  <si>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</si>
  <si>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</si>
  <si>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</si>
  <si>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</si>
  <si>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</si>
  <si>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Chít</t>
  </si>
  <si>
    <t>T. Pông</t>
  </si>
  <si>
    <t>T Đeng</t>
  </si>
  <si>
    <t>N. Lẹ</t>
  </si>
  <si>
    <t>N. Lay</t>
  </si>
  <si>
    <t>Mức lương</t>
  </si>
  <si>
    <t>Bôi thuốc kích thích</t>
  </si>
  <si>
    <t>Đội phó</t>
  </si>
  <si>
    <t>Lương tổ,đội</t>
  </si>
  <si>
    <t>T. Thong Đon</t>
  </si>
  <si>
    <t>T. Viêng Sa Văn</t>
  </si>
  <si>
    <t>T. Tinh</t>
  </si>
  <si>
    <t>N. Chay</t>
  </si>
  <si>
    <t>T. Cạp</t>
  </si>
  <si>
    <t>N. Soi</t>
  </si>
  <si>
    <t>N. Tieng Na</t>
  </si>
  <si>
    <t>N. Sủm</t>
  </si>
  <si>
    <t>N. Căn Da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</si>
  <si>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</si>
  <si>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</si>
  <si>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</si>
  <si>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Vạt</t>
  </si>
  <si>
    <t>T. In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</si>
  <si>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</si>
  <si>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</si>
  <si>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</si>
  <si>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</si>
  <si>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</si>
  <si>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</si>
  <si>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</si>
  <si>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</si>
  <si>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N. Không</t>
  </si>
  <si>
    <t>T. May</t>
  </si>
  <si>
    <t>T. Ni On</t>
  </si>
  <si>
    <t>T Núc</t>
  </si>
  <si>
    <t>N. Keo</t>
  </si>
  <si>
    <t>N.Vông Ma Ni</t>
  </si>
  <si>
    <t>T. Khăm Mặn</t>
  </si>
  <si>
    <t>T. Sòn</t>
  </si>
  <si>
    <t>N. Bun Đi</t>
  </si>
  <si>
    <t>N. Phon</t>
  </si>
  <si>
    <t>N. Ốc</t>
  </si>
  <si>
    <t>T. Lem</t>
  </si>
  <si>
    <t>N. Bua Hom</t>
  </si>
  <si>
    <t xml:space="preserve">PT.Giám đốc </t>
  </si>
  <si>
    <t>Thành 
tiền kíp</t>
  </si>
  <si>
    <t>Tổng lương</t>
  </si>
  <si>
    <t>Ngày công đi cạo thường (x)</t>
  </si>
  <si>
    <t>Ngày CN thường (cn)</t>
  </si>
  <si>
    <t>T . Tom</t>
  </si>
  <si>
    <t>T. U Đôm</t>
  </si>
  <si>
    <t>N. Văn Ta</t>
  </si>
  <si>
    <t>T. Khăm...</t>
  </si>
  <si>
    <t>N. Pheng</t>
  </si>
  <si>
    <t>T. A lem</t>
  </si>
  <si>
    <t>N. Phim Pha</t>
  </si>
  <si>
    <t>T Phết</t>
  </si>
  <si>
    <t xml:space="preserve">T. Xi </t>
  </si>
  <si>
    <t>N. Khăm..</t>
  </si>
  <si>
    <t>T. Huôn</t>
  </si>
  <si>
    <t>Phụ cấp ngày chủ nhật</t>
  </si>
  <si>
    <t>T. Chăn (4)</t>
  </si>
  <si>
    <t>Tiền đảng 2 tháng</t>
  </si>
  <si>
    <t>Tiền quỷ NT 3 tháng</t>
  </si>
  <si>
    <t>ứng lương</t>
  </si>
  <si>
    <t>Nguyễn Thị Huệ</t>
  </si>
  <si>
    <t>N. In Ton</t>
  </si>
  <si>
    <t>N. Sa Văn</t>
  </si>
  <si>
    <t>Văn Đi</t>
  </si>
  <si>
    <t>Đa Ly</t>
  </si>
  <si>
    <t>N. Lăm</t>
  </si>
  <si>
    <t>N. Pon</t>
  </si>
  <si>
    <t>T. Thon</t>
  </si>
  <si>
    <t>T. Cơ</t>
  </si>
  <si>
    <t>N. Lem</t>
  </si>
  <si>
    <t>N. Sum Kang</t>
  </si>
  <si>
    <t>T. Mựt</t>
  </si>
  <si>
    <t>T. Ta</t>
  </si>
  <si>
    <t>T. Xơn</t>
  </si>
  <si>
    <t>N.T.T Trang (1)</t>
  </si>
  <si>
    <t>CÔNG TY TNHH CP QUASA - GERUCO LÀO</t>
  </si>
  <si>
    <t>T. Nọi (4)</t>
  </si>
  <si>
    <t>T. Cô</t>
  </si>
  <si>
    <t>Phát chồi đại trà</t>
  </si>
  <si>
    <t>T. Sinh</t>
  </si>
  <si>
    <t>T Xèng</t>
  </si>
  <si>
    <t>N. Lỷ</t>
  </si>
  <si>
    <t>T. Vy</t>
  </si>
  <si>
    <t>N. Xum Xi</t>
  </si>
  <si>
    <t>Phụ cấp nhỏ a xít (20.000 kíp/phần)</t>
  </si>
  <si>
    <t xml:space="preserve">Phụ cấp nhỏ a xít </t>
  </si>
  <si>
    <t>Tổng mủ tạp</t>
  </si>
  <si>
    <t>T. Son</t>
  </si>
  <si>
    <t>Đội 1,2 3</t>
  </si>
  <si>
    <t>-----oOo-----</t>
  </si>
  <si>
    <t>(1)</t>
  </si>
  <si>
    <t>(2)</t>
  </si>
  <si>
    <t>(3)</t>
  </si>
  <si>
    <t>(4)</t>
  </si>
  <si>
    <t>(5)</t>
  </si>
  <si>
    <t>(6)</t>
  </si>
  <si>
    <t>(7)</t>
  </si>
  <si>
    <t>(8)</t>
  </si>
  <si>
    <t>(10)</t>
  </si>
  <si>
    <t>(11)</t>
  </si>
  <si>
    <t>(12)</t>
  </si>
  <si>
    <t>(14)</t>
  </si>
  <si>
    <t>Sản lượng giao kế hoạch tháng (tấn)</t>
  </si>
  <si>
    <t>Sản lượng thực hiện trong tháng (tấn)</t>
  </si>
  <si>
    <t>PHÒNG KT - NN</t>
  </si>
  <si>
    <t>¹ö¸ÎÈ¸¨</t>
  </si>
  <si>
    <t>À¤ò­À©õº­ª¾´°½ìò©ª½²ñ­</t>
  </si>
  <si>
    <t>º÷©Îø­¡ó©µ¾¤*</t>
  </si>
  <si>
    <t>(9)</t>
  </si>
  <si>
    <t>(13)</t>
  </si>
  <si>
    <t>(15)</t>
  </si>
  <si>
    <t>(16)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</si>
  <si>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</si>
  <si>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</si>
  <si>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</si>
  <si>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</si>
  <si>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</si>
  <si>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</si>
  <si>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</si>
  <si>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</si>
  <si>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</si>
  <si>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</si>
  <si>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</si>
  <si>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</si>
  <si>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</si>
  <si>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</si>
  <si>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</si>
  <si>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</si>
  <si>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</si>
  <si>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</si>
  <si>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</si>
  <si>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</si>
  <si>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</si>
  <si>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</si>
  <si>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</si>
  <si>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</si>
  <si>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</si>
  <si>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</si>
  <si>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</si>
  <si>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</si>
  <si>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</si>
  <si>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</si>
  <si>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</si>
  <si>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</si>
  <si>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</si>
  <si>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</si>
  <si>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</si>
  <si>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</si>
  <si>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</si>
  <si>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</si>
  <si>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</si>
  <si>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</si>
  <si>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</si>
  <si>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</si>
  <si>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</si>
  <si>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</si>
  <si>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</si>
  <si>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</si>
  <si>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</si>
  <si>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</si>
  <si>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</si>
  <si>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</si>
  <si>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</si>
  <si>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</si>
  <si>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</si>
  <si>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</si>
  <si>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</si>
  <si>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</si>
  <si>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</si>
  <si>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</si>
  <si>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00378</t>
  </si>
  <si>
    <t>00379</t>
  </si>
  <si>
    <t>00380</t>
  </si>
  <si>
    <t>00381</t>
  </si>
  <si>
    <t>00382</t>
  </si>
  <si>
    <t>00384</t>
  </si>
  <si>
    <t>00385</t>
  </si>
  <si>
    <t>00386</t>
  </si>
  <si>
    <t>00387</t>
  </si>
  <si>
    <t>00388</t>
  </si>
  <si>
    <t>00389</t>
  </si>
  <si>
    <t>00390</t>
  </si>
  <si>
    <t>Đội 2 Total</t>
  </si>
  <si>
    <t>Đội 3 Total</t>
  </si>
  <si>
    <t>Đội 4 Total</t>
  </si>
  <si>
    <t>Phanh</t>
  </si>
  <si>
    <t>Tăn</t>
  </si>
  <si>
    <t>01194</t>
  </si>
  <si>
    <t>ສອນລັງ</t>
  </si>
  <si>
    <t>Thong</t>
  </si>
  <si>
    <t>CN - CM</t>
  </si>
  <si>
    <t>Nàng Nhung</t>
  </si>
  <si>
    <t>(+) VPNT</t>
  </si>
  <si>
    <t>Vườn cây kinh doanh Total (1)</t>
  </si>
  <si>
    <t>Trạm Cán(2)</t>
  </si>
  <si>
    <t>VPNT(3)</t>
  </si>
  <si>
    <t>Grand Total (1)+(2)+(3)</t>
  </si>
  <si>
    <t>( Bằng chữ: Một tỷ một trăm bốn mươi chín triệu bốn trăm tám mươi mốt nghìn ba trăm mười bốn kíp</t>
  </si>
  <si>
    <t>Mường phìn, ngày 02 tháng 12 năm 2023</t>
  </si>
  <si>
    <t>T. Thong</t>
  </si>
  <si>
    <t>-----o0o-----</t>
  </si>
  <si>
    <t>----- o0o-----</t>
  </si>
  <si>
    <t>ĐỘI 1</t>
  </si>
  <si>
    <t>ĐỘI 2</t>
  </si>
  <si>
    <t>ĐỘI 3</t>
  </si>
  <si>
    <t>ĐỘI  4</t>
  </si>
  <si>
    <t>Đặng Ngọc Tú</t>
  </si>
  <si>
    <t>Phan Văn Hưng</t>
  </si>
  <si>
    <t>PT . Trạm cán</t>
  </si>
  <si>
    <t xml:space="preserve">Tỷ giá Bath qua Kip: </t>
  </si>
  <si>
    <t>T. Đuông</t>
  </si>
  <si>
    <t>N. Phu Văn</t>
  </si>
  <si>
    <t>Phắt Ta Na</t>
  </si>
  <si>
    <t>N. Lao</t>
  </si>
  <si>
    <t>Lương thực hiện trong tháng</t>
  </si>
  <si>
    <t>Lương kíp</t>
  </si>
  <si>
    <t xml:space="preserve"> Đội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</si>
  <si>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</si>
  <si>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</si>
  <si>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</si>
  <si>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</si>
  <si>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</si>
  <si>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</si>
  <si>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</si>
  <si>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</si>
  <si>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</si>
  <si>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</si>
  <si>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</si>
  <si>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</si>
  <si>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</si>
  <si>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Vi Lai Văn</t>
  </si>
  <si>
    <t>T. Ê</t>
  </si>
  <si>
    <t>N. Lắt Đa</t>
  </si>
  <si>
    <t>BẢNG LƯƠNG QUẢN LÝ VÀ CNTT NGƯỜI LÀO THÁNG 02 NĂM 2024</t>
  </si>
  <si>
    <t>TẠP VỤ NGƯỜI LÀO</t>
  </si>
  <si>
    <t>(3)= (2)/(1)*100%</t>
  </si>
  <si>
    <t>1.1</t>
  </si>
  <si>
    <t>1.2</t>
  </si>
  <si>
    <t>Xăng xe</t>
  </si>
  <si>
    <t>Nguyễn Thị Thùy Linh</t>
  </si>
  <si>
    <t>Nguyễn Văn Cương</t>
  </si>
  <si>
    <t>Lê Minh Trí</t>
  </si>
  <si>
    <t>Trần Thị Kim Ngân</t>
  </si>
  <si>
    <t>T. Vôn</t>
  </si>
  <si>
    <t>N. Pheng Mi</t>
  </si>
  <si>
    <t>T. Tích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</si>
  <si>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</si>
  <si>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</si>
  <si>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</si>
  <si>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</si>
  <si>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</si>
  <si>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</si>
  <si>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</si>
  <si>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</si>
  <si>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</si>
  <si>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T. Keo Ma Ni Son</t>
  </si>
  <si>
    <t>N. Xi</t>
  </si>
  <si>
    <t>T. Nả</t>
  </si>
  <si>
    <t>N. Chăn</t>
  </si>
  <si>
    <t>N. Khoăn Ta</t>
  </si>
  <si>
    <t>N. Túc</t>
  </si>
  <si>
    <t>T. Say</t>
  </si>
  <si>
    <t>T. Un</t>
  </si>
  <si>
    <t>T. Ôn</t>
  </si>
  <si>
    <t>N. Seng</t>
  </si>
  <si>
    <t>T . Keo</t>
  </si>
  <si>
    <t>Văn Na Nọi</t>
  </si>
  <si>
    <t>Phon Xa Văn</t>
  </si>
  <si>
    <t>N. Nôn</t>
  </si>
  <si>
    <t>N. Xi Xộm</t>
  </si>
  <si>
    <t>T . Pheng</t>
  </si>
  <si>
    <t>C. Trang 1</t>
  </si>
  <si>
    <t>N. Nun</t>
  </si>
  <si>
    <t>In Pông</t>
  </si>
  <si>
    <t>T. Kỷ</t>
  </si>
  <si>
    <t>T. Ngon</t>
  </si>
  <si>
    <t>Na Ly ...</t>
  </si>
  <si>
    <t>Lắc Xa Mi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</si>
  <si>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</si>
  <si>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</si>
  <si>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</si>
  <si>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</si>
  <si>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</si>
  <si>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</si>
  <si>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</si>
  <si>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</si>
  <si>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Lăm Thon</t>
  </si>
  <si>
    <t>T. K Đăm</t>
  </si>
  <si>
    <t>T. Phút</t>
  </si>
  <si>
    <t>N. Keo Khăm</t>
  </si>
  <si>
    <t>N. Phút</t>
  </si>
  <si>
    <t>Bun Lôm</t>
  </si>
  <si>
    <t>T. Nhã</t>
  </si>
  <si>
    <t>T. Von</t>
  </si>
  <si>
    <t>T. Lẹ</t>
  </si>
  <si>
    <t>T. Chăn La .</t>
  </si>
  <si>
    <t>T.Bun Ly</t>
  </si>
  <si>
    <t>Hoàng Thị Lan</t>
  </si>
  <si>
    <t xml:space="preserve">Bảo vệ </t>
  </si>
  <si>
    <t>Phu</t>
  </si>
  <si>
    <t>T Bun</t>
  </si>
  <si>
    <t>Xôm Phon 1</t>
  </si>
  <si>
    <t>T. Đăm</t>
  </si>
  <si>
    <t>T. Xi Nun</t>
  </si>
  <si>
    <t>N. Xúc</t>
  </si>
  <si>
    <t>T. Lăm Phêng</t>
  </si>
  <si>
    <t>N. Phăn</t>
  </si>
  <si>
    <t>T Bun Xi</t>
  </si>
  <si>
    <t>N.. Đeng</t>
  </si>
  <si>
    <t>GĐ . NÔNG TRƯỜNG</t>
  </si>
  <si>
    <t>Lom</t>
  </si>
  <si>
    <t>Ghi Chú</t>
  </si>
  <si>
    <t>N. Khay Chăn</t>
  </si>
  <si>
    <t>N. Công Say</t>
  </si>
  <si>
    <t>T. Nọi Ê</t>
  </si>
  <si>
    <t>T. Thong A</t>
  </si>
  <si>
    <t>T Phù</t>
  </si>
  <si>
    <t>N. Lắc</t>
  </si>
  <si>
    <t>T. Khăm Công</t>
  </si>
  <si>
    <t>T. Chỏ</t>
  </si>
  <si>
    <t>Bợt</t>
  </si>
  <si>
    <t>T. Đôn</t>
  </si>
  <si>
    <t>T. Khách</t>
  </si>
  <si>
    <t>tt</t>
  </si>
  <si>
    <t>T. Xem</t>
  </si>
  <si>
    <t>T.Trí</t>
  </si>
  <si>
    <t>T. Ngân</t>
  </si>
  <si>
    <t>Thảo Ỉa</t>
  </si>
  <si>
    <t>Thảo Khăm</t>
  </si>
  <si>
    <t>Nàng Muôn</t>
  </si>
  <si>
    <t>Thảo Phu</t>
  </si>
  <si>
    <t>Thảo KaLy</t>
  </si>
  <si>
    <t>Đức Văn</t>
  </si>
  <si>
    <t>A Van</t>
  </si>
  <si>
    <t>Bảo vệ Nông trường</t>
  </si>
  <si>
    <t>Tạp vụ Nông trường</t>
  </si>
  <si>
    <t xml:space="preserve"> Tài xế</t>
  </si>
  <si>
    <t>Công vệ sinh mủ khai thác</t>
  </si>
  <si>
    <t>BẢNG CHẤM ĐỘI PHÓ NGƯỜI LÀO</t>
  </si>
  <si>
    <t xml:space="preserve">BẢNG CHẤM CÔNG BẢO VỆ NGƯỜI LÀO </t>
  </si>
  <si>
    <t>BẢNG CHẤM CÔNG TÀI XẾ NGƯỜI LÀO</t>
  </si>
  <si>
    <t xml:space="preserve">I </t>
  </si>
  <si>
    <t xml:space="preserve">BẢNG CHẤM CÔNG BẢO VỆ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</si>
  <si>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</si>
  <si>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</si>
  <si>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</si>
  <si>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</si>
  <si>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</si>
  <si>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</si>
  <si>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>PHÒNG TC -HC</t>
  </si>
  <si>
    <t xml:space="preserve">Tổng Tiền
lương 
</t>
  </si>
  <si>
    <t>Tiền lương lái xe vận chuyển mủ</t>
  </si>
  <si>
    <t>Lương cán mủ sơ chế</t>
  </si>
  <si>
    <t>Tiền lương cán mủ sơ chế</t>
  </si>
  <si>
    <t>Đội 4</t>
  </si>
  <si>
    <t>Nang On Xi</t>
  </si>
  <si>
    <t>Thảo Túc</t>
  </si>
  <si>
    <t>A thít</t>
  </si>
  <si>
    <t>Món</t>
  </si>
  <si>
    <t>A tèng</t>
  </si>
  <si>
    <t xml:space="preserve">CNK </t>
  </si>
  <si>
    <t>CNK</t>
  </si>
  <si>
    <t>Tiền lương</t>
  </si>
  <si>
    <t>Tiền lương kinh doanh (622kt….)</t>
  </si>
  <si>
    <t>Tiền lương trạm cán (622SC)</t>
  </si>
  <si>
    <t>Lái xe vận chuyển mủ (622ktvc)</t>
  </si>
  <si>
    <t>Tiền lương lái xe</t>
  </si>
  <si>
    <t xml:space="preserve">       Trần Viết Hùng</t>
  </si>
  <si>
    <t>ĐVT : Kíp</t>
  </si>
  <si>
    <t>T . Vi</t>
  </si>
  <si>
    <t>BẢNG CHẤM CÔNG  ĐỘI PHÓ,BẢO VỆ,TẠP VỤ LÀM VIỆC TẠI NÔNG TRƯỜNG 2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</si>
  <si>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</si>
  <si>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</si>
  <si>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</si>
  <si>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</si>
  <si>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</si>
  <si>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</si>
  <si>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</si>
  <si>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</si>
  <si>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</si>
  <si>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r>
      <rPr>
        <b/>
        <i/>
        <sz val="11"/>
        <rFont val="Times New Roman"/>
        <family val="1"/>
      </rPr>
      <t>Nông trường 2</t>
    </r>
    <r>
      <rPr>
        <sz val="11"/>
        <rFont val="Times New Roman"/>
        <family val="1"/>
      </rPr>
      <t>, ngày 02 tháng 07 năm 2024</t>
    </r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</si>
  <si>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</si>
  <si>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</si>
  <si>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lương trực tiếp</t>
  </si>
  <si>
    <t>PHÒNG. KTNN</t>
  </si>
  <si>
    <t>TL. NÔNG NGHIỆP</t>
  </si>
  <si>
    <t>SỐ CÔNG NHÂN</t>
  </si>
  <si>
    <t xml:space="preserve">C </t>
  </si>
  <si>
    <t>HẠNG KỸ THUẬT</t>
  </si>
  <si>
    <t>Xếp hạng kỹ thuật</t>
  </si>
  <si>
    <t>ĐỘI PHÓ</t>
  </si>
  <si>
    <t>BẢO VỆ</t>
  </si>
  <si>
    <t>Thảo Mét (VP)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</si>
  <si>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</si>
  <si>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</si>
  <si>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</si>
  <si>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</si>
  <si>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</si>
  <si>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</si>
  <si>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</si>
  <si>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 xml:space="preserve"> PHÒNG TC - HC</t>
  </si>
  <si>
    <t xml:space="preserve">  Trần Viết Hùng</t>
  </si>
  <si>
    <t>Đơn giá</t>
  </si>
  <si>
    <t>Hạng kỹ thuật</t>
  </si>
  <si>
    <t>Tỉ giá Bath</t>
  </si>
  <si>
    <t>PC ngày chủ nhật</t>
  </si>
  <si>
    <t>Bảo vệ (D1)</t>
  </si>
  <si>
    <t>Bảo vệ (D2)</t>
  </si>
  <si>
    <t>Bảo vệ (D3)</t>
  </si>
  <si>
    <t>Bảo vệ (D4)</t>
  </si>
  <si>
    <r>
      <t>Phụ cấp tiền xăng</t>
    </r>
    <r>
      <rPr>
        <sz val="13"/>
        <rFont val="Times New Roman"/>
        <family val="1"/>
      </rPr>
      <t xml:space="preserve"> (600.000 kíp/tháng)</t>
    </r>
  </si>
  <si>
    <r>
      <t xml:space="preserve">Đơn Giá 
</t>
    </r>
    <r>
      <rPr>
        <sz val="13"/>
        <rFont val="Times New Roman"/>
        <family val="1"/>
      </rPr>
      <t>(2.000.000 kíp/tháng)</t>
    </r>
  </si>
  <si>
    <t>MSNV</t>
  </si>
  <si>
    <t>TRỢ LÝ BẢO VỆ</t>
  </si>
  <si>
    <t>-----o0o----</t>
  </si>
  <si>
    <t xml:space="preserve">          PHÒNG TC - HC</t>
  </si>
  <si>
    <t>Phụ cấp 20.000 kíp / ngày / người</t>
  </si>
  <si>
    <t>T. Feng</t>
  </si>
  <si>
    <t xml:space="preserve">T. La </t>
  </si>
  <si>
    <t>T. Lê</t>
  </si>
  <si>
    <t>N . Lạ</t>
  </si>
  <si>
    <t>Chăn Đen</t>
  </si>
  <si>
    <t>TL. TC - KT</t>
  </si>
  <si>
    <t>Phun thuốc bô try</t>
  </si>
  <si>
    <t>Võ Thị Phượng</t>
  </si>
  <si>
    <t>Nguyễn Thi Liệu</t>
  </si>
  <si>
    <t>Nguyễn Thị Liệu</t>
  </si>
  <si>
    <t xml:space="preserve">Khăm Cợt </t>
  </si>
  <si>
    <t xml:space="preserve">BẢNG CHẤM CÔNG BẢO VỆ NÔNG TRƯỜNG </t>
  </si>
  <si>
    <t>TẠP VỤ</t>
  </si>
  <si>
    <t>Thảo Xi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</si>
  <si>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</si>
  <si>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</si>
  <si>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</si>
  <si>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</si>
  <si>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</si>
  <si>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</si>
  <si>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TL.TC - KT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</si>
  <si>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</si>
  <si>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</si>
  <si>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</si>
  <si>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</si>
  <si>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</si>
  <si>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</si>
  <si>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</si>
  <si>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Bảo vệ vườn cây (3)</t>
  </si>
  <si>
    <t xml:space="preserve">Đơn giá
</t>
  </si>
  <si>
    <t>Quy  kíp</t>
  </si>
  <si>
    <t>Ghi chú :</t>
  </si>
  <si>
    <t>x : Ngày công làm việc</t>
  </si>
  <si>
    <t>cn : ngày chủ nhật</t>
  </si>
  <si>
    <t xml:space="preserve"> PHÒNG KT - NN                                                                                                                                                        NÔNG TRƯỜNG 2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</si>
  <si>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</si>
  <si>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</si>
  <si>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</si>
  <si>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</si>
  <si>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</si>
  <si>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BẢNG CHẤM CÔNG  TÀI XẾ, BẢO VỆ TRẠM CÂN MỦ</t>
  </si>
  <si>
    <t>Võ Thi Phượng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</si>
  <si>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</si>
  <si>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</si>
  <si>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</si>
  <si>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</si>
  <si>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</si>
  <si>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</si>
  <si>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</si>
  <si>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</si>
  <si>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</si>
  <si>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</si>
  <si>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Ca ngày</t>
  </si>
  <si>
    <t>CN CM</t>
  </si>
  <si>
    <t>Tháng 07</t>
  </si>
  <si>
    <t>DRC ( đội 1)</t>
  </si>
  <si>
    <t>DRC ( đội 2)</t>
  </si>
  <si>
    <t>DRC ( đội 3)</t>
  </si>
  <si>
    <t>DRC ( đội 4)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</si>
  <si>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</si>
  <si>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</si>
  <si>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</si>
  <si>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</si>
  <si>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</si>
  <si>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</si>
  <si>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</si>
  <si>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T . Say</t>
  </si>
  <si>
    <t>Mon (3)</t>
  </si>
  <si>
    <t>C</t>
  </si>
  <si>
    <t>cạo 2 lát ngày chủ nhật</t>
  </si>
  <si>
    <t>T.Pu</t>
  </si>
  <si>
    <t>T.Ta</t>
  </si>
  <si>
    <t>N.Nang</t>
  </si>
  <si>
    <t>Lâm Ngân</t>
  </si>
  <si>
    <t>Đội Phó</t>
  </si>
  <si>
    <t xml:space="preserve">  LẬP BIỂU</t>
  </si>
  <si>
    <t xml:space="preserve">                         PHÒNG TC - HC</t>
  </si>
  <si>
    <t xml:space="preserve">                       Võ Thị Phượng</t>
  </si>
  <si>
    <t>Phụ cấp tiền lương</t>
  </si>
  <si>
    <t>Tiền lương  đội phó người Lào</t>
  </si>
  <si>
    <t>TIỀN LƯƠNG  CB.CNV</t>
  </si>
  <si>
    <t>(+) TIỀN LƯƠNG  CB.CNV NGƯỜI LÀO</t>
  </si>
  <si>
    <t>Lương CB.CNV người lào (4)</t>
  </si>
  <si>
    <t>ĐVT : Tấn</t>
  </si>
  <si>
    <t>PT. TRẠM CÁN MỦ</t>
  </si>
  <si>
    <t xml:space="preserve"> ĐƠN VỊ: NÔNG TRƯỜNG SỐ 2</t>
  </si>
  <si>
    <t xml:space="preserve">    PHÒNG TC - HC                                 GIÁM ĐỐC NT </t>
  </si>
  <si>
    <t xml:space="preserve">        Võ Thị Phượng</t>
  </si>
  <si>
    <t>Phun cỏ bao lô chống cháy</t>
  </si>
  <si>
    <t>Say</t>
  </si>
  <si>
    <t>Mở miêng cạo úp (mới)</t>
  </si>
  <si>
    <t>Băm chồi hàng</t>
  </si>
  <si>
    <t>Phi Ba Con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</si>
  <si>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</si>
  <si>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</si>
  <si>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</si>
  <si>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</si>
  <si>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</si>
  <si>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</si>
  <si>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</si>
  <si>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</si>
  <si>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</si>
  <si>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</si>
  <si>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</si>
  <si>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</si>
  <si>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</si>
  <si>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</si>
  <si>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</si>
  <si>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</si>
  <si>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</si>
  <si>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</si>
  <si>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</si>
  <si>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T Mon D4 (Tú)</t>
  </si>
  <si>
    <t>Phụ cấp ngày công đi cạo 2 lát</t>
  </si>
  <si>
    <t>Phụ cấp ngày công cạo gia tăng 2 miệng</t>
  </si>
  <si>
    <t>Tiền lương CN sơ chế (Ca ngày)</t>
  </si>
  <si>
    <t>Tiền lương CN sơ chế (Ca đêm)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</si>
  <si>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</si>
  <si>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</si>
  <si>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</si>
  <si>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</si>
  <si>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</si>
  <si>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</si>
  <si>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</si>
  <si>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01852</t>
  </si>
  <si>
    <t>ເທືອດ</t>
  </si>
  <si>
    <t>đội 1</t>
  </si>
  <si>
    <t>ທອງ</t>
  </si>
  <si>
    <t>đội 2</t>
  </si>
  <si>
    <t>01966</t>
  </si>
  <si>
    <t>đội 3</t>
  </si>
  <si>
    <t>01967</t>
  </si>
  <si>
    <t>trạm cân</t>
  </si>
  <si>
    <t>ĐP</t>
  </si>
  <si>
    <t>TỔNG</t>
  </si>
  <si>
    <t xml:space="preserve">       GIÁM ĐỐC NT</t>
  </si>
  <si>
    <t xml:space="preserve">       PHÒNG TC - KT                  PHÒNG TC - HC</t>
  </si>
  <si>
    <t xml:space="preserve">      TỔNG GIÁM ĐỐC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</si>
  <si>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</si>
  <si>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</si>
  <si>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</si>
  <si>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</si>
  <si>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</si>
  <si>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</si>
  <si>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</si>
  <si>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BẢNG CHẤM CÔNG  CB.CNV LÀM VIỆC TẠI NÔNG TRƯỜNG 2</t>
  </si>
  <si>
    <t>p : nghỉ phép</t>
  </si>
  <si>
    <t>NÔNG TRƯỜNG  2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</si>
  <si>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</si>
  <si>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</si>
  <si>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</si>
  <si>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</si>
  <si>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</si>
  <si>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</si>
  <si>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</si>
  <si>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 xml:space="preserve">Đao </t>
  </si>
  <si>
    <t>Lôn</t>
  </si>
  <si>
    <t>Phay</t>
  </si>
  <si>
    <t xml:space="preserve">Chày </t>
  </si>
  <si>
    <t>Thảo Lơn</t>
  </si>
  <si>
    <t>Thảo Hung</t>
  </si>
  <si>
    <t>Thảo Khẹt</t>
  </si>
  <si>
    <t>Thảo Dung</t>
  </si>
  <si>
    <t>Thảo Kính</t>
  </si>
  <si>
    <t>Thảo Ly</t>
  </si>
  <si>
    <t>Thảo Linh</t>
  </si>
  <si>
    <t>Số tiền bằng chữ: Ba triệu ba trăm sáu mươi nghìn kíp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</si>
  <si>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</si>
  <si>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</si>
  <si>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</si>
  <si>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</si>
  <si>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</si>
  <si>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TỔNG GIÁM ĐỐC             P. TC- KT               P.TC - HC                 GIÁM ĐỐC NT2</t>
  </si>
  <si>
    <t>Mủ sỉum</t>
  </si>
  <si>
    <t>Lể quốc khánh lào</t>
  </si>
  <si>
    <t>TỔNG CỘNG</t>
  </si>
  <si>
    <t xml:space="preserve">ວັນຊາດ </t>
  </si>
  <si>
    <t>Đánh đông A xít</t>
  </si>
  <si>
    <t>Ủi cục bộ</t>
  </si>
  <si>
    <t xml:space="preserve">T. Lăm  </t>
  </si>
  <si>
    <t>T. Văn Ê</t>
  </si>
  <si>
    <t>Két sắt</t>
  </si>
  <si>
    <t>Bảo vệ đội 2</t>
  </si>
  <si>
    <t>Hà Văn Thủy</t>
  </si>
  <si>
    <t>Huyện Phìn, ngày 02 tháng 02 năm 2025</t>
  </si>
  <si>
    <t>Tháng 02 năm 2025</t>
  </si>
  <si>
    <t>Mày</t>
  </si>
  <si>
    <t>Kiểm kê 0 giờ</t>
  </si>
  <si>
    <t>Ủi bao lô chống cháy</t>
  </si>
  <si>
    <t>T. Tý</t>
  </si>
  <si>
    <t>Say ủi</t>
  </si>
  <si>
    <t>Kỷ</t>
  </si>
  <si>
    <t>BẢNG TỔNG HỢP CÔNG THỰC HIỆN THÁNG 01 NĂM 2025</t>
  </si>
  <si>
    <t>T. Xinh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</si>
  <si>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</si>
  <si>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</si>
  <si>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</si>
  <si>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</si>
  <si>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</si>
  <si>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</si>
  <si>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Mủ xirum</t>
  </si>
  <si>
    <t>Ca ngày NT</t>
  </si>
  <si>
    <t>Ca ngày mủ sirum NT</t>
  </si>
  <si>
    <t>Ca ngày TĐ</t>
  </si>
  <si>
    <t>pt</t>
  </si>
  <si>
    <t>Tổng công trực tết</t>
  </si>
  <si>
    <t>BVTV</t>
  </si>
  <si>
    <t>Đội</t>
  </si>
  <si>
    <t>T. Khon</t>
  </si>
  <si>
    <t>Thong Xa</t>
  </si>
  <si>
    <t>P. Ka Ta</t>
  </si>
  <si>
    <t>Hằn</t>
  </si>
  <si>
    <t>Có xe máy</t>
  </si>
  <si>
    <t>T. Phước</t>
  </si>
  <si>
    <t>T. Thun</t>
  </si>
  <si>
    <t>T. Phon</t>
  </si>
  <si>
    <t>Khăm Sai</t>
  </si>
  <si>
    <t>T. Lả</t>
  </si>
  <si>
    <t>T. Ni</t>
  </si>
  <si>
    <t>Cà Hụt</t>
  </si>
  <si>
    <t>Khăm Mưn</t>
  </si>
  <si>
    <t>Khăm Nôn</t>
  </si>
  <si>
    <t>T. Nin</t>
  </si>
  <si>
    <t>T. Mút</t>
  </si>
  <si>
    <t>A Bi</t>
  </si>
  <si>
    <t>Thông La</t>
  </si>
  <si>
    <t>T. Xê</t>
  </si>
  <si>
    <t>Ca ngày mủ NT</t>
  </si>
  <si>
    <t>Ca ngày mủ Xirum</t>
  </si>
  <si>
    <t>Ca ngày mủ TĐ</t>
  </si>
  <si>
    <t>T. Khon (4)</t>
  </si>
  <si>
    <t>Đơn giá 2.000.000 kíp/tháng</t>
  </si>
  <si>
    <t>Phụ cấp xăng xe (20.000 kíp/ngày)</t>
  </si>
  <si>
    <t>(+) BẢO VỆ THỜI VỤ</t>
  </si>
  <si>
    <t>Bảo vệ thời vụ (5)</t>
  </si>
  <si>
    <t>Grand Total (1)+(2)+(3)+(4)+(5)</t>
  </si>
  <si>
    <t>Tiền lương bảo vệ thời vụ</t>
  </si>
  <si>
    <t>Phụ cấp tiền lương (10.000/ngày)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</si>
  <si>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</si>
  <si>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</si>
  <si>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</si>
  <si>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</si>
  <si>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</si>
  <si>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</si>
  <si>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 xml:space="preserve"> MỦ CHÉN NÔNG TRƯỜNG </t>
  </si>
  <si>
    <t>MỦ DÂY</t>
  </si>
  <si>
    <t>MỦ XIRUM</t>
  </si>
  <si>
    <t>MỦ TIỂU ĐIỀN</t>
  </si>
  <si>
    <t>KHỐI LƯỢNG XUẤT VỀ NHÀ MÁY</t>
  </si>
  <si>
    <t>KHỐI LƯỢNG MỦ NHẬP VỀ( QUY KHÔ)</t>
  </si>
  <si>
    <t>MỦ THÁNG 01/2025</t>
  </si>
  <si>
    <t>KHỐI LƯỢNG MỦ ĐÃ CÁN( QUY KHÔ)</t>
  </si>
  <si>
    <t>Mủ từ ngày 01/02 đến 04/02/2025</t>
  </si>
  <si>
    <t>MỦ THÁNG 12/2024</t>
  </si>
  <si>
    <t>BẢNG TỔNG HỢP MỦ TRẠM CÁN NÔNG TRƯỜNG 2</t>
  </si>
  <si>
    <r>
      <rPr>
        <b/>
        <i/>
        <sz val="13"/>
        <rFont val="Times New Roman"/>
        <family val="1"/>
        <charset val="163"/>
      </rPr>
      <t>Nông trường 2</t>
    </r>
    <r>
      <rPr>
        <sz val="13"/>
        <rFont val="Times New Roman"/>
        <family val="1"/>
        <charset val="163"/>
      </rPr>
      <t>, ngày 02 tháng 02 năm 2025</t>
    </r>
  </si>
  <si>
    <t>NGƯỜI GIAO</t>
  </si>
  <si>
    <t>NGƯỜI NHẬN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</si>
  <si>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</si>
  <si>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</si>
  <si>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</si>
  <si>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</si>
  <si>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</si>
  <si>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</si>
  <si>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</si>
  <si>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</si>
  <si>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</si>
  <si>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</si>
  <si>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</si>
  <si>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</si>
  <si>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</si>
  <si>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</si>
  <si>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Chi phí mua đồ trang trí ( bông hoa ....)</t>
  </si>
  <si>
    <t xml:space="preserve">Hổ trợ tiền ăn </t>
  </si>
  <si>
    <t>Người</t>
  </si>
  <si>
    <t>Lần</t>
  </si>
  <si>
    <t xml:space="preserve">TỔNG CỘNG </t>
  </si>
  <si>
    <t>Mường phìn,ngày 07 tháng 02 năm 2025</t>
  </si>
  <si>
    <t>P.GĐ NÔNG TRƯỜNG 2</t>
  </si>
  <si>
    <t xml:space="preserve">Số tiền bằng chữ : Mười bảy triệu không trăm hai mươi nghìn kíp </t>
  </si>
  <si>
    <t>BẢNG THANH TOÁN TIỀN HỔ TRỢ DỰNG CHỐT BẢO VỆ THỜI VỤ</t>
  </si>
  <si>
    <t>N. Mon</t>
  </si>
  <si>
    <t>Bun Luân</t>
  </si>
  <si>
    <t>Đơn giá công 25.000 kíp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</si>
  <si>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</si>
  <si>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</si>
  <si>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        PHÒNG KT -NN</t>
  </si>
  <si>
    <t>Tháng 2 năm 2025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</si>
  <si>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03 năm 2025</t>
    </r>
  </si>
  <si>
    <t>p</t>
  </si>
  <si>
    <t xml:space="preserve">p </t>
  </si>
  <si>
    <t>Pb : Phép bệnh</t>
  </si>
  <si>
    <t>Mường Phìn, ngày 02 tháng 03 năm 2025</t>
  </si>
  <si>
    <t>BẢNG TỔNG HỢP KHỐI LƯỢNG MỦ SƠ CHẾ MỦ CÔNG TY THÁNG 02/2025 - TRẠM CÁN NT2.</t>
  </si>
  <si>
    <t>BẢNG CHẤM CÔNG  KHỐI LƯỢNG CÁN THÁNG 02 NĂM 2025</t>
  </si>
  <si>
    <t>BẢNG TỔNG HỢP CHI PHÍ KHÁC THÁNG 02 NĂM 2025</t>
  </si>
  <si>
    <t>( Từ ngày 01/02/2025 đến ngày 28/02/2025)</t>
  </si>
  <si>
    <t>Mường phìn,ngày 02 tháng 03 năm 2025</t>
  </si>
  <si>
    <t>Nông trường 2, ngày 02 tháng 03 năm 2025</t>
  </si>
  <si>
    <t>BẢNG LƯƠNG BẢO VỆ ,TẠP VỤ THÁNG 02 NĂM 2025</t>
  </si>
  <si>
    <t>BẢNG CHẤM CÔNG  BẢO VỆ THỜI VỤ THÁNG 02 NĂM 2025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</si>
  <si>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03 năm 2025</t>
    </r>
  </si>
  <si>
    <t xml:space="preserve"> BẢNG CHẤM CÔNG PHỤ CẤP XĂNG XE THÁNG 02 NĂM 2025</t>
  </si>
  <si>
    <t>Tiền xăng T1 + T2</t>
  </si>
  <si>
    <r>
      <rPr>
        <b/>
        <i/>
        <sz val="11"/>
        <color indexed="63"/>
        <rFont val="Times New Roman"/>
        <family val="1"/>
      </rPr>
      <t>Nông trường 2</t>
    </r>
    <r>
      <rPr>
        <sz val="11"/>
        <color indexed="63"/>
        <rFont val="Times New Roman"/>
        <family val="1"/>
      </rPr>
      <t>, ngày 02 tháng 03 năm 2025</t>
    </r>
  </si>
  <si>
    <t>BẢNG THANH TOÁN TIỀN HỔ TRỢ XE QUẢN LÝ THÁNG 02 NĂM 2025</t>
  </si>
  <si>
    <t>THÁNG 02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</si>
  <si>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      Nông trường 2</t>
    </r>
    <r>
      <rPr>
        <sz val="11"/>
        <color indexed="63"/>
        <rFont val="Times New Roman"/>
        <family val="1"/>
      </rPr>
      <t>, ngày 02 tháng 03 năm 2025</t>
    </r>
  </si>
  <si>
    <t>DANH SÁCH CB - CNV NỘP THUẾ TNCN THÁNG 02/2025</t>
  </si>
  <si>
    <t>BẢNG THANH TOÁN TIỀN CÔNG VIỆC KHÁC THÁNG 02 NĂM 2025</t>
  </si>
  <si>
    <t>BẢNG TỔNG HỢP CÔNG VIỆC KHÁC THÁNG 02 NĂM 2025</t>
  </si>
  <si>
    <r>
      <t xml:space="preserve">Nông trường 2, </t>
    </r>
    <r>
      <rPr>
        <sz val="13"/>
        <color indexed="63"/>
        <rFont val="Times New Roman"/>
        <family val="1"/>
      </rPr>
      <t>ngày 02 tháng 03 năm 2025</t>
    </r>
  </si>
  <si>
    <t>BẢNG PHÂN TOÁN TIỀN LƯƠNG THÁNG 02 NĂM 2025</t>
  </si>
  <si>
    <t>BẢNG TÍNH LƯƠNG  ĐỘI THỰC HIỆN TRONG THÁNG 02/2025</t>
  </si>
  <si>
    <t>Huyện Phìn, ngày 02 tháng 03 năm 2025</t>
  </si>
  <si>
    <t>Mường phìn, ngày 02 tháng 03 năm 2025</t>
  </si>
  <si>
    <t>BẢNG LƯƠNG CÔNG NHÂN TRỰC TIẾP THÁNG 02 NĂM 2025</t>
  </si>
  <si>
    <r>
      <rPr>
        <b/>
        <i/>
        <sz val="13"/>
        <color indexed="63"/>
        <rFont val="Times New Roman"/>
        <family val="1"/>
      </rPr>
      <t xml:space="preserve">                               Nông trường 2</t>
    </r>
    <r>
      <rPr>
        <sz val="13"/>
        <color indexed="63"/>
        <rFont val="Times New Roman"/>
        <family val="1"/>
      </rPr>
      <t>, ngày 02 tháng 3 năm 2025</t>
    </r>
  </si>
  <si>
    <t>BẢNG THANH TOÁN TIỀN LƯƠNG CB.CNV NGƯỜI LÀO THÁNG 02 NĂM 2025</t>
  </si>
  <si>
    <t xml:space="preserve"> Huyện Phìn, ngày 02 tháng 3 năm 2025</t>
  </si>
  <si>
    <t>BẢNG LƯƠNG TRẠM CÁN THÁNG 02 NĂM 2025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</si>
  <si>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3 năm 2025</t>
    </r>
  </si>
  <si>
    <t>BẢNG THANH TOÁN TIỀN LƯƠNG BẢO VỆ VƯỜN CÂY THÁNG 02 NĂM 2025</t>
  </si>
  <si>
    <r>
      <rPr>
        <b/>
        <i/>
        <sz val="18"/>
        <rFont val="Times New Roman"/>
        <family val="1"/>
      </rPr>
      <t>Nông trường 2</t>
    </r>
    <r>
      <rPr>
        <i/>
        <sz val="18"/>
        <rFont val="Times New Roman"/>
        <family val="1"/>
      </rPr>
      <t>, ngày 02 tháng 3 năm 2025</t>
    </r>
  </si>
  <si>
    <t>BẢNG LƯƠNG KHAI THÁC THÁNG 02 NĂM 2025</t>
  </si>
  <si>
    <r>
      <rPr>
        <b/>
        <i/>
        <sz val="18"/>
        <rFont val="Times New Roman"/>
        <family val="1"/>
      </rPr>
      <t>Nông trường 2</t>
    </r>
    <r>
      <rPr>
        <sz val="18"/>
        <rFont val="Times New Roman"/>
        <family val="1"/>
      </rPr>
      <t>, ngày 02 tháng 03 năm 2025</t>
    </r>
  </si>
  <si>
    <t>BẢNG LƯƠNG KHAI THÁC ĐỘI 4 THÁNG 02 NĂM 2025</t>
  </si>
  <si>
    <t>BẢNG LƯƠNG KHAI THÁC ĐỘI 3 THÁNG 02 NĂM 2025</t>
  </si>
  <si>
    <t>BẢNG LƯƠNG KHAI THÁC ĐỘI 2 THÁNG 02 NĂM 2025</t>
  </si>
  <si>
    <t>BẢNG LƯƠNG KHAI THÁC ĐỘI 1 THÁNG 02 NĂM 2025</t>
  </si>
  <si>
    <t>BẢNG THEO DÕI SẢN LƯỢNG MỦ SERUM THÁNG 02 NĂM 2025</t>
  </si>
  <si>
    <t>BẢNG THEO DÕI SẢN LƯỢNG MỦ TẠP THÁNG 02 NĂM 2025</t>
  </si>
  <si>
    <t xml:space="preserve"> BẢNG CHẤM CÔNG PHỤ CẤP CHO CÔNG NHÂN KHAI THÁC THÁNG 02 NĂM 2025</t>
  </si>
  <si>
    <t>T. Bun Lăm</t>
  </si>
  <si>
    <t>Căn Đa</t>
  </si>
  <si>
    <t>Pho Văn</t>
  </si>
  <si>
    <t>BẢNG THANH TOÁN TIỀN LƯƠNG BẢO VỆ THỜI VỤ THÁNG 02 NĂM 2025</t>
  </si>
  <si>
    <t xml:space="preserve"> BẢNG CHẤM CÔNG PHỤ CẤP XĂNG XE THÁNG 01 NĂM 2025</t>
  </si>
  <si>
    <t>Nông trường 2, ngày 02 tháng 02 năm 2025</t>
  </si>
  <si>
    <t>BẢNG THANH TOÁN TIỀN PHỤ CẤP XĂNG XE  THÁNG 02 NĂM 2025</t>
  </si>
  <si>
    <t>Số tiền bằng chữ: Mười hai triệu bảy trăm hai mươi nghìn kíp</t>
  </si>
  <si>
    <t>Thổi lá hàng 3m</t>
  </si>
  <si>
    <t>Bốc vật tư lên xuống xe</t>
  </si>
  <si>
    <t>Công vệ sinh mủ tiểu điền</t>
  </si>
  <si>
    <t>T . Thun</t>
  </si>
  <si>
    <t>Bằng chữ: Hai triệu năm trăm bốn mươi ba nghìn năm trăm ba mươi tám kíp</t>
  </si>
  <si>
    <t>G.Đ NÔNG TRƯỜNG</t>
  </si>
  <si>
    <t>Phụ cấp tiền lương (30.000 kíp/phần)</t>
  </si>
  <si>
    <t>Phụ cấp tiền lương (30.000/ngày)</t>
  </si>
  <si>
    <t>N. Lăm Thong</t>
  </si>
  <si>
    <t>Số tiền bằng chữ: Chín triệu chín trăm ba mươi lăm nghìn bảy trăm mười bốn kíp</t>
  </si>
  <si>
    <t>Số tiền bằng chữ: Sáu mươi bốn triệu kíp</t>
  </si>
  <si>
    <t>Bằng chữ : Chín mươi lăm triệu ba trăm ba mươi chín nghìn hai trăm năm mươi kíp</t>
  </si>
  <si>
    <t xml:space="preserve">Bằng chữ : Chín mươi sáu triệu ba trăm hai mươi bốn nghìn bảy trăm năm mươi kíp </t>
  </si>
  <si>
    <t xml:space="preserve">Bằng chữ : Tám mươi triệu bốn trăm năm mươi bốn nghìn kíp </t>
  </si>
  <si>
    <t>Bằng chữ : Bảy mươi mốt triệu không trăm bốn mươi sáu nghìn năm trăm kíp</t>
  </si>
  <si>
    <t xml:space="preserve">Bằng chữ: Ba mươi triệu một trăm bảy mươi nghìn chín trăm bốn mươi kíp </t>
  </si>
  <si>
    <t>Số tiền bằng chữ: Một triệu bảy trăm năm mươi nghìn kíp</t>
  </si>
  <si>
    <t>Bằng chữ : Hai mươi tám triệu chín trăm chín mươi bảy nghìn kíp</t>
  </si>
  <si>
    <t>TỔNG GIÁM ĐỐC                                    PHÒNG TC -KT                                                      PHÒNG TC - HC</t>
  </si>
  <si>
    <t>Tỷ lệ hoàn thành công việc</t>
  </si>
  <si>
    <t xml:space="preserve">Số tiền bằng chữ : Hai mươi ba triệu ba trăm bảy mươi chín nghìn tám trăm sáu mươi sáu kíp </t>
  </si>
  <si>
    <t xml:space="preserve">Bằng chữ: Bốn trăm bảy mươi triệu sáu trăm năm mươi mốt nghìn không trăm hai mươi ba kíp </t>
  </si>
  <si>
    <t xml:space="preserve">Số tiền bằng chữ : Bốn trăm bảy mươi triệu sáu trăm năm mươi mốt nghìn không trăm hai mươi ba kíp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</si>
</sst>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7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-* #,##0.00\ _?_-;\-* #,##0.00\ _?_-;_-* &quot;-&quot;&quot;?&quot;&quot;?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.0\ _₫_-;\-* #,##0.0\ _₫_-;_-* &quot;-&quot;??\ _₫_-;_-@_-"/>
    <numFmt numFmtId="217" formatCode="_-* #,##0\ _₫_-;\-* #,##0\ _₫_-;_-* &quot;-&quot;??\ _₫_-;_-@_-"/>
    <numFmt numFmtId="218" formatCode="_-* #,##0.000\ _₫_-;\-* #,##0.000\ _₫_-;_-* &quot;-&quot;??\ _₫_-;_-@_-"/>
    <numFmt numFmtId="219" formatCode="_(* #,##0.0000_);_(* \(#,##0.0000\);_(* &quot;-&quot;??_);_(@_)"/>
    <numFmt numFmtId="220" formatCode="0.000"/>
    <numFmt numFmtId="221" formatCode="_(* #,##0.0_);_(* \(#,##0.0\);_(* &quot;-&quot;??_);_(@_)"/>
    <numFmt numFmtId="222" formatCode="_-* #,##0.0\ _₫_-;\-* #,##0.0\ _₫_-;_-* &quot;-&quot;&quot;?&quot;&quot;?&quot;\ _₫_-;_-@_-"/>
    <numFmt numFmtId="223" formatCode="#,##0\ _?"/>
    <numFmt numFmtId="224" formatCode="_-* #,##0.000\ _₫_-;\-* #,##0.000\ _₫_-;_-* &quot;-&quot;&quot;?&quot;&quot;?&quot;\ _₫_-;_-@_-"/>
    <numFmt numFmtId="225" formatCode="_(* #,##0.000000_);_(* \(#,##0.000000\);_(* &quot;-&quot;_);_(@_)"/>
    <numFmt numFmtId="226" formatCode="#,##0.00\ _?"/>
    <numFmt numFmtId="227" formatCode="_(* #,##0.00000000_);_(* \(#,##0.00000000\);_(* &quot;-&quot;??_);_(@_)"/>
    <numFmt numFmtId="228" formatCode="#,##0.0\ _?"/>
    <numFmt numFmtId="229" formatCode="_(* #,##0.000000_);_(* \(#,##0.000000\);_(* &quot;-&quot;??_);_(@_)"/>
    <numFmt numFmtId="230" formatCode="_(* #,##0.0000000_);_(* \(#,##0.0000000\);_(* &quot;-&quot;??_);_(@_)"/>
    <numFmt numFmtId="231" formatCode="#,##0.000000000"/>
    <numFmt numFmtId="232" formatCode="_-* #,##0.0000_-;\-* #,##0.0000_-;_-* &quot;-&quot;??_-;_-@_-"/>
    <numFmt numFmtId="233" formatCode="_-* #,##0_-;\-* #,##0_-;_-* &quot;-&quot;??_-;_-@_-"/>
    <numFmt numFmtId="234" formatCode="0.00000000"/>
    <numFmt numFmtId="235" formatCode="_-* #,##0.00000_-;\-* #,##0.00000_-;_-* &quot;-&quot;??_-;_-@_-"/>
    <numFmt numFmtId="236" formatCode="#,##0.000"/>
    <numFmt numFmtId="237" formatCode="_(* #,##0.000_);_(* \(#,##0.000\);_(* &quot;-&quot;_);_(@_)"/>
    <numFmt numFmtId="238" formatCode="_-* #,##0.000\ _₫_-;\-* #,##0.000\ _₫_-;_-* &quot;-&quot;???\ _₫_-;_-@_-"/>
    <numFmt numFmtId="239" formatCode="#,##0.0000000000000"/>
    <numFmt numFmtId="240" formatCode="_(* #,##0.0000_);_(* \(#,##0.0000\);_(* &quot;-&quot;&quot;?&quot;&quot;?&quot;_);_(@_)"/>
    <numFmt numFmtId="241" formatCode="0;[Red]0"/>
    <numFmt numFmtId="242" formatCode="[$-1010000]d/m/yy;@"/>
  </numFmts>
  <fonts count="213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2"/>
      <name val="Times New Roman"/>
      <family val="1"/>
    </font>
    <font>
      <i/>
      <sz val="13"/>
      <name val="Times New Roman"/>
      <family val="1"/>
    </font>
    <font>
      <sz val="9"/>
      <name val="Saysettha Lao"/>
      <family val="2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b/>
      <i/>
      <sz val="9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9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8"/>
      <color indexed="10"/>
      <name val="Times New Roman"/>
      <family val="1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8"/>
      <color rgb="FFFF0000"/>
      <name val="Times New Roman"/>
      <family val="1"/>
    </font>
    <font>
      <b/>
      <sz val="13"/>
      <color indexed="10"/>
      <name val="Times New Roman"/>
      <family val="1"/>
    </font>
    <font>
      <sz val="9"/>
      <name val="Saysettha OT"/>
      <family val="2"/>
    </font>
    <font>
      <sz val="9"/>
      <color rgb="FFFF0000"/>
      <name val="Saysettha OT"/>
      <family val="2"/>
    </font>
    <font>
      <b/>
      <sz val="11"/>
      <color rgb="FFFF0000"/>
      <name val="Times New Roman"/>
      <family val="1"/>
    </font>
    <font>
      <b/>
      <sz val="11"/>
      <color indexed="10"/>
      <name val="Times New Roman"/>
      <family val="1"/>
    </font>
    <font>
      <sz val="9"/>
      <color indexed="10"/>
      <name val="Saysettha OT"/>
      <family val="2"/>
    </font>
    <font>
      <sz val="8"/>
      <color theme="0"/>
      <name val="Times New Roman"/>
      <family val="1"/>
    </font>
    <font>
      <sz val="16"/>
      <color theme="0"/>
      <name val="Times New Roman"/>
      <family val="1"/>
    </font>
    <font>
      <sz val="12"/>
      <color theme="0"/>
      <name val="Times New Roman"/>
      <family val="1"/>
    </font>
    <font>
      <sz val="13"/>
      <color indexed="8"/>
      <name val="Calibri"/>
      <family val="2"/>
      <charset val="163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3"/>
      <color indexed="63"/>
      <name val="Times New Roman"/>
      <family val="1"/>
    </font>
    <font>
      <sz val="13"/>
      <color theme="1"/>
      <name val="Calibri"/>
      <family val="2"/>
      <charset val="163"/>
    </font>
    <font>
      <b/>
      <u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24"/>
      <name val="Times New Roman"/>
      <family val="1"/>
    </font>
    <font>
      <b/>
      <u/>
      <sz val="18"/>
      <name val="Times New Roman"/>
      <family val="1"/>
    </font>
    <font>
      <sz val="18"/>
      <color rgb="FFFF0000"/>
      <name val="Times New Roman"/>
      <family val="1"/>
    </font>
    <font>
      <b/>
      <i/>
      <u/>
      <sz val="18"/>
      <name val="Times New Roman"/>
      <family val="1"/>
    </font>
    <font>
      <sz val="13"/>
      <name val="Saysettha Lao"/>
      <family val="2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  <charset val="163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3"/>
      <color indexed="8"/>
      <name val="Calibri"/>
      <family val="2"/>
      <charset val="163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sz val="10"/>
      <color indexed="8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u/>
      <sz val="2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sz val="10"/>
      <color theme="1"/>
      <name val="Times New Roman"/>
      <family val="1"/>
    </font>
    <font>
      <sz val="18"/>
      <color theme="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8"/>
      <color indexed="8"/>
      <name val="Calibri"/>
      <family val="2"/>
      <charset val="163"/>
    </font>
    <font>
      <sz val="18"/>
      <color indexed="8"/>
      <name val="Times New Roman"/>
      <family val="1"/>
    </font>
    <font>
      <sz val="14"/>
      <color indexed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  <charset val="163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name val="Times New Roman"/>
      <family val="1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b/>
      <sz val="16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8">
    <xf numFmtId="0" fontId="0" fillId="0" borderId="0"/>
    <xf numFmtId="196" fontId="20" fillId="0" borderId="0" applyFont="0" applyFill="0" applyBorder="0" applyAlignment="0" applyProtection="0"/>
    <xf numFmtId="187" fontId="31" fillId="0" borderId="0" applyFont="0" applyFill="0" applyBorder="0" applyAlignment="0" applyProtection="0"/>
    <xf numFmtId="187" fontId="107" fillId="0" borderId="0" applyFont="0" applyFill="0" applyBorder="0" applyAlignment="0" applyProtection="0"/>
    <xf numFmtId="19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31" fillId="0" borderId="0"/>
    <xf numFmtId="0" fontId="31" fillId="0" borderId="0"/>
    <xf numFmtId="0" fontId="38" fillId="0" borderId="0"/>
    <xf numFmtId="0" fontId="38" fillId="0" borderId="0"/>
    <xf numFmtId="0" fontId="38" fillId="0" borderId="0"/>
    <xf numFmtId="0" fontId="106" fillId="0" borderId="0"/>
    <xf numFmtId="0" fontId="62" fillId="0" borderId="0"/>
    <xf numFmtId="0" fontId="106" fillId="0" borderId="0"/>
    <xf numFmtId="0" fontId="108" fillId="0" borderId="0"/>
    <xf numFmtId="0" fontId="107" fillId="0" borderId="0"/>
    <xf numFmtId="0" fontId="92" fillId="0" borderId="0"/>
    <xf numFmtId="0" fontId="31" fillId="0" borderId="0"/>
    <xf numFmtId="0" fontId="20" fillId="0" borderId="0"/>
    <xf numFmtId="9" fontId="20" fillId="0" borderId="0" applyFont="0" applyFill="0" applyBorder="0" applyAlignment="0" applyProtection="0"/>
    <xf numFmtId="9" fontId="95" fillId="0" borderId="0" applyFont="0" applyFill="0" applyBorder="0" applyAlignment="0" applyProtection="0"/>
    <xf numFmtId="0" fontId="106" fillId="0" borderId="0"/>
    <xf numFmtId="188" fontId="107" fillId="0" borderId="0" applyFont="0" applyFill="0" applyBorder="0" applyAlignment="0" applyProtection="0"/>
    <xf numFmtId="0" fontId="13" fillId="0" borderId="0"/>
    <xf numFmtId="191" fontId="13" fillId="0" borderId="0" applyFont="0" applyFill="0" applyBorder="0" applyAlignment="0" applyProtection="0"/>
    <xf numFmtId="0" fontId="187" fillId="0" borderId="0"/>
  </cellStyleXfs>
  <cellXfs count="2366">
    <xf numFmtId="0" fontId="0" fillId="0" borderId="0" xfId="0"/>
    <xf numFmtId="0" fontId="21" fillId="0" borderId="0" xfId="0" applyFont="1"/>
    <xf numFmtId="0" fontId="10" fillId="0" borderId="0" xfId="0" applyFont="1" applyFill="1"/>
    <xf numFmtId="0" fontId="11" fillId="0" borderId="0" xfId="0" applyFont="1" applyFill="1" applyAlignment="1"/>
    <xf numFmtId="0" fontId="13" fillId="0" borderId="0" xfId="0" applyFont="1" applyFill="1"/>
    <xf numFmtId="0" fontId="11" fillId="0" borderId="0" xfId="0" applyFont="1" applyFill="1"/>
    <xf numFmtId="199" fontId="13" fillId="0" borderId="0" xfId="1" applyNumberFormat="1" applyFont="1" applyFill="1"/>
    <xf numFmtId="199" fontId="8" fillId="2" borderId="0" xfId="1" applyNumberFormat="1" applyFont="1" applyFill="1"/>
    <xf numFmtId="199" fontId="13" fillId="2" borderId="0" xfId="1" applyNumberFormat="1" applyFont="1" applyFill="1"/>
    <xf numFmtId="199" fontId="17" fillId="2" borderId="0" xfId="1" applyNumberFormat="1" applyFont="1" applyFill="1" applyAlignment="1">
      <alignment horizontal="center"/>
    </xf>
    <xf numFmtId="199" fontId="17" fillId="2" borderId="0" xfId="1" applyNumberFormat="1" applyFont="1" applyFill="1" applyAlignment="1"/>
    <xf numFmtId="0" fontId="22" fillId="0" borderId="0" xfId="0" applyFont="1"/>
    <xf numFmtId="0" fontId="13" fillId="2" borderId="0" xfId="0" applyFont="1" applyFill="1" applyAlignment="1">
      <alignment horizontal="center"/>
    </xf>
    <xf numFmtId="0" fontId="8" fillId="0" borderId="0" xfId="0" applyFont="1" applyFill="1"/>
    <xf numFmtId="199" fontId="11" fillId="2" borderId="0" xfId="1" applyNumberFormat="1" applyFont="1" applyFill="1" applyAlignment="1"/>
    <xf numFmtId="199" fontId="27" fillId="2" borderId="0" xfId="1" applyNumberFormat="1" applyFont="1" applyFill="1" applyAlignment="1"/>
    <xf numFmtId="199" fontId="28" fillId="2" borderId="0" xfId="1" applyNumberFormat="1" applyFont="1" applyFill="1" applyAlignment="1"/>
    <xf numFmtId="0" fontId="22" fillId="0" borderId="0" xfId="0" applyFont="1" applyAlignment="1"/>
    <xf numFmtId="0" fontId="21" fillId="0" borderId="1" xfId="0" applyFont="1" applyBorder="1"/>
    <xf numFmtId="0" fontId="21" fillId="0" borderId="0" xfId="0" applyFont="1" applyBorder="1"/>
    <xf numFmtId="0" fontId="21" fillId="0" borderId="2" xfId="0" applyFont="1" applyBorder="1"/>
    <xf numFmtId="0" fontId="15" fillId="2" borderId="0" xfId="0" applyFont="1" applyFill="1" applyAlignment="1"/>
    <xf numFmtId="0" fontId="21" fillId="3" borderId="0" xfId="0" applyFont="1" applyFill="1"/>
    <xf numFmtId="201" fontId="8" fillId="2" borderId="0" xfId="1" applyNumberFormat="1" applyFont="1" applyFill="1"/>
    <xf numFmtId="202" fontId="17" fillId="2" borderId="0" xfId="1" applyNumberFormat="1" applyFont="1" applyFill="1" applyAlignment="1">
      <alignment horizontal="center"/>
    </xf>
    <xf numFmtId="2" fontId="21" fillId="0" borderId="0" xfId="0" applyNumberFormat="1" applyFont="1"/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196" fontId="13" fillId="0" borderId="0" xfId="1" applyFont="1" applyFill="1" applyAlignment="1">
      <alignment horizontal="center"/>
    </xf>
    <xf numFmtId="0" fontId="21" fillId="0" borderId="0" xfId="0" applyFont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wrapText="1"/>
    </xf>
    <xf numFmtId="0" fontId="18" fillId="2" borderId="0" xfId="0" applyFont="1" applyFill="1" applyBorder="1" applyAlignment="1"/>
    <xf numFmtId="0" fontId="10" fillId="0" borderId="1" xfId="0" applyFont="1" applyFill="1" applyBorder="1"/>
    <xf numFmtId="0" fontId="18" fillId="2" borderId="0" xfId="0" applyFont="1" applyFill="1" applyBorder="1" applyAlignment="1">
      <alignment vertical="center" shrinkToFit="1"/>
    </xf>
    <xf numFmtId="194" fontId="2" fillId="2" borderId="4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/>
    </xf>
    <xf numFmtId="3" fontId="40" fillId="0" borderId="5" xfId="0" quotePrefix="1" applyNumberFormat="1" applyFont="1" applyFill="1" applyBorder="1" applyAlignment="1">
      <alignment horizontal="center" vertical="center"/>
    </xf>
    <xf numFmtId="0" fontId="40" fillId="0" borderId="5" xfId="0" applyFont="1" applyFill="1" applyBorder="1" applyAlignment="1">
      <alignment horizontal="left" vertical="center" wrapText="1" indent="1"/>
    </xf>
    <xf numFmtId="3" fontId="40" fillId="3" borderId="5" xfId="0" quotePrefix="1" applyNumberFormat="1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left" vertical="center" wrapText="1" indent="1"/>
    </xf>
    <xf numFmtId="3" fontId="40" fillId="3" borderId="5" xfId="0" applyNumberFormat="1" applyFont="1" applyFill="1" applyBorder="1" applyAlignment="1">
      <alignment horizontal="left" vertical="center" indent="1"/>
    </xf>
    <xf numFmtId="194" fontId="23" fillId="0" borderId="4" xfId="0" applyNumberFormat="1" applyFont="1" applyBorder="1"/>
    <xf numFmtId="198" fontId="23" fillId="0" borderId="4" xfId="0" applyNumberFormat="1" applyFont="1" applyBorder="1"/>
    <xf numFmtId="0" fontId="44" fillId="0" borderId="0" xfId="0" applyFont="1" applyFill="1" applyAlignment="1">
      <alignment horizontal="left"/>
    </xf>
    <xf numFmtId="0" fontId="3" fillId="0" borderId="0" xfId="0" applyFont="1" applyFill="1"/>
    <xf numFmtId="0" fontId="10" fillId="0" borderId="0" xfId="0" applyFont="1" applyFill="1" applyBorder="1"/>
    <xf numFmtId="0" fontId="42" fillId="0" borderId="0" xfId="0" applyFont="1" applyFill="1"/>
    <xf numFmtId="4" fontId="10" fillId="0" borderId="0" xfId="0" applyNumberFormat="1" applyFont="1" applyFill="1"/>
    <xf numFmtId="0" fontId="3" fillId="0" borderId="0" xfId="0" applyFont="1" applyFill="1" applyAlignment="1"/>
    <xf numFmtId="0" fontId="0" fillId="0" borderId="0" xfId="0" applyFill="1"/>
    <xf numFmtId="0" fontId="57" fillId="0" borderId="0" xfId="0" applyFont="1" applyFill="1"/>
    <xf numFmtId="0" fontId="43" fillId="0" borderId="0" xfId="0" applyFont="1" applyFill="1" applyAlignment="1"/>
    <xf numFmtId="197" fontId="10" fillId="0" borderId="0" xfId="1" applyNumberFormat="1" applyFont="1" applyFill="1"/>
    <xf numFmtId="3" fontId="10" fillId="0" borderId="0" xfId="0" applyNumberFormat="1" applyFont="1" applyFill="1"/>
    <xf numFmtId="198" fontId="10" fillId="0" borderId="0" xfId="0" applyNumberFormat="1" applyFont="1" applyFill="1"/>
    <xf numFmtId="189" fontId="10" fillId="0" borderId="0" xfId="0" applyNumberFormat="1" applyFont="1" applyFill="1"/>
    <xf numFmtId="0" fontId="57" fillId="0" borderId="0" xfId="0" applyFont="1" applyFill="1" applyBorder="1"/>
    <xf numFmtId="0" fontId="44" fillId="0" borderId="0" xfId="0" applyFont="1" applyFill="1"/>
    <xf numFmtId="0" fontId="45" fillId="0" borderId="0" xfId="0" applyFont="1" applyFill="1" applyAlignment="1"/>
    <xf numFmtId="0" fontId="55" fillId="0" borderId="0" xfId="0" applyFont="1" applyFill="1"/>
    <xf numFmtId="0" fontId="43" fillId="0" borderId="0" xfId="0" applyFont="1" applyFill="1"/>
    <xf numFmtId="0" fontId="39" fillId="0" borderId="0" xfId="0" applyFont="1" applyFill="1"/>
    <xf numFmtId="0" fontId="42" fillId="0" borderId="0" xfId="0" applyFont="1" applyFill="1" applyAlignment="1"/>
    <xf numFmtId="197" fontId="57" fillId="0" borderId="0" xfId="1" applyNumberFormat="1" applyFont="1" applyFill="1"/>
    <xf numFmtId="0" fontId="42" fillId="0" borderId="0" xfId="0" applyFont="1" applyFill="1" applyBorder="1" applyAlignment="1">
      <alignment vertical="center" shrinkToFit="1"/>
    </xf>
    <xf numFmtId="4" fontId="10" fillId="0" borderId="0" xfId="0" applyNumberFormat="1" applyFont="1" applyFill="1" applyAlignment="1">
      <alignment horizontal="right"/>
    </xf>
    <xf numFmtId="4" fontId="11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208" fontId="10" fillId="0" borderId="0" xfId="0" applyNumberFormat="1" applyFont="1" applyFill="1"/>
    <xf numFmtId="199" fontId="8" fillId="0" borderId="0" xfId="1" applyNumberFormat="1" applyFont="1" applyFill="1"/>
    <xf numFmtId="201" fontId="8" fillId="0" borderId="0" xfId="1" applyNumberFormat="1" applyFont="1" applyFill="1"/>
    <xf numFmtId="202" fontId="17" fillId="0" borderId="0" xfId="1" applyNumberFormat="1" applyFont="1" applyFill="1" applyAlignment="1">
      <alignment horizontal="right"/>
    </xf>
    <xf numFmtId="4" fontId="17" fillId="0" borderId="0" xfId="1" applyNumberFormat="1" applyFont="1" applyFill="1" applyAlignment="1">
      <alignment horizontal="right"/>
    </xf>
    <xf numFmtId="199" fontId="17" fillId="0" borderId="0" xfId="1" applyNumberFormat="1" applyFont="1" applyFill="1" applyAlignment="1">
      <alignment horizontal="center"/>
    </xf>
    <xf numFmtId="208" fontId="17" fillId="0" borderId="0" xfId="1" applyNumberFormat="1" applyFont="1" applyFill="1" applyAlignment="1">
      <alignment horizontal="center"/>
    </xf>
    <xf numFmtId="199" fontId="12" fillId="0" borderId="4" xfId="1" applyNumberFormat="1" applyFont="1" applyFill="1" applyBorder="1" applyAlignment="1">
      <alignment horizontal="right" vertical="center" wrapText="1"/>
    </xf>
    <xf numFmtId="4" fontId="12" fillId="0" borderId="4" xfId="1" applyNumberFormat="1" applyFont="1" applyFill="1" applyBorder="1" applyAlignment="1">
      <alignment horizontal="center" vertical="center" wrapText="1"/>
    </xf>
    <xf numFmtId="4" fontId="10" fillId="0" borderId="0" xfId="0" applyNumberFormat="1" applyFont="1" applyFill="1" applyBorder="1"/>
    <xf numFmtId="2" fontId="58" fillId="0" borderId="0" xfId="0" applyNumberFormat="1" applyFont="1" applyFill="1" applyBorder="1"/>
    <xf numFmtId="194" fontId="10" fillId="0" borderId="0" xfId="0" applyNumberFormat="1" applyFont="1" applyFill="1" applyBorder="1"/>
    <xf numFmtId="0" fontId="13" fillId="0" borderId="12" xfId="0" applyFont="1" applyFill="1" applyBorder="1" applyAlignment="1">
      <alignment horizontal="left" vertical="center" wrapText="1" indent="1"/>
    </xf>
    <xf numFmtId="1" fontId="13" fillId="0" borderId="5" xfId="0" applyNumberFormat="1" applyFont="1" applyFill="1" applyBorder="1" applyAlignment="1">
      <alignment horizontal="left" vertical="center" indent="1"/>
    </xf>
    <xf numFmtId="3" fontId="13" fillId="0" borderId="5" xfId="0" applyNumberFormat="1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left" vertical="center" wrapText="1" indent="1"/>
    </xf>
    <xf numFmtId="0" fontId="13" fillId="0" borderId="5" xfId="0" applyFont="1" applyFill="1" applyBorder="1" applyAlignment="1">
      <alignment horizontal="left" vertical="center" wrapText="1" indent="1"/>
    </xf>
    <xf numFmtId="1" fontId="13" fillId="0" borderId="5" xfId="0" quotePrefix="1" applyNumberFormat="1" applyFont="1" applyFill="1" applyBorder="1" applyAlignment="1">
      <alignment horizontal="left" vertical="center" indent="1"/>
    </xf>
    <xf numFmtId="3" fontId="13" fillId="0" borderId="13" xfId="0" applyNumberFormat="1" applyFont="1" applyFill="1" applyBorder="1" applyAlignment="1">
      <alignment horizontal="left" vertical="center" indent="1"/>
    </xf>
    <xf numFmtId="1" fontId="13" fillId="0" borderId="13" xfId="0" applyNumberFormat="1" applyFont="1" applyFill="1" applyBorder="1" applyAlignment="1">
      <alignment horizontal="left" vertical="center" indent="1"/>
    </xf>
    <xf numFmtId="0" fontId="13" fillId="0" borderId="13" xfId="0" applyFont="1" applyFill="1" applyBorder="1" applyAlignment="1">
      <alignment horizontal="left" vertical="center" wrapText="1" indent="1"/>
    </xf>
    <xf numFmtId="194" fontId="10" fillId="0" borderId="0" xfId="0" applyNumberFormat="1" applyFont="1" applyFill="1"/>
    <xf numFmtId="0" fontId="50" fillId="0" borderId="0" xfId="0" applyFont="1" applyFill="1"/>
    <xf numFmtId="4" fontId="3" fillId="0" borderId="0" xfId="0" applyNumberFormat="1" applyFont="1" applyFill="1" applyAlignment="1">
      <alignment horizontal="right"/>
    </xf>
    <xf numFmtId="197" fontId="13" fillId="0" borderId="0" xfId="1" applyNumberFormat="1" applyFont="1" applyFill="1" applyBorder="1"/>
    <xf numFmtId="0" fontId="8" fillId="0" borderId="14" xfId="0" applyFont="1" applyFill="1" applyBorder="1" applyAlignment="1">
      <alignment horizontal="center" vertical="center" shrinkToFit="1"/>
    </xf>
    <xf numFmtId="0" fontId="15" fillId="0" borderId="0" xfId="0" applyFont="1" applyFill="1" applyAlignment="1"/>
    <xf numFmtId="197" fontId="69" fillId="0" borderId="0" xfId="1" applyNumberFormat="1" applyFont="1" applyFill="1"/>
    <xf numFmtId="0" fontId="13" fillId="0" borderId="0" xfId="0" applyFont="1" applyFill="1" applyBorder="1"/>
    <xf numFmtId="0" fontId="16" fillId="0" borderId="0" xfId="0" applyFont="1" applyFill="1" applyBorder="1" applyAlignment="1">
      <alignment horizontal="left"/>
    </xf>
    <xf numFmtId="213" fontId="13" fillId="0" borderId="0" xfId="6" applyNumberFormat="1" applyFont="1" applyFill="1" applyBorder="1"/>
    <xf numFmtId="0" fontId="13" fillId="0" borderId="0" xfId="0" applyFont="1" applyFill="1" applyBorder="1" applyAlignment="1">
      <alignment shrinkToFit="1"/>
    </xf>
    <xf numFmtId="200" fontId="13" fillId="0" borderId="0" xfId="6" applyNumberFormat="1" applyFont="1" applyFill="1" applyBorder="1"/>
    <xf numFmtId="221" fontId="13" fillId="0" borderId="0" xfId="6" applyNumberFormat="1" applyFont="1" applyFill="1" applyBorder="1"/>
    <xf numFmtId="200" fontId="11" fillId="0" borderId="0" xfId="6" applyNumberFormat="1" applyFont="1" applyFill="1" applyAlignment="1"/>
    <xf numFmtId="213" fontId="11" fillId="0" borderId="0" xfId="6" applyNumberFormat="1" applyFont="1" applyFill="1" applyAlignment="1"/>
    <xf numFmtId="0" fontId="11" fillId="0" borderId="0" xfId="0" applyNumberFormat="1" applyFont="1" applyFill="1" applyAlignment="1"/>
    <xf numFmtId="0" fontId="19" fillId="0" borderId="0" xfId="0" applyNumberFormat="1" applyFont="1" applyFill="1" applyAlignment="1">
      <alignment horizontal="left"/>
    </xf>
    <xf numFmtId="0" fontId="14" fillId="0" borderId="0" xfId="0" applyFont="1" applyFill="1" applyAlignment="1"/>
    <xf numFmtId="200" fontId="14" fillId="0" borderId="0" xfId="6" applyNumberFormat="1" applyFont="1" applyFill="1" applyAlignment="1"/>
    <xf numFmtId="213" fontId="14" fillId="0" borderId="0" xfId="6" applyNumberFormat="1" applyFont="1" applyFill="1" applyAlignment="1"/>
    <xf numFmtId="0" fontId="37" fillId="0" borderId="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/>
    </xf>
    <xf numFmtId="213" fontId="10" fillId="0" borderId="0" xfId="0" applyNumberFormat="1" applyFont="1" applyFill="1"/>
    <xf numFmtId="190" fontId="10" fillId="0" borderId="0" xfId="0" applyNumberFormat="1" applyFont="1" applyFill="1"/>
    <xf numFmtId="43" fontId="10" fillId="0" borderId="0" xfId="0" applyNumberFormat="1" applyFont="1" applyFill="1"/>
    <xf numFmtId="200" fontId="10" fillId="0" borderId="0" xfId="0" applyNumberFormat="1" applyFont="1" applyFill="1"/>
    <xf numFmtId="0" fontId="42" fillId="0" borderId="4" xfId="0" applyFont="1" applyFill="1" applyBorder="1" applyAlignment="1">
      <alignment vertical="center" wrapText="1"/>
    </xf>
    <xf numFmtId="190" fontId="10" fillId="0" borderId="6" xfId="0" applyNumberFormat="1" applyFont="1" applyFill="1" applyBorder="1"/>
    <xf numFmtId="0" fontId="42" fillId="0" borderId="4" xfId="0" applyFont="1" applyFill="1" applyBorder="1" applyAlignment="1">
      <alignment horizontal="left" vertical="center" wrapText="1"/>
    </xf>
    <xf numFmtId="0" fontId="9" fillId="0" borderId="0" xfId="0" applyFont="1" applyFill="1" applyBorder="1"/>
    <xf numFmtId="3" fontId="9" fillId="0" borderId="0" xfId="0" applyNumberFormat="1" applyFont="1" applyFill="1" applyBorder="1"/>
    <xf numFmtId="213" fontId="10" fillId="0" borderId="0" xfId="0" applyNumberFormat="1" applyFont="1" applyFill="1" applyBorder="1"/>
    <xf numFmtId="221" fontId="13" fillId="0" borderId="5" xfId="0" quotePrefix="1" applyNumberFormat="1" applyFont="1" applyFill="1" applyBorder="1" applyAlignment="1">
      <alignment horizontal="left" vertical="center" indent="1"/>
    </xf>
    <xf numFmtId="213" fontId="13" fillId="0" borderId="5" xfId="0" applyNumberFormat="1" applyFont="1" applyFill="1" applyBorder="1" applyAlignment="1">
      <alignment horizontal="left" vertical="center" wrapText="1" indent="1"/>
    </xf>
    <xf numFmtId="213" fontId="13" fillId="0" borderId="5" xfId="0" quotePrefix="1" applyNumberFormat="1" applyFont="1" applyFill="1" applyBorder="1" applyAlignment="1">
      <alignment horizontal="left" vertical="center" indent="1"/>
    </xf>
    <xf numFmtId="213" fontId="13" fillId="0" borderId="12" xfId="0" applyNumberFormat="1" applyFont="1" applyFill="1" applyBorder="1" applyAlignment="1">
      <alignment horizontal="left" vertical="center" wrapText="1" indent="1"/>
    </xf>
    <xf numFmtId="213" fontId="13" fillId="0" borderId="5" xfId="0" applyNumberFormat="1" applyFont="1" applyFill="1" applyBorder="1" applyAlignment="1">
      <alignment horizontal="left" vertical="center" indent="1"/>
    </xf>
    <xf numFmtId="0" fontId="42" fillId="0" borderId="4" xfId="0" applyFont="1" applyFill="1" applyBorder="1" applyAlignment="1">
      <alignment horizontal="center" vertical="center" shrinkToFit="1"/>
    </xf>
    <xf numFmtId="213" fontId="10" fillId="0" borderId="6" xfId="0" applyNumberFormat="1" applyFont="1" applyFill="1" applyBorder="1"/>
    <xf numFmtId="0" fontId="10" fillId="0" borderId="2" xfId="0" applyFont="1" applyFill="1" applyBorder="1"/>
    <xf numFmtId="208" fontId="10" fillId="0" borderId="0" xfId="0" applyNumberFormat="1" applyFont="1" applyFill="1" applyBorder="1" applyAlignment="1"/>
    <xf numFmtId="0" fontId="10" fillId="0" borderId="0" xfId="0" applyFont="1" applyFill="1" applyBorder="1" applyAlignment="1"/>
    <xf numFmtId="190" fontId="58" fillId="0" borderId="0" xfId="0" applyNumberFormat="1" applyFont="1" applyFill="1"/>
    <xf numFmtId="190" fontId="10" fillId="0" borderId="6" xfId="0" applyNumberFormat="1" applyFont="1" applyFill="1" applyBorder="1" applyAlignment="1"/>
    <xf numFmtId="190" fontId="10" fillId="0" borderId="0" xfId="0" applyNumberFormat="1" applyFont="1" applyFill="1" applyBorder="1" applyAlignment="1"/>
    <xf numFmtId="43" fontId="13" fillId="0" borderId="5" xfId="0" applyNumberFormat="1" applyFont="1" applyFill="1" applyBorder="1" applyAlignment="1">
      <alignment horizontal="left" vertical="center" wrapText="1" indent="1"/>
    </xf>
    <xf numFmtId="0" fontId="76" fillId="0" borderId="0" xfId="0" applyFont="1" applyFill="1" applyBorder="1" applyAlignment="1">
      <alignment horizontal="center" vertical="center"/>
    </xf>
    <xf numFmtId="3" fontId="77" fillId="0" borderId="0" xfId="0" applyNumberFormat="1" applyFont="1" applyFill="1" applyBorder="1"/>
    <xf numFmtId="213" fontId="70" fillId="0" borderId="0" xfId="0" applyNumberFormat="1" applyFont="1" applyFill="1"/>
    <xf numFmtId="0" fontId="13" fillId="0" borderId="0" xfId="0" applyFont="1" applyFill="1" applyAlignment="1"/>
    <xf numFmtId="0" fontId="10" fillId="0" borderId="0" xfId="0" applyFont="1" applyFill="1" applyAlignment="1"/>
    <xf numFmtId="0" fontId="8" fillId="0" borderId="9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 shrinkToFit="1"/>
    </xf>
    <xf numFmtId="4" fontId="8" fillId="0" borderId="5" xfId="0" applyNumberFormat="1" applyFont="1" applyFill="1" applyBorder="1" applyAlignment="1">
      <alignment horizontal="center" vertical="center" shrinkToFit="1"/>
    </xf>
    <xf numFmtId="189" fontId="42" fillId="0" borderId="5" xfId="1" applyNumberFormat="1" applyFont="1" applyFill="1" applyBorder="1" applyAlignment="1">
      <alignment horizontal="center" vertical="center"/>
    </xf>
    <xf numFmtId="200" fontId="12" fillId="0" borderId="5" xfId="0" applyNumberFormat="1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center" vertical="center"/>
    </xf>
    <xf numFmtId="207" fontId="12" fillId="0" borderId="4" xfId="1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0" fontId="49" fillId="0" borderId="0" xfId="0" applyFont="1"/>
    <xf numFmtId="0" fontId="13" fillId="0" borderId="0" xfId="0" applyFont="1" applyFill="1" applyBorder="1" applyAlignment="1"/>
    <xf numFmtId="3" fontId="13" fillId="0" borderId="0" xfId="0" applyNumberFormat="1" applyFont="1" applyFill="1" applyBorder="1"/>
    <xf numFmtId="0" fontId="33" fillId="0" borderId="4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4" xfId="0" applyFont="1" applyFill="1" applyBorder="1" applyAlignment="1">
      <alignment vertical="center" wrapText="1"/>
    </xf>
    <xf numFmtId="189" fontId="8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 applyFill="1" applyBorder="1"/>
    <xf numFmtId="0" fontId="10" fillId="0" borderId="0" xfId="0" applyFont="1" applyFill="1" applyBorder="1" applyAlignment="1">
      <alignment horizontal="right"/>
    </xf>
    <xf numFmtId="197" fontId="96" fillId="0" borderId="0" xfId="1" applyNumberFormat="1" applyFont="1" applyFill="1"/>
    <xf numFmtId="199" fontId="27" fillId="0" borderId="0" xfId="1" applyNumberFormat="1" applyFont="1" applyFill="1" applyAlignment="1"/>
    <xf numFmtId="0" fontId="68" fillId="0" borderId="0" xfId="0" applyFont="1" applyFill="1"/>
    <xf numFmtId="199" fontId="28" fillId="0" borderId="0" xfId="1" applyNumberFormat="1" applyFont="1" applyFill="1" applyAlignment="1"/>
    <xf numFmtId="0" fontId="21" fillId="0" borderId="0" xfId="0" applyFont="1" applyFill="1"/>
    <xf numFmtId="0" fontId="8" fillId="0" borderId="0" xfId="0" applyFont="1" applyFill="1" applyAlignment="1">
      <alignment horizontal="left"/>
    </xf>
    <xf numFmtId="0" fontId="9" fillId="0" borderId="0" xfId="0" applyFont="1" applyFill="1"/>
    <xf numFmtId="197" fontId="8" fillId="0" borderId="0" xfId="1" applyNumberFormat="1" applyFont="1" applyFill="1"/>
    <xf numFmtId="197" fontId="12" fillId="0" borderId="4" xfId="1" applyNumberFormat="1" applyFont="1" applyFill="1" applyBorder="1" applyAlignment="1">
      <alignment horizontal="center" vertical="center" wrapText="1"/>
    </xf>
    <xf numFmtId="0" fontId="48" fillId="0" borderId="4" xfId="0" applyFont="1" applyFill="1" applyBorder="1" applyAlignment="1">
      <alignment horizontal="center" vertical="center" wrapText="1"/>
    </xf>
    <xf numFmtId="197" fontId="48" fillId="0" borderId="4" xfId="1" applyNumberFormat="1" applyFont="1" applyFill="1" applyBorder="1" applyAlignment="1">
      <alignment horizontal="center" vertical="center" wrapText="1"/>
    </xf>
    <xf numFmtId="0" fontId="8" fillId="0" borderId="4" xfId="0" applyFont="1" applyFill="1" applyBorder="1"/>
    <xf numFmtId="197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98" fontId="3" fillId="0" borderId="0" xfId="0" applyNumberFormat="1" applyFont="1" applyFill="1" applyAlignment="1">
      <alignment vertical="center"/>
    </xf>
    <xf numFmtId="38" fontId="3" fillId="0" borderId="0" xfId="0" applyNumberFormat="1" applyFont="1" applyFill="1" applyAlignment="1">
      <alignment vertical="center"/>
    </xf>
    <xf numFmtId="189" fontId="12" fillId="0" borderId="4" xfId="1" applyNumberFormat="1" applyFont="1" applyFill="1" applyBorder="1" applyAlignment="1">
      <alignment horizontal="right" vertical="center" shrinkToFit="1"/>
    </xf>
    <xf numFmtId="189" fontId="12" fillId="0" borderId="4" xfId="0" applyNumberFormat="1" applyFont="1" applyFill="1" applyBorder="1" applyAlignment="1">
      <alignment horizontal="center" vertical="center"/>
    </xf>
    <xf numFmtId="211" fontId="12" fillId="0" borderId="4" xfId="1" applyNumberFormat="1" applyFont="1" applyFill="1" applyBorder="1" applyAlignment="1">
      <alignment horizontal="right" vertical="center" shrinkToFit="1"/>
    </xf>
    <xf numFmtId="198" fontId="3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right"/>
    </xf>
    <xf numFmtId="0" fontId="12" fillId="0" borderId="4" xfId="0" applyFont="1" applyFill="1" applyBorder="1" applyAlignment="1">
      <alignment horizontal="right"/>
    </xf>
    <xf numFmtId="197" fontId="11" fillId="0" borderId="0" xfId="1" applyNumberFormat="1" applyFont="1" applyFill="1" applyBorder="1"/>
    <xf numFmtId="0" fontId="52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67" fillId="0" borderId="0" xfId="0" applyFont="1" applyFill="1" applyBorder="1" applyAlignment="1">
      <alignment horizontal="center" vertical="center"/>
    </xf>
    <xf numFmtId="194" fontId="12" fillId="0" borderId="0" xfId="1" applyNumberFormat="1" applyFont="1" applyFill="1" applyBorder="1" applyAlignment="1">
      <alignment horizontal="right" vertical="center" shrinkToFit="1"/>
    </xf>
    <xf numFmtId="198" fontId="12" fillId="0" borderId="0" xfId="1" applyNumberFormat="1" applyFont="1" applyFill="1" applyBorder="1" applyAlignment="1">
      <alignment horizontal="right" vertical="center" shrinkToFit="1"/>
    </xf>
    <xf numFmtId="197" fontId="12" fillId="0" borderId="0" xfId="1" applyNumberFormat="1" applyFont="1" applyFill="1" applyBorder="1" applyAlignment="1">
      <alignment vertical="center"/>
    </xf>
    <xf numFmtId="197" fontId="12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left"/>
    </xf>
    <xf numFmtId="194" fontId="13" fillId="0" borderId="0" xfId="0" applyNumberFormat="1" applyFont="1" applyFill="1"/>
    <xf numFmtId="197" fontId="13" fillId="0" borderId="0" xfId="1" applyNumberFormat="1" applyFont="1" applyFill="1"/>
    <xf numFmtId="3" fontId="3" fillId="0" borderId="0" xfId="0" applyNumberFormat="1" applyFont="1" applyFill="1"/>
    <xf numFmtId="0" fontId="11" fillId="0" borderId="0" xfId="0" applyFont="1" applyFill="1" applyAlignment="1">
      <alignment horizontal="left"/>
    </xf>
    <xf numFmtId="0" fontId="33" fillId="0" borderId="0" xfId="0" applyFont="1" applyFill="1"/>
    <xf numFmtId="197" fontId="11" fillId="0" borderId="0" xfId="1" applyNumberFormat="1" applyFont="1" applyFill="1" applyAlignment="1">
      <alignment horizontal="center"/>
    </xf>
    <xf numFmtId="198" fontId="19" fillId="0" borderId="0" xfId="0" applyNumberFormat="1" applyFont="1" applyFill="1" applyAlignment="1">
      <alignment horizontal="left"/>
    </xf>
    <xf numFmtId="198" fontId="3" fillId="0" borderId="0" xfId="0" applyNumberFormat="1" applyFont="1" applyFill="1"/>
    <xf numFmtId="198" fontId="11" fillId="0" borderId="0" xfId="0" applyNumberFormat="1" applyFont="1" applyFill="1" applyAlignment="1">
      <alignment horizontal="center"/>
    </xf>
    <xf numFmtId="198" fontId="16" fillId="0" borderId="0" xfId="0" applyNumberFormat="1" applyFont="1" applyFill="1"/>
    <xf numFmtId="190" fontId="13" fillId="0" borderId="0" xfId="0" applyNumberFormat="1" applyFont="1" applyFill="1" applyAlignment="1">
      <alignment horizontal="center"/>
    </xf>
    <xf numFmtId="189" fontId="43" fillId="0" borderId="0" xfId="0" applyNumberFormat="1" applyFont="1" applyFill="1" applyAlignment="1"/>
    <xf numFmtId="192" fontId="0" fillId="0" borderId="5" xfId="0" applyNumberFormat="1" applyFill="1" applyBorder="1"/>
    <xf numFmtId="223" fontId="0" fillId="0" borderId="5" xfId="0" applyNumberFormat="1" applyFill="1" applyBorder="1"/>
    <xf numFmtId="210" fontId="0" fillId="0" borderId="5" xfId="0" applyNumberFormat="1" applyFill="1" applyBorder="1"/>
    <xf numFmtId="0" fontId="0" fillId="0" borderId="5" xfId="0" applyFill="1" applyBorder="1"/>
    <xf numFmtId="209" fontId="0" fillId="0" borderId="5" xfId="0" applyNumberFormat="1" applyFill="1" applyBorder="1"/>
    <xf numFmtId="210" fontId="39" fillId="0" borderId="4" xfId="7" applyNumberFormat="1" applyFont="1" applyFill="1" applyBorder="1" applyAlignment="1">
      <alignment horizontal="center"/>
    </xf>
    <xf numFmtId="197" fontId="57" fillId="0" borderId="5" xfId="1" applyNumberFormat="1" applyFont="1" applyFill="1" applyBorder="1"/>
    <xf numFmtId="189" fontId="0" fillId="0" borderId="5" xfId="0" applyNumberFormat="1" applyFill="1" applyBorder="1" applyAlignment="1">
      <alignment horizontal="left"/>
    </xf>
    <xf numFmtId="197" fontId="69" fillId="0" borderId="5" xfId="1" applyNumberFormat="1" applyFont="1" applyFill="1" applyBorder="1"/>
    <xf numFmtId="197" fontId="10" fillId="0" borderId="0" xfId="0" applyNumberFormat="1" applyFont="1" applyFill="1" applyAlignment="1">
      <alignment vertical="center"/>
    </xf>
    <xf numFmtId="198" fontId="10" fillId="0" borderId="0" xfId="0" applyNumberFormat="1" applyFont="1" applyFill="1" applyBorder="1" applyAlignment="1">
      <alignment vertical="center"/>
    </xf>
    <xf numFmtId="0" fontId="86" fillId="0" borderId="0" xfId="0" applyFont="1" applyFill="1" applyBorder="1" applyAlignment="1">
      <alignment horizontal="center" vertical="center"/>
    </xf>
    <xf numFmtId="0" fontId="81" fillId="0" borderId="0" xfId="0" applyFont="1" applyFill="1"/>
    <xf numFmtId="0" fontId="85" fillId="0" borderId="0" xfId="0" applyFont="1" applyFill="1" applyAlignment="1"/>
    <xf numFmtId="0" fontId="85" fillId="0" borderId="0" xfId="0" applyFont="1" applyFill="1"/>
    <xf numFmtId="214" fontId="0" fillId="0" borderId="5" xfId="0" applyNumberFormat="1" applyFill="1" applyBorder="1"/>
    <xf numFmtId="0" fontId="16" fillId="0" borderId="4" xfId="0" applyFont="1" applyFill="1" applyBorder="1"/>
    <xf numFmtId="208" fontId="19" fillId="0" borderId="6" xfId="0" applyNumberFormat="1" applyFont="1" applyFill="1" applyBorder="1"/>
    <xf numFmtId="0" fontId="90" fillId="0" borderId="0" xfId="0" applyFont="1" applyFill="1"/>
    <xf numFmtId="0" fontId="90" fillId="0" borderId="0" xfId="0" applyFont="1" applyFill="1" applyAlignment="1">
      <alignment horizontal="center"/>
    </xf>
    <xf numFmtId="3" fontId="90" fillId="0" borderId="0" xfId="0" applyNumberFormat="1" applyFont="1" applyFill="1"/>
    <xf numFmtId="198" fontId="90" fillId="0" borderId="0" xfId="0" applyNumberFormat="1" applyFont="1" applyFill="1"/>
    <xf numFmtId="0" fontId="90" fillId="0" borderId="0" xfId="0" applyFont="1" applyFill="1" applyBorder="1" applyAlignment="1">
      <alignment horizontal="center"/>
    </xf>
    <xf numFmtId="199" fontId="90" fillId="0" borderId="0" xfId="1" applyNumberFormat="1" applyFont="1" applyFill="1"/>
    <xf numFmtId="0" fontId="89" fillId="0" borderId="0" xfId="0" applyFont="1" applyFill="1"/>
    <xf numFmtId="198" fontId="89" fillId="0" borderId="0" xfId="19" applyNumberFormat="1" applyFont="1" applyFill="1" applyBorder="1" applyAlignment="1">
      <alignment horizontal="center"/>
    </xf>
    <xf numFmtId="0" fontId="89" fillId="0" borderId="0" xfId="0" applyFont="1" applyFill="1" applyAlignment="1"/>
    <xf numFmtId="198" fontId="89" fillId="0" borderId="0" xfId="0" applyNumberFormat="1" applyFont="1" applyFill="1"/>
    <xf numFmtId="199" fontId="89" fillId="0" borderId="0" xfId="1" applyNumberFormat="1" applyFont="1" applyFill="1"/>
    <xf numFmtId="4" fontId="33" fillId="0" borderId="4" xfId="0" applyNumberFormat="1" applyFont="1" applyFill="1" applyBorder="1"/>
    <xf numFmtId="194" fontId="33" fillId="0" borderId="4" xfId="0" applyNumberFormat="1" applyFont="1" applyFill="1" applyBorder="1"/>
    <xf numFmtId="0" fontId="78" fillId="0" borderId="0" xfId="0" applyFont="1" applyFill="1" applyAlignment="1">
      <alignment vertical="center"/>
    </xf>
    <xf numFmtId="197" fontId="89" fillId="0" borderId="0" xfId="1" applyNumberFormat="1" applyFont="1" applyFill="1"/>
    <xf numFmtId="0" fontId="21" fillId="0" borderId="0" xfId="0" applyFont="1" applyFill="1" applyBorder="1"/>
    <xf numFmtId="0" fontId="21" fillId="0" borderId="3" xfId="0" applyFont="1" applyFill="1" applyBorder="1"/>
    <xf numFmtId="0" fontId="41" fillId="0" borderId="0" xfId="0" applyFont="1" applyFill="1"/>
    <xf numFmtId="3" fontId="13" fillId="0" borderId="0" xfId="0" applyNumberFormat="1" applyFont="1" applyFill="1"/>
    <xf numFmtId="0" fontId="8" fillId="0" borderId="1" xfId="0" applyFont="1" applyFill="1" applyBorder="1" applyAlignment="1">
      <alignment horizontal="center" vertical="center" shrinkToFit="1"/>
    </xf>
    <xf numFmtId="4" fontId="8" fillId="0" borderId="1" xfId="0" applyNumberFormat="1" applyFont="1" applyFill="1" applyBorder="1" applyAlignment="1">
      <alignment horizontal="center" vertical="center" shrinkToFit="1"/>
    </xf>
    <xf numFmtId="190" fontId="8" fillId="0" borderId="1" xfId="1" applyNumberFormat="1" applyFont="1" applyFill="1" applyBorder="1" applyAlignment="1">
      <alignment horizontal="center" vertical="center" shrinkToFit="1"/>
    </xf>
    <xf numFmtId="198" fontId="8" fillId="0" borderId="5" xfId="1" applyNumberFormat="1" applyFont="1" applyFill="1" applyBorder="1" applyAlignment="1">
      <alignment horizontal="right" vertical="center" shrinkToFit="1"/>
    </xf>
    <xf numFmtId="189" fontId="8" fillId="0" borderId="5" xfId="1" applyNumberFormat="1" applyFont="1" applyFill="1" applyBorder="1" applyAlignment="1">
      <alignment horizontal="right" vertical="center" shrinkToFit="1"/>
    </xf>
    <xf numFmtId="190" fontId="8" fillId="0" borderId="5" xfId="1" applyNumberFormat="1" applyFont="1" applyFill="1" applyBorder="1" applyAlignment="1">
      <alignment horizontal="center" vertical="center" shrinkToFit="1"/>
    </xf>
    <xf numFmtId="208" fontId="8" fillId="0" borderId="5" xfId="1" applyNumberFormat="1" applyFont="1" applyFill="1" applyBorder="1" applyAlignment="1">
      <alignment horizontal="right" vertical="center" wrapText="1"/>
    </xf>
    <xf numFmtId="0" fontId="8" fillId="0" borderId="9" xfId="0" applyFont="1" applyFill="1" applyBorder="1" applyAlignment="1">
      <alignment horizontal="center" vertical="center" shrinkToFit="1"/>
    </xf>
    <xf numFmtId="0" fontId="8" fillId="0" borderId="9" xfId="0" applyFont="1" applyFill="1" applyBorder="1"/>
    <xf numFmtId="4" fontId="8" fillId="0" borderId="9" xfId="0" applyNumberFormat="1" applyFont="1" applyFill="1" applyBorder="1" applyAlignment="1">
      <alignment horizontal="center" vertical="center" shrinkToFit="1"/>
    </xf>
    <xf numFmtId="2" fontId="8" fillId="0" borderId="9" xfId="1" applyNumberFormat="1" applyFont="1" applyFill="1" applyBorder="1" applyAlignment="1">
      <alignment horizontal="right" vertical="center" wrapText="1"/>
    </xf>
    <xf numFmtId="190" fontId="8" fillId="0" borderId="9" xfId="1" applyNumberFormat="1" applyFont="1" applyFill="1" applyBorder="1" applyAlignment="1">
      <alignment horizontal="center" vertical="center" shrinkToFit="1"/>
    </xf>
    <xf numFmtId="208" fontId="8" fillId="0" borderId="9" xfId="1" applyNumberFormat="1" applyFont="1" applyFill="1" applyBorder="1" applyAlignment="1">
      <alignment horizontal="right" vertical="center" wrapText="1"/>
    </xf>
    <xf numFmtId="0" fontId="8" fillId="0" borderId="1" xfId="0" applyFont="1" applyFill="1" applyBorder="1"/>
    <xf numFmtId="4" fontId="8" fillId="0" borderId="1" xfId="1" applyNumberFormat="1" applyFont="1" applyFill="1" applyBorder="1" applyAlignment="1">
      <alignment horizontal="right" vertical="center" shrinkToFit="1"/>
    </xf>
    <xf numFmtId="208" fontId="8" fillId="0" borderId="1" xfId="1" applyNumberFormat="1" applyFont="1" applyFill="1" applyBorder="1" applyAlignment="1">
      <alignment horizontal="right" vertical="center" wrapText="1"/>
    </xf>
    <xf numFmtId="215" fontId="8" fillId="0" borderId="9" xfId="1" applyNumberFormat="1" applyFont="1" applyFill="1" applyBorder="1" applyAlignment="1">
      <alignment horizontal="right" vertical="center" shrinkToFit="1"/>
    </xf>
    <xf numFmtId="0" fontId="8" fillId="0" borderId="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center" vertical="center" shrinkToFit="1"/>
    </xf>
    <xf numFmtId="2" fontId="8" fillId="0" borderId="19" xfId="0" applyNumberFormat="1" applyFont="1" applyFill="1" applyBorder="1" applyAlignment="1">
      <alignment horizontal="center" vertical="center" shrinkToFit="1"/>
    </xf>
    <xf numFmtId="192" fontId="8" fillId="0" borderId="19" xfId="1" applyNumberFormat="1" applyFont="1" applyFill="1" applyBorder="1" applyAlignment="1">
      <alignment vertical="center" shrinkToFit="1"/>
    </xf>
    <xf numFmtId="0" fontId="8" fillId="0" borderId="21" xfId="0" applyFont="1" applyFill="1" applyBorder="1" applyAlignment="1">
      <alignment horizontal="left"/>
    </xf>
    <xf numFmtId="4" fontId="8" fillId="0" borderId="21" xfId="0" applyNumberFormat="1" applyFont="1" applyFill="1" applyBorder="1" applyAlignment="1">
      <alignment horizontal="center" vertical="center" shrinkToFit="1"/>
    </xf>
    <xf numFmtId="2" fontId="8" fillId="0" borderId="21" xfId="1" applyNumberFormat="1" applyFont="1" applyFill="1" applyBorder="1" applyAlignment="1">
      <alignment horizontal="right" vertical="center" wrapText="1"/>
    </xf>
    <xf numFmtId="190" fontId="8" fillId="0" borderId="21" xfId="1" applyNumberFormat="1" applyFont="1" applyFill="1" applyBorder="1" applyAlignment="1">
      <alignment horizontal="center" vertical="center" shrinkToFit="1"/>
    </xf>
    <xf numFmtId="189" fontId="8" fillId="0" borderId="21" xfId="1" applyNumberFormat="1" applyFont="1" applyFill="1" applyBorder="1" applyAlignment="1">
      <alignment horizontal="center" vertical="center" wrapText="1"/>
    </xf>
    <xf numFmtId="208" fontId="8" fillId="0" borderId="21" xfId="1" applyNumberFormat="1" applyFont="1" applyFill="1" applyBorder="1" applyAlignment="1">
      <alignment horizontal="right" vertical="center" wrapText="1"/>
    </xf>
    <xf numFmtId="200" fontId="12" fillId="0" borderId="21" xfId="0" applyNumberFormat="1" applyFont="1" applyFill="1" applyBorder="1" applyAlignment="1">
      <alignment horizontal="center" vertical="center" shrinkToFit="1"/>
    </xf>
    <xf numFmtId="192" fontId="39" fillId="0" borderId="4" xfId="7" applyNumberFormat="1" applyFont="1" applyFill="1" applyBorder="1" applyAlignment="1">
      <alignment horizontal="center"/>
    </xf>
    <xf numFmtId="189" fontId="10" fillId="0" borderId="7" xfId="1" applyNumberFormat="1" applyFont="1" applyFill="1" applyBorder="1" applyAlignment="1">
      <alignment horizontal="right" vertical="center"/>
    </xf>
    <xf numFmtId="189" fontId="10" fillId="0" borderId="5" xfId="1" applyNumberFormat="1" applyFont="1" applyFill="1" applyBorder="1" applyAlignment="1">
      <alignment horizontal="right" vertical="center"/>
    </xf>
    <xf numFmtId="4" fontId="11" fillId="0" borderId="4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4" xfId="18" applyFont="1" applyFill="1" applyBorder="1" applyAlignment="1">
      <alignment horizontal="center" vertical="center"/>
    </xf>
    <xf numFmtId="213" fontId="13" fillId="0" borderId="0" xfId="1" applyNumberFormat="1" applyFont="1" applyFill="1"/>
    <xf numFmtId="0" fontId="98" fillId="0" borderId="0" xfId="16" applyFont="1" applyFill="1"/>
    <xf numFmtId="190" fontId="41" fillId="0" borderId="0" xfId="1" applyNumberFormat="1" applyFont="1" applyFill="1"/>
    <xf numFmtId="229" fontId="41" fillId="0" borderId="0" xfId="1" applyNumberFormat="1" applyFont="1" applyFill="1"/>
    <xf numFmtId="230" fontId="41" fillId="0" borderId="0" xfId="0" applyNumberFormat="1" applyFont="1" applyFill="1"/>
    <xf numFmtId="0" fontId="18" fillId="0" borderId="0" xfId="0" applyFont="1" applyFill="1"/>
    <xf numFmtId="190" fontId="18" fillId="0" borderId="0" xfId="0" applyNumberFormat="1" applyFont="1" applyFill="1"/>
    <xf numFmtId="197" fontId="10" fillId="0" borderId="0" xfId="1" applyNumberFormat="1" applyFont="1" applyFill="1" applyAlignment="1"/>
    <xf numFmtId="2" fontId="8" fillId="0" borderId="11" xfId="0" applyNumberFormat="1" applyFont="1" applyFill="1" applyBorder="1" applyAlignment="1">
      <alignment horizontal="center" vertical="center" shrinkToFit="1"/>
    </xf>
    <xf numFmtId="4" fontId="8" fillId="0" borderId="11" xfId="0" applyNumberFormat="1" applyFont="1" applyFill="1" applyBorder="1" applyAlignment="1">
      <alignment horizontal="center" vertical="center" shrinkToFit="1"/>
    </xf>
    <xf numFmtId="200" fontId="12" fillId="0" borderId="11" xfId="0" applyNumberFormat="1" applyFont="1" applyFill="1" applyBorder="1" applyAlignment="1">
      <alignment horizontal="center" vertical="center" shrinkToFit="1"/>
    </xf>
    <xf numFmtId="0" fontId="8" fillId="0" borderId="11" xfId="0" applyFont="1" applyFill="1" applyBorder="1"/>
    <xf numFmtId="0" fontId="8" fillId="0" borderId="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shrinkToFit="1"/>
    </xf>
    <xf numFmtId="0" fontId="16" fillId="0" borderId="14" xfId="0" applyFont="1" applyFill="1" applyBorder="1" applyAlignment="1">
      <alignment vertical="center" wrapText="1"/>
    </xf>
    <xf numFmtId="213" fontId="41" fillId="0" borderId="0" xfId="0" applyNumberFormat="1" applyFont="1" applyFill="1"/>
    <xf numFmtId="0" fontId="94" fillId="0" borderId="0" xfId="16" applyFont="1" applyFill="1"/>
    <xf numFmtId="0" fontId="21" fillId="0" borderId="0" xfId="16" applyFont="1" applyFill="1"/>
    <xf numFmtId="0" fontId="22" fillId="0" borderId="0" xfId="16" applyFont="1" applyFill="1"/>
    <xf numFmtId="0" fontId="39" fillId="0" borderId="4" xfId="18" applyFont="1" applyFill="1" applyBorder="1" applyAlignment="1">
      <alignment horizontal="left" vertical="center"/>
    </xf>
    <xf numFmtId="204" fontId="9" fillId="0" borderId="0" xfId="0" applyNumberFormat="1" applyFont="1" applyFill="1" applyBorder="1"/>
    <xf numFmtId="3" fontId="18" fillId="0" borderId="0" xfId="0" applyNumberFormat="1" applyFont="1" applyFill="1"/>
    <xf numFmtId="197" fontId="10" fillId="0" borderId="0" xfId="0" applyNumberFormat="1" applyFont="1" applyFill="1"/>
    <xf numFmtId="0" fontId="42" fillId="0" borderId="4" xfId="0" applyFont="1" applyFill="1" applyBorder="1" applyAlignment="1">
      <alignment horizontal="center" vertical="center" wrapText="1"/>
    </xf>
    <xf numFmtId="198" fontId="42" fillId="0" borderId="4" xfId="1" applyNumberFormat="1" applyFont="1" applyFill="1" applyBorder="1" applyAlignment="1">
      <alignment vertical="center" wrapText="1"/>
    </xf>
    <xf numFmtId="198" fontId="45" fillId="0" borderId="4" xfId="1" applyNumberFormat="1" applyFont="1" applyFill="1" applyBorder="1" applyAlignment="1">
      <alignment vertical="center" wrapText="1"/>
    </xf>
    <xf numFmtId="4" fontId="13" fillId="0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/>
    </xf>
    <xf numFmtId="0" fontId="94" fillId="0" borderId="0" xfId="16" applyFont="1" applyFill="1" applyAlignment="1">
      <alignment horizontal="center"/>
    </xf>
    <xf numFmtId="0" fontId="21" fillId="0" borderId="0" xfId="16" applyFont="1" applyFill="1" applyAlignment="1">
      <alignment horizontal="center"/>
    </xf>
    <xf numFmtId="197" fontId="13" fillId="0" borderId="0" xfId="1" applyNumberFormat="1" applyFont="1" applyFill="1" applyAlignment="1">
      <alignment horizontal="center"/>
    </xf>
    <xf numFmtId="197" fontId="11" fillId="0" borderId="4" xfId="1" applyNumberFormat="1" applyFont="1" applyFill="1" applyBorder="1" applyAlignment="1">
      <alignment horizontal="center" vertical="center" wrapText="1"/>
    </xf>
    <xf numFmtId="197" fontId="13" fillId="0" borderId="4" xfId="1" applyNumberFormat="1" applyFont="1" applyFill="1" applyBorder="1" applyAlignment="1">
      <alignment horizontal="right"/>
    </xf>
    <xf numFmtId="197" fontId="11" fillId="0" borderId="4" xfId="1" applyNumberFormat="1" applyFont="1" applyFill="1" applyBorder="1" applyAlignment="1">
      <alignment horizontal="right"/>
    </xf>
    <xf numFmtId="197" fontId="94" fillId="0" borderId="0" xfId="1" applyNumberFormat="1" applyFont="1" applyFill="1"/>
    <xf numFmtId="197" fontId="21" fillId="0" borderId="0" xfId="1" applyNumberFormat="1" applyFont="1" applyFill="1"/>
    <xf numFmtId="197" fontId="22" fillId="0" borderId="0" xfId="1" applyNumberFormat="1" applyFont="1" applyFill="1" applyAlignment="1"/>
    <xf numFmtId="196" fontId="13" fillId="0" borderId="0" xfId="1" applyNumberFormat="1" applyFont="1" applyFill="1" applyAlignment="1">
      <alignment horizontal="center"/>
    </xf>
    <xf numFmtId="196" fontId="11" fillId="0" borderId="4" xfId="1" applyNumberFormat="1" applyFont="1" applyFill="1" applyBorder="1" applyAlignment="1">
      <alignment horizontal="center" vertical="center" wrapText="1"/>
    </xf>
    <xf numFmtId="196" fontId="11" fillId="0" borderId="4" xfId="1" applyNumberFormat="1" applyFont="1" applyFill="1" applyBorder="1" applyAlignment="1">
      <alignment horizontal="right"/>
    </xf>
    <xf numFmtId="196" fontId="13" fillId="0" borderId="4" xfId="1" applyNumberFormat="1" applyFont="1" applyFill="1" applyBorder="1" applyAlignment="1">
      <alignment horizontal="right"/>
    </xf>
    <xf numFmtId="196" fontId="13" fillId="0" borderId="0" xfId="1" applyNumberFormat="1" applyFont="1" applyFill="1"/>
    <xf numFmtId="196" fontId="94" fillId="0" borderId="0" xfId="1" applyNumberFormat="1" applyFont="1" applyFill="1"/>
    <xf numFmtId="196" fontId="21" fillId="0" borderId="0" xfId="1" applyNumberFormat="1" applyFont="1" applyFill="1"/>
    <xf numFmtId="196" fontId="22" fillId="0" borderId="0" xfId="1" applyNumberFormat="1" applyFont="1" applyFill="1" applyAlignment="1"/>
    <xf numFmtId="198" fontId="57" fillId="0" borderId="0" xfId="0" applyNumberFormat="1" applyFont="1" applyFill="1" applyBorder="1"/>
    <xf numFmtId="197" fontId="57" fillId="0" borderId="0" xfId="1" applyNumberFormat="1" applyFont="1" applyFill="1" applyBorder="1"/>
    <xf numFmtId="197" fontId="57" fillId="0" borderId="0" xfId="0" applyNumberFormat="1" applyFont="1" applyFill="1" applyBorder="1"/>
    <xf numFmtId="0" fontId="49" fillId="0" borderId="0" xfId="0" applyFont="1" applyAlignment="1"/>
    <xf numFmtId="0" fontId="110" fillId="0" borderId="4" xfId="0" applyFont="1" applyFill="1" applyBorder="1" applyAlignment="1">
      <alignment horizontal="left" vertical="center" wrapText="1"/>
    </xf>
    <xf numFmtId="213" fontId="58" fillId="0" borderId="6" xfId="0" applyNumberFormat="1" applyFont="1" applyFill="1" applyBorder="1"/>
    <xf numFmtId="213" fontId="3" fillId="0" borderId="0" xfId="0" applyNumberFormat="1" applyFont="1" applyFill="1" applyBorder="1"/>
    <xf numFmtId="0" fontId="12" fillId="0" borderId="7" xfId="0" applyFont="1" applyFill="1" applyBorder="1" applyAlignment="1">
      <alignment horizontal="center" vertical="center"/>
    </xf>
    <xf numFmtId="1" fontId="12" fillId="0" borderId="7" xfId="0" applyNumberFormat="1" applyFont="1" applyFill="1" applyBorder="1" applyAlignment="1">
      <alignment horizontal="center" vertical="center"/>
    </xf>
    <xf numFmtId="2" fontId="8" fillId="0" borderId="7" xfId="1" applyNumberFormat="1" applyFont="1" applyFill="1" applyBorder="1" applyAlignment="1">
      <alignment horizontal="right" vertical="center" wrapText="1"/>
    </xf>
    <xf numFmtId="189" fontId="8" fillId="0" borderId="7" xfId="1" applyNumberFormat="1" applyFont="1" applyFill="1" applyBorder="1" applyAlignment="1">
      <alignment vertical="center" shrinkToFit="1"/>
    </xf>
    <xf numFmtId="210" fontId="8" fillId="0" borderId="7" xfId="1" applyNumberFormat="1" applyFont="1" applyFill="1" applyBorder="1" applyAlignment="1">
      <alignment horizontal="right" vertical="center" wrapText="1"/>
    </xf>
    <xf numFmtId="200" fontId="8" fillId="0" borderId="5" xfId="1" applyNumberFormat="1" applyFont="1" applyFill="1" applyBorder="1" applyAlignment="1">
      <alignment horizontal="center" vertical="center" shrinkToFit="1"/>
    </xf>
    <xf numFmtId="189" fontId="8" fillId="0" borderId="5" xfId="1" applyNumberFormat="1" applyFont="1" applyFill="1" applyBorder="1" applyAlignment="1">
      <alignment vertical="center" shrinkToFit="1"/>
    </xf>
    <xf numFmtId="192" fontId="8" fillId="0" borderId="5" xfId="1" applyNumberFormat="1" applyFont="1" applyFill="1" applyBorder="1" applyAlignment="1">
      <alignment vertical="center" shrinkToFit="1"/>
    </xf>
    <xf numFmtId="210" fontId="8" fillId="0" borderId="5" xfId="1" applyNumberFormat="1" applyFont="1" applyFill="1" applyBorder="1" applyAlignment="1">
      <alignment horizontal="right" vertical="center" wrapText="1"/>
    </xf>
    <xf numFmtId="4" fontId="10" fillId="0" borderId="0" xfId="0" applyNumberFormat="1" applyFont="1" applyFill="1" applyBorder="1" applyAlignment="1">
      <alignment vertical="center" wrapText="1"/>
    </xf>
    <xf numFmtId="0" fontId="27" fillId="0" borderId="0" xfId="0" applyFont="1" applyFill="1" applyAlignment="1"/>
    <xf numFmtId="0" fontId="27" fillId="0" borderId="0" xfId="0" applyFont="1" applyFill="1" applyBorder="1"/>
    <xf numFmtId="189" fontId="10" fillId="0" borderId="8" xfId="1" applyNumberFormat="1" applyFont="1" applyFill="1" applyBorder="1" applyAlignment="1">
      <alignment horizontal="right" vertical="center"/>
    </xf>
    <xf numFmtId="4" fontId="11" fillId="0" borderId="4" xfId="0" applyNumberFormat="1" applyFont="1" applyFill="1" applyBorder="1" applyAlignment="1">
      <alignment horizontal="center" vertical="center"/>
    </xf>
    <xf numFmtId="3" fontId="33" fillId="0" borderId="4" xfId="19" applyNumberFormat="1" applyFont="1" applyFill="1" applyBorder="1" applyAlignment="1">
      <alignment horizontal="center" vertical="center"/>
    </xf>
    <xf numFmtId="2" fontId="21" fillId="0" borderId="0" xfId="0" applyNumberFormat="1" applyFont="1" applyFill="1" applyBorder="1"/>
    <xf numFmtId="2" fontId="12" fillId="0" borderId="7" xfId="0" applyNumberFormat="1" applyFont="1" applyFill="1" applyBorder="1" applyAlignment="1">
      <alignment horizontal="center" vertical="center"/>
    </xf>
    <xf numFmtId="2" fontId="12" fillId="0" borderId="1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89" fillId="0" borderId="4" xfId="0" applyFont="1" applyFill="1" applyBorder="1" applyAlignment="1">
      <alignment horizontal="center" vertical="center"/>
    </xf>
    <xf numFmtId="197" fontId="89" fillId="0" borderId="4" xfId="1" applyNumberFormat="1" applyFont="1" applyFill="1" applyBorder="1" applyAlignment="1">
      <alignment horizontal="center"/>
    </xf>
    <xf numFmtId="197" fontId="89" fillId="0" borderId="4" xfId="1" applyNumberFormat="1" applyFont="1" applyFill="1" applyBorder="1" applyAlignment="1">
      <alignment horizontal="center" vertical="center" wrapText="1"/>
    </xf>
    <xf numFmtId="0" fontId="68" fillId="0" borderId="0" xfId="0" applyFont="1"/>
    <xf numFmtId="0" fontId="101" fillId="0" borderId="0" xfId="0" applyFont="1"/>
    <xf numFmtId="0" fontId="27" fillId="0" borderId="0" xfId="0" applyFont="1" applyFill="1"/>
    <xf numFmtId="0" fontId="27" fillId="0" borderId="0" xfId="0" applyFont="1" applyFill="1" applyBorder="1" applyAlignment="1"/>
    <xf numFmtId="0" fontId="103" fillId="0" borderId="0" xfId="0" applyFont="1" applyFill="1" applyAlignment="1">
      <alignment horizontal="center"/>
    </xf>
    <xf numFmtId="0" fontId="103" fillId="0" borderId="0" xfId="0" applyFont="1" applyFill="1"/>
    <xf numFmtId="0" fontId="45" fillId="0" borderId="0" xfId="0" applyFont="1" applyFill="1" applyAlignment="1">
      <alignment horizontal="left"/>
    </xf>
    <xf numFmtId="0" fontId="8" fillId="0" borderId="4" xfId="0" applyFont="1" applyFill="1" applyBorder="1" applyAlignment="1">
      <alignment horizontal="left" vertical="center"/>
    </xf>
    <xf numFmtId="197" fontId="13" fillId="0" borderId="4" xfId="1" applyNumberFormat="1" applyFont="1" applyFill="1" applyBorder="1" applyAlignment="1">
      <alignment horizontal="center" vertical="center" wrapText="1"/>
    </xf>
    <xf numFmtId="215" fontId="33" fillId="0" borderId="4" xfId="0" applyNumberFormat="1" applyFont="1" applyFill="1" applyBorder="1"/>
    <xf numFmtId="4" fontId="8" fillId="0" borderId="19" xfId="0" applyNumberFormat="1" applyFont="1" applyFill="1" applyBorder="1" applyAlignment="1">
      <alignment horizontal="center" vertical="center" shrinkToFit="1"/>
    </xf>
    <xf numFmtId="0" fontId="42" fillId="0" borderId="4" xfId="0" applyFont="1" applyFill="1" applyBorder="1" applyAlignment="1">
      <alignment vertical="center"/>
    </xf>
    <xf numFmtId="190" fontId="0" fillId="0" borderId="5" xfId="0" applyNumberFormat="1" applyFill="1" applyBorder="1"/>
    <xf numFmtId="0" fontId="81" fillId="0" borderId="4" xfId="0" applyFont="1" applyFill="1" applyBorder="1" applyAlignment="1">
      <alignment horizontal="left" vertical="center"/>
    </xf>
    <xf numFmtId="3" fontId="27" fillId="0" borderId="4" xfId="0" applyNumberFormat="1" applyFont="1" applyFill="1" applyBorder="1" applyAlignment="1">
      <alignment horizontal="center" vertical="center"/>
    </xf>
    <xf numFmtId="189" fontId="89" fillId="0" borderId="4" xfId="1" applyNumberFormat="1" applyFont="1" applyFill="1" applyBorder="1" applyAlignment="1">
      <alignment horizontal="right" vertical="center"/>
    </xf>
    <xf numFmtId="0" fontId="27" fillId="0" borderId="4" xfId="0" applyFont="1" applyFill="1" applyBorder="1" applyAlignment="1">
      <alignment vertical="center"/>
    </xf>
    <xf numFmtId="206" fontId="27" fillId="0" borderId="4" xfId="6" applyNumberFormat="1" applyFont="1" applyFill="1" applyBorder="1" applyAlignment="1">
      <alignment horizontal="right" vertical="center" wrapText="1"/>
    </xf>
    <xf numFmtId="213" fontId="89" fillId="0" borderId="0" xfId="0" applyNumberFormat="1" applyFont="1" applyFill="1" applyAlignment="1">
      <alignment horizontal="center"/>
    </xf>
    <xf numFmtId="0" fontId="84" fillId="0" borderId="0" xfId="0" applyFont="1" applyFill="1" applyAlignment="1"/>
    <xf numFmtId="0" fontId="13" fillId="0" borderId="4" xfId="0" applyFont="1" applyFill="1" applyBorder="1" applyAlignment="1">
      <alignment horizontal="left" vertical="center"/>
    </xf>
    <xf numFmtId="0" fontId="5" fillId="0" borderId="0" xfId="0" applyFont="1" applyFill="1"/>
    <xf numFmtId="190" fontId="78" fillId="0" borderId="0" xfId="1" applyNumberFormat="1" applyFont="1" applyFill="1" applyBorder="1" applyAlignment="1">
      <alignment horizontal="center"/>
    </xf>
    <xf numFmtId="0" fontId="78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7" fillId="0" borderId="0" xfId="0" applyFont="1" applyFill="1" applyBorder="1"/>
    <xf numFmtId="190" fontId="85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0" fontId="5" fillId="0" borderId="0" xfId="1" applyNumberFormat="1" applyFont="1" applyFill="1" applyBorder="1"/>
    <xf numFmtId="0" fontId="82" fillId="0" borderId="0" xfId="0" applyFont="1" applyFill="1" applyBorder="1"/>
    <xf numFmtId="197" fontId="82" fillId="0" borderId="0" xfId="1" applyNumberFormat="1" applyFont="1" applyFill="1" applyBorder="1"/>
    <xf numFmtId="197" fontId="5" fillId="0" borderId="0" xfId="1" applyNumberFormat="1" applyFont="1" applyFill="1"/>
    <xf numFmtId="0" fontId="81" fillId="0" borderId="0" xfId="0" applyFont="1" applyFill="1" applyBorder="1"/>
    <xf numFmtId="0" fontId="86" fillId="0" borderId="0" xfId="0" applyFont="1" applyFill="1" applyBorder="1" applyAlignment="1">
      <alignment horizontal="center" vertical="center" wrapText="1"/>
    </xf>
    <xf numFmtId="9" fontId="78" fillId="0" borderId="0" xfId="21" applyFont="1" applyFill="1" applyBorder="1" applyAlignment="1">
      <alignment horizontal="center"/>
    </xf>
    <xf numFmtId="197" fontId="75" fillId="0" borderId="0" xfId="0" applyNumberFormat="1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vertical="center"/>
    </xf>
    <xf numFmtId="197" fontId="78" fillId="0" borderId="0" xfId="0" applyNumberFormat="1" applyFont="1" applyFill="1" applyBorder="1" applyAlignment="1">
      <alignment vertical="center"/>
    </xf>
    <xf numFmtId="0" fontId="75" fillId="0" borderId="0" xfId="0" applyFont="1" applyFill="1" applyBorder="1" applyAlignment="1">
      <alignment horizontal="center" vertical="center" wrapText="1"/>
    </xf>
    <xf numFmtId="9" fontId="81" fillId="0" borderId="0" xfId="21" applyFont="1" applyFill="1" applyBorder="1"/>
    <xf numFmtId="190" fontId="5" fillId="0" borderId="0" xfId="1" applyNumberFormat="1" applyFont="1" applyFill="1"/>
    <xf numFmtId="0" fontId="7" fillId="0" borderId="0" xfId="0" applyFont="1" applyFill="1"/>
    <xf numFmtId="0" fontId="75" fillId="0" borderId="0" xfId="0" applyFont="1" applyFill="1" applyBorder="1" applyAlignment="1"/>
    <xf numFmtId="0" fontId="85" fillId="0" borderId="0" xfId="0" applyFont="1" applyFill="1" applyBorder="1" applyAlignment="1"/>
    <xf numFmtId="0" fontId="83" fillId="0" borderId="0" xfId="0" applyFont="1" applyFill="1" applyBorder="1" applyAlignment="1">
      <alignment vertical="center"/>
    </xf>
    <xf numFmtId="197" fontId="81" fillId="0" borderId="0" xfId="1" applyNumberFormat="1" applyFont="1" applyFill="1" applyBorder="1"/>
    <xf numFmtId="197" fontId="75" fillId="0" borderId="0" xfId="1" applyNumberFormat="1" applyFont="1" applyFill="1" applyBorder="1" applyAlignment="1">
      <alignment vertical="center"/>
    </xf>
    <xf numFmtId="4" fontId="78" fillId="0" borderId="0" xfId="0" applyNumberFormat="1" applyFont="1" applyFill="1" applyBorder="1" applyAlignment="1">
      <alignment vertical="center"/>
    </xf>
    <xf numFmtId="0" fontId="78" fillId="0" borderId="0" xfId="0" applyFont="1" applyFill="1" applyBorder="1" applyAlignment="1">
      <alignment vertical="center"/>
    </xf>
    <xf numFmtId="190" fontId="81" fillId="0" borderId="0" xfId="1" applyNumberFormat="1" applyFont="1" applyFill="1" applyBorder="1"/>
    <xf numFmtId="0" fontId="87" fillId="0" borderId="0" xfId="0" applyFont="1" applyFill="1" applyBorder="1"/>
    <xf numFmtId="3" fontId="81" fillId="0" borderId="0" xfId="0" applyNumberFormat="1" applyFont="1" applyFill="1" applyBorder="1"/>
    <xf numFmtId="0" fontId="85" fillId="0" borderId="0" xfId="0" applyFont="1" applyFill="1" applyBorder="1"/>
    <xf numFmtId="190" fontId="87" fillId="0" borderId="0" xfId="0" applyNumberFormat="1" applyFont="1" applyFill="1" applyBorder="1"/>
    <xf numFmtId="190" fontId="85" fillId="0" borderId="0" xfId="1" applyNumberFormat="1" applyFont="1" applyFill="1" applyBorder="1"/>
    <xf numFmtId="0" fontId="115" fillId="0" borderId="0" xfId="0" applyFont="1" applyFill="1" applyBorder="1"/>
    <xf numFmtId="220" fontId="81" fillId="0" borderId="0" xfId="0" applyNumberFormat="1" applyFont="1" applyFill="1" applyBorder="1"/>
    <xf numFmtId="3" fontId="87" fillId="0" borderId="0" xfId="0" applyNumberFormat="1" applyFont="1" applyFill="1" applyBorder="1"/>
    <xf numFmtId="220" fontId="85" fillId="0" borderId="0" xfId="0" applyNumberFormat="1" applyFont="1" applyFill="1" applyBorder="1"/>
    <xf numFmtId="217" fontId="81" fillId="0" borderId="0" xfId="0" applyNumberFormat="1" applyFont="1" applyFill="1" applyBorder="1"/>
    <xf numFmtId="0" fontId="82" fillId="0" borderId="0" xfId="0" applyFont="1" applyFill="1" applyBorder="1" applyAlignment="1"/>
    <xf numFmtId="0" fontId="86" fillId="0" borderId="0" xfId="0" applyFont="1" applyFill="1" applyBorder="1" applyAlignment="1"/>
    <xf numFmtId="0" fontId="89" fillId="0" borderId="4" xfId="0" applyFont="1" applyFill="1" applyBorder="1" applyAlignment="1">
      <alignment vertical="center"/>
    </xf>
    <xf numFmtId="0" fontId="8" fillId="0" borderId="0" xfId="0" applyFont="1" applyFill="1" applyAlignment="1"/>
    <xf numFmtId="3" fontId="8" fillId="0" borderId="0" xfId="0" applyNumberFormat="1" applyFont="1" applyFill="1" applyAlignment="1">
      <alignment horizontal="left"/>
    </xf>
    <xf numFmtId="193" fontId="8" fillId="0" borderId="0" xfId="0" applyNumberFormat="1" applyFont="1" applyFill="1"/>
    <xf numFmtId="203" fontId="8" fillId="0" borderId="0" xfId="0" applyNumberFormat="1" applyFont="1" applyFill="1" applyAlignment="1">
      <alignment horizontal="left"/>
    </xf>
    <xf numFmtId="203" fontId="8" fillId="0" borderId="0" xfId="0" applyNumberFormat="1" applyFont="1" applyFill="1" applyAlignment="1"/>
    <xf numFmtId="0" fontId="19" fillId="0" borderId="4" xfId="0" applyFont="1" applyFill="1" applyBorder="1" applyAlignment="1">
      <alignment horizontal="left" vertical="center" wrapText="1"/>
    </xf>
    <xf numFmtId="0" fontId="8" fillId="0" borderId="10" xfId="0" quotePrefix="1" applyFont="1" applyFill="1" applyBorder="1" applyAlignment="1">
      <alignment horizontal="center" wrapText="1"/>
    </xf>
    <xf numFmtId="0" fontId="8" fillId="0" borderId="10" xfId="0" quotePrefix="1" applyFont="1" applyFill="1" applyBorder="1" applyAlignment="1">
      <alignment horizontal="center"/>
    </xf>
    <xf numFmtId="189" fontId="8" fillId="0" borderId="7" xfId="0" quotePrefix="1" applyNumberFormat="1" applyFont="1" applyFill="1" applyBorder="1" applyAlignment="1">
      <alignment horizontal="left" vertical="center"/>
    </xf>
    <xf numFmtId="0" fontId="116" fillId="0" borderId="7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center" vertical="center"/>
    </xf>
    <xf numFmtId="189" fontId="8" fillId="0" borderId="7" xfId="1" applyNumberFormat="1" applyFont="1" applyFill="1" applyBorder="1" applyAlignment="1">
      <alignment horizontal="right" vertical="center" shrinkToFit="1"/>
    </xf>
    <xf numFmtId="3" fontId="5" fillId="0" borderId="7" xfId="5" applyNumberFormat="1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right" vertical="center"/>
    </xf>
    <xf numFmtId="189" fontId="8" fillId="0" borderId="7" xfId="0" applyNumberFormat="1" applyFont="1" applyFill="1" applyBorder="1" applyAlignment="1">
      <alignment vertical="center"/>
    </xf>
    <xf numFmtId="189" fontId="8" fillId="0" borderId="5" xfId="0" quotePrefix="1" applyNumberFormat="1" applyFont="1" applyFill="1" applyBorder="1" applyAlignment="1">
      <alignment horizontal="left" vertical="center"/>
    </xf>
    <xf numFmtId="0" fontId="116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189" fontId="8" fillId="0" borderId="5" xfId="0" applyNumberFormat="1" applyFont="1" applyFill="1" applyBorder="1" applyAlignment="1">
      <alignment horizontal="center" vertical="center"/>
    </xf>
    <xf numFmtId="189" fontId="8" fillId="0" borderId="5" xfId="0" applyNumberFormat="1" applyFont="1" applyFill="1" applyBorder="1" applyAlignment="1">
      <alignment horizontal="right" vertical="center"/>
    </xf>
    <xf numFmtId="189" fontId="8" fillId="0" borderId="5" xfId="0" applyNumberFormat="1" applyFont="1" applyFill="1" applyBorder="1" applyAlignment="1">
      <alignment vertical="center"/>
    </xf>
    <xf numFmtId="189" fontId="109" fillId="0" borderId="5" xfId="0" quotePrefix="1" applyNumberFormat="1" applyFont="1" applyFill="1" applyBorder="1" applyAlignment="1">
      <alignment horizontal="left" vertical="center"/>
    </xf>
    <xf numFmtId="0" fontId="117" fillId="0" borderId="5" xfId="0" applyFont="1" applyFill="1" applyBorder="1" applyAlignment="1">
      <alignment vertical="center" wrapText="1"/>
    </xf>
    <xf numFmtId="189" fontId="109" fillId="0" borderId="5" xfId="0" applyNumberFormat="1" applyFont="1" applyFill="1" applyBorder="1" applyAlignment="1">
      <alignment vertical="center"/>
    </xf>
    <xf numFmtId="189" fontId="109" fillId="0" borderId="5" xfId="1" applyNumberFormat="1" applyFont="1" applyFill="1" applyBorder="1" applyAlignment="1">
      <alignment horizontal="right" vertical="center" shrinkToFit="1"/>
    </xf>
    <xf numFmtId="189" fontId="109" fillId="0" borderId="5" xfId="0" applyNumberFormat="1" applyFont="1" applyFill="1" applyBorder="1" applyAlignment="1">
      <alignment horizontal="right" vertical="center"/>
    </xf>
    <xf numFmtId="0" fontId="118" fillId="0" borderId="0" xfId="0" applyFont="1" applyFill="1" applyAlignment="1">
      <alignment vertical="center"/>
    </xf>
    <xf numFmtId="189" fontId="109" fillId="0" borderId="8" xfId="0" quotePrefix="1" applyNumberFormat="1" applyFont="1" applyFill="1" applyBorder="1" applyAlignment="1">
      <alignment horizontal="left" vertical="center"/>
    </xf>
    <xf numFmtId="0" fontId="117" fillId="0" borderId="8" xfId="0" applyFont="1" applyFill="1" applyBorder="1" applyAlignment="1">
      <alignment vertical="center" wrapText="1"/>
    </xf>
    <xf numFmtId="189" fontId="109" fillId="0" borderId="8" xfId="0" applyNumberFormat="1" applyFont="1" applyFill="1" applyBorder="1" applyAlignment="1">
      <alignment vertical="center"/>
    </xf>
    <xf numFmtId="189" fontId="109" fillId="0" borderId="8" xfId="1" applyNumberFormat="1" applyFont="1" applyFill="1" applyBorder="1" applyAlignment="1">
      <alignment horizontal="right" vertical="center" shrinkToFit="1"/>
    </xf>
    <xf numFmtId="189" fontId="109" fillId="0" borderId="8" xfId="0" applyNumberFormat="1" applyFont="1" applyFill="1" applyBorder="1" applyAlignment="1">
      <alignment horizontal="right" vertical="center"/>
    </xf>
    <xf numFmtId="0" fontId="12" fillId="0" borderId="11" xfId="0" applyFont="1" applyFill="1" applyBorder="1" applyAlignment="1">
      <alignment vertical="center"/>
    </xf>
    <xf numFmtId="211" fontId="12" fillId="0" borderId="11" xfId="1" applyNumberFormat="1" applyFont="1" applyFill="1" applyBorder="1" applyAlignment="1">
      <alignment horizontal="center" vertical="center" shrinkToFit="1"/>
    </xf>
    <xf numFmtId="211" fontId="12" fillId="0" borderId="11" xfId="1" applyNumberFormat="1" applyFont="1" applyFill="1" applyBorder="1" applyAlignment="1">
      <alignment horizontal="right" vertical="center" shrinkToFit="1"/>
    </xf>
    <xf numFmtId="189" fontId="12" fillId="0" borderId="11" xfId="1" applyNumberFormat="1" applyFont="1" applyFill="1" applyBorder="1" applyAlignment="1">
      <alignment horizontal="right" vertical="center" shrinkToFit="1"/>
    </xf>
    <xf numFmtId="198" fontId="12" fillId="0" borderId="11" xfId="1" applyNumberFormat="1" applyFont="1" applyFill="1" applyBorder="1" applyAlignment="1">
      <alignment horizontal="right" vertical="center" shrinkToFit="1"/>
    </xf>
    <xf numFmtId="0" fontId="8" fillId="0" borderId="7" xfId="0" quotePrefix="1" applyFont="1" applyFill="1" applyBorder="1" applyAlignment="1">
      <alignment horizontal="left" vertical="center"/>
    </xf>
    <xf numFmtId="3" fontId="8" fillId="0" borderId="7" xfId="1" applyNumberFormat="1" applyFont="1" applyFill="1" applyBorder="1" applyAlignment="1">
      <alignment horizontal="right" vertical="center" shrinkToFit="1"/>
    </xf>
    <xf numFmtId="0" fontId="8" fillId="0" borderId="5" xfId="0" quotePrefix="1" applyFont="1" applyFill="1" applyBorder="1" applyAlignment="1">
      <alignment horizontal="left" vertical="center"/>
    </xf>
    <xf numFmtId="189" fontId="8" fillId="0" borderId="5" xfId="0" applyNumberFormat="1" applyFont="1" applyFill="1" applyBorder="1" applyAlignment="1">
      <alignment horizontal="left" vertical="center"/>
    </xf>
    <xf numFmtId="211" fontId="8" fillId="0" borderId="5" xfId="0" applyNumberFormat="1" applyFont="1" applyFill="1" applyBorder="1" applyAlignment="1">
      <alignment horizontal="center" vertical="center"/>
    </xf>
    <xf numFmtId="38" fontId="119" fillId="0" borderId="0" xfId="0" applyNumberFormat="1" applyFont="1" applyFill="1" applyAlignment="1">
      <alignment vertical="center"/>
    </xf>
    <xf numFmtId="198" fontId="119" fillId="0" borderId="0" xfId="0" applyNumberFormat="1" applyFont="1" applyFill="1" applyAlignment="1">
      <alignment vertical="center"/>
    </xf>
    <xf numFmtId="0" fontId="119" fillId="0" borderId="0" xfId="0" applyFont="1" applyFill="1" applyAlignment="1">
      <alignment vertical="center"/>
    </xf>
    <xf numFmtId="0" fontId="109" fillId="0" borderId="5" xfId="0" quotePrefix="1" applyFont="1" applyFill="1" applyBorder="1" applyAlignment="1">
      <alignment horizontal="left" vertical="center"/>
    </xf>
    <xf numFmtId="189" fontId="109" fillId="0" borderId="5" xfId="0" applyNumberFormat="1" applyFont="1" applyFill="1" applyBorder="1" applyAlignment="1">
      <alignment horizontal="left" vertical="center"/>
    </xf>
    <xf numFmtId="189" fontId="109" fillId="0" borderId="5" xfId="0" applyNumberFormat="1" applyFont="1" applyFill="1" applyBorder="1" applyAlignment="1">
      <alignment horizontal="center" vertical="center"/>
    </xf>
    <xf numFmtId="38" fontId="118" fillId="0" borderId="0" xfId="0" applyNumberFormat="1" applyFont="1" applyFill="1" applyAlignment="1">
      <alignment vertical="center"/>
    </xf>
    <xf numFmtId="198" fontId="118" fillId="0" borderId="0" xfId="0" applyNumberFormat="1" applyFont="1" applyFill="1" applyAlignment="1">
      <alignment vertical="center"/>
    </xf>
    <xf numFmtId="0" fontId="109" fillId="0" borderId="8" xfId="0" quotePrefix="1" applyFont="1" applyFill="1" applyBorder="1" applyAlignment="1">
      <alignment horizontal="left" vertical="center"/>
    </xf>
    <xf numFmtId="189" fontId="109" fillId="0" borderId="8" xfId="0" applyNumberFormat="1" applyFont="1" applyFill="1" applyBorder="1" applyAlignment="1">
      <alignment horizontal="left" vertical="center"/>
    </xf>
    <xf numFmtId="189" fontId="8" fillId="0" borderId="8" xfId="1" applyNumberFormat="1" applyFont="1" applyFill="1" applyBorder="1" applyAlignment="1">
      <alignment horizontal="right" vertical="center" shrinkToFit="1"/>
    </xf>
    <xf numFmtId="189" fontId="109" fillId="0" borderId="8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/>
    </xf>
    <xf numFmtId="189" fontId="8" fillId="0" borderId="7" xfId="1" applyNumberFormat="1" applyFont="1" applyFill="1" applyBorder="1" applyAlignment="1">
      <alignment horizontal="left" vertical="center" shrinkToFit="1"/>
    </xf>
    <xf numFmtId="3" fontId="8" fillId="0" borderId="7" xfId="5" applyNumberFormat="1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left" vertical="center"/>
    </xf>
    <xf numFmtId="211" fontId="8" fillId="0" borderId="7" xfId="1" applyNumberFormat="1" applyFont="1" applyFill="1" applyBorder="1" applyAlignment="1">
      <alignment horizontal="left" vertical="center" shrinkToFit="1"/>
    </xf>
    <xf numFmtId="198" fontId="8" fillId="0" borderId="7" xfId="1" applyNumberFormat="1" applyFont="1" applyFill="1" applyBorder="1" applyAlignment="1">
      <alignment vertical="center" shrinkToFit="1"/>
    </xf>
    <xf numFmtId="0" fontId="8" fillId="0" borderId="5" xfId="0" applyFont="1" applyFill="1" applyBorder="1" applyAlignment="1">
      <alignment horizontal="left" vertical="center"/>
    </xf>
    <xf numFmtId="1" fontId="8" fillId="0" borderId="5" xfId="0" applyNumberFormat="1" applyFont="1" applyFill="1" applyBorder="1" applyAlignment="1">
      <alignment horizontal="left" vertical="center"/>
    </xf>
    <xf numFmtId="198" fontId="8" fillId="0" borderId="5" xfId="1" applyNumberFormat="1" applyFont="1" applyFill="1" applyBorder="1" applyAlignment="1">
      <alignment vertical="center" shrinkToFit="1"/>
    </xf>
    <xf numFmtId="0" fontId="120" fillId="0" borderId="5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198" fontId="109" fillId="0" borderId="5" xfId="1" applyNumberFormat="1" applyFont="1" applyFill="1" applyBorder="1" applyAlignment="1">
      <alignment vertical="center" shrinkToFit="1"/>
    </xf>
    <xf numFmtId="0" fontId="113" fillId="0" borderId="0" xfId="0" applyFont="1" applyFill="1" applyAlignment="1">
      <alignment vertical="center"/>
    </xf>
    <xf numFmtId="198" fontId="109" fillId="0" borderId="8" xfId="1" applyNumberFormat="1" applyFont="1" applyFill="1" applyBorder="1" applyAlignment="1">
      <alignment vertical="center" shrinkToFit="1"/>
    </xf>
    <xf numFmtId="189" fontId="8" fillId="0" borderId="4" xfId="0" applyNumberFormat="1" applyFont="1" applyFill="1" applyBorder="1" applyAlignment="1">
      <alignment vertical="center"/>
    </xf>
    <xf numFmtId="211" fontId="8" fillId="0" borderId="7" xfId="0" applyNumberFormat="1" applyFont="1" applyFill="1" applyBorder="1" applyAlignment="1">
      <alignment horizontal="center" vertical="center"/>
    </xf>
    <xf numFmtId="0" fontId="116" fillId="0" borderId="5" xfId="0" applyFont="1" applyFill="1" applyBorder="1"/>
    <xf numFmtId="3" fontId="8" fillId="0" borderId="5" xfId="1" applyNumberFormat="1" applyFont="1" applyFill="1" applyBorder="1" applyAlignment="1">
      <alignment horizontal="right" vertical="center" shrinkToFit="1"/>
    </xf>
    <xf numFmtId="189" fontId="8" fillId="0" borderId="5" xfId="1" applyNumberFormat="1" applyFont="1" applyFill="1" applyBorder="1" applyAlignment="1">
      <alignment horizontal="right" vertical="center"/>
    </xf>
    <xf numFmtId="0" fontId="120" fillId="0" borderId="5" xfId="0" applyFont="1" applyFill="1" applyBorder="1"/>
    <xf numFmtId="0" fontId="97" fillId="0" borderId="0" xfId="0" applyFont="1" applyFill="1" applyBorder="1" applyAlignment="1">
      <alignment horizontal="right"/>
    </xf>
    <xf numFmtId="197" fontId="76" fillId="0" borderId="0" xfId="1" applyNumberFormat="1" applyFont="1" applyFill="1" applyBorder="1"/>
    <xf numFmtId="0" fontId="117" fillId="0" borderId="5" xfId="0" applyFont="1" applyFill="1" applyBorder="1"/>
    <xf numFmtId="0" fontId="114" fillId="0" borderId="0" xfId="0" applyFont="1" applyFill="1" applyBorder="1" applyAlignment="1">
      <alignment horizontal="right"/>
    </xf>
    <xf numFmtId="197" fontId="111" fillId="0" borderId="0" xfId="1" applyNumberFormat="1" applyFont="1" applyFill="1" applyBorder="1"/>
    <xf numFmtId="0" fontId="117" fillId="0" borderId="8" xfId="0" applyFont="1" applyFill="1" applyBorder="1"/>
    <xf numFmtId="1" fontId="8" fillId="0" borderId="7" xfId="0" applyNumberFormat="1" applyFont="1" applyFill="1" applyBorder="1" applyAlignment="1">
      <alignment horizontal="center" vertical="center" wrapText="1"/>
    </xf>
    <xf numFmtId="0" fontId="8" fillId="0" borderId="7" xfId="0" quotePrefix="1" applyFont="1" applyFill="1" applyBorder="1" applyAlignment="1">
      <alignment horizontal="center" vertical="center"/>
    </xf>
    <xf numFmtId="189" fontId="8" fillId="0" borderId="7" xfId="4" applyNumberFormat="1" applyFont="1" applyFill="1" applyBorder="1" applyAlignment="1">
      <alignment horizontal="right" vertical="center" wrapText="1"/>
    </xf>
    <xf numFmtId="189" fontId="42" fillId="0" borderId="7" xfId="0" applyNumberFormat="1" applyFont="1" applyFill="1" applyBorder="1" applyAlignment="1">
      <alignment vertical="center"/>
    </xf>
    <xf numFmtId="189" fontId="8" fillId="0" borderId="7" xfId="4" applyNumberFormat="1" applyFont="1" applyFill="1" applyBorder="1" applyAlignment="1">
      <alignment horizontal="center" vertical="center" wrapText="1"/>
    </xf>
    <xf numFmtId="189" fontId="8" fillId="0" borderId="7" xfId="1" applyNumberFormat="1" applyFont="1" applyFill="1" applyBorder="1" applyAlignment="1">
      <alignment horizontal="right" vertical="center"/>
    </xf>
    <xf numFmtId="189" fontId="8" fillId="0" borderId="7" xfId="4" applyNumberFormat="1" applyFont="1" applyFill="1" applyBorder="1" applyAlignment="1">
      <alignment vertical="center" shrinkToFit="1"/>
    </xf>
    <xf numFmtId="189" fontId="8" fillId="0" borderId="7" xfId="4" applyNumberFormat="1" applyFont="1" applyFill="1" applyBorder="1" applyAlignment="1">
      <alignment horizontal="right" vertical="center"/>
    </xf>
    <xf numFmtId="189" fontId="9" fillId="0" borderId="7" xfId="4" applyNumberFormat="1" applyFont="1" applyFill="1" applyBorder="1" applyAlignment="1">
      <alignment horizontal="right" vertical="center"/>
    </xf>
    <xf numFmtId="206" fontId="8" fillId="0" borderId="7" xfId="6" applyNumberFormat="1" applyFont="1" applyFill="1" applyBorder="1" applyAlignment="1">
      <alignment horizontal="left" vertical="center" wrapText="1"/>
    </xf>
    <xf numFmtId="1" fontId="8" fillId="0" borderId="5" xfId="0" applyNumberFormat="1" applyFont="1" applyFill="1" applyBorder="1" applyAlignment="1">
      <alignment horizontal="center" vertical="center" wrapText="1"/>
    </xf>
    <xf numFmtId="0" fontId="8" fillId="0" borderId="5" xfId="0" quotePrefix="1" applyFont="1" applyFill="1" applyBorder="1" applyAlignment="1">
      <alignment horizontal="center" vertical="center"/>
    </xf>
    <xf numFmtId="189" fontId="8" fillId="0" borderId="5" xfId="4" applyNumberFormat="1" applyFont="1" applyFill="1" applyBorder="1" applyAlignment="1">
      <alignment horizontal="right" vertical="center" wrapText="1"/>
    </xf>
    <xf numFmtId="189" fontId="8" fillId="0" borderId="5" xfId="4" applyNumberFormat="1" applyFont="1" applyFill="1" applyBorder="1" applyAlignment="1">
      <alignment horizontal="center" vertical="center" wrapText="1"/>
    </xf>
    <xf numFmtId="189" fontId="8" fillId="0" borderId="5" xfId="4" applyNumberFormat="1" applyFont="1" applyFill="1" applyBorder="1" applyAlignment="1">
      <alignment vertical="center" shrinkToFit="1"/>
    </xf>
    <xf numFmtId="189" fontId="8" fillId="0" borderId="5" xfId="4" applyNumberFormat="1" applyFont="1" applyFill="1" applyBorder="1" applyAlignment="1">
      <alignment vertical="center"/>
    </xf>
    <xf numFmtId="189" fontId="9" fillId="0" borderId="5" xfId="4" applyNumberFormat="1" applyFont="1" applyFill="1" applyBorder="1" applyAlignment="1">
      <alignment vertical="center"/>
    </xf>
    <xf numFmtId="206" fontId="8" fillId="0" borderId="5" xfId="6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vertical="center"/>
    </xf>
    <xf numFmtId="1" fontId="8" fillId="0" borderId="8" xfId="0" applyNumberFormat="1" applyFont="1" applyFill="1" applyBorder="1" applyAlignment="1">
      <alignment horizontal="center" vertical="center" wrapText="1"/>
    </xf>
    <xf numFmtId="0" fontId="8" fillId="0" borderId="8" xfId="0" quotePrefix="1" applyFont="1" applyFill="1" applyBorder="1" applyAlignment="1">
      <alignment horizontal="center" vertical="center"/>
    </xf>
    <xf numFmtId="0" fontId="116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189" fontId="8" fillId="0" borderId="8" xfId="4" applyNumberFormat="1" applyFont="1" applyFill="1" applyBorder="1" applyAlignment="1">
      <alignment horizontal="right" vertical="center" wrapText="1"/>
    </xf>
    <xf numFmtId="189" fontId="8" fillId="0" borderId="8" xfId="1" applyNumberFormat="1" applyFont="1" applyFill="1" applyBorder="1" applyAlignment="1">
      <alignment vertical="center" shrinkToFit="1"/>
    </xf>
    <xf numFmtId="189" fontId="8" fillId="0" borderId="8" xfId="1" applyNumberFormat="1" applyFont="1" applyFill="1" applyBorder="1" applyAlignment="1">
      <alignment horizontal="right" vertical="center"/>
    </xf>
    <xf numFmtId="189" fontId="8" fillId="0" borderId="8" xfId="0" applyNumberFormat="1" applyFont="1" applyFill="1" applyBorder="1" applyAlignment="1">
      <alignment horizontal="right" vertical="center"/>
    </xf>
    <xf numFmtId="189" fontId="9" fillId="0" borderId="8" xfId="4" applyNumberFormat="1" applyFont="1" applyFill="1" applyBorder="1" applyAlignment="1">
      <alignment vertical="center"/>
    </xf>
    <xf numFmtId="206" fontId="8" fillId="0" borderId="8" xfId="6" applyNumberFormat="1" applyFont="1" applyFill="1" applyBorder="1" applyAlignment="1">
      <alignment horizontal="left" vertical="center" wrapText="1"/>
    </xf>
    <xf numFmtId="189" fontId="12" fillId="0" borderId="4" xfId="4" applyNumberFormat="1" applyFont="1" applyFill="1" applyBorder="1" applyAlignment="1">
      <alignment horizontal="right" vertical="center"/>
    </xf>
    <xf numFmtId="206" fontId="12" fillId="0" borderId="4" xfId="6" applyNumberFormat="1" applyFont="1" applyFill="1" applyBorder="1" applyAlignment="1">
      <alignment horizontal="right" vertical="center" wrapText="1"/>
    </xf>
    <xf numFmtId="0" fontId="8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189" fontId="112" fillId="0" borderId="4" xfId="1" applyNumberFormat="1" applyFont="1" applyFill="1" applyBorder="1" applyAlignment="1">
      <alignment horizontal="right" vertical="center" shrinkToFit="1"/>
    </xf>
    <xf numFmtId="189" fontId="12" fillId="0" borderId="4" xfId="1" applyNumberFormat="1" applyFont="1" applyFill="1" applyBorder="1" applyAlignment="1">
      <alignment vertical="center"/>
    </xf>
    <xf numFmtId="197" fontId="12" fillId="0" borderId="4" xfId="0" applyNumberFormat="1" applyFont="1" applyFill="1" applyBorder="1" applyAlignment="1">
      <alignment horizontal="right" vertical="center"/>
    </xf>
    <xf numFmtId="197" fontId="11" fillId="0" borderId="0" xfId="1" applyNumberFormat="1" applyFont="1" applyFill="1" applyAlignment="1"/>
    <xf numFmtId="0" fontId="11" fillId="0" borderId="0" xfId="0" applyFont="1" applyFill="1" applyAlignment="1">
      <alignment horizontal="right"/>
    </xf>
    <xf numFmtId="198" fontId="121" fillId="0" borderId="0" xfId="0" applyNumberFormat="1" applyFont="1" applyFill="1"/>
    <xf numFmtId="198" fontId="122" fillId="0" borderId="0" xfId="0" applyNumberFormat="1" applyFont="1" applyFill="1"/>
    <xf numFmtId="190" fontId="123" fillId="0" borderId="0" xfId="0" applyNumberFormat="1" applyFont="1" applyFill="1" applyAlignment="1">
      <alignment horizontal="center"/>
    </xf>
    <xf numFmtId="213" fontId="13" fillId="0" borderId="0" xfId="0" applyNumberFormat="1" applyFont="1" applyFill="1" applyAlignment="1"/>
    <xf numFmtId="213" fontId="8" fillId="0" borderId="0" xfId="0" applyNumberFormat="1" applyFont="1" applyFill="1" applyAlignment="1">
      <alignment horizontal="center"/>
    </xf>
    <xf numFmtId="0" fontId="123" fillId="0" borderId="0" xfId="0" applyFont="1" applyFill="1"/>
    <xf numFmtId="213" fontId="8" fillId="0" borderId="0" xfId="0" applyNumberFormat="1" applyFont="1" applyFill="1"/>
    <xf numFmtId="198" fontId="13" fillId="0" borderId="0" xfId="0" applyNumberFormat="1" applyFont="1" applyFill="1" applyAlignment="1"/>
    <xf numFmtId="190" fontId="10" fillId="0" borderId="0" xfId="0" applyNumberFormat="1" applyFont="1" applyFill="1" applyAlignment="1"/>
    <xf numFmtId="189" fontId="8" fillId="0" borderId="21" xfId="1" applyNumberFormat="1" applyFont="1" applyFill="1" applyBorder="1" applyAlignment="1">
      <alignment horizontal="right" vertical="center"/>
    </xf>
    <xf numFmtId="189" fontId="8" fillId="0" borderId="11" xfId="1" applyNumberFormat="1" applyFont="1" applyFill="1" applyBorder="1" applyAlignment="1">
      <alignment horizontal="right" vertical="center" shrinkToFit="1"/>
    </xf>
    <xf numFmtId="0" fontId="109" fillId="0" borderId="17" xfId="0" quotePrefix="1" applyFont="1" applyFill="1" applyBorder="1" applyAlignment="1">
      <alignment horizontal="left" vertical="center"/>
    </xf>
    <xf numFmtId="0" fontId="117" fillId="0" borderId="17" xfId="0" applyFont="1" applyFill="1" applyBorder="1" applyAlignment="1">
      <alignment vertical="center" wrapText="1"/>
    </xf>
    <xf numFmtId="189" fontId="109" fillId="0" borderId="17" xfId="0" applyNumberFormat="1" applyFont="1" applyFill="1" applyBorder="1" applyAlignment="1">
      <alignment horizontal="left" vertical="center"/>
    </xf>
    <xf numFmtId="211" fontId="109" fillId="0" borderId="17" xfId="0" applyNumberFormat="1" applyFont="1" applyFill="1" applyBorder="1" applyAlignment="1">
      <alignment horizontal="center" vertical="center"/>
    </xf>
    <xf numFmtId="189" fontId="109" fillId="0" borderId="17" xfId="1" applyNumberFormat="1" applyFont="1" applyFill="1" applyBorder="1" applyAlignment="1">
      <alignment horizontal="right" vertical="center" shrinkToFit="1"/>
    </xf>
    <xf numFmtId="189" fontId="8" fillId="0" borderId="17" xfId="1" applyNumberFormat="1" applyFont="1" applyFill="1" applyBorder="1" applyAlignment="1">
      <alignment horizontal="right" vertical="center" shrinkToFit="1"/>
    </xf>
    <xf numFmtId="189" fontId="109" fillId="0" borderId="17" xfId="0" applyNumberFormat="1" applyFont="1" applyFill="1" applyBorder="1" applyAlignment="1">
      <alignment horizontal="right" vertical="center"/>
    </xf>
    <xf numFmtId="189" fontId="109" fillId="0" borderId="17" xfId="0" applyNumberFormat="1" applyFont="1" applyFill="1" applyBorder="1" applyAlignment="1">
      <alignment horizontal="center" vertical="center"/>
    </xf>
    <xf numFmtId="189" fontId="109" fillId="0" borderId="17" xfId="0" applyNumberFormat="1" applyFont="1" applyFill="1" applyBorder="1" applyAlignment="1">
      <alignment vertical="center"/>
    </xf>
    <xf numFmtId="189" fontId="109" fillId="0" borderId="17" xfId="0" quotePrefix="1" applyNumberFormat="1" applyFont="1" applyFill="1" applyBorder="1" applyAlignment="1">
      <alignment horizontal="left" vertical="center"/>
    </xf>
    <xf numFmtId="198" fontId="109" fillId="0" borderId="17" xfId="1" applyNumberFormat="1" applyFont="1" applyFill="1" applyBorder="1" applyAlignment="1">
      <alignment vertical="center" shrinkToFit="1"/>
    </xf>
    <xf numFmtId="0" fontId="15" fillId="2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98" fontId="30" fillId="0" borderId="0" xfId="1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27" fillId="0" borderId="4" xfId="0" applyNumberFormat="1" applyFont="1" applyFill="1" applyBorder="1" applyAlignment="1">
      <alignment horizontal="center" vertical="center"/>
    </xf>
    <xf numFmtId="3" fontId="27" fillId="0" borderId="4" xfId="0" applyNumberFormat="1" applyFont="1" applyFill="1" applyBorder="1" applyAlignment="1">
      <alignment horizontal="righ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Alignment="1"/>
    <xf numFmtId="4" fontId="13" fillId="0" borderId="4" xfId="0" applyNumberFormat="1" applyFont="1" applyFill="1" applyBorder="1" applyAlignment="1">
      <alignment horizontal="center" vertical="center"/>
    </xf>
    <xf numFmtId="3" fontId="11" fillId="0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0" fontId="10" fillId="2" borderId="4" xfId="0" applyFont="1" applyFill="1" applyBorder="1" applyAlignment="1">
      <alignment horizontal="center" vertical="center" shrinkToFit="1"/>
    </xf>
    <xf numFmtId="197" fontId="10" fillId="2" borderId="4" xfId="1" applyNumberFormat="1" applyFont="1" applyFill="1" applyBorder="1" applyAlignment="1">
      <alignment vertical="center" shrinkToFit="1"/>
    </xf>
    <xf numFmtId="197" fontId="10" fillId="2" borderId="4" xfId="0" applyNumberFormat="1" applyFont="1" applyFill="1" applyBorder="1" applyAlignment="1">
      <alignment horizontal="right" vertical="center" shrinkToFit="1"/>
    </xf>
    <xf numFmtId="197" fontId="10" fillId="2" borderId="4" xfId="0" applyNumberFormat="1" applyFont="1" applyFill="1" applyBorder="1" applyAlignment="1">
      <alignment vertical="center" shrinkToFit="1"/>
    </xf>
    <xf numFmtId="0" fontId="8" fillId="2" borderId="4" xfId="0" applyFont="1" applyFill="1" applyBorder="1"/>
    <xf numFmtId="0" fontId="21" fillId="0" borderId="4" xfId="0" applyFont="1" applyBorder="1" applyAlignment="1">
      <alignment vertical="center" shrinkToFit="1"/>
    </xf>
    <xf numFmtId="0" fontId="32" fillId="2" borderId="4" xfId="0" applyFont="1" applyFill="1" applyBorder="1" applyAlignment="1">
      <alignment horizontal="center" vertical="center" shrinkToFit="1"/>
    </xf>
    <xf numFmtId="197" fontId="32" fillId="2" borderId="4" xfId="1" applyNumberFormat="1" applyFont="1" applyFill="1" applyBorder="1" applyAlignment="1">
      <alignment vertical="center" shrinkToFit="1"/>
    </xf>
    <xf numFmtId="197" fontId="32" fillId="2" borderId="4" xfId="0" applyNumberFormat="1" applyFont="1" applyFill="1" applyBorder="1" applyAlignment="1">
      <alignment vertical="center" shrinkToFit="1"/>
    </xf>
    <xf numFmtId="0" fontId="124" fillId="0" borderId="0" xfId="0" applyFont="1" applyFill="1"/>
    <xf numFmtId="1" fontId="89" fillId="0" borderId="4" xfId="0" applyNumberFormat="1" applyFont="1" applyFill="1" applyBorder="1" applyAlignment="1">
      <alignment horizontal="center" vertical="center" wrapText="1"/>
    </xf>
    <xf numFmtId="191" fontId="5" fillId="0" borderId="0" xfId="0" applyNumberFormat="1" applyFont="1" applyFill="1" applyBorder="1"/>
    <xf numFmtId="190" fontId="78" fillId="0" borderId="0" xfId="1" applyNumberFormat="1" applyFont="1" applyFill="1" applyBorder="1"/>
    <xf numFmtId="191" fontId="78" fillId="0" borderId="0" xfId="0" applyNumberFormat="1" applyFont="1" applyFill="1" applyBorder="1"/>
    <xf numFmtId="233" fontId="78" fillId="0" borderId="0" xfId="0" applyNumberFormat="1" applyFont="1" applyFill="1" applyBorder="1"/>
    <xf numFmtId="233" fontId="5" fillId="0" borderId="0" xfId="0" applyNumberFormat="1" applyFont="1" applyFill="1" applyBorder="1"/>
    <xf numFmtId="189" fontId="129" fillId="0" borderId="0" xfId="0" applyNumberFormat="1" applyFont="1" applyFill="1" applyAlignment="1">
      <alignment vertical="center"/>
    </xf>
    <xf numFmtId="189" fontId="129" fillId="0" borderId="0" xfId="0" applyNumberFormat="1" applyFont="1" applyFill="1" applyAlignment="1">
      <alignment shrinkToFit="1"/>
    </xf>
    <xf numFmtId="214" fontId="129" fillId="0" borderId="0" xfId="1" applyNumberFormat="1" applyFont="1" applyFill="1" applyAlignment="1"/>
    <xf numFmtId="211" fontId="129" fillId="0" borderId="0" xfId="1" applyNumberFormat="1" applyFont="1" applyFill="1" applyAlignment="1"/>
    <xf numFmtId="189" fontId="129" fillId="0" borderId="0" xfId="0" applyNumberFormat="1" applyFont="1" applyFill="1"/>
    <xf numFmtId="4" fontId="129" fillId="0" borderId="0" xfId="1" applyNumberFormat="1" applyFont="1" applyFill="1"/>
    <xf numFmtId="189" fontId="129" fillId="0" borderId="0" xfId="1" applyNumberFormat="1" applyFont="1" applyFill="1" applyAlignment="1">
      <alignment horizontal="center"/>
    </xf>
    <xf numFmtId="189" fontId="129" fillId="0" borderId="0" xfId="1" applyNumberFormat="1" applyFont="1" applyFill="1"/>
    <xf numFmtId="211" fontId="129" fillId="0" borderId="0" xfId="0" applyNumberFormat="1" applyFont="1" applyFill="1"/>
    <xf numFmtId="189" fontId="129" fillId="0" borderId="0" xfId="0" applyNumberFormat="1" applyFont="1" applyFill="1" applyBorder="1" applyAlignment="1"/>
    <xf numFmtId="189" fontId="105" fillId="0" borderId="0" xfId="0" applyNumberFormat="1" applyFont="1" applyFill="1" applyAlignment="1">
      <alignment vertical="center"/>
    </xf>
    <xf numFmtId="189" fontId="105" fillId="0" borderId="0" xfId="0" applyNumberFormat="1" applyFont="1" applyFill="1"/>
    <xf numFmtId="4" fontId="105" fillId="0" borderId="0" xfId="0" applyNumberFormat="1" applyFont="1" applyFill="1"/>
    <xf numFmtId="189" fontId="105" fillId="0" borderId="0" xfId="0" applyNumberFormat="1" applyFont="1" applyFill="1" applyAlignment="1"/>
    <xf numFmtId="211" fontId="105" fillId="0" borderId="0" xfId="0" applyNumberFormat="1" applyFont="1" applyFill="1"/>
    <xf numFmtId="211" fontId="105" fillId="0" borderId="0" xfId="0" applyNumberFormat="1" applyFont="1" applyFill="1" applyAlignment="1"/>
    <xf numFmtId="211" fontId="105" fillId="0" borderId="0" xfId="0" applyNumberFormat="1" applyFont="1" applyFill="1" applyAlignment="1">
      <alignment horizontal="center"/>
    </xf>
    <xf numFmtId="225" fontId="105" fillId="0" borderId="0" xfId="0" applyNumberFormat="1" applyFont="1" applyFill="1" applyAlignment="1">
      <alignment horizontal="center"/>
    </xf>
    <xf numFmtId="211" fontId="129" fillId="0" borderId="0" xfId="0" applyNumberFormat="1" applyFont="1" applyFill="1" applyAlignment="1"/>
    <xf numFmtId="3" fontId="129" fillId="0" borderId="0" xfId="1" applyNumberFormat="1" applyFont="1" applyFill="1" applyAlignment="1"/>
    <xf numFmtId="197" fontId="13" fillId="0" borderId="0" xfId="0" applyNumberFormat="1" applyFont="1" applyFill="1"/>
    <xf numFmtId="1" fontId="13" fillId="0" borderId="0" xfId="0" applyNumberFormat="1" applyFont="1" applyFill="1"/>
    <xf numFmtId="197" fontId="11" fillId="0" borderId="0" xfId="1" applyNumberFormat="1" applyFont="1" applyFill="1"/>
    <xf numFmtId="210" fontId="43" fillId="0" borderId="4" xfId="0" applyNumberFormat="1" applyFont="1" applyFill="1" applyBorder="1"/>
    <xf numFmtId="200" fontId="10" fillId="0" borderId="0" xfId="0" applyNumberFormat="1" applyFont="1" applyFill="1" applyBorder="1"/>
    <xf numFmtId="0" fontId="47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3" fontId="89" fillId="0" borderId="4" xfId="0" applyNumberFormat="1" applyFont="1" applyFill="1" applyBorder="1" applyAlignment="1">
      <alignment horizontal="right" vertical="center"/>
    </xf>
    <xf numFmtId="0" fontId="101" fillId="0" borderId="17" xfId="0" applyFont="1" applyFill="1" applyBorder="1" applyAlignment="1">
      <alignment horizontal="center" vertical="center"/>
    </xf>
    <xf numFmtId="0" fontId="101" fillId="0" borderId="0" xfId="0" applyFont="1" applyFill="1" applyBorder="1" applyAlignment="1">
      <alignment horizontal="center"/>
    </xf>
    <xf numFmtId="0" fontId="101" fillId="0" borderId="0" xfId="0" applyFont="1" applyFill="1" applyAlignment="1"/>
    <xf numFmtId="0" fontId="89" fillId="2" borderId="0" xfId="0" applyFont="1" applyFill="1" applyAlignment="1">
      <alignment horizontal="center"/>
    </xf>
    <xf numFmtId="199" fontId="89" fillId="2" borderId="0" xfId="1" applyNumberFormat="1" applyFont="1" applyFill="1"/>
    <xf numFmtId="0" fontId="28" fillId="0" borderId="0" xfId="0" applyFont="1" applyFill="1" applyAlignment="1"/>
    <xf numFmtId="0" fontId="28" fillId="2" borderId="0" xfId="0" applyFont="1" applyFill="1" applyAlignment="1"/>
    <xf numFmtId="0" fontId="28" fillId="2" borderId="0" xfId="0" applyFont="1" applyFill="1" applyAlignment="1">
      <alignment horizontal="center"/>
    </xf>
    <xf numFmtId="201" fontId="89" fillId="2" borderId="0" xfId="1" applyNumberFormat="1" applyFont="1" applyFill="1"/>
    <xf numFmtId="202" fontId="28" fillId="2" borderId="0" xfId="1" applyNumberFormat="1" applyFont="1" applyFill="1" applyAlignment="1">
      <alignment horizontal="center"/>
    </xf>
    <xf numFmtId="199" fontId="28" fillId="2" borderId="0" xfId="1" applyNumberFormat="1" applyFont="1" applyFill="1" applyAlignment="1">
      <alignment horizontal="center"/>
    </xf>
    <xf numFmtId="2" fontId="68" fillId="0" borderId="0" xfId="0" applyNumberFormat="1" applyFont="1"/>
    <xf numFmtId="0" fontId="27" fillId="2" borderId="0" xfId="0" applyFont="1" applyFill="1" applyBorder="1" applyAlignment="1">
      <alignment wrapText="1"/>
    </xf>
    <xf numFmtId="0" fontId="27" fillId="2" borderId="0" xfId="0" applyFont="1" applyFill="1" applyBorder="1" applyAlignment="1"/>
    <xf numFmtId="0" fontId="89" fillId="0" borderId="0" xfId="0" applyFont="1" applyFill="1" applyAlignment="1">
      <alignment vertical="center"/>
    </xf>
    <xf numFmtId="4" fontId="89" fillId="0" borderId="0" xfId="0" applyNumberFormat="1" applyFont="1" applyFill="1" applyAlignment="1">
      <alignment horizontal="center"/>
    </xf>
    <xf numFmtId="4" fontId="89" fillId="0" borderId="0" xfId="0" applyNumberFormat="1" applyFont="1" applyFill="1" applyAlignment="1">
      <alignment horizontal="right"/>
    </xf>
    <xf numFmtId="196" fontId="89" fillId="0" borderId="0" xfId="1" applyFont="1" applyFill="1" applyAlignment="1">
      <alignment horizontal="center"/>
    </xf>
    <xf numFmtId="4" fontId="27" fillId="0" borderId="0" xfId="0" applyNumberFormat="1" applyFont="1" applyFill="1" applyBorder="1" applyAlignment="1">
      <alignment vertical="center"/>
    </xf>
    <xf numFmtId="3" fontId="27" fillId="0" borderId="0" xfId="0" applyNumberFormat="1" applyFont="1" applyFill="1" applyBorder="1" applyAlignment="1">
      <alignment vertical="center" wrapText="1"/>
    </xf>
    <xf numFmtId="3" fontId="27" fillId="0" borderId="0" xfId="0" applyNumberFormat="1" applyFont="1" applyFill="1" applyBorder="1" applyAlignment="1">
      <alignment vertical="center"/>
    </xf>
    <xf numFmtId="4" fontId="89" fillId="0" borderId="0" xfId="0" applyNumberFormat="1" applyFont="1" applyFill="1" applyBorder="1" applyAlignment="1">
      <alignment vertical="center"/>
    </xf>
    <xf numFmtId="3" fontId="89" fillId="0" borderId="0" xfId="0" applyNumberFormat="1" applyFont="1" applyFill="1" applyBorder="1" applyAlignment="1">
      <alignment vertical="center" wrapText="1"/>
    </xf>
    <xf numFmtId="3" fontId="89" fillId="0" borderId="0" xfId="0" applyNumberFormat="1" applyFont="1" applyFill="1" applyBorder="1" applyAlignment="1">
      <alignment vertical="center"/>
    </xf>
    <xf numFmtId="0" fontId="68" fillId="0" borderId="0" xfId="0" applyFont="1" applyBorder="1" applyAlignment="1"/>
    <xf numFmtId="0" fontId="132" fillId="0" borderId="0" xfId="0" applyFont="1"/>
    <xf numFmtId="0" fontId="133" fillId="0" borderId="0" xfId="0" applyFont="1" applyFill="1" applyAlignment="1">
      <alignment horizontal="center"/>
    </xf>
    <xf numFmtId="218" fontId="55" fillId="0" borderId="0" xfId="1" applyNumberFormat="1" applyFont="1" applyFill="1" applyAlignment="1">
      <alignment horizontal="center"/>
    </xf>
    <xf numFmtId="0" fontId="4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1" fontId="124" fillId="0" borderId="0" xfId="0" applyNumberFormat="1" applyFont="1" applyFill="1"/>
    <xf numFmtId="197" fontId="124" fillId="0" borderId="0" xfId="1" applyNumberFormat="1" applyFont="1" applyFill="1"/>
    <xf numFmtId="2" fontId="124" fillId="0" borderId="0" xfId="0" applyNumberFormat="1" applyFont="1" applyFill="1"/>
    <xf numFmtId="190" fontId="124" fillId="0" borderId="0" xfId="0" applyNumberFormat="1" applyFont="1" applyFill="1"/>
    <xf numFmtId="200" fontId="124" fillId="0" borderId="0" xfId="0" applyNumberFormat="1" applyFont="1" applyFill="1"/>
    <xf numFmtId="224" fontId="124" fillId="0" borderId="0" xfId="0" applyNumberFormat="1" applyFont="1" applyFill="1"/>
    <xf numFmtId="197" fontId="124" fillId="0" borderId="0" xfId="0" applyNumberFormat="1" applyFont="1" applyFill="1"/>
    <xf numFmtId="196" fontId="124" fillId="0" borderId="0" xfId="1" applyFont="1" applyFill="1"/>
    <xf numFmtId="202" fontId="124" fillId="0" borderId="0" xfId="0" applyNumberFormat="1" applyFont="1" applyFill="1"/>
    <xf numFmtId="0" fontId="55" fillId="0" borderId="0" xfId="0" applyFont="1" applyFill="1" applyAlignment="1">
      <alignment horizontal="center"/>
    </xf>
    <xf numFmtId="0" fontId="36" fillId="0" borderId="0" xfId="0" applyFont="1" applyFill="1" applyBorder="1" applyAlignment="1"/>
    <xf numFmtId="0" fontId="134" fillId="0" borderId="0" xfId="0" applyFont="1" applyFill="1" applyBorder="1" applyAlignment="1"/>
    <xf numFmtId="217" fontId="55" fillId="0" borderId="0" xfId="1" applyNumberFormat="1" applyFont="1" applyFill="1" applyAlignment="1">
      <alignment horizontal="center"/>
    </xf>
    <xf numFmtId="217" fontId="124" fillId="0" borderId="0" xfId="0" applyNumberFormat="1" applyFont="1" applyFill="1"/>
    <xf numFmtId="227" fontId="124" fillId="0" borderId="0" xfId="0" applyNumberFormat="1" applyFont="1" applyFill="1"/>
    <xf numFmtId="43" fontId="124" fillId="0" borderId="0" xfId="0" applyNumberFormat="1" applyFont="1" applyFill="1"/>
    <xf numFmtId="222" fontId="124" fillId="0" borderId="0" xfId="1" applyNumberFormat="1" applyFont="1" applyFill="1"/>
    <xf numFmtId="203" fontId="124" fillId="0" borderId="0" xfId="0" applyNumberFormat="1" applyFont="1" applyFill="1"/>
    <xf numFmtId="0" fontId="13" fillId="0" borderId="0" xfId="0" applyFont="1" applyFill="1" applyAlignment="1">
      <alignment horizont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center"/>
    </xf>
    <xf numFmtId="0" fontId="57" fillId="0" borderId="0" xfId="0" applyFont="1" applyFill="1" applyAlignment="1"/>
    <xf numFmtId="189" fontId="136" fillId="0" borderId="0" xfId="1" applyNumberFormat="1" applyFont="1" applyFill="1" applyAlignment="1">
      <alignment horizontal="center"/>
    </xf>
    <xf numFmtId="189" fontId="136" fillId="0" borderId="0" xfId="1" applyNumberFormat="1" applyFont="1" applyFill="1" applyAlignment="1"/>
    <xf numFmtId="3" fontId="129" fillId="0" borderId="0" xfId="0" applyNumberFormat="1" applyFont="1" applyFill="1"/>
    <xf numFmtId="4" fontId="105" fillId="0" borderId="0" xfId="0" applyNumberFormat="1" applyFont="1" applyFill="1" applyAlignment="1">
      <alignment horizontal="center"/>
    </xf>
    <xf numFmtId="189" fontId="129" fillId="0" borderId="0" xfId="0" applyNumberFormat="1" applyFont="1" applyFill="1" applyBorder="1" applyAlignment="1">
      <alignment vertical="center"/>
    </xf>
    <xf numFmtId="203" fontId="129" fillId="0" borderId="0" xfId="0" applyNumberFormat="1" applyFont="1" applyFill="1"/>
    <xf numFmtId="4" fontId="129" fillId="0" borderId="0" xfId="1" applyNumberFormat="1" applyFont="1" applyFill="1" applyBorder="1" applyAlignment="1"/>
    <xf numFmtId="189" fontId="129" fillId="0" borderId="0" xfId="1" applyNumberFormat="1" applyFont="1" applyFill="1" applyBorder="1" applyAlignment="1">
      <alignment horizontal="center"/>
    </xf>
    <xf numFmtId="189" fontId="129" fillId="0" borderId="0" xfId="1" applyNumberFormat="1" applyFont="1" applyFill="1" applyBorder="1" applyAlignment="1"/>
    <xf numFmtId="189" fontId="129" fillId="0" borderId="0" xfId="1" applyNumberFormat="1" applyFont="1" applyFill="1" applyBorder="1"/>
    <xf numFmtId="189" fontId="105" fillId="0" borderId="4" xfId="1" applyNumberFormat="1" applyFont="1" applyFill="1" applyBorder="1" applyAlignment="1">
      <alignment horizontal="right" vertical="center"/>
    </xf>
    <xf numFmtId="189" fontId="129" fillId="0" borderId="4" xfId="0" applyNumberFormat="1" applyFont="1" applyFill="1" applyBorder="1" applyAlignment="1">
      <alignment horizontal="center" vertical="center" shrinkToFit="1"/>
    </xf>
    <xf numFmtId="189" fontId="129" fillId="0" borderId="4" xfId="0" applyNumberFormat="1" applyFont="1" applyFill="1" applyBorder="1" applyAlignment="1">
      <alignment vertical="center" shrinkToFit="1"/>
    </xf>
    <xf numFmtId="211" fontId="129" fillId="0" borderId="4" xfId="0" applyNumberFormat="1" applyFont="1" applyFill="1" applyBorder="1" applyAlignment="1">
      <alignment vertical="center" shrinkToFit="1"/>
    </xf>
    <xf numFmtId="189" fontId="105" fillId="0" borderId="4" xfId="1" applyNumberFormat="1" applyFont="1" applyFill="1" applyBorder="1" applyAlignment="1">
      <alignment horizontal="right" vertical="center" wrapText="1"/>
    </xf>
    <xf numFmtId="189" fontId="129" fillId="0" borderId="0" xfId="0" applyNumberFormat="1" applyFont="1" applyFill="1" applyAlignment="1"/>
    <xf numFmtId="214" fontId="129" fillId="0" borderId="0" xfId="0" applyNumberFormat="1" applyFont="1" applyFill="1"/>
    <xf numFmtId="214" fontId="129" fillId="0" borderId="0" xfId="0" applyNumberFormat="1" applyFont="1" applyFill="1" applyAlignment="1"/>
    <xf numFmtId="212" fontId="129" fillId="0" borderId="0" xfId="0" applyNumberFormat="1" applyFont="1" applyFill="1"/>
    <xf numFmtId="213" fontId="129" fillId="0" borderId="0" xfId="0" applyNumberFormat="1" applyFont="1" applyFill="1"/>
    <xf numFmtId="211" fontId="129" fillId="0" borderId="0" xfId="1" applyNumberFormat="1" applyFont="1" applyFill="1"/>
    <xf numFmtId="189" fontId="129" fillId="0" borderId="0" xfId="0" applyNumberFormat="1" applyFont="1" applyFill="1" applyAlignment="1">
      <alignment horizontal="right"/>
    </xf>
    <xf numFmtId="4" fontId="129" fillId="0" borderId="0" xfId="1" applyNumberFormat="1" applyFont="1" applyFill="1" applyAlignment="1"/>
    <xf numFmtId="214" fontId="138" fillId="0" borderId="0" xfId="0" applyNumberFormat="1" applyFont="1" applyFill="1" applyAlignment="1"/>
    <xf numFmtId="189" fontId="129" fillId="0" borderId="4" xfId="0" applyNumberFormat="1" applyFont="1" applyFill="1" applyBorder="1" applyAlignment="1">
      <alignment horizontal="left" vertical="center" shrinkToFit="1"/>
    </xf>
    <xf numFmtId="211" fontId="129" fillId="0" borderId="4" xfId="0" applyNumberFormat="1" applyFont="1" applyFill="1" applyBorder="1" applyAlignment="1">
      <alignment horizontal="left" vertical="center" shrinkToFit="1"/>
    </xf>
    <xf numFmtId="211" fontId="105" fillId="0" borderId="4" xfId="1" applyNumberFormat="1" applyFont="1" applyFill="1" applyBorder="1" applyAlignment="1">
      <alignment horizontal="center" vertical="center" wrapText="1"/>
    </xf>
    <xf numFmtId="0" fontId="27" fillId="0" borderId="4" xfId="0" applyNumberFormat="1" applyFont="1" applyFill="1" applyBorder="1" applyAlignment="1">
      <alignment horizontal="center" vertical="center" shrinkToFit="1"/>
    </xf>
    <xf numFmtId="221" fontId="27" fillId="0" borderId="4" xfId="6" applyNumberFormat="1" applyFont="1" applyFill="1" applyBorder="1" applyAlignment="1">
      <alignment horizontal="center" vertical="center" wrapText="1"/>
    </xf>
    <xf numFmtId="197" fontId="85" fillId="0" borderId="4" xfId="1" applyNumberFormat="1" applyFont="1" applyFill="1" applyBorder="1" applyAlignment="1">
      <alignment horizontal="center" vertical="center" wrapText="1"/>
    </xf>
    <xf numFmtId="200" fontId="27" fillId="0" borderId="4" xfId="6" applyNumberFormat="1" applyFont="1" applyFill="1" applyBorder="1" applyAlignment="1">
      <alignment horizontal="center" vertical="center" wrapText="1"/>
    </xf>
    <xf numFmtId="0" fontId="139" fillId="0" borderId="4" xfId="0" applyFont="1" applyFill="1" applyBorder="1" applyAlignment="1">
      <alignment vertical="center"/>
    </xf>
    <xf numFmtId="0" fontId="89" fillId="0" borderId="4" xfId="0" quotePrefix="1" applyFont="1" applyFill="1" applyBorder="1" applyAlignment="1">
      <alignment horizontal="center" vertical="center"/>
    </xf>
    <xf numFmtId="204" fontId="89" fillId="0" borderId="4" xfId="4" applyNumberFormat="1" applyFont="1" applyFill="1" applyBorder="1" applyAlignment="1">
      <alignment horizontal="right" vertical="center" wrapText="1"/>
    </xf>
    <xf numFmtId="204" fontId="87" fillId="0" borderId="4" xfId="4" applyNumberFormat="1" applyFont="1" applyFill="1" applyBorder="1" applyAlignment="1">
      <alignment horizontal="right" vertical="center" wrapText="1"/>
    </xf>
    <xf numFmtId="206" fontId="89" fillId="0" borderId="4" xfId="4" applyNumberFormat="1" applyFont="1" applyFill="1" applyBorder="1" applyAlignment="1">
      <alignment horizontal="center" vertical="center" wrapText="1"/>
    </xf>
    <xf numFmtId="3" fontId="89" fillId="0" borderId="4" xfId="4" applyNumberFormat="1" applyFont="1" applyFill="1" applyBorder="1" applyAlignment="1">
      <alignment vertical="center" shrinkToFit="1"/>
    </xf>
    <xf numFmtId="3" fontId="89" fillId="0" borderId="4" xfId="4" applyNumberFormat="1" applyFont="1" applyFill="1" applyBorder="1" applyAlignment="1">
      <alignment horizontal="right" vertical="center"/>
    </xf>
    <xf numFmtId="3" fontId="89" fillId="0" borderId="4" xfId="4" applyNumberFormat="1" applyFont="1" applyFill="1" applyBorder="1" applyAlignment="1">
      <alignment vertical="center"/>
    </xf>
    <xf numFmtId="206" fontId="27" fillId="0" borderId="4" xfId="6" applyNumberFormat="1" applyFont="1" applyFill="1" applyBorder="1" applyAlignment="1">
      <alignment vertical="center" wrapText="1"/>
    </xf>
    <xf numFmtId="0" fontId="139" fillId="0" borderId="4" xfId="0" applyFont="1" applyFill="1" applyBorder="1" applyAlignment="1">
      <alignment horizontal="left" vertical="center"/>
    </xf>
    <xf numFmtId="3" fontId="89" fillId="0" borderId="4" xfId="6" applyNumberFormat="1" applyFont="1" applyFill="1" applyBorder="1" applyAlignment="1">
      <alignment horizontal="right" vertical="center"/>
    </xf>
    <xf numFmtId="204" fontId="89" fillId="0" borderId="4" xfId="4" applyNumberFormat="1" applyFont="1" applyFill="1" applyBorder="1" applyAlignment="1">
      <alignment vertical="center"/>
    </xf>
    <xf numFmtId="0" fontId="81" fillId="0" borderId="4" xfId="0" quotePrefix="1" applyFont="1" applyFill="1" applyBorder="1" applyAlignment="1">
      <alignment horizontal="center" vertical="center"/>
    </xf>
    <xf numFmtId="4" fontId="89" fillId="0" borderId="4" xfId="4" applyNumberFormat="1" applyFont="1" applyFill="1" applyBorder="1" applyAlignment="1">
      <alignment vertical="center" shrinkToFit="1"/>
    </xf>
    <xf numFmtId="3" fontId="27" fillId="0" borderId="4" xfId="4" applyNumberFormat="1" applyFont="1" applyFill="1" applyBorder="1" applyAlignment="1">
      <alignment horizontal="right" vertical="center"/>
    </xf>
    <xf numFmtId="0" fontId="89" fillId="0" borderId="0" xfId="0" applyFont="1" applyFill="1" applyAlignment="1">
      <alignment shrinkToFit="1"/>
    </xf>
    <xf numFmtId="190" fontId="89" fillId="0" borderId="0" xfId="6" applyNumberFormat="1" applyFont="1" applyFill="1"/>
    <xf numFmtId="204" fontId="89" fillId="0" borderId="0" xfId="0" applyNumberFormat="1" applyFont="1" applyFill="1"/>
    <xf numFmtId="200" fontId="89" fillId="0" borderId="0" xfId="6" applyNumberFormat="1" applyFont="1" applyFill="1"/>
    <xf numFmtId="213" fontId="89" fillId="0" borderId="0" xfId="6" applyNumberFormat="1" applyFont="1" applyFill="1"/>
    <xf numFmtId="0" fontId="89" fillId="0" borderId="0" xfId="0" applyFont="1" applyFill="1" applyBorder="1"/>
    <xf numFmtId="200" fontId="89" fillId="0" borderId="0" xfId="6" applyNumberFormat="1" applyFont="1" applyFill="1" applyBorder="1"/>
    <xf numFmtId="213" fontId="89" fillId="0" borderId="0" xfId="0" applyNumberFormat="1" applyFont="1" applyFill="1"/>
    <xf numFmtId="217" fontId="89" fillId="0" borderId="0" xfId="6" applyNumberFormat="1" applyFont="1" applyFill="1"/>
    <xf numFmtId="2" fontId="27" fillId="0" borderId="0" xfId="0" applyNumberFormat="1" applyFont="1" applyFill="1"/>
    <xf numFmtId="213" fontId="89" fillId="0" borderId="0" xfId="6" applyNumberFormat="1" applyFont="1" applyFill="1" applyAlignment="1">
      <alignment shrinkToFit="1"/>
    </xf>
    <xf numFmtId="43" fontId="89" fillId="0" borderId="0" xfId="6" applyNumberFormat="1" applyFont="1" applyFill="1"/>
    <xf numFmtId="190" fontId="89" fillId="0" borderId="0" xfId="0" applyNumberFormat="1" applyFont="1" applyFill="1"/>
    <xf numFmtId="200" fontId="89" fillId="0" borderId="0" xfId="0" applyNumberFormat="1" applyFont="1" applyFill="1"/>
    <xf numFmtId="2" fontId="89" fillId="0" borderId="0" xfId="0" applyNumberFormat="1" applyFont="1" applyFill="1" applyAlignment="1">
      <alignment horizontal="center"/>
    </xf>
    <xf numFmtId="220" fontId="89" fillId="0" borderId="0" xfId="0" applyNumberFormat="1" applyFont="1" applyFill="1"/>
    <xf numFmtId="0" fontId="89" fillId="0" borderId="0" xfId="0" applyFont="1" applyFill="1" applyBorder="1" applyAlignment="1">
      <alignment shrinkToFit="1"/>
    </xf>
    <xf numFmtId="221" fontId="89" fillId="0" borderId="0" xfId="6" applyNumberFormat="1" applyFont="1" applyFill="1" applyBorder="1"/>
    <xf numFmtId="204" fontId="89" fillId="0" borderId="0" xfId="0" applyNumberFormat="1" applyFont="1" applyFill="1" applyBorder="1"/>
    <xf numFmtId="213" fontId="89" fillId="0" borderId="0" xfId="6" applyNumberFormat="1" applyFont="1" applyFill="1" applyBorder="1"/>
    <xf numFmtId="0" fontId="27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197" fontId="10" fillId="0" borderId="0" xfId="1" applyNumberFormat="1" applyFont="1" applyFill="1" applyAlignment="1">
      <alignment horizontal="center"/>
    </xf>
    <xf numFmtId="213" fontId="10" fillId="0" borderId="0" xfId="0" applyNumberFormat="1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189" fontId="8" fillId="0" borderId="11" xfId="0" applyNumberFormat="1" applyFont="1" applyFill="1" applyBorder="1" applyAlignment="1">
      <alignment vertical="center"/>
    </xf>
    <xf numFmtId="197" fontId="3" fillId="0" borderId="0" xfId="1" applyNumberFormat="1" applyFont="1" applyFill="1" applyAlignment="1">
      <alignment vertical="center"/>
    </xf>
    <xf numFmtId="197" fontId="10" fillId="0" borderId="0" xfId="1" applyNumberFormat="1" applyFont="1" applyFill="1" applyAlignment="1">
      <alignment vertical="center"/>
    </xf>
    <xf numFmtId="189" fontId="8" fillId="0" borderId="32" xfId="0" quotePrefix="1" applyNumberFormat="1" applyFont="1" applyFill="1" applyBorder="1" applyAlignment="1">
      <alignment horizontal="left" vertical="center"/>
    </xf>
    <xf numFmtId="0" fontId="116" fillId="0" borderId="32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189" fontId="8" fillId="0" borderId="11" xfId="0" applyNumberFormat="1" applyFont="1" applyFill="1" applyBorder="1" applyAlignment="1">
      <alignment horizontal="center" vertical="center"/>
    </xf>
    <xf numFmtId="189" fontId="8" fillId="0" borderId="11" xfId="0" applyNumberFormat="1" applyFont="1" applyFill="1" applyBorder="1" applyAlignment="1">
      <alignment horizontal="right" vertical="center"/>
    </xf>
    <xf numFmtId="0" fontId="43" fillId="0" borderId="4" xfId="0" applyFont="1" applyFill="1" applyBorder="1" applyAlignment="1"/>
    <xf numFmtId="0" fontId="39" fillId="0" borderId="4" xfId="0" applyFont="1" applyFill="1" applyBorder="1"/>
    <xf numFmtId="0" fontId="0" fillId="0" borderId="7" xfId="0" applyFill="1" applyBorder="1"/>
    <xf numFmtId="192" fontId="39" fillId="0" borderId="4" xfId="0" applyNumberFormat="1" applyFont="1" applyFill="1" applyBorder="1"/>
    <xf numFmtId="192" fontId="39" fillId="0" borderId="4" xfId="7" applyNumberFormat="1" applyFont="1" applyFill="1" applyBorder="1"/>
    <xf numFmtId="0" fontId="43" fillId="0" borderId="4" xfId="0" applyFont="1" applyFill="1" applyBorder="1"/>
    <xf numFmtId="190" fontId="0" fillId="0" borderId="4" xfId="0" applyNumberFormat="1" applyFill="1" applyBorder="1"/>
    <xf numFmtId="209" fontId="39" fillId="0" borderId="4" xfId="7" applyNumberFormat="1" applyFont="1" applyFill="1" applyBorder="1" applyAlignment="1">
      <alignment horizontal="center"/>
    </xf>
    <xf numFmtId="0" fontId="0" fillId="0" borderId="4" xfId="0" applyFill="1" applyBorder="1"/>
    <xf numFmtId="226" fontId="79" fillId="0" borderId="8" xfId="0" applyNumberFormat="1" applyFont="1" applyFill="1" applyBorder="1"/>
    <xf numFmtId="228" fontId="79" fillId="0" borderId="8" xfId="0" applyNumberFormat="1" applyFont="1" applyFill="1" applyBorder="1"/>
    <xf numFmtId="223" fontId="79" fillId="0" borderId="8" xfId="0" applyNumberFormat="1" applyFont="1" applyFill="1" applyBorder="1"/>
    <xf numFmtId="223" fontId="0" fillId="0" borderId="0" xfId="0" applyNumberFormat="1" applyFill="1"/>
    <xf numFmtId="192" fontId="0" fillId="0" borderId="0" xfId="0" applyNumberFormat="1" applyFill="1"/>
    <xf numFmtId="0" fontId="63" fillId="0" borderId="4" xfId="0" applyFont="1" applyFill="1" applyBorder="1" applyAlignment="1">
      <alignment horizontal="center"/>
    </xf>
    <xf numFmtId="0" fontId="63" fillId="0" borderId="4" xfId="0" applyFont="1" applyFill="1" applyBorder="1"/>
    <xf numFmtId="197" fontId="0" fillId="0" borderId="0" xfId="0" applyNumberFormat="1" applyFill="1"/>
    <xf numFmtId="0" fontId="64" fillId="0" borderId="4" xfId="0" applyFont="1" applyFill="1" applyBorder="1"/>
    <xf numFmtId="0" fontId="72" fillId="0" borderId="4" xfId="0" applyFont="1" applyFill="1" applyBorder="1"/>
    <xf numFmtId="211" fontId="0" fillId="0" borderId="4" xfId="0" applyNumberFormat="1" applyFill="1" applyBorder="1"/>
    <xf numFmtId="200" fontId="0" fillId="0" borderId="4" xfId="0" applyNumberFormat="1" applyFill="1" applyBorder="1"/>
    <xf numFmtId="233" fontId="0" fillId="0" borderId="0" xfId="0" applyNumberFormat="1" applyFill="1"/>
    <xf numFmtId="2" fontId="0" fillId="0" borderId="4" xfId="0" applyNumberFormat="1" applyFill="1" applyBorder="1"/>
    <xf numFmtId="196" fontId="69" fillId="0" borderId="0" xfId="1" applyNumberFormat="1" applyFont="1" applyFill="1"/>
    <xf numFmtId="0" fontId="73" fillId="0" borderId="4" xfId="0" applyFont="1" applyFill="1" applyBorder="1"/>
    <xf numFmtId="214" fontId="74" fillId="0" borderId="4" xfId="0" applyNumberFormat="1" applyFont="1" applyFill="1" applyBorder="1"/>
    <xf numFmtId="211" fontId="75" fillId="0" borderId="4" xfId="0" applyNumberFormat="1" applyFont="1" applyFill="1" applyBorder="1"/>
    <xf numFmtId="0" fontId="0" fillId="0" borderId="0" xfId="0" applyFill="1" applyAlignment="1"/>
    <xf numFmtId="191" fontId="0" fillId="0" borderId="0" xfId="0" applyNumberFormat="1" applyFill="1"/>
    <xf numFmtId="0" fontId="72" fillId="0" borderId="0" xfId="0" applyFont="1" applyFill="1" applyBorder="1" applyAlignment="1">
      <alignment horizontal="center"/>
    </xf>
    <xf numFmtId="0" fontId="96" fillId="0" borderId="5" xfId="0" applyFont="1" applyFill="1" applyBorder="1"/>
    <xf numFmtId="0" fontId="96" fillId="0" borderId="0" xfId="0" applyFont="1" applyFill="1"/>
    <xf numFmtId="0" fontId="72" fillId="0" borderId="20" xfId="0" applyFont="1" applyFill="1" applyBorder="1" applyAlignment="1"/>
    <xf numFmtId="0" fontId="0" fillId="0" borderId="25" xfId="0" applyFill="1" applyBorder="1" applyAlignment="1"/>
    <xf numFmtId="210" fontId="0" fillId="0" borderId="22" xfId="0" applyNumberFormat="1" applyFill="1" applyBorder="1"/>
    <xf numFmtId="0" fontId="0" fillId="0" borderId="30" xfId="0" applyFill="1" applyBorder="1" applyAlignment="1"/>
    <xf numFmtId="190" fontId="0" fillId="0" borderId="0" xfId="0" applyNumberFormat="1" applyFill="1"/>
    <xf numFmtId="211" fontId="8" fillId="0" borderId="0" xfId="1" applyNumberFormat="1" applyFont="1" applyFill="1" applyBorder="1" applyAlignment="1">
      <alignment horizontal="center" vertical="center" shrinkToFit="1"/>
    </xf>
    <xf numFmtId="189" fontId="145" fillId="0" borderId="0" xfId="0" applyNumberFormat="1" applyFont="1" applyFill="1" applyAlignment="1">
      <alignment vertical="center"/>
    </xf>
    <xf numFmtId="189" fontId="145" fillId="0" borderId="0" xfId="0" applyNumberFormat="1" applyFont="1" applyFill="1" applyAlignment="1">
      <alignment shrinkToFit="1"/>
    </xf>
    <xf numFmtId="214" fontId="145" fillId="0" borderId="0" xfId="1" applyNumberFormat="1" applyFont="1" applyFill="1" applyAlignment="1"/>
    <xf numFmtId="211" fontId="145" fillId="0" borderId="0" xfId="1" applyNumberFormat="1" applyFont="1" applyFill="1" applyAlignment="1"/>
    <xf numFmtId="189" fontId="145" fillId="0" borderId="0" xfId="0" applyNumberFormat="1" applyFont="1" applyFill="1"/>
    <xf numFmtId="4" fontId="145" fillId="0" borderId="0" xfId="1" applyNumberFormat="1" applyFont="1" applyFill="1"/>
    <xf numFmtId="189" fontId="145" fillId="0" borderId="0" xfId="1" applyNumberFormat="1" applyFont="1" applyFill="1" applyAlignment="1">
      <alignment horizontal="center"/>
    </xf>
    <xf numFmtId="189" fontId="145" fillId="0" borderId="0" xfId="1" applyNumberFormat="1" applyFont="1" applyFill="1"/>
    <xf numFmtId="211" fontId="145" fillId="0" borderId="0" xfId="0" applyNumberFormat="1" applyFont="1" applyFill="1"/>
    <xf numFmtId="2" fontId="146" fillId="0" borderId="0" xfId="0" applyNumberFormat="1" applyFont="1" applyFill="1"/>
    <xf numFmtId="0" fontId="146" fillId="0" borderId="0" xfId="0" applyFont="1" applyFill="1"/>
    <xf numFmtId="197" fontId="146" fillId="0" borderId="0" xfId="1" applyNumberFormat="1" applyFont="1" applyFill="1"/>
    <xf numFmtId="213" fontId="146" fillId="0" borderId="0" xfId="0" applyNumberFormat="1" applyFont="1" applyFill="1"/>
    <xf numFmtId="0" fontId="148" fillId="0" borderId="0" xfId="0" applyFont="1" applyFill="1" applyBorder="1"/>
    <xf numFmtId="197" fontId="148" fillId="0" borderId="0" xfId="1" applyNumberFormat="1" applyFont="1" applyFill="1" applyBorder="1"/>
    <xf numFmtId="0" fontId="147" fillId="0" borderId="4" xfId="0" applyFont="1" applyFill="1" applyBorder="1" applyAlignment="1">
      <alignment horizontal="center" vertical="center"/>
    </xf>
    <xf numFmtId="0" fontId="147" fillId="0" borderId="4" xfId="0" applyFont="1" applyFill="1" applyBorder="1" applyAlignment="1">
      <alignment horizontal="center" vertical="center" wrapText="1"/>
    </xf>
    <xf numFmtId="37" fontId="147" fillId="0" borderId="4" xfId="1" applyNumberFormat="1" applyFont="1" applyFill="1" applyBorder="1" applyAlignment="1">
      <alignment horizontal="center" vertical="center" wrapText="1"/>
    </xf>
    <xf numFmtId="197" fontId="147" fillId="0" borderId="4" xfId="1" applyNumberFormat="1" applyFont="1" applyFill="1" applyBorder="1" applyAlignment="1">
      <alignment horizontal="center" vertical="center" wrapText="1"/>
    </xf>
    <xf numFmtId="197" fontId="147" fillId="0" borderId="4" xfId="1" applyNumberFormat="1" applyFont="1" applyFill="1" applyBorder="1" applyAlignment="1">
      <alignment horizontal="center" vertical="center"/>
    </xf>
    <xf numFmtId="0" fontId="147" fillId="0" borderId="4" xfId="0" quotePrefix="1" applyFont="1" applyFill="1" applyBorder="1" applyAlignment="1">
      <alignment horizontal="center" vertical="center" wrapText="1"/>
    </xf>
    <xf numFmtId="0" fontId="148" fillId="0" borderId="4" xfId="0" applyFont="1" applyFill="1" applyBorder="1" applyAlignment="1">
      <alignment horizontal="center" vertical="center"/>
    </xf>
    <xf numFmtId="0" fontId="65" fillId="0" borderId="4" xfId="0" applyFont="1" applyFill="1" applyBorder="1" applyAlignment="1">
      <alignment vertical="center" wrapText="1"/>
    </xf>
    <xf numFmtId="0" fontId="148" fillId="0" borderId="4" xfId="0" applyFont="1" applyFill="1" applyBorder="1" applyAlignment="1">
      <alignment vertical="center"/>
    </xf>
    <xf numFmtId="197" fontId="148" fillId="0" borderId="4" xfId="1" applyNumberFormat="1" applyFont="1" applyFill="1" applyBorder="1" applyAlignment="1">
      <alignment vertical="center" wrapText="1"/>
    </xf>
    <xf numFmtId="197" fontId="147" fillId="0" borderId="4" xfId="1" applyNumberFormat="1" applyFont="1" applyFill="1" applyBorder="1" applyAlignment="1">
      <alignment vertical="center" wrapText="1"/>
    </xf>
    <xf numFmtId="197" fontId="148" fillId="0" borderId="4" xfId="1" applyNumberFormat="1" applyFont="1" applyFill="1" applyBorder="1" applyAlignment="1">
      <alignment horizontal="right" vertical="center" wrapText="1"/>
    </xf>
    <xf numFmtId="197" fontId="148" fillId="0" borderId="4" xfId="1" applyNumberFormat="1" applyFont="1" applyFill="1" applyBorder="1" applyAlignment="1">
      <alignment vertical="center"/>
    </xf>
    <xf numFmtId="0" fontId="89" fillId="0" borderId="17" xfId="0" applyFont="1" applyFill="1" applyBorder="1" applyAlignment="1">
      <alignment horizontal="center" vertical="center"/>
    </xf>
    <xf numFmtId="3" fontId="27" fillId="0" borderId="17" xfId="0" applyNumberFormat="1" applyFont="1" applyFill="1" applyBorder="1" applyAlignment="1">
      <alignment horizontal="center" vertical="center"/>
    </xf>
    <xf numFmtId="234" fontId="51" fillId="0" borderId="0" xfId="0" applyNumberFormat="1" applyFont="1" applyFill="1" applyAlignment="1">
      <alignment horizontal="center"/>
    </xf>
    <xf numFmtId="207" fontId="15" fillId="0" borderId="0" xfId="0" applyNumberFormat="1" applyFont="1" applyFill="1" applyAlignment="1">
      <alignment horizontal="center"/>
    </xf>
    <xf numFmtId="4" fontId="21" fillId="0" borderId="0" xfId="0" applyNumberFormat="1" applyFont="1" applyFill="1"/>
    <xf numFmtId="3" fontId="89" fillId="0" borderId="4" xfId="0" applyNumberFormat="1" applyFont="1" applyFill="1" applyBorder="1" applyAlignment="1">
      <alignment horizontal="center" vertical="center"/>
    </xf>
    <xf numFmtId="4" fontId="27" fillId="0" borderId="17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189" fontId="8" fillId="0" borderId="4" xfId="0" applyNumberFormat="1" applyFont="1" applyFill="1" applyBorder="1" applyAlignment="1">
      <alignment horizontal="left" vertical="center"/>
    </xf>
    <xf numFmtId="0" fontId="8" fillId="0" borderId="4" xfId="15" applyFont="1" applyFill="1" applyBorder="1" applyAlignment="1">
      <alignment horizontal="left" vertical="center" shrinkToFit="1"/>
    </xf>
    <xf numFmtId="3" fontId="8" fillId="0" borderId="4" xfId="0" applyNumberFormat="1" applyFont="1" applyFill="1" applyBorder="1" applyAlignment="1">
      <alignment vertical="center"/>
    </xf>
    <xf numFmtId="3" fontId="8" fillId="0" borderId="4" xfId="0" applyNumberFormat="1" applyFont="1" applyFill="1" applyBorder="1" applyAlignment="1">
      <alignment vertical="center" wrapText="1"/>
    </xf>
    <xf numFmtId="0" fontId="8" fillId="0" borderId="4" xfId="0" applyFont="1" applyFill="1" applyBorder="1" applyAlignment="1">
      <alignment shrinkToFit="1"/>
    </xf>
    <xf numFmtId="0" fontId="8" fillId="0" borderId="4" xfId="0" applyFont="1" applyFill="1" applyBorder="1" applyAlignment="1">
      <alignment horizontal="left"/>
    </xf>
    <xf numFmtId="0" fontId="8" fillId="0" borderId="4" xfId="13" applyFont="1" applyFill="1" applyBorder="1" applyAlignment="1">
      <alignment vertical="center"/>
    </xf>
    <xf numFmtId="198" fontId="23" fillId="0" borderId="4" xfId="0" applyNumberFormat="1" applyFont="1" applyBorder="1" applyAlignment="1">
      <alignment vertical="center"/>
    </xf>
    <xf numFmtId="3" fontId="41" fillId="0" borderId="0" xfId="0" applyNumberFormat="1" applyFont="1" applyFill="1"/>
    <xf numFmtId="213" fontId="41" fillId="0" borderId="0" xfId="1" applyNumberFormat="1" applyFont="1" applyFill="1"/>
    <xf numFmtId="0" fontId="42" fillId="0" borderId="4" xfId="0" applyFont="1" applyFill="1" applyBorder="1" applyAlignment="1">
      <alignment horizontal="center" vertical="center"/>
    </xf>
    <xf numFmtId="207" fontId="53" fillId="0" borderId="4" xfId="0" applyNumberFormat="1" applyFont="1" applyFill="1" applyBorder="1"/>
    <xf numFmtId="208" fontId="100" fillId="0" borderId="4" xfId="1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Alignment="1">
      <alignment horizontal="left"/>
    </xf>
    <xf numFmtId="0" fontId="89" fillId="0" borderId="3" xfId="0" applyFont="1" applyFill="1" applyBorder="1" applyAlignment="1">
      <alignment horizontal="center"/>
    </xf>
    <xf numFmtId="0" fontId="89" fillId="0" borderId="3" xfId="0" applyFont="1" applyFill="1" applyBorder="1" applyAlignment="1">
      <alignment horizontal="left"/>
    </xf>
    <xf numFmtId="4" fontId="27" fillId="0" borderId="4" xfId="0" applyNumberFormat="1" applyFont="1" applyFill="1" applyBorder="1" applyAlignment="1">
      <alignment horizontal="center" vertical="center" wrapText="1"/>
    </xf>
    <xf numFmtId="0" fontId="89" fillId="0" borderId="17" xfId="18" applyFont="1" applyFill="1" applyBorder="1" applyAlignment="1">
      <alignment vertical="center" wrapText="1"/>
    </xf>
    <xf numFmtId="0" fontId="89" fillId="0" borderId="4" xfId="18" applyFont="1" applyFill="1" applyBorder="1" applyAlignment="1">
      <alignment vertical="center"/>
    </xf>
    <xf numFmtId="198" fontId="57" fillId="0" borderId="0" xfId="0" applyNumberFormat="1" applyFont="1" applyFill="1"/>
    <xf numFmtId="202" fontId="85" fillId="0" borderId="0" xfId="0" applyNumberFormat="1" applyFont="1" applyFill="1" applyBorder="1"/>
    <xf numFmtId="0" fontId="0" fillId="0" borderId="0" xfId="0" applyFill="1" applyBorder="1"/>
    <xf numFmtId="0" fontId="13" fillId="0" borderId="4" xfId="0" quotePrefix="1" applyFont="1" applyFill="1" applyBorder="1"/>
    <xf numFmtId="210" fontId="39" fillId="0" borderId="4" xfId="7" applyNumberFormat="1" applyFont="1" applyFill="1" applyBorder="1" applyAlignment="1">
      <alignment horizontal="right"/>
    </xf>
    <xf numFmtId="211" fontId="74" fillId="0" borderId="4" xfId="0" applyNumberFormat="1" applyFont="1" applyFill="1" applyBorder="1"/>
    <xf numFmtId="210" fontId="0" fillId="0" borderId="7" xfId="0" applyNumberFormat="1" applyFill="1" applyBorder="1"/>
    <xf numFmtId="210" fontId="0" fillId="0" borderId="0" xfId="0" applyNumberFormat="1" applyFill="1"/>
    <xf numFmtId="210" fontId="151" fillId="0" borderId="0" xfId="0" applyNumberFormat="1" applyFont="1" applyFill="1"/>
    <xf numFmtId="226" fontId="0" fillId="0" borderId="5" xfId="0" applyNumberFormat="1" applyFill="1" applyBorder="1"/>
    <xf numFmtId="226" fontId="39" fillId="0" borderId="4" xfId="7" applyNumberFormat="1" applyFont="1" applyFill="1" applyBorder="1" applyAlignment="1">
      <alignment horizontal="center"/>
    </xf>
    <xf numFmtId="226" fontId="69" fillId="0" borderId="0" xfId="1" applyNumberFormat="1" applyFont="1" applyFill="1"/>
    <xf numFmtId="226" fontId="1" fillId="0" borderId="0" xfId="1" applyNumberFormat="1" applyFont="1" applyFill="1"/>
    <xf numFmtId="226" fontId="0" fillId="0" borderId="0" xfId="0" applyNumberFormat="1" applyFill="1"/>
    <xf numFmtId="226" fontId="0" fillId="0" borderId="0" xfId="0" applyNumberFormat="1" applyFill="1" applyAlignment="1"/>
    <xf numFmtId="190" fontId="151" fillId="0" borderId="0" xfId="0" applyNumberFormat="1" applyFont="1" applyFill="1"/>
    <xf numFmtId="210" fontId="152" fillId="0" borderId="4" xfId="0" applyNumberFormat="1" applyFont="1" applyFill="1" applyBorder="1"/>
    <xf numFmtId="189" fontId="3" fillId="0" borderId="4" xfId="0" applyNumberFormat="1" applyFont="1" applyFill="1" applyBorder="1" applyAlignment="1">
      <alignment horizontal="center" vertical="center"/>
    </xf>
    <xf numFmtId="0" fontId="27" fillId="0" borderId="23" xfId="0" applyNumberFormat="1" applyFont="1" applyFill="1" applyBorder="1" applyAlignment="1">
      <alignment vertical="center" shrinkToFit="1"/>
    </xf>
    <xf numFmtId="0" fontId="27" fillId="0" borderId="20" xfId="0" applyNumberFormat="1" applyFont="1" applyFill="1" applyBorder="1" applyAlignment="1">
      <alignment vertical="center" shrinkToFit="1"/>
    </xf>
    <xf numFmtId="0" fontId="27" fillId="0" borderId="0" xfId="0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0" fontId="89" fillId="0" borderId="4" xfId="0" applyFont="1" applyFill="1" applyBorder="1" applyAlignment="1">
      <alignment horizontal="left" vertical="center"/>
    </xf>
    <xf numFmtId="0" fontId="89" fillId="0" borderId="0" xfId="0" applyFont="1" applyFill="1" applyAlignment="1">
      <alignment horizontal="center" vertical="center"/>
    </xf>
    <xf numFmtId="207" fontId="112" fillId="0" borderId="4" xfId="1" applyNumberFormat="1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 vertical="center" shrinkToFit="1"/>
    </xf>
    <xf numFmtId="198" fontId="45" fillId="0" borderId="4" xfId="0" applyNumberFormat="1" applyFont="1" applyFill="1" applyBorder="1" applyAlignment="1">
      <alignment vertical="center" wrapText="1"/>
    </xf>
    <xf numFmtId="4" fontId="27" fillId="0" borderId="4" xfId="1" applyNumberFormat="1" applyFont="1" applyFill="1" applyBorder="1" applyAlignment="1">
      <alignment horizontal="center" vertical="center" wrapText="1"/>
    </xf>
    <xf numFmtId="3" fontId="89" fillId="0" borderId="0" xfId="0" applyNumberFormat="1" applyFont="1" applyFill="1"/>
    <xf numFmtId="213" fontId="140" fillId="0" borderId="0" xfId="6" applyNumberFormat="1" applyFont="1" applyFill="1" applyBorder="1" applyAlignment="1">
      <alignment horizontal="center" vertical="center" shrinkToFit="1"/>
    </xf>
    <xf numFmtId="198" fontId="154" fillId="0" borderId="4" xfId="1" applyNumberFormat="1" applyFont="1" applyFill="1" applyBorder="1" applyAlignment="1">
      <alignment horizontal="center" vertical="center" shrinkToFit="1"/>
    </xf>
    <xf numFmtId="0" fontId="90" fillId="0" borderId="4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89" fontId="12" fillId="0" borderId="4" xfId="19" applyNumberFormat="1" applyFont="1" applyFill="1" applyBorder="1" applyAlignment="1">
      <alignment horizontal="center" vertical="center"/>
    </xf>
    <xf numFmtId="1" fontId="90" fillId="0" borderId="0" xfId="1" applyNumberFormat="1" applyFont="1" applyFill="1"/>
    <xf numFmtId="1" fontId="10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1" fontId="89" fillId="0" borderId="0" xfId="1" applyNumberFormat="1" applyFont="1" applyFill="1" applyAlignment="1">
      <alignment vertical="center"/>
    </xf>
    <xf numFmtId="1" fontId="89" fillId="0" borderId="0" xfId="1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89" fillId="0" borderId="4" xfId="0" applyFont="1" applyFill="1" applyBorder="1" applyAlignment="1">
      <alignment horizontal="left" vertical="center"/>
    </xf>
    <xf numFmtId="0" fontId="47" fillId="0" borderId="4" xfId="0" applyFont="1" applyFill="1" applyBorder="1" applyAlignment="1">
      <alignment horizontal="center" vertical="center"/>
    </xf>
    <xf numFmtId="1" fontId="156" fillId="0" borderId="0" xfId="1" applyNumberFormat="1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vertical="center"/>
    </xf>
    <xf numFmtId="197" fontId="27" fillId="0" borderId="17" xfId="1" applyNumberFormat="1" applyFont="1" applyFill="1" applyBorder="1" applyAlignment="1">
      <alignment horizontal="center" vertical="center" wrapText="1"/>
    </xf>
    <xf numFmtId="4" fontId="47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 wrapText="1"/>
    </xf>
    <xf numFmtId="3" fontId="47" fillId="0" borderId="0" xfId="0" applyNumberFormat="1" applyFont="1" applyFill="1" applyBorder="1" applyAlignment="1">
      <alignment vertical="center"/>
    </xf>
    <xf numFmtId="0" fontId="157" fillId="0" borderId="0" xfId="0" applyFont="1"/>
    <xf numFmtId="200" fontId="27" fillId="0" borderId="0" xfId="0" applyNumberFormat="1" applyFont="1" applyFill="1" applyAlignment="1">
      <alignment horizontal="center"/>
    </xf>
    <xf numFmtId="203" fontId="89" fillId="0" borderId="3" xfId="0" applyNumberFormat="1" applyFont="1" applyFill="1" applyBorder="1" applyAlignment="1"/>
    <xf numFmtId="200" fontId="89" fillId="0" borderId="3" xfId="6" applyNumberFormat="1" applyFont="1" applyFill="1" applyBorder="1" applyAlignment="1"/>
    <xf numFmtId="213" fontId="89" fillId="0" borderId="3" xfId="6" applyNumberFormat="1" applyFont="1" applyFill="1" applyBorder="1" applyAlignment="1"/>
    <xf numFmtId="213" fontId="89" fillId="0" borderId="3" xfId="6" applyNumberFormat="1" applyFont="1" applyFill="1" applyBorder="1"/>
    <xf numFmtId="0" fontId="27" fillId="0" borderId="3" xfId="0" applyFont="1" applyFill="1" applyBorder="1"/>
    <xf numFmtId="0" fontId="89" fillId="0" borderId="3" xfId="0" applyFont="1" applyFill="1" applyBorder="1"/>
    <xf numFmtId="1" fontId="129" fillId="0" borderId="4" xfId="1" applyNumberFormat="1" applyFont="1" applyFill="1" applyBorder="1" applyAlignment="1">
      <alignment vertical="center"/>
    </xf>
    <xf numFmtId="197" fontId="129" fillId="0" borderId="4" xfId="1" applyNumberFormat="1" applyFont="1" applyFill="1" applyBorder="1" applyAlignment="1">
      <alignment horizontal="center" vertical="center" wrapText="1"/>
    </xf>
    <xf numFmtId="204" fontId="105" fillId="0" borderId="4" xfId="1" applyNumberFormat="1" applyFont="1" applyFill="1" applyBorder="1" applyAlignment="1">
      <alignment horizontal="center" vertical="center" wrapText="1"/>
    </xf>
    <xf numFmtId="1" fontId="129" fillId="0" borderId="0" xfId="1" applyNumberFormat="1" applyFont="1" applyFill="1" applyAlignment="1">
      <alignment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45" fillId="0" borderId="0" xfId="1" applyNumberFormat="1" applyFont="1" applyFill="1" applyAlignment="1">
      <alignment vertical="center"/>
    </xf>
    <xf numFmtId="1" fontId="160" fillId="0" borderId="0" xfId="1" applyNumberFormat="1" applyFont="1" applyFill="1" applyAlignment="1">
      <alignment vertical="center"/>
    </xf>
    <xf numFmtId="1" fontId="161" fillId="0" borderId="0" xfId="1" applyNumberFormat="1" applyFont="1" applyFill="1" applyBorder="1" applyAlignment="1">
      <alignment horizontal="center" vertical="center"/>
    </xf>
    <xf numFmtId="1" fontId="161" fillId="0" borderId="0" xfId="1" applyNumberFormat="1" applyFont="1" applyFill="1" applyBorder="1" applyAlignment="1">
      <alignment vertical="center"/>
    </xf>
    <xf numFmtId="1" fontId="158" fillId="0" borderId="0" xfId="1" applyNumberFormat="1" applyFont="1" applyFill="1" applyAlignment="1">
      <alignment vertical="center"/>
    </xf>
    <xf numFmtId="2" fontId="129" fillId="0" borderId="0" xfId="1" applyNumberFormat="1" applyFont="1" applyFill="1" applyAlignment="1">
      <alignment vertical="center"/>
    </xf>
    <xf numFmtId="1" fontId="163" fillId="0" borderId="0" xfId="1" applyNumberFormat="1" applyFont="1" applyFill="1" applyBorder="1" applyAlignment="1">
      <alignment horizontal="center" vertical="center"/>
    </xf>
    <xf numFmtId="1" fontId="162" fillId="0" borderId="0" xfId="1" applyNumberFormat="1" applyFont="1" applyFill="1" applyAlignment="1">
      <alignment vertical="center"/>
    </xf>
    <xf numFmtId="1" fontId="58" fillId="0" borderId="0" xfId="1" applyNumberFormat="1" applyFont="1" applyFill="1" applyAlignment="1">
      <alignment vertical="center"/>
    </xf>
    <xf numFmtId="196" fontId="148" fillId="0" borderId="4" xfId="1" applyFont="1" applyFill="1" applyBorder="1" applyAlignment="1">
      <alignment vertical="center"/>
    </xf>
    <xf numFmtId="196" fontId="147" fillId="0" borderId="4" xfId="1" applyFont="1" applyFill="1" applyBorder="1" applyAlignment="1">
      <alignment vertical="center" wrapText="1"/>
    </xf>
    <xf numFmtId="10" fontId="147" fillId="0" borderId="4" xfId="21" applyNumberFormat="1" applyFont="1" applyFill="1" applyBorder="1" applyAlignment="1">
      <alignment vertical="center" wrapText="1"/>
    </xf>
    <xf numFmtId="1" fontId="164" fillId="0" borderId="0" xfId="1" applyNumberFormat="1" applyFont="1" applyFill="1" applyBorder="1" applyAlignment="1">
      <alignment horizontal="center" vertical="center"/>
    </xf>
    <xf numFmtId="1" fontId="159" fillId="0" borderId="0" xfId="1" applyNumberFormat="1" applyFont="1" applyFill="1" applyAlignment="1">
      <alignment vertical="center"/>
    </xf>
    <xf numFmtId="1" fontId="164" fillId="0" borderId="0" xfId="1" applyNumberFormat="1" applyFont="1" applyFill="1" applyAlignment="1">
      <alignment vertical="center"/>
    </xf>
    <xf numFmtId="1" fontId="159" fillId="0" borderId="0" xfId="1" applyNumberFormat="1" applyFont="1" applyFill="1" applyBorder="1" applyAlignment="1">
      <alignment vertical="center"/>
    </xf>
    <xf numFmtId="232" fontId="90" fillId="0" borderId="4" xfId="0" applyNumberFormat="1" applyFont="1" applyFill="1" applyBorder="1" applyAlignment="1">
      <alignment horizontal="center"/>
    </xf>
    <xf numFmtId="198" fontId="90" fillId="0" borderId="4" xfId="0" applyNumberFormat="1" applyFont="1" applyFill="1" applyBorder="1" applyAlignment="1">
      <alignment horizontal="center"/>
    </xf>
    <xf numFmtId="191" fontId="90" fillId="0" borderId="4" xfId="0" applyNumberFormat="1" applyFont="1" applyFill="1" applyBorder="1" applyAlignment="1">
      <alignment horizontal="center"/>
    </xf>
    <xf numFmtId="0" fontId="101" fillId="0" borderId="0" xfId="0" applyFont="1" applyAlignment="1"/>
    <xf numFmtId="0" fontId="27" fillId="0" borderId="4" xfId="0" applyFont="1" applyFill="1" applyBorder="1" applyAlignment="1">
      <alignment horizontal="center" vertical="center"/>
    </xf>
    <xf numFmtId="0" fontId="89" fillId="0" borderId="4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horizontal="center"/>
    </xf>
    <xf numFmtId="0" fontId="103" fillId="0" borderId="0" xfId="0" applyFont="1" applyFill="1" applyBorder="1" applyAlignment="1">
      <alignment horizontal="center"/>
    </xf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197" fontId="89" fillId="0" borderId="4" xfId="0" applyNumberFormat="1" applyFont="1" applyFill="1" applyBorder="1" applyAlignment="1">
      <alignment horizontal="center" vertical="center"/>
    </xf>
    <xf numFmtId="189" fontId="89" fillId="0" borderId="4" xfId="0" applyNumberFormat="1" applyFont="1" applyFill="1" applyBorder="1" applyAlignment="1">
      <alignment vertical="center" wrapText="1"/>
    </xf>
    <xf numFmtId="0" fontId="168" fillId="0" borderId="0" xfId="0" applyFont="1" applyFill="1"/>
    <xf numFmtId="0" fontId="29" fillId="0" borderId="0" xfId="0" applyFont="1" applyFill="1" applyBorder="1" applyAlignment="1">
      <alignment horizontal="center" vertical="center"/>
    </xf>
    <xf numFmtId="189" fontId="111" fillId="0" borderId="11" xfId="0" quotePrefix="1" applyNumberFormat="1" applyFont="1" applyFill="1" applyBorder="1" applyAlignment="1">
      <alignment horizontal="center" vertical="center"/>
    </xf>
    <xf numFmtId="2" fontId="109" fillId="0" borderId="19" xfId="0" applyNumberFormat="1" applyFont="1" applyFill="1" applyBorder="1" applyAlignment="1">
      <alignment horizontal="center" vertical="center" shrinkToFit="1"/>
    </xf>
    <xf numFmtId="2" fontId="112" fillId="0" borderId="7" xfId="0" applyNumberFormat="1" applyFont="1" applyFill="1" applyBorder="1" applyAlignment="1">
      <alignment horizontal="center" vertical="center"/>
    </xf>
    <xf numFmtId="1" fontId="112" fillId="0" borderId="7" xfId="0" applyNumberFormat="1" applyFont="1" applyFill="1" applyBorder="1" applyAlignment="1">
      <alignment horizontal="center" vertical="center"/>
    </xf>
    <xf numFmtId="2" fontId="109" fillId="0" borderId="11" xfId="0" applyNumberFormat="1" applyFont="1" applyFill="1" applyBorder="1" applyAlignment="1">
      <alignment horizontal="center" vertical="center" shrinkToFit="1"/>
    </xf>
    <xf numFmtId="4" fontId="109" fillId="0" borderId="11" xfId="0" applyNumberFormat="1" applyFont="1" applyFill="1" applyBorder="1" applyAlignment="1">
      <alignment horizontal="center" vertical="center" shrinkToFit="1"/>
    </xf>
    <xf numFmtId="2" fontId="109" fillId="0" borderId="9" xfId="1" applyNumberFormat="1" applyFont="1" applyFill="1" applyBorder="1" applyAlignment="1">
      <alignment horizontal="right" vertical="center" wrapText="1"/>
    </xf>
    <xf numFmtId="4" fontId="109" fillId="0" borderId="1" xfId="1" applyNumberFormat="1" applyFont="1" applyFill="1" applyBorder="1" applyAlignment="1">
      <alignment horizontal="right" vertical="center" shrinkToFit="1"/>
    </xf>
    <xf numFmtId="190" fontId="109" fillId="0" borderId="1" xfId="1" applyNumberFormat="1" applyFont="1" applyFill="1" applyBorder="1" applyAlignment="1">
      <alignment horizontal="center" vertical="center" shrinkToFit="1"/>
    </xf>
    <xf numFmtId="213" fontId="109" fillId="0" borderId="1" xfId="1" applyNumberFormat="1" applyFont="1" applyFill="1" applyBorder="1" applyAlignment="1">
      <alignment horizontal="center" vertical="center" shrinkToFit="1"/>
    </xf>
    <xf numFmtId="189" fontId="109" fillId="0" borderId="9" xfId="1" applyNumberFormat="1" applyFont="1" applyFill="1" applyBorder="1" applyAlignment="1">
      <alignment vertical="center" shrinkToFit="1"/>
    </xf>
    <xf numFmtId="192" fontId="109" fillId="0" borderId="9" xfId="1" applyNumberFormat="1" applyFont="1" applyFill="1" applyBorder="1" applyAlignment="1">
      <alignment vertical="center" shrinkToFit="1"/>
    </xf>
    <xf numFmtId="192" fontId="109" fillId="0" borderId="19" xfId="1" applyNumberFormat="1" applyFont="1" applyFill="1" applyBorder="1" applyAlignment="1">
      <alignment vertical="center" shrinkToFit="1"/>
    </xf>
    <xf numFmtId="188" fontId="109" fillId="0" borderId="1" xfId="0" applyNumberFormat="1" applyFont="1" applyFill="1" applyBorder="1" applyAlignment="1">
      <alignment horizontal="center"/>
    </xf>
    <xf numFmtId="0" fontId="109" fillId="0" borderId="11" xfId="0" applyFont="1" applyFill="1" applyBorder="1"/>
    <xf numFmtId="190" fontId="113" fillId="0" borderId="6" xfId="0" applyNumberFormat="1" applyFont="1" applyFill="1" applyBorder="1"/>
    <xf numFmtId="0" fontId="113" fillId="0" borderId="0" xfId="0" applyFont="1" applyFill="1"/>
    <xf numFmtId="0" fontId="109" fillId="0" borderId="11" xfId="0" applyFont="1" applyFill="1" applyBorder="1" applyAlignment="1">
      <alignment horizontal="center" vertical="center" shrinkToFit="1"/>
    </xf>
    <xf numFmtId="2" fontId="112" fillId="0" borderId="10" xfId="0" applyNumberFormat="1" applyFont="1" applyFill="1" applyBorder="1" applyAlignment="1">
      <alignment horizontal="center" vertical="center"/>
    </xf>
    <xf numFmtId="1" fontId="112" fillId="0" borderId="10" xfId="0" applyNumberFormat="1" applyFont="1" applyFill="1" applyBorder="1" applyAlignment="1">
      <alignment horizontal="center" vertical="center"/>
    </xf>
    <xf numFmtId="188" fontId="109" fillId="0" borderId="11" xfId="0" applyNumberFormat="1" applyFont="1" applyFill="1" applyBorder="1" applyAlignment="1">
      <alignment horizontal="center"/>
    </xf>
    <xf numFmtId="0" fontId="109" fillId="0" borderId="21" xfId="0" applyFont="1" applyFill="1" applyBorder="1" applyAlignment="1">
      <alignment horizontal="left"/>
    </xf>
    <xf numFmtId="2" fontId="109" fillId="0" borderId="21" xfId="1" applyNumberFormat="1" applyFont="1" applyFill="1" applyBorder="1" applyAlignment="1">
      <alignment horizontal="right" vertical="center" wrapText="1"/>
    </xf>
    <xf numFmtId="190" fontId="109" fillId="0" borderId="5" xfId="1" applyNumberFormat="1" applyFont="1" applyFill="1" applyBorder="1" applyAlignment="1">
      <alignment horizontal="center" vertical="center" shrinkToFit="1"/>
    </xf>
    <xf numFmtId="37" fontId="109" fillId="0" borderId="5" xfId="1" applyNumberFormat="1" applyFont="1" applyFill="1" applyBorder="1" applyAlignment="1">
      <alignment horizontal="center" vertical="center" shrinkToFit="1"/>
    </xf>
    <xf numFmtId="189" fontId="109" fillId="0" borderId="21" xfId="1" applyNumberFormat="1" applyFont="1" applyFill="1" applyBorder="1" applyAlignment="1">
      <alignment horizontal="center" vertical="center" wrapText="1"/>
    </xf>
    <xf numFmtId="208" fontId="109" fillId="0" borderId="5" xfId="1" applyNumberFormat="1" applyFont="1" applyFill="1" applyBorder="1" applyAlignment="1">
      <alignment horizontal="right" vertical="center" wrapText="1"/>
    </xf>
    <xf numFmtId="200" fontId="112" fillId="0" borderId="11" xfId="0" applyNumberFormat="1" applyFont="1" applyFill="1" applyBorder="1" applyAlignment="1">
      <alignment horizontal="center" vertical="center" shrinkToFit="1"/>
    </xf>
    <xf numFmtId="0" fontId="111" fillId="0" borderId="5" xfId="0" applyFont="1" applyFill="1" applyBorder="1" applyAlignment="1">
      <alignment horizontal="left" vertical="center" wrapText="1" indent="1"/>
    </xf>
    <xf numFmtId="1" fontId="111" fillId="0" borderId="5" xfId="0" quotePrefix="1" applyNumberFormat="1" applyFont="1" applyFill="1" applyBorder="1" applyAlignment="1">
      <alignment horizontal="left" vertical="center" indent="1"/>
    </xf>
    <xf numFmtId="3" fontId="111" fillId="0" borderId="5" xfId="0" applyNumberFormat="1" applyFont="1" applyFill="1" applyBorder="1" applyAlignment="1">
      <alignment horizontal="left" vertical="center" indent="1"/>
    </xf>
    <xf numFmtId="0" fontId="109" fillId="0" borderId="11" xfId="0" applyFont="1" applyFill="1" applyBorder="1" applyAlignment="1">
      <alignment horizontal="left"/>
    </xf>
    <xf numFmtId="189" fontId="109" fillId="0" borderId="11" xfId="0" applyNumberFormat="1" applyFont="1" applyFill="1" applyBorder="1" applyAlignment="1">
      <alignment horizontal="center"/>
    </xf>
    <xf numFmtId="0" fontId="109" fillId="0" borderId="11" xfId="0" applyFont="1" applyFill="1" applyBorder="1" applyAlignment="1">
      <alignment horizontal="center"/>
    </xf>
    <xf numFmtId="0" fontId="109" fillId="0" borderId="1" xfId="0" applyFont="1" applyFill="1" applyBorder="1" applyAlignment="1">
      <alignment horizontal="center"/>
    </xf>
    <xf numFmtId="2" fontId="112" fillId="0" borderId="11" xfId="0" applyNumberFormat="1" applyFont="1" applyFill="1" applyBorder="1" applyAlignment="1">
      <alignment horizontal="center" vertical="center"/>
    </xf>
    <xf numFmtId="4" fontId="109" fillId="0" borderId="1" xfId="0" applyNumberFormat="1" applyFont="1" applyFill="1" applyBorder="1" applyAlignment="1">
      <alignment horizontal="center" vertical="center" shrinkToFit="1"/>
    </xf>
    <xf numFmtId="215" fontId="109" fillId="0" borderId="9" xfId="1" applyNumberFormat="1" applyFont="1" applyFill="1" applyBorder="1" applyAlignment="1">
      <alignment horizontal="right" vertical="center" shrinkToFit="1"/>
    </xf>
    <xf numFmtId="208" fontId="109" fillId="0" borderId="1" xfId="1" applyNumberFormat="1" applyFont="1" applyFill="1" applyBorder="1" applyAlignment="1">
      <alignment horizontal="right" vertical="center" wrapText="1"/>
    </xf>
    <xf numFmtId="189" fontId="109" fillId="0" borderId="11" xfId="0" applyNumberFormat="1" applyFont="1" applyFill="1" applyBorder="1" applyAlignment="1"/>
    <xf numFmtId="215" fontId="109" fillId="0" borderId="10" xfId="1" applyNumberFormat="1" applyFont="1" applyFill="1" applyBorder="1" applyAlignment="1">
      <alignment horizontal="right" vertical="center" shrinkToFit="1"/>
    </xf>
    <xf numFmtId="190" fontId="109" fillId="0" borderId="11" xfId="1" applyNumberFormat="1" applyFont="1" applyFill="1" applyBorder="1" applyAlignment="1">
      <alignment horizontal="center" vertical="center" shrinkToFit="1"/>
    </xf>
    <xf numFmtId="213" fontId="109" fillId="0" borderId="11" xfId="1" applyNumberFormat="1" applyFont="1" applyFill="1" applyBorder="1" applyAlignment="1">
      <alignment horizontal="center" vertical="center" shrinkToFit="1"/>
    </xf>
    <xf numFmtId="189" fontId="109" fillId="0" borderId="10" xfId="1" applyNumberFormat="1" applyFont="1" applyFill="1" applyBorder="1" applyAlignment="1">
      <alignment vertical="center" shrinkToFit="1"/>
    </xf>
    <xf numFmtId="192" fontId="109" fillId="0" borderId="10" xfId="1" applyNumberFormat="1" applyFont="1" applyFill="1" applyBorder="1" applyAlignment="1">
      <alignment vertical="center" shrinkToFit="1"/>
    </xf>
    <xf numFmtId="192" fontId="109" fillId="0" borderId="11" xfId="1" applyNumberFormat="1" applyFont="1" applyFill="1" applyBorder="1" applyAlignment="1">
      <alignment vertical="center" shrinkToFit="1"/>
    </xf>
    <xf numFmtId="0" fontId="109" fillId="0" borderId="5" xfId="0" applyFont="1" applyFill="1" applyBorder="1" applyAlignment="1">
      <alignment horizontal="center" vertical="center" shrinkToFit="1"/>
    </xf>
    <xf numFmtId="0" fontId="112" fillId="0" borderId="7" xfId="0" applyFont="1" applyFill="1" applyBorder="1" applyAlignment="1">
      <alignment horizontal="center" vertical="center"/>
    </xf>
    <xf numFmtId="1" fontId="112" fillId="0" borderId="21" xfId="0" applyNumberFormat="1" applyFont="1" applyFill="1" applyBorder="1" applyAlignment="1">
      <alignment horizontal="center" vertical="center"/>
    </xf>
    <xf numFmtId="4" fontId="109" fillId="0" borderId="5" xfId="0" applyNumberFormat="1" applyFont="1" applyFill="1" applyBorder="1" applyAlignment="1">
      <alignment horizontal="center" vertical="center" shrinkToFit="1"/>
    </xf>
    <xf numFmtId="2" fontId="109" fillId="0" borderId="7" xfId="1" applyNumberFormat="1" applyFont="1" applyFill="1" applyBorder="1" applyAlignment="1">
      <alignment horizontal="right" vertical="center" wrapText="1"/>
    </xf>
    <xf numFmtId="192" fontId="109" fillId="0" borderId="5" xfId="1" applyNumberFormat="1" applyFont="1" applyFill="1" applyBorder="1" applyAlignment="1">
      <alignment vertical="center" shrinkToFit="1"/>
    </xf>
    <xf numFmtId="210" fontId="109" fillId="0" borderId="5" xfId="1" applyNumberFormat="1" applyFont="1" applyFill="1" applyBorder="1" applyAlignment="1">
      <alignment horizontal="right" vertical="center" wrapText="1"/>
    </xf>
    <xf numFmtId="1" fontId="111" fillId="0" borderId="5" xfId="0" applyNumberFormat="1" applyFont="1" applyFill="1" applyBorder="1" applyAlignment="1">
      <alignment horizontal="left" vertical="center" indent="1"/>
    </xf>
    <xf numFmtId="1" fontId="112" fillId="0" borderId="11" xfId="0" applyNumberFormat="1" applyFont="1" applyFill="1" applyBorder="1" applyAlignment="1">
      <alignment horizontal="center" vertical="center"/>
    </xf>
    <xf numFmtId="0" fontId="89" fillId="0" borderId="4" xfId="0" applyFont="1" applyFill="1" applyBorder="1" applyAlignment="1">
      <alignment horizontal="left" vertical="center"/>
    </xf>
    <xf numFmtId="0" fontId="89" fillId="0" borderId="20" xfId="0" applyFont="1" applyFill="1" applyBorder="1" applyAlignment="1">
      <alignment horizontal="left" vertical="center"/>
    </xf>
    <xf numFmtId="0" fontId="47" fillId="0" borderId="4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shrinkToFit="1"/>
    </xf>
    <xf numFmtId="0" fontId="89" fillId="0" borderId="15" xfId="0" applyFont="1" applyFill="1" applyBorder="1" applyAlignment="1">
      <alignment horizontal="center" vertical="center"/>
    </xf>
    <xf numFmtId="189" fontId="89" fillId="0" borderId="4" xfId="1" applyNumberFormat="1" applyFont="1" applyFill="1" applyBorder="1" applyAlignment="1">
      <alignment horizontal="right" vertical="center" wrapText="1"/>
    </xf>
    <xf numFmtId="197" fontId="47" fillId="0" borderId="4" xfId="1" applyNumberFormat="1" applyFont="1" applyFill="1" applyBorder="1" applyAlignment="1">
      <alignment horizontal="right" vertical="center"/>
    </xf>
    <xf numFmtId="197" fontId="89" fillId="0" borderId="4" xfId="1" applyNumberFormat="1" applyFont="1" applyFill="1" applyBorder="1" applyAlignment="1">
      <alignment horizontal="right" vertical="center" wrapText="1"/>
    </xf>
    <xf numFmtId="197" fontId="89" fillId="0" borderId="4" xfId="1" applyNumberFormat="1" applyFont="1" applyFill="1" applyBorder="1" applyAlignment="1">
      <alignment horizontal="right" vertical="center"/>
    </xf>
    <xf numFmtId="197" fontId="81" fillId="0" borderId="4" xfId="1" applyNumberFormat="1" applyFont="1" applyFill="1" applyBorder="1" applyAlignment="1">
      <alignment horizontal="right" vertical="center"/>
    </xf>
    <xf numFmtId="197" fontId="47" fillId="0" borderId="4" xfId="1" applyNumberFormat="1" applyFont="1" applyFill="1" applyBorder="1" applyAlignment="1">
      <alignment vertical="center"/>
    </xf>
    <xf numFmtId="197" fontId="27" fillId="0" borderId="17" xfId="1" applyNumberFormat="1" applyFont="1" applyFill="1" applyBorder="1" applyAlignment="1">
      <alignment horizontal="right" vertical="center" wrapText="1"/>
    </xf>
    <xf numFmtId="197" fontId="89" fillId="0" borderId="4" xfId="0" applyNumberFormat="1" applyFont="1" applyFill="1" applyBorder="1" applyAlignment="1">
      <alignment horizontal="right" vertical="center"/>
    </xf>
    <xf numFmtId="3" fontId="81" fillId="0" borderId="4" xfId="5" applyNumberFormat="1" applyFont="1" applyFill="1" applyBorder="1" applyAlignment="1">
      <alignment horizontal="right" vertical="center"/>
    </xf>
    <xf numFmtId="208" fontId="10" fillId="0" borderId="0" xfId="0" applyNumberFormat="1" applyFont="1" applyFill="1" applyBorder="1"/>
    <xf numFmtId="189" fontId="112" fillId="0" borderId="4" xfId="19" applyNumberFormat="1" applyFont="1" applyFill="1" applyBorder="1" applyAlignment="1">
      <alignment horizontal="center" vertical="center"/>
    </xf>
    <xf numFmtId="1" fontId="112" fillId="0" borderId="4" xfId="19" applyNumberFormat="1" applyFont="1" applyFill="1" applyBorder="1" applyAlignment="1">
      <alignment horizontal="center" vertical="center"/>
    </xf>
    <xf numFmtId="190" fontId="109" fillId="0" borderId="21" xfId="1" applyNumberFormat="1" applyFont="1" applyFill="1" applyBorder="1" applyAlignment="1">
      <alignment horizontal="center" vertical="center" shrinkToFit="1"/>
    </xf>
    <xf numFmtId="211" fontId="45" fillId="0" borderId="4" xfId="1" applyNumberFormat="1" applyFont="1" applyFill="1" applyBorder="1" applyAlignment="1">
      <alignment horizontal="center"/>
    </xf>
    <xf numFmtId="219" fontId="3" fillId="0" borderId="6" xfId="0" applyNumberFormat="1" applyFont="1" applyFill="1" applyBorder="1"/>
    <xf numFmtId="0" fontId="12" fillId="0" borderId="11" xfId="0" applyFont="1" applyFill="1" applyBorder="1" applyAlignment="1">
      <alignment horizontal="center" vertical="center"/>
    </xf>
    <xf numFmtId="190" fontId="109" fillId="0" borderId="9" xfId="1" applyNumberFormat="1" applyFont="1" applyFill="1" applyBorder="1" applyAlignment="1">
      <alignment horizontal="center" vertical="center" shrinkToFit="1"/>
    </xf>
    <xf numFmtId="189" fontId="129" fillId="0" borderId="23" xfId="0" applyNumberFormat="1" applyFont="1" applyFill="1" applyBorder="1" applyAlignment="1">
      <alignment horizontal="left" vertical="center" shrinkToFit="1"/>
    </xf>
    <xf numFmtId="189" fontId="129" fillId="0" borderId="20" xfId="0" applyNumberFormat="1" applyFont="1" applyFill="1" applyBorder="1" applyAlignment="1">
      <alignment horizontal="left" vertical="center" shrinkToFit="1"/>
    </xf>
    <xf numFmtId="0" fontId="101" fillId="0" borderId="0" xfId="0" applyFont="1" applyAlignment="1">
      <alignment horizontal="center"/>
    </xf>
    <xf numFmtId="1" fontId="105" fillId="0" borderId="3" xfId="1" applyNumberFormat="1" applyFont="1" applyFill="1" applyBorder="1" applyAlignment="1">
      <alignment vertical="center"/>
    </xf>
    <xf numFmtId="196" fontId="129" fillId="0" borderId="3" xfId="1" applyNumberFormat="1" applyFont="1" applyFill="1" applyBorder="1" applyAlignment="1">
      <alignment horizontal="center" vertical="center" wrapText="1"/>
    </xf>
    <xf numFmtId="196" fontId="129" fillId="0" borderId="0" xfId="1" applyNumberFormat="1" applyFont="1" applyFill="1" applyBorder="1" applyAlignment="1">
      <alignment horizontal="center" vertical="center" wrapText="1"/>
    </xf>
    <xf numFmtId="218" fontId="124" fillId="0" borderId="0" xfId="0" applyNumberFormat="1" applyFont="1" applyFill="1"/>
    <xf numFmtId="236" fontId="27" fillId="0" borderId="4" xfId="4" applyNumberFormat="1" applyFont="1" applyFill="1" applyBorder="1" applyAlignment="1">
      <alignment horizontal="right" vertical="center"/>
    </xf>
    <xf numFmtId="1" fontId="36" fillId="0" borderId="0" xfId="1" applyNumberFormat="1" applyFont="1" applyFill="1" applyBorder="1" applyAlignment="1">
      <alignment horizontal="center" vertical="center"/>
    </xf>
    <xf numFmtId="237" fontId="129" fillId="0" borderId="0" xfId="0" applyNumberFormat="1" applyFont="1" applyFill="1"/>
    <xf numFmtId="4" fontId="105" fillId="0" borderId="4" xfId="1" applyNumberFormat="1" applyFont="1" applyFill="1" applyBorder="1" applyAlignment="1">
      <alignment horizontal="center" vertical="center" wrapText="1"/>
    </xf>
    <xf numFmtId="1" fontId="129" fillId="0" borderId="20" xfId="1" applyNumberFormat="1" applyFont="1" applyFill="1" applyBorder="1" applyAlignment="1">
      <alignment vertical="center"/>
    </xf>
    <xf numFmtId="196" fontId="65" fillId="0" borderId="4" xfId="1" applyNumberFormat="1" applyFont="1" applyFill="1" applyBorder="1" applyAlignment="1">
      <alignment vertical="center" wrapText="1"/>
    </xf>
    <xf numFmtId="238" fontId="124" fillId="0" borderId="0" xfId="0" applyNumberFormat="1" applyFont="1" applyFill="1"/>
    <xf numFmtId="220" fontId="21" fillId="0" borderId="0" xfId="0" applyNumberFormat="1" applyFont="1" applyFill="1" applyBorder="1"/>
    <xf numFmtId="3" fontId="89" fillId="0" borderId="17" xfId="0" applyNumberFormat="1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vertical="center" shrinkToFit="1"/>
    </xf>
    <xf numFmtId="0" fontId="27" fillId="0" borderId="16" xfId="0" applyFont="1" applyFill="1" applyBorder="1" applyAlignment="1">
      <alignment vertical="center" shrinkToFit="1"/>
    </xf>
    <xf numFmtId="0" fontId="27" fillId="0" borderId="27" xfId="0" applyFont="1" applyFill="1" applyBorder="1" applyAlignment="1">
      <alignment vertical="center" shrinkToFit="1"/>
    </xf>
    <xf numFmtId="0" fontId="27" fillId="0" borderId="3" xfId="0" applyFont="1" applyFill="1" applyBorder="1" applyAlignment="1">
      <alignment vertical="center" shrinkToFit="1"/>
    </xf>
    <xf numFmtId="196" fontId="0" fillId="0" borderId="0" xfId="1" applyFont="1" applyFill="1"/>
    <xf numFmtId="196" fontId="0" fillId="0" borderId="0" xfId="1" applyFont="1" applyFill="1" applyAlignment="1"/>
    <xf numFmtId="0" fontId="56" fillId="0" borderId="0" xfId="0" applyFont="1" applyFill="1" applyBorder="1" applyAlignment="1">
      <alignment horizontal="center"/>
    </xf>
    <xf numFmtId="0" fontId="43" fillId="0" borderId="0" xfId="0" applyFont="1" applyFill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42" fillId="0" borderId="0" xfId="0" applyFont="1" applyFill="1" applyAlignment="1">
      <alignment horizontal="left"/>
    </xf>
    <xf numFmtId="198" fontId="12" fillId="0" borderId="4" xfId="19" applyNumberFormat="1" applyFont="1" applyFill="1" applyBorder="1" applyAlignment="1">
      <alignment horizontal="center"/>
    </xf>
    <xf numFmtId="189" fontId="8" fillId="0" borderId="0" xfId="0" applyNumberFormat="1" applyFont="1" applyFill="1"/>
    <xf numFmtId="189" fontId="8" fillId="0" borderId="4" xfId="19" applyNumberFormat="1" applyFont="1" applyFill="1" applyBorder="1" applyAlignment="1">
      <alignment horizontal="center"/>
    </xf>
    <xf numFmtId="189" fontId="16" fillId="0" borderId="4" xfId="19" applyNumberFormat="1" applyFont="1" applyFill="1" applyBorder="1" applyAlignment="1">
      <alignment horizontal="center"/>
    </xf>
    <xf numFmtId="198" fontId="8" fillId="0" borderId="4" xfId="0" applyNumberFormat="1" applyFont="1" applyFill="1" applyBorder="1"/>
    <xf numFmtId="239" fontId="27" fillId="0" borderId="11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shrinkToFit="1"/>
    </xf>
    <xf numFmtId="204" fontId="8" fillId="0" borderId="0" xfId="0" applyNumberFormat="1" applyFont="1" applyFill="1"/>
    <xf numFmtId="197" fontId="8" fillId="0" borderId="0" xfId="0" applyNumberFormat="1" applyFont="1" applyFill="1"/>
    <xf numFmtId="204" fontId="8" fillId="0" borderId="0" xfId="0" applyNumberFormat="1" applyFont="1" applyFill="1" applyAlignment="1"/>
    <xf numFmtId="197" fontId="156" fillId="0" borderId="0" xfId="1" applyNumberFormat="1" applyFont="1" applyFill="1" applyBorder="1" applyAlignment="1">
      <alignment horizontal="center" vertical="center"/>
    </xf>
    <xf numFmtId="0" fontId="178" fillId="0" borderId="0" xfId="0" applyNumberFormat="1" applyFont="1" applyFill="1" applyAlignment="1"/>
    <xf numFmtId="199" fontId="27" fillId="0" borderId="0" xfId="1" applyNumberFormat="1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89" fillId="0" borderId="0" xfId="0" applyFont="1" applyFill="1" applyAlignment="1">
      <alignment horizontal="center"/>
    </xf>
    <xf numFmtId="0" fontId="89" fillId="0" borderId="0" xfId="0" applyFont="1" applyFill="1" applyBorder="1" applyAlignment="1">
      <alignment horizontal="left"/>
    </xf>
    <xf numFmtId="0" fontId="89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8" fillId="0" borderId="0" xfId="0" applyFont="1" applyFill="1" applyAlignment="1">
      <alignment horizont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89" fillId="0" borderId="0" xfId="0" applyFont="1" applyFill="1" applyBorder="1" applyAlignment="1">
      <alignment horizontal="center"/>
    </xf>
    <xf numFmtId="0" fontId="85" fillId="0" borderId="0" xfId="0" applyFont="1" applyFill="1" applyBorder="1" applyAlignment="1">
      <alignment horizontal="center"/>
    </xf>
    <xf numFmtId="0" fontId="86" fillId="0" borderId="0" xfId="0" applyFont="1" applyFill="1" applyBorder="1" applyAlignment="1">
      <alignment horizontal="center"/>
    </xf>
    <xf numFmtId="0" fontId="147" fillId="0" borderId="15" xfId="0" applyFont="1" applyFill="1" applyBorder="1" applyAlignment="1">
      <alignment horizontal="center" vertical="center"/>
    </xf>
    <xf numFmtId="0" fontId="147" fillId="0" borderId="23" xfId="0" applyFont="1" applyFill="1" applyBorder="1" applyAlignment="1">
      <alignment horizontal="center" vertical="center"/>
    </xf>
    <xf numFmtId="0" fontId="147" fillId="0" borderId="20" xfId="0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/>
    </xf>
    <xf numFmtId="0" fontId="27" fillId="0" borderId="0" xfId="0" applyNumberFormat="1" applyFont="1" applyFill="1" applyAlignment="1">
      <alignment horizontal="center"/>
    </xf>
    <xf numFmtId="213" fontId="27" fillId="0" borderId="4" xfId="6" applyNumberFormat="1" applyFont="1" applyFill="1" applyBorder="1" applyAlignment="1">
      <alignment horizontal="center" vertical="center" wrapText="1"/>
    </xf>
    <xf numFmtId="0" fontId="89" fillId="0" borderId="4" xfId="0" applyFont="1" applyFill="1" applyBorder="1" applyAlignment="1">
      <alignment horizontal="center" vertical="center" wrapText="1"/>
    </xf>
    <xf numFmtId="190" fontId="89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89" fillId="0" borderId="0" xfId="0" applyFont="1" applyFill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199" fontId="30" fillId="0" borderId="0" xfId="1" applyNumberFormat="1" applyFont="1" applyFill="1" applyAlignment="1">
      <alignment horizontal="center"/>
    </xf>
    <xf numFmtId="0" fontId="27" fillId="0" borderId="17" xfId="0" applyFont="1" applyFill="1" applyBorder="1" applyAlignment="1">
      <alignment horizontal="center" vertical="center"/>
    </xf>
    <xf numFmtId="0" fontId="171" fillId="0" borderId="4" xfId="0" applyFont="1" applyFill="1" applyBorder="1" applyAlignment="1">
      <alignment horizontal="center" vertical="center"/>
    </xf>
    <xf numFmtId="1" fontId="12" fillId="0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189" fontId="129" fillId="0" borderId="23" xfId="0" applyNumberFormat="1" applyFont="1" applyFill="1" applyBorder="1" applyAlignment="1">
      <alignment horizontal="center" vertical="center" shrinkToFit="1"/>
    </xf>
    <xf numFmtId="189" fontId="129" fillId="0" borderId="20" xfId="0" applyNumberFormat="1" applyFont="1" applyFill="1" applyBorder="1" applyAlignment="1">
      <alignment vertical="center" shrinkToFit="1"/>
    </xf>
    <xf numFmtId="0" fontId="10" fillId="0" borderId="4" xfId="13" applyFont="1" applyFill="1" applyBorder="1"/>
    <xf numFmtId="0" fontId="8" fillId="0" borderId="4" xfId="0" applyFont="1" applyFill="1" applyBorder="1" applyAlignment="1">
      <alignment wrapText="1"/>
    </xf>
    <xf numFmtId="0" fontId="10" fillId="0" borderId="4" xfId="13" applyFont="1" applyFill="1" applyBorder="1" applyAlignment="1">
      <alignment vertical="center"/>
    </xf>
    <xf numFmtId="0" fontId="45" fillId="0" borderId="4" xfId="0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/>
    </xf>
    <xf numFmtId="0" fontId="101" fillId="0" borderId="0" xfId="0" applyFont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56" fillId="0" borderId="0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left"/>
    </xf>
    <xf numFmtId="1" fontId="171" fillId="0" borderId="4" xfId="0" applyNumberFormat="1" applyFont="1" applyFill="1" applyBorder="1" applyAlignment="1">
      <alignment horizontal="center" vertical="center"/>
    </xf>
    <xf numFmtId="1" fontId="137" fillId="0" borderId="20" xfId="1" applyNumberFormat="1" applyFont="1" applyFill="1" applyBorder="1" applyAlignment="1">
      <alignment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/>
    </xf>
    <xf numFmtId="0" fontId="101" fillId="0" borderId="0" xfId="0" applyFont="1" applyAlignment="1">
      <alignment horizontal="center"/>
    </xf>
    <xf numFmtId="0" fontId="89" fillId="0" borderId="0" xfId="0" applyFont="1" applyFill="1" applyAlignment="1">
      <alignment horizontal="center" vertical="center"/>
    </xf>
    <xf numFmtId="0" fontId="89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89" fillId="0" borderId="0" xfId="0" applyFont="1" applyFill="1" applyAlignment="1">
      <alignment horizontal="center" vertical="center"/>
    </xf>
    <xf numFmtId="189" fontId="181" fillId="0" borderId="0" xfId="1" applyNumberFormat="1" applyFont="1" applyFill="1" applyAlignment="1">
      <alignment horizontal="center"/>
    </xf>
    <xf numFmtId="189" fontId="181" fillId="0" borderId="0" xfId="1" applyNumberFormat="1" applyFont="1" applyFill="1" applyAlignment="1"/>
    <xf numFmtId="214" fontId="182" fillId="0" borderId="0" xfId="0" applyNumberFormat="1" applyFont="1" applyFill="1" applyAlignment="1"/>
    <xf numFmtId="189" fontId="105" fillId="0" borderId="0" xfId="0" applyNumberFormat="1" applyFont="1" applyFill="1" applyBorder="1" applyAlignment="1">
      <alignment horizontal="center"/>
    </xf>
    <xf numFmtId="189" fontId="135" fillId="0" borderId="0" xfId="0" applyNumberFormat="1" applyFont="1" applyFill="1" applyBorder="1" applyAlignment="1">
      <alignment horizontal="center"/>
    </xf>
    <xf numFmtId="2" fontId="183" fillId="0" borderId="0" xfId="0" applyNumberFormat="1" applyFont="1" applyFill="1" applyAlignment="1"/>
    <xf numFmtId="210" fontId="71" fillId="0" borderId="4" xfId="7" applyNumberFormat="1" applyFont="1" applyFill="1" applyBorder="1" applyAlignment="1">
      <alignment horizontal="center"/>
    </xf>
    <xf numFmtId="4" fontId="109" fillId="0" borderId="11" xfId="1" applyNumberFormat="1" applyFont="1" applyFill="1" applyBorder="1" applyAlignment="1">
      <alignment horizontal="right" vertical="center" shrinkToFit="1"/>
    </xf>
    <xf numFmtId="194" fontId="12" fillId="0" borderId="4" xfId="1" applyNumberFormat="1" applyFont="1" applyFill="1" applyBorder="1" applyAlignment="1">
      <alignment horizontal="center" vertical="center" wrapText="1"/>
    </xf>
    <xf numFmtId="190" fontId="3" fillId="0" borderId="6" xfId="0" applyNumberFormat="1" applyFont="1" applyFill="1" applyBorder="1"/>
    <xf numFmtId="240" fontId="17" fillId="0" borderId="0" xfId="1" applyNumberFormat="1" applyFont="1" applyFill="1" applyAlignment="1">
      <alignment horizontal="center"/>
    </xf>
    <xf numFmtId="0" fontId="36" fillId="0" borderId="16" xfId="0" applyFont="1" applyFill="1" applyBorder="1" applyAlignment="1">
      <alignment vertical="center"/>
    </xf>
    <xf numFmtId="0" fontId="36" fillId="0" borderId="0" xfId="0" applyFont="1" applyFill="1" applyBorder="1" applyAlignment="1">
      <alignment horizontal="right" vertical="center"/>
    </xf>
    <xf numFmtId="0" fontId="36" fillId="0" borderId="0" xfId="0" applyFont="1" applyFill="1" applyBorder="1" applyAlignment="1">
      <alignment vertical="center"/>
    </xf>
    <xf numFmtId="1" fontId="10" fillId="5" borderId="0" xfId="1" applyNumberFormat="1" applyFont="1" applyFill="1" applyAlignment="1">
      <alignment vertical="center"/>
    </xf>
    <xf numFmtId="0" fontId="89" fillId="0" borderId="0" xfId="0" applyFont="1" applyFill="1" applyBorder="1" applyAlignment="1"/>
    <xf numFmtId="0" fontId="179" fillId="0" borderId="0" xfId="0" applyFont="1" applyFill="1"/>
    <xf numFmtId="0" fontId="13" fillId="4" borderId="4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vertical="top" wrapText="1"/>
    </xf>
    <xf numFmtId="0" fontId="19" fillId="0" borderId="17" xfId="0" applyFont="1" applyFill="1" applyBorder="1" applyAlignment="1">
      <alignment vertical="top" wrapText="1"/>
    </xf>
    <xf numFmtId="189" fontId="109" fillId="0" borderId="7" xfId="1" applyNumberFormat="1" applyFont="1" applyFill="1" applyBorder="1" applyAlignment="1">
      <alignment vertical="center" shrinkToFit="1"/>
    </xf>
    <xf numFmtId="1" fontId="109" fillId="0" borderId="7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top" wrapText="1"/>
    </xf>
    <xf numFmtId="0" fontId="105" fillId="0" borderId="10" xfId="0" applyFont="1" applyFill="1" applyBorder="1" applyAlignment="1">
      <alignment horizontal="center" vertical="top" wrapText="1"/>
    </xf>
    <xf numFmtId="189" fontId="105" fillId="0" borderId="10" xfId="1" applyNumberFormat="1" applyFont="1" applyFill="1" applyBorder="1" applyAlignment="1">
      <alignment horizontal="center" vertical="top" wrapText="1"/>
    </xf>
    <xf numFmtId="0" fontId="109" fillId="0" borderId="4" xfId="0" applyFont="1" applyFill="1" applyBorder="1" applyAlignment="1">
      <alignment vertical="center" wrapText="1"/>
    </xf>
    <xf numFmtId="0" fontId="89" fillId="4" borderId="0" xfId="0" applyFont="1" applyFill="1"/>
    <xf numFmtId="0" fontId="27" fillId="4" borderId="0" xfId="0" applyFont="1" applyFill="1"/>
    <xf numFmtId="0" fontId="27" fillId="4" borderId="0" xfId="0" applyFont="1" applyFill="1" applyAlignment="1">
      <alignment horizontal="center"/>
    </xf>
    <xf numFmtId="43" fontId="27" fillId="4" borderId="0" xfId="0" applyNumberFormat="1" applyFont="1" applyFill="1"/>
    <xf numFmtId="0" fontId="27" fillId="4" borderId="4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vertical="center"/>
    </xf>
    <xf numFmtId="0" fontId="27" fillId="4" borderId="0" xfId="0" applyFont="1" applyFill="1" applyAlignment="1">
      <alignment horizontal="center" vertical="center" wrapText="1"/>
    </xf>
    <xf numFmtId="0" fontId="89" fillId="4" borderId="4" xfId="0" applyFont="1" applyFill="1" applyBorder="1" applyAlignment="1">
      <alignment horizontal="center" vertical="center" wrapText="1"/>
    </xf>
    <xf numFmtId="3" fontId="89" fillId="4" borderId="4" xfId="0" applyNumberFormat="1" applyFont="1" applyFill="1" applyBorder="1" applyAlignment="1">
      <alignment horizontal="center" vertical="center"/>
    </xf>
    <xf numFmtId="0" fontId="89" fillId="4" borderId="4" xfId="0" applyFont="1" applyFill="1" applyBorder="1" applyAlignment="1">
      <alignment horizontal="left" vertical="center"/>
    </xf>
    <xf numFmtId="217" fontId="89" fillId="4" borderId="4" xfId="5" applyNumberFormat="1" applyFont="1" applyFill="1" applyBorder="1" applyAlignment="1">
      <alignment horizontal="center" vertical="center"/>
    </xf>
    <xf numFmtId="241" fontId="89" fillId="4" borderId="4" xfId="0" applyNumberFormat="1" applyFont="1" applyFill="1" applyBorder="1" applyAlignment="1">
      <alignment horizontal="center" vertical="center"/>
    </xf>
    <xf numFmtId="220" fontId="89" fillId="4" borderId="0" xfId="0" applyNumberFormat="1" applyFont="1" applyFill="1" applyAlignment="1">
      <alignment horizontal="left" vertical="center"/>
    </xf>
    <xf numFmtId="3" fontId="89" fillId="4" borderId="0" xfId="0" applyNumberFormat="1" applyFont="1" applyFill="1" applyAlignment="1">
      <alignment horizontal="center" vertical="center"/>
    </xf>
    <xf numFmtId="0" fontId="81" fillId="4" borderId="0" xfId="0" applyFont="1" applyFill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217" fontId="27" fillId="4" borderId="4" xfId="5" applyNumberFormat="1" applyFont="1" applyFill="1" applyBorder="1" applyAlignment="1">
      <alignment horizontal="center" vertical="center"/>
    </xf>
    <xf numFmtId="2" fontId="27" fillId="4" borderId="0" xfId="0" applyNumberFormat="1" applyFont="1" applyFill="1" applyAlignment="1">
      <alignment horizontal="center" vertical="center"/>
    </xf>
    <xf numFmtId="204" fontId="27" fillId="4" borderId="0" xfId="0" applyNumberFormat="1" applyFont="1" applyFill="1" applyAlignment="1">
      <alignment horizontal="center" vertical="center"/>
    </xf>
    <xf numFmtId="3" fontId="27" fillId="4" borderId="0" xfId="0" applyNumberFormat="1" applyFont="1" applyFill="1" applyAlignment="1">
      <alignment horizontal="center" vertical="center"/>
    </xf>
    <xf numFmtId="0" fontId="89" fillId="4" borderId="0" xfId="0" applyFont="1" applyFill="1" applyAlignment="1">
      <alignment horizontal="center"/>
    </xf>
    <xf numFmtId="204" fontId="27" fillId="4" borderId="0" xfId="0" applyNumberFormat="1" applyFont="1" applyFill="1"/>
    <xf numFmtId="4" fontId="27" fillId="4" borderId="0" xfId="0" applyNumberFormat="1" applyFont="1" applyFill="1"/>
    <xf numFmtId="0" fontId="89" fillId="4" borderId="0" xfId="0" applyFont="1" applyFill="1" applyAlignment="1">
      <alignment shrinkToFit="1"/>
    </xf>
    <xf numFmtId="213" fontId="36" fillId="4" borderId="0" xfId="0" applyNumberFormat="1" applyFont="1" applyFill="1" applyAlignment="1">
      <alignment horizontal="center"/>
    </xf>
    <xf numFmtId="213" fontId="89" fillId="4" borderId="0" xfId="0" applyNumberFormat="1" applyFont="1" applyFill="1"/>
    <xf numFmtId="2" fontId="89" fillId="4" borderId="0" xfId="0" applyNumberFormat="1" applyFont="1" applyFill="1"/>
    <xf numFmtId="0" fontId="27" fillId="4" borderId="0" xfId="0" applyFont="1" applyFill="1" applyAlignment="1"/>
    <xf numFmtId="0" fontId="27" fillId="4" borderId="0" xfId="0" applyFont="1" applyFill="1" applyAlignment="1">
      <alignment horizontal="left"/>
    </xf>
    <xf numFmtId="217" fontId="89" fillId="0" borderId="4" xfId="5" applyNumberFormat="1" applyFont="1" applyFill="1" applyBorder="1" applyAlignment="1">
      <alignment horizontal="center" vertical="center"/>
    </xf>
    <xf numFmtId="190" fontId="105" fillId="0" borderId="4" xfId="5" applyNumberFormat="1" applyFont="1" applyFill="1" applyBorder="1" applyAlignment="1">
      <alignment horizontal="center" vertical="center" wrapText="1"/>
    </xf>
    <xf numFmtId="211" fontId="129" fillId="0" borderId="4" xfId="5" applyNumberFormat="1" applyFont="1" applyFill="1" applyBorder="1" applyAlignment="1">
      <alignment vertical="center"/>
    </xf>
    <xf numFmtId="197" fontId="129" fillId="0" borderId="4" xfId="1" applyNumberFormat="1" applyFont="1" applyFill="1" applyBorder="1" applyAlignment="1">
      <alignment vertical="center" shrinkToFit="1"/>
    </xf>
    <xf numFmtId="204" fontId="109" fillId="0" borderId="0" xfId="0" applyNumberFormat="1" applyFont="1" applyFill="1" applyAlignment="1"/>
    <xf numFmtId="197" fontId="109" fillId="0" borderId="0" xfId="1" applyNumberFormat="1" applyFont="1" applyFill="1" applyAlignment="1"/>
    <xf numFmtId="204" fontId="109" fillId="0" borderId="11" xfId="0" applyNumberFormat="1" applyFont="1" applyFill="1" applyBorder="1" applyAlignment="1">
      <alignment vertical="center"/>
    </xf>
    <xf numFmtId="204" fontId="109" fillId="0" borderId="9" xfId="0" applyNumberFormat="1" applyFont="1" applyFill="1" applyBorder="1" applyAlignment="1">
      <alignment vertical="center" wrapText="1"/>
    </xf>
    <xf numFmtId="204" fontId="109" fillId="0" borderId="1" xfId="0" applyNumberFormat="1" applyFont="1" applyFill="1" applyBorder="1" applyAlignment="1">
      <alignment vertical="center" wrapText="1"/>
    </xf>
    <xf numFmtId="204" fontId="112" fillId="0" borderId="1" xfId="0" applyNumberFormat="1" applyFont="1" applyFill="1" applyBorder="1" applyAlignment="1">
      <alignment vertical="center"/>
    </xf>
    <xf numFmtId="204" fontId="109" fillId="0" borderId="1" xfId="0" applyNumberFormat="1" applyFont="1" applyFill="1" applyBorder="1" applyAlignment="1">
      <alignment horizontal="left" vertical="center"/>
    </xf>
    <xf numFmtId="204" fontId="109" fillId="0" borderId="1" xfId="0" applyNumberFormat="1" applyFont="1" applyFill="1" applyBorder="1" applyAlignment="1">
      <alignment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199" fontId="12" fillId="0" borderId="4" xfId="1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208" fontId="12" fillId="0" borderId="4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53" fillId="0" borderId="4" xfId="0" applyFont="1" applyFill="1" applyBorder="1"/>
    <xf numFmtId="0" fontId="8" fillId="0" borderId="4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197" fontId="21" fillId="0" borderId="4" xfId="1" applyNumberFormat="1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197" fontId="113" fillId="2" borderId="4" xfId="0" applyNumberFormat="1" applyFont="1" applyFill="1" applyBorder="1" applyAlignment="1">
      <alignment horizontal="right" vertical="center" shrinkToFit="1"/>
    </xf>
    <xf numFmtId="197" fontId="186" fillId="0" borderId="4" xfId="0" applyNumberFormat="1" applyFont="1" applyFill="1" applyBorder="1" applyAlignment="1">
      <alignment horizontal="center" vertical="center" wrapText="1"/>
    </xf>
    <xf numFmtId="0" fontId="186" fillId="0" borderId="4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43" fillId="0" borderId="0" xfId="0" applyFont="1" applyFill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42" fillId="0" borderId="0" xfId="0" applyFont="1" applyFill="1" applyAlignment="1">
      <alignment horizontal="left"/>
    </xf>
    <xf numFmtId="0" fontId="129" fillId="4" borderId="0" xfId="27" applyFont="1" applyFill="1"/>
    <xf numFmtId="10" fontId="129" fillId="4" borderId="0" xfId="21" applyNumberFormat="1" applyFont="1" applyFill="1"/>
    <xf numFmtId="189" fontId="109" fillId="0" borderId="11" xfId="1" applyNumberFormat="1" applyFont="1" applyFill="1" applyBorder="1" applyAlignment="1">
      <alignment vertical="center" shrinkToFit="1"/>
    </xf>
    <xf numFmtId="0" fontId="8" fillId="6" borderId="4" xfId="13" applyFont="1" applyFill="1" applyBorder="1" applyAlignment="1" applyProtection="1"/>
    <xf numFmtId="0" fontId="8" fillId="6" borderId="4" xfId="12" applyFont="1" applyFill="1" applyBorder="1" applyAlignment="1" applyProtection="1"/>
    <xf numFmtId="1" fontId="8" fillId="0" borderId="7" xfId="1" applyNumberFormat="1" applyFont="1" applyFill="1" applyBorder="1" applyAlignment="1">
      <alignment horizontal="right" vertical="center" wrapText="1"/>
    </xf>
    <xf numFmtId="215" fontId="33" fillId="5" borderId="4" xfId="0" applyNumberFormat="1" applyFont="1" applyFill="1" applyBorder="1"/>
    <xf numFmtId="196" fontId="186" fillId="0" borderId="4" xfId="0" applyNumberFormat="1" applyFont="1" applyFill="1" applyBorder="1" applyAlignment="1">
      <alignment horizontal="center" vertical="center" wrapText="1"/>
    </xf>
    <xf numFmtId="224" fontId="186" fillId="0" borderId="4" xfId="0" applyNumberFormat="1" applyFont="1" applyFill="1" applyBorder="1" applyAlignment="1">
      <alignment horizontal="center" vertical="center" wrapText="1"/>
    </xf>
    <xf numFmtId="196" fontId="147" fillId="0" borderId="4" xfId="0" quotePrefix="1" applyNumberFormat="1" applyFont="1" applyFill="1" applyBorder="1" applyAlignment="1">
      <alignment horizontal="center" vertical="center" wrapText="1"/>
    </xf>
    <xf numFmtId="0" fontId="103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198" fontId="12" fillId="0" borderId="4" xfId="19" applyNumberFormat="1" applyFont="1" applyFill="1" applyBorder="1" applyAlignment="1">
      <alignment horizontal="center" vertical="center"/>
    </xf>
    <xf numFmtId="3" fontId="103" fillId="0" borderId="0" xfId="0" applyNumberFormat="1" applyFont="1" applyFill="1" applyAlignment="1">
      <alignment vertical="center"/>
    </xf>
    <xf numFmtId="0" fontId="103" fillId="0" borderId="0" xfId="0" applyFont="1" applyFill="1" applyAlignment="1">
      <alignment vertical="center"/>
    </xf>
    <xf numFmtId="0" fontId="188" fillId="0" borderId="0" xfId="0" applyFont="1" applyFill="1" applyAlignment="1">
      <alignment vertical="center"/>
    </xf>
    <xf numFmtId="3" fontId="90" fillId="0" borderId="0" xfId="0" applyNumberFormat="1" applyFont="1" applyFill="1" applyAlignment="1">
      <alignment vertical="center"/>
    </xf>
    <xf numFmtId="0" fontId="90" fillId="0" borderId="0" xfId="0" applyFont="1" applyFill="1" applyAlignment="1">
      <alignment vertical="center"/>
    </xf>
    <xf numFmtId="0" fontId="168" fillId="0" borderId="0" xfId="0" applyFont="1" applyFill="1" applyAlignment="1">
      <alignment vertical="center"/>
    </xf>
    <xf numFmtId="0" fontId="90" fillId="0" borderId="4" xfId="0" applyFont="1" applyFill="1" applyBorder="1" applyAlignment="1">
      <alignment vertical="center"/>
    </xf>
    <xf numFmtId="198" fontId="19" fillId="0" borderId="4" xfId="19" applyNumberFormat="1" applyFont="1" applyFill="1" applyBorder="1" applyAlignment="1">
      <alignment horizontal="center" vertical="center"/>
    </xf>
    <xf numFmtId="10" fontId="186" fillId="0" borderId="4" xfId="21" applyNumberFormat="1" applyFont="1" applyFill="1" applyBorder="1" applyAlignment="1">
      <alignment vertical="center" wrapText="1"/>
    </xf>
    <xf numFmtId="4" fontId="89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197" fontId="189" fillId="0" borderId="4" xfId="1" applyNumberFormat="1" applyFont="1" applyFill="1" applyBorder="1"/>
    <xf numFmtId="196" fontId="8" fillId="0" borderId="4" xfId="1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 vertical="center"/>
    </xf>
    <xf numFmtId="0" fontId="127" fillId="0" borderId="0" xfId="0" applyFont="1" applyFill="1" applyBorder="1" applyAlignment="1">
      <alignment horizontal="center" vertical="center"/>
    </xf>
    <xf numFmtId="0" fontId="127" fillId="0" borderId="16" xfId="0" applyFont="1" applyFill="1" applyBorder="1" applyAlignment="1">
      <alignment horizontal="center" vertical="center"/>
    </xf>
    <xf numFmtId="3" fontId="126" fillId="0" borderId="4" xfId="4" applyNumberFormat="1" applyFont="1" applyFill="1" applyBorder="1" applyAlignment="1">
      <alignment horizontal="right" vertical="center"/>
    </xf>
    <xf numFmtId="221" fontId="27" fillId="0" borderId="0" xfId="6" applyNumberFormat="1" applyFont="1" applyFill="1" applyBorder="1"/>
    <xf numFmtId="0" fontId="169" fillId="4" borderId="0" xfId="0" applyFont="1" applyFill="1"/>
    <xf numFmtId="204" fontId="112" fillId="0" borderId="18" xfId="0" applyNumberFormat="1" applyFont="1" applyFill="1" applyBorder="1" applyAlignment="1">
      <alignment vertical="center"/>
    </xf>
    <xf numFmtId="189" fontId="12" fillId="0" borderId="0" xfId="0" applyNumberFormat="1" applyFont="1" applyFill="1"/>
    <xf numFmtId="213" fontId="0" fillId="0" borderId="0" xfId="0" applyNumberFormat="1" applyFill="1"/>
    <xf numFmtId="236" fontId="9" fillId="0" borderId="0" xfId="0" applyNumberFormat="1" applyFont="1" applyFill="1" applyBorder="1"/>
    <xf numFmtId="0" fontId="8" fillId="0" borderId="4" xfId="0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 vertical="center"/>
    </xf>
    <xf numFmtId="37" fontId="12" fillId="5" borderId="4" xfId="1" applyNumberFormat="1" applyFont="1" applyFill="1" applyBorder="1" applyAlignment="1">
      <alignment horizontal="center" vertical="center" wrapText="1"/>
    </xf>
    <xf numFmtId="200" fontId="12" fillId="5" borderId="10" xfId="0" applyNumberFormat="1" applyFont="1" applyFill="1" applyBorder="1" applyAlignment="1">
      <alignment horizontal="center" vertical="center" shrinkToFit="1"/>
    </xf>
    <xf numFmtId="211" fontId="45" fillId="5" borderId="4" xfId="1" applyNumberFormat="1" applyFont="1" applyFill="1" applyBorder="1" applyAlignment="1">
      <alignment horizontal="center"/>
    </xf>
    <xf numFmtId="0" fontId="109" fillId="0" borderId="5" xfId="0" applyFont="1" applyFill="1" applyBorder="1" applyAlignment="1">
      <alignment horizontal="left" vertical="center" shrinkToFit="1"/>
    </xf>
    <xf numFmtId="1" fontId="109" fillId="0" borderId="7" xfId="1" applyNumberFormat="1" applyFont="1" applyFill="1" applyBorder="1" applyAlignment="1">
      <alignment horizontal="right" vertical="center" wrapText="1"/>
    </xf>
    <xf numFmtId="200" fontId="109" fillId="0" borderId="5" xfId="1" applyNumberFormat="1" applyFont="1" applyFill="1" applyBorder="1" applyAlignment="1">
      <alignment horizontal="center" vertical="center" shrinkToFit="1"/>
    </xf>
    <xf numFmtId="189" fontId="109" fillId="0" borderId="5" xfId="1" applyNumberFormat="1" applyFont="1" applyFill="1" applyBorder="1" applyAlignment="1">
      <alignment horizontal="center" vertical="center"/>
    </xf>
    <xf numFmtId="0" fontId="109" fillId="0" borderId="11" xfId="0" applyFont="1" applyFill="1" applyBorder="1" applyAlignment="1">
      <alignment horizontal="left" vertical="center" shrinkToFit="1"/>
    </xf>
    <xf numFmtId="200" fontId="109" fillId="0" borderId="11" xfId="1" applyNumberFormat="1" applyFont="1" applyFill="1" applyBorder="1" applyAlignment="1">
      <alignment horizontal="center" vertical="center" shrinkToFit="1"/>
    </xf>
    <xf numFmtId="0" fontId="112" fillId="0" borderId="11" xfId="0" applyFont="1" applyFill="1" applyBorder="1" applyAlignment="1">
      <alignment horizontal="center" vertical="center"/>
    </xf>
    <xf numFmtId="198" fontId="109" fillId="0" borderId="5" xfId="1" applyNumberFormat="1" applyFont="1" applyFill="1" applyBorder="1" applyAlignment="1">
      <alignment horizontal="right" vertical="center" shrinkToFit="1"/>
    </xf>
    <xf numFmtId="208" fontId="109" fillId="0" borderId="9" xfId="1" applyNumberFormat="1" applyFont="1" applyFill="1" applyBorder="1" applyAlignment="1">
      <alignment horizontal="right" vertical="center" wrapText="1"/>
    </xf>
    <xf numFmtId="3" fontId="19" fillId="0" borderId="4" xfId="10" applyNumberFormat="1" applyFont="1" applyFill="1" applyBorder="1" applyAlignment="1">
      <alignment horizontal="center" vertical="center"/>
    </xf>
    <xf numFmtId="198" fontId="19" fillId="0" borderId="4" xfId="10" applyNumberFormat="1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left" vertical="center"/>
    </xf>
    <xf numFmtId="3" fontId="109" fillId="0" borderId="4" xfId="0" applyNumberFormat="1" applyFont="1" applyFill="1" applyBorder="1" applyAlignment="1">
      <alignment horizontal="left" vertical="center"/>
    </xf>
    <xf numFmtId="0" fontId="10" fillId="0" borderId="4" xfId="13" applyFont="1" applyFill="1" applyBorder="1" applyAlignment="1" applyProtection="1">
      <alignment horizontal="left" vertical="center"/>
    </xf>
    <xf numFmtId="0" fontId="10" fillId="0" borderId="4" xfId="0" applyFont="1" applyFill="1" applyBorder="1" applyAlignment="1">
      <alignment vertical="center"/>
    </xf>
    <xf numFmtId="0" fontId="169" fillId="0" borderId="4" xfId="13" applyFont="1" applyFill="1" applyBorder="1" applyAlignment="1">
      <alignment vertical="center"/>
    </xf>
    <xf numFmtId="0" fontId="184" fillId="0" borderId="0" xfId="20" applyFont="1" applyFill="1"/>
    <xf numFmtId="3" fontId="109" fillId="0" borderId="4" xfId="0" applyNumberFormat="1" applyFont="1" applyFill="1" applyBorder="1" applyAlignment="1">
      <alignment vertical="center"/>
    </xf>
    <xf numFmtId="189" fontId="105" fillId="0" borderId="4" xfId="1" applyNumberFormat="1" applyFont="1" applyFill="1" applyBorder="1" applyAlignment="1">
      <alignment horizontal="center" vertical="top" wrapText="1"/>
    </xf>
    <xf numFmtId="3" fontId="126" fillId="0" borderId="4" xfId="0" applyNumberFormat="1" applyFont="1" applyFill="1" applyBorder="1" applyAlignment="1">
      <alignment horizontal="right" vertical="center"/>
    </xf>
    <xf numFmtId="3" fontId="27" fillId="0" borderId="17" xfId="0" applyNumberFormat="1" applyFont="1" applyFill="1" applyBorder="1" applyAlignment="1">
      <alignment horizontal="right" vertical="center"/>
    </xf>
    <xf numFmtId="0" fontId="194" fillId="0" borderId="0" xfId="0" applyFont="1" applyFill="1"/>
    <xf numFmtId="0" fontId="105" fillId="0" borderId="0" xfId="0" applyFont="1" applyFill="1" applyAlignment="1"/>
    <xf numFmtId="0" fontId="195" fillId="0" borderId="0" xfId="0" applyFont="1" applyFill="1"/>
    <xf numFmtId="0" fontId="162" fillId="0" borderId="0" xfId="0" applyFont="1" applyFill="1" applyAlignment="1"/>
    <xf numFmtId="235" fontId="194" fillId="0" borderId="0" xfId="0" applyNumberFormat="1" applyFont="1" applyFill="1"/>
    <xf numFmtId="0" fontId="195" fillId="0" borderId="0" xfId="0" applyFont="1" applyFill="1" applyAlignment="1"/>
    <xf numFmtId="0" fontId="105" fillId="0" borderId="0" xfId="0" applyFont="1" applyFill="1"/>
    <xf numFmtId="189" fontId="13" fillId="0" borderId="0" xfId="0" applyNumberFormat="1" applyFont="1" applyFill="1" applyAlignment="1">
      <alignment vertical="center"/>
    </xf>
    <xf numFmtId="189" fontId="13" fillId="0" borderId="0" xfId="0" applyNumberFormat="1" applyFont="1" applyFill="1" applyAlignment="1">
      <alignment shrinkToFit="1"/>
    </xf>
    <xf numFmtId="189" fontId="13" fillId="0" borderId="0" xfId="0" applyNumberFormat="1" applyFont="1" applyFill="1"/>
    <xf numFmtId="211" fontId="13" fillId="0" borderId="0" xfId="1" applyNumberFormat="1" applyFont="1" applyFill="1"/>
    <xf numFmtId="4" fontId="13" fillId="0" borderId="0" xfId="1" applyNumberFormat="1" applyFont="1" applyFill="1"/>
    <xf numFmtId="189" fontId="13" fillId="0" borderId="0" xfId="1" applyNumberFormat="1" applyFont="1" applyFill="1"/>
    <xf numFmtId="197" fontId="105" fillId="0" borderId="4" xfId="1" applyNumberFormat="1" applyFont="1" applyFill="1" applyBorder="1" applyAlignment="1">
      <alignment horizontal="center" vertical="center"/>
    </xf>
    <xf numFmtId="214" fontId="12" fillId="0" borderId="0" xfId="0" applyNumberFormat="1" applyFont="1" applyFill="1"/>
    <xf numFmtId="189" fontId="30" fillId="0" borderId="0" xfId="1" applyNumberFormat="1" applyFont="1" applyFill="1" applyAlignment="1">
      <alignment horizontal="center"/>
    </xf>
    <xf numFmtId="189" fontId="30" fillId="0" borderId="0" xfId="1" applyNumberFormat="1" applyFont="1" applyFill="1" applyAlignment="1"/>
    <xf numFmtId="214" fontId="14" fillId="0" borderId="0" xfId="0" applyNumberFormat="1" applyFont="1" applyFill="1" applyAlignment="1"/>
    <xf numFmtId="189" fontId="11" fillId="0" borderId="0" xfId="0" applyNumberFormat="1" applyFont="1" applyFill="1" applyAlignment="1"/>
    <xf numFmtId="189" fontId="3" fillId="0" borderId="0" xfId="0" applyNumberFormat="1" applyFont="1" applyFill="1" applyAlignment="1">
      <alignment vertical="center"/>
    </xf>
    <xf numFmtId="189" fontId="3" fillId="0" borderId="0" xfId="0" applyNumberFormat="1" applyFont="1" applyFill="1" applyAlignment="1">
      <alignment horizontal="center"/>
    </xf>
    <xf numFmtId="3" fontId="8" fillId="0" borderId="0" xfId="0" applyNumberFormat="1" applyFont="1" applyFill="1"/>
    <xf numFmtId="189" fontId="10" fillId="0" borderId="0" xfId="0" applyNumberFormat="1" applyFont="1" applyFill="1" applyBorder="1" applyAlignment="1">
      <alignment vertical="center"/>
    </xf>
    <xf numFmtId="189" fontId="10" fillId="0" borderId="0" xfId="0" applyNumberFormat="1" applyFont="1" applyFill="1" applyBorder="1" applyAlignment="1">
      <alignment horizontal="center"/>
    </xf>
    <xf numFmtId="203" fontId="8" fillId="0" borderId="0" xfId="0" applyNumberFormat="1" applyFont="1" applyFill="1"/>
    <xf numFmtId="4" fontId="10" fillId="0" borderId="0" xfId="1" applyNumberFormat="1" applyFont="1" applyFill="1" applyBorder="1" applyAlignment="1"/>
    <xf numFmtId="189" fontId="10" fillId="0" borderId="0" xfId="1" applyNumberFormat="1" applyFont="1" applyFill="1" applyBorder="1" applyAlignment="1">
      <alignment horizontal="center"/>
    </xf>
    <xf numFmtId="189" fontId="10" fillId="0" borderId="0" xfId="1" applyNumberFormat="1" applyFont="1" applyFill="1" applyBorder="1" applyAlignment="1"/>
    <xf numFmtId="189" fontId="10" fillId="0" borderId="0" xfId="1" applyNumberFormat="1" applyFont="1" applyFill="1" applyBorder="1"/>
    <xf numFmtId="189" fontId="27" fillId="0" borderId="4" xfId="1" applyNumberFormat="1" applyFont="1" applyFill="1" applyBorder="1" applyAlignment="1">
      <alignment vertical="center" wrapText="1"/>
    </xf>
    <xf numFmtId="189" fontId="12" fillId="0" borderId="0" xfId="0" applyNumberFormat="1" applyFont="1" applyFill="1" applyAlignment="1">
      <alignment horizontal="center"/>
    </xf>
    <xf numFmtId="211" fontId="27" fillId="0" borderId="10" xfId="1" applyNumberFormat="1" applyFont="1" applyFill="1" applyBorder="1" applyAlignment="1">
      <alignment vertical="center" wrapText="1"/>
    </xf>
    <xf numFmtId="190" fontId="27" fillId="0" borderId="4" xfId="5" applyNumberFormat="1" applyFont="1" applyFill="1" applyBorder="1" applyAlignment="1">
      <alignment horizontal="center" vertical="center" wrapText="1"/>
    </xf>
    <xf numFmtId="189" fontId="27" fillId="0" borderId="10" xfId="1" applyNumberFormat="1" applyFont="1" applyFill="1" applyBorder="1" applyAlignment="1">
      <alignment horizontal="center" vertical="center" wrapText="1"/>
    </xf>
    <xf numFmtId="189" fontId="27" fillId="0" borderId="10" xfId="1" applyNumberFormat="1" applyFont="1" applyFill="1" applyBorder="1" applyAlignment="1">
      <alignment horizontal="center" vertical="top" wrapText="1"/>
    </xf>
    <xf numFmtId="0" fontId="27" fillId="0" borderId="10" xfId="0" applyFont="1" applyFill="1" applyBorder="1" applyAlignment="1">
      <alignment horizontal="center" vertical="top" wrapText="1"/>
    </xf>
    <xf numFmtId="3" fontId="27" fillId="0" borderId="4" xfId="5" applyNumberFormat="1" applyFont="1" applyFill="1" applyBorder="1" applyAlignment="1">
      <alignment horizontal="center" vertical="top" wrapText="1"/>
    </xf>
    <xf numFmtId="189" fontId="27" fillId="0" borderId="10" xfId="1" applyNumberFormat="1" applyFont="1" applyFill="1" applyBorder="1" applyAlignment="1">
      <alignment vertical="center" wrapText="1"/>
    </xf>
    <xf numFmtId="189" fontId="12" fillId="0" borderId="0" xfId="0" applyNumberFormat="1" applyFont="1" applyFill="1" applyAlignment="1">
      <alignment horizontal="center" vertical="center"/>
    </xf>
    <xf numFmtId="189" fontId="11" fillId="0" borderId="0" xfId="0" applyNumberFormat="1" applyFont="1" applyFill="1" applyAlignment="1">
      <alignment horizontal="center" vertical="center"/>
    </xf>
    <xf numFmtId="189" fontId="27" fillId="0" borderId="4" xfId="1" applyNumberFormat="1" applyFont="1" applyFill="1" applyBorder="1" applyAlignment="1">
      <alignment horizontal="right" vertical="center"/>
    </xf>
    <xf numFmtId="189" fontId="89" fillId="0" borderId="4" xfId="0" applyNumberFormat="1" applyFont="1" applyFill="1" applyBorder="1" applyAlignment="1">
      <alignment horizontal="center" vertical="center" shrinkToFit="1"/>
    </xf>
    <xf numFmtId="189" fontId="89" fillId="0" borderId="4" xfId="0" applyNumberFormat="1" applyFont="1" applyFill="1" applyBorder="1" applyAlignment="1">
      <alignment vertical="center" shrinkToFit="1"/>
    </xf>
    <xf numFmtId="211" fontId="89" fillId="0" borderId="4" xfId="0" applyNumberFormat="1" applyFont="1" applyFill="1" applyBorder="1" applyAlignment="1">
      <alignment horizontal="right" vertical="center" wrapText="1"/>
    </xf>
    <xf numFmtId="190" fontId="89" fillId="0" borderId="4" xfId="5" applyNumberFormat="1" applyFont="1" applyFill="1" applyBorder="1" applyAlignment="1">
      <alignment vertical="center"/>
    </xf>
    <xf numFmtId="189" fontId="89" fillId="0" borderId="4" xfId="1" applyNumberFormat="1" applyFont="1" applyFill="1" applyBorder="1" applyAlignment="1">
      <alignment horizontal="center" vertical="center" shrinkToFit="1"/>
    </xf>
    <xf numFmtId="197" fontId="89" fillId="0" borderId="4" xfId="1" applyNumberFormat="1" applyFont="1" applyFill="1" applyBorder="1" applyAlignment="1">
      <alignment vertical="center" shrinkToFit="1"/>
    </xf>
    <xf numFmtId="189" fontId="89" fillId="0" borderId="4" xfId="1" applyNumberFormat="1" applyFont="1" applyFill="1" applyBorder="1" applyAlignment="1">
      <alignment horizontal="right" vertical="center" shrinkToFit="1"/>
    </xf>
    <xf numFmtId="189" fontId="89" fillId="0" borderId="4" xfId="0" applyNumberFormat="1" applyFont="1" applyFill="1" applyBorder="1" applyAlignment="1">
      <alignment horizontal="left" vertical="center"/>
    </xf>
    <xf numFmtId="189" fontId="89" fillId="0" borderId="4" xfId="0" applyNumberFormat="1" applyFont="1" applyFill="1" applyBorder="1" applyAlignment="1">
      <alignment horizontal="right" vertical="center"/>
    </xf>
    <xf numFmtId="189" fontId="8" fillId="0" borderId="0" xfId="0" applyNumberFormat="1" applyFont="1" applyFill="1" applyAlignment="1">
      <alignment vertical="center"/>
    </xf>
    <xf numFmtId="189" fontId="16" fillId="0" borderId="0" xfId="0" applyNumberFormat="1" applyFont="1" applyFill="1" applyAlignment="1">
      <alignment vertical="center"/>
    </xf>
    <xf numFmtId="189" fontId="89" fillId="0" borderId="4" xfId="0" applyNumberFormat="1" applyFont="1" applyFill="1" applyBorder="1" applyAlignment="1">
      <alignment horizontal="left" vertical="center" shrinkToFit="1"/>
    </xf>
    <xf numFmtId="211" fontId="89" fillId="0" borderId="4" xfId="0" applyNumberFormat="1" applyFont="1" applyFill="1" applyBorder="1" applyAlignment="1">
      <alignment horizontal="left" vertical="center" wrapText="1"/>
    </xf>
    <xf numFmtId="189" fontId="89" fillId="0" borderId="4" xfId="1" applyNumberFormat="1" applyFont="1" applyFill="1" applyBorder="1" applyAlignment="1">
      <alignment horizontal="left" vertical="center"/>
    </xf>
    <xf numFmtId="211" fontId="27" fillId="0" borderId="4" xfId="1" applyNumberFormat="1" applyFont="1" applyFill="1" applyBorder="1" applyAlignment="1">
      <alignment horizontal="right" vertical="center"/>
    </xf>
    <xf numFmtId="189" fontId="89" fillId="0" borderId="4" xfId="0" applyNumberFormat="1" applyFont="1" applyFill="1" applyBorder="1" applyAlignment="1">
      <alignment vertical="center"/>
    </xf>
    <xf numFmtId="189" fontId="12" fillId="0" borderId="0" xfId="0" applyNumberFormat="1" applyFont="1" applyFill="1" applyBorder="1" applyAlignment="1">
      <alignment vertical="center" shrinkToFit="1"/>
    </xf>
    <xf numFmtId="189" fontId="12" fillId="0" borderId="0" xfId="0" applyNumberFormat="1" applyFont="1" applyFill="1" applyBorder="1" applyAlignment="1">
      <alignment horizontal="center" shrinkToFit="1"/>
    </xf>
    <xf numFmtId="211" fontId="12" fillId="0" borderId="0" xfId="1" applyNumberFormat="1" applyFont="1" applyFill="1" applyBorder="1" applyAlignment="1">
      <alignment horizontal="right"/>
    </xf>
    <xf numFmtId="189" fontId="12" fillId="0" borderId="0" xfId="1" applyNumberFormat="1" applyFont="1" applyFill="1" applyBorder="1" applyAlignment="1">
      <alignment horizontal="right"/>
    </xf>
    <xf numFmtId="4" fontId="12" fillId="0" borderId="0" xfId="1" applyNumberFormat="1" applyFont="1" applyFill="1" applyBorder="1" applyAlignment="1">
      <alignment horizontal="right"/>
    </xf>
    <xf numFmtId="189" fontId="12" fillId="0" borderId="0" xfId="1" applyNumberFormat="1" applyFont="1" applyFill="1" applyBorder="1" applyAlignment="1">
      <alignment horizontal="center"/>
    </xf>
    <xf numFmtId="189" fontId="16" fillId="0" borderId="0" xfId="0" applyNumberFormat="1" applyFont="1" applyFill="1"/>
    <xf numFmtId="214" fontId="13" fillId="0" borderId="0" xfId="1" applyNumberFormat="1" applyFont="1" applyFill="1" applyAlignment="1"/>
    <xf numFmtId="211" fontId="13" fillId="0" borderId="0" xfId="1" applyNumberFormat="1" applyFont="1" applyFill="1" applyAlignment="1"/>
    <xf numFmtId="211" fontId="13" fillId="0" borderId="0" xfId="0" applyNumberFormat="1" applyFont="1" applyFill="1"/>
    <xf numFmtId="189" fontId="10" fillId="0" borderId="0" xfId="0" applyNumberFormat="1" applyFont="1" applyFill="1" applyBorder="1" applyAlignment="1"/>
    <xf numFmtId="189" fontId="11" fillId="0" borderId="0" xfId="0" applyNumberFormat="1" applyFont="1" applyFill="1" applyAlignment="1">
      <alignment vertical="center"/>
    </xf>
    <xf numFmtId="189" fontId="11" fillId="0" borderId="0" xfId="0" applyNumberFormat="1" applyFont="1" applyFill="1"/>
    <xf numFmtId="189" fontId="27" fillId="0" borderId="0" xfId="0" applyNumberFormat="1" applyFont="1" applyFill="1" applyAlignment="1"/>
    <xf numFmtId="4" fontId="11" fillId="0" borderId="0" xfId="0" applyNumberFormat="1" applyFont="1" applyFill="1"/>
    <xf numFmtId="211" fontId="11" fillId="0" borderId="0" xfId="0" applyNumberFormat="1" applyFont="1" applyFill="1"/>
    <xf numFmtId="211" fontId="11" fillId="0" borderId="0" xfId="0" applyNumberFormat="1" applyFont="1" applyFill="1" applyAlignment="1"/>
    <xf numFmtId="211" fontId="3" fillId="0" borderId="0" xfId="0" applyNumberFormat="1" applyFont="1" applyFill="1" applyAlignment="1">
      <alignment horizontal="center"/>
    </xf>
    <xf numFmtId="211" fontId="11" fillId="0" borderId="0" xfId="0" applyNumberFormat="1" applyFont="1" applyFill="1" applyAlignment="1">
      <alignment horizontal="center"/>
    </xf>
    <xf numFmtId="189" fontId="19" fillId="0" borderId="0" xfId="0" applyNumberFormat="1" applyFont="1" applyFill="1" applyAlignment="1">
      <alignment horizontal="center" vertical="center"/>
    </xf>
    <xf numFmtId="189" fontId="89" fillId="0" borderId="0" xfId="0" applyNumberFormat="1" applyFont="1" applyFill="1" applyAlignment="1">
      <alignment vertical="center"/>
    </xf>
    <xf numFmtId="225" fontId="11" fillId="0" borderId="0" xfId="0" applyNumberFormat="1" applyFont="1" applyFill="1" applyAlignment="1">
      <alignment horizontal="center"/>
    </xf>
    <xf numFmtId="211" fontId="27" fillId="0" borderId="0" xfId="0" applyNumberFormat="1" applyFont="1" applyFill="1" applyAlignment="1"/>
    <xf numFmtId="189" fontId="13" fillId="0" borderId="0" xfId="0" applyNumberFormat="1" applyFont="1" applyFill="1" applyAlignment="1"/>
    <xf numFmtId="211" fontId="9" fillId="0" borderId="0" xfId="0" applyNumberFormat="1" applyFont="1" applyFill="1"/>
    <xf numFmtId="213" fontId="9" fillId="0" borderId="0" xfId="0" applyNumberFormat="1" applyFont="1" applyFill="1"/>
    <xf numFmtId="211" fontId="13" fillId="0" borderId="0" xfId="0" applyNumberFormat="1" applyFont="1" applyFill="1" applyAlignment="1"/>
    <xf numFmtId="3" fontId="10" fillId="0" borderId="0" xfId="1" applyNumberFormat="1" applyFont="1" applyFill="1" applyAlignment="1"/>
    <xf numFmtId="214" fontId="13" fillId="0" borderId="0" xfId="0" applyNumberFormat="1" applyFont="1" applyFill="1"/>
    <xf numFmtId="214" fontId="13" fillId="0" borderId="0" xfId="0" applyNumberFormat="1" applyFont="1" applyFill="1" applyAlignment="1"/>
    <xf numFmtId="214" fontId="13" fillId="0" borderId="0" xfId="0" applyNumberFormat="1" applyFont="1" applyFill="1" applyAlignment="1">
      <alignment horizontal="center"/>
    </xf>
    <xf numFmtId="3" fontId="13" fillId="0" borderId="0" xfId="1" applyNumberFormat="1" applyFont="1" applyFill="1" applyAlignment="1"/>
    <xf numFmtId="189" fontId="13" fillId="0" borderId="0" xfId="0" applyNumberFormat="1" applyFont="1" applyFill="1" applyAlignment="1">
      <alignment horizontal="left"/>
    </xf>
    <xf numFmtId="189" fontId="13" fillId="0" borderId="0" xfId="0" applyNumberFormat="1" applyFont="1" applyFill="1" applyAlignment="1">
      <alignment horizontal="right"/>
    </xf>
    <xf numFmtId="211" fontId="89" fillId="0" borderId="4" xfId="0" applyNumberFormat="1" applyFont="1" applyFill="1" applyBorder="1" applyAlignment="1">
      <alignment vertical="center" shrinkToFit="1"/>
    </xf>
    <xf numFmtId="236" fontId="33" fillId="0" borderId="4" xfId="0" applyNumberFormat="1" applyFont="1" applyFill="1" applyBorder="1"/>
    <xf numFmtId="204" fontId="12" fillId="0" borderId="11" xfId="0" applyNumberFormat="1" applyFont="1" applyFill="1" applyBorder="1" applyAlignment="1">
      <alignment horizontal="center" vertical="center"/>
    </xf>
    <xf numFmtId="0" fontId="109" fillId="0" borderId="0" xfId="0" applyFont="1" applyFill="1" applyAlignment="1">
      <alignment vertical="center"/>
    </xf>
    <xf numFmtId="205" fontId="12" fillId="0" borderId="9" xfId="0" applyNumberFormat="1" applyFont="1" applyFill="1" applyBorder="1" applyAlignment="1">
      <alignment horizontal="center" vertical="center"/>
    </xf>
    <xf numFmtId="204" fontId="12" fillId="0" borderId="11" xfId="0" applyNumberFormat="1" applyFont="1" applyFill="1" applyBorder="1" applyAlignment="1">
      <alignment vertical="center"/>
    </xf>
    <xf numFmtId="204" fontId="8" fillId="0" borderId="4" xfId="0" applyNumberFormat="1" applyFont="1" applyFill="1" applyBorder="1" applyAlignment="1">
      <alignment horizontal="left" vertical="center" wrapText="1"/>
    </xf>
    <xf numFmtId="205" fontId="12" fillId="0" borderId="4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right" vertical="center"/>
    </xf>
    <xf numFmtId="206" fontId="8" fillId="0" borderId="4" xfId="1" applyNumberFormat="1" applyFont="1" applyFill="1" applyBorder="1" applyAlignment="1">
      <alignment horizontal="center" vertical="center"/>
    </xf>
    <xf numFmtId="197" fontId="8" fillId="0" borderId="4" xfId="1" applyNumberFormat="1" applyFont="1" applyFill="1" applyBorder="1" applyAlignment="1">
      <alignment horizontal="right" vertical="center"/>
    </xf>
    <xf numFmtId="197" fontId="8" fillId="0" borderId="4" xfId="1" applyNumberFormat="1" applyFont="1" applyFill="1" applyBorder="1" applyAlignment="1">
      <alignment horizontal="right" vertical="center" shrinkToFit="1"/>
    </xf>
    <xf numFmtId="204" fontId="12" fillId="0" borderId="4" xfId="0" applyNumberFormat="1" applyFont="1" applyFill="1" applyBorder="1" applyAlignment="1">
      <alignment horizontal="left" vertical="center"/>
    </xf>
    <xf numFmtId="204" fontId="8" fillId="0" borderId="4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204" fontId="8" fillId="0" borderId="4" xfId="0" applyNumberFormat="1" applyFont="1" applyFill="1" applyBorder="1" applyAlignment="1">
      <alignment horizontal="left" vertical="center"/>
    </xf>
    <xf numFmtId="204" fontId="8" fillId="0" borderId="0" xfId="0" applyNumberFormat="1" applyFont="1" applyFill="1" applyAlignment="1">
      <alignment vertical="center"/>
    </xf>
    <xf numFmtId="204" fontId="112" fillId="0" borderId="4" xfId="0" applyNumberFormat="1" applyFont="1" applyFill="1" applyBorder="1" applyAlignment="1">
      <alignment horizontal="left" vertical="center"/>
    </xf>
    <xf numFmtId="204" fontId="172" fillId="0" borderId="4" xfId="0" applyNumberFormat="1" applyFont="1" applyFill="1" applyBorder="1" applyAlignment="1">
      <alignment horizontal="right" vertical="center"/>
    </xf>
    <xf numFmtId="204" fontId="29" fillId="0" borderId="11" xfId="0" applyNumberFormat="1" applyFont="1" applyFill="1" applyBorder="1" applyAlignment="1">
      <alignment horizontal="right" vertical="center"/>
    </xf>
    <xf numFmtId="204" fontId="109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204" fontId="8" fillId="0" borderId="4" xfId="0" applyNumberFormat="1" applyFont="1" applyFill="1" applyBorder="1" applyAlignment="1">
      <alignment vertical="center"/>
    </xf>
    <xf numFmtId="204" fontId="12" fillId="0" borderId="0" xfId="0" applyNumberFormat="1" applyFont="1" applyFill="1" applyBorder="1" applyAlignment="1">
      <alignment vertical="center"/>
    </xf>
    <xf numFmtId="204" fontId="174" fillId="0" borderId="0" xfId="0" applyNumberFormat="1" applyFont="1" applyFill="1" applyBorder="1" applyAlignment="1">
      <alignment horizontal="center" vertical="center"/>
    </xf>
    <xf numFmtId="0" fontId="175" fillId="0" borderId="0" xfId="0" applyFont="1" applyFill="1" applyAlignment="1">
      <alignment vertical="center"/>
    </xf>
    <xf numFmtId="204" fontId="8" fillId="0" borderId="0" xfId="0" applyNumberFormat="1" applyFont="1" applyFill="1" applyBorder="1" applyAlignment="1">
      <alignment vertical="center"/>
    </xf>
    <xf numFmtId="204" fontId="8" fillId="0" borderId="0" xfId="0" applyNumberFormat="1" applyFont="1" applyFill="1" applyBorder="1" applyAlignment="1">
      <alignment horizontal="center" vertical="center"/>
    </xf>
    <xf numFmtId="204" fontId="29" fillId="0" borderId="0" xfId="0" applyNumberFormat="1" applyFont="1" applyFill="1" applyBorder="1" applyAlignment="1">
      <alignment horizontal="right" vertical="center"/>
    </xf>
    <xf numFmtId="204" fontId="24" fillId="0" borderId="0" xfId="0" applyNumberFormat="1" applyFont="1" applyFill="1" applyBorder="1" applyAlignment="1">
      <alignment horizontal="center" vertical="center"/>
    </xf>
    <xf numFmtId="204" fontId="29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204" fontId="8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204" fontId="48" fillId="0" borderId="0" xfId="0" applyNumberFormat="1" applyFont="1" applyFill="1" applyBorder="1" applyAlignment="1">
      <alignment horizontal="center" vertical="center"/>
    </xf>
    <xf numFmtId="204" fontId="12" fillId="0" borderId="0" xfId="1" applyNumberFormat="1" applyFont="1" applyFill="1" applyBorder="1" applyAlignment="1">
      <alignment horizontal="center" vertical="center"/>
    </xf>
    <xf numFmtId="205" fontId="12" fillId="0" borderId="0" xfId="0" applyNumberFormat="1" applyFont="1" applyFill="1" applyBorder="1" applyAlignment="1">
      <alignment horizontal="center" vertical="center"/>
    </xf>
    <xf numFmtId="204" fontId="176" fillId="0" borderId="0" xfId="0" applyNumberFormat="1" applyFont="1" applyFill="1" applyBorder="1" applyAlignment="1">
      <alignment horizontal="center" vertical="center"/>
    </xf>
    <xf numFmtId="204" fontId="8" fillId="0" borderId="0" xfId="0" applyNumberFormat="1" applyFont="1" applyFill="1" applyBorder="1" applyAlignment="1">
      <alignment vertical="center" wrapText="1"/>
    </xf>
    <xf numFmtId="206" fontId="12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97" fontId="109" fillId="0" borderId="0" xfId="1" applyNumberFormat="1" applyFont="1" applyFill="1" applyAlignment="1">
      <alignment vertical="center"/>
    </xf>
    <xf numFmtId="197" fontId="8" fillId="0" borderId="0" xfId="1" applyNumberFormat="1" applyFont="1" applyFill="1" applyAlignment="1">
      <alignment vertical="center"/>
    </xf>
    <xf numFmtId="204" fontId="12" fillId="0" borderId="0" xfId="0" applyNumberFormat="1" applyFont="1" applyFill="1" applyBorder="1" applyAlignment="1">
      <alignment horizontal="left" vertical="center"/>
    </xf>
    <xf numFmtId="204" fontId="24" fillId="0" borderId="0" xfId="0" applyNumberFormat="1" applyFont="1" applyFill="1" applyBorder="1" applyAlignment="1">
      <alignment horizontal="right" vertical="center"/>
    </xf>
    <xf numFmtId="204" fontId="29" fillId="0" borderId="26" xfId="0" applyNumberFormat="1" applyFont="1" applyFill="1" applyBorder="1" applyAlignment="1">
      <alignment horizontal="right" vertical="center"/>
    </xf>
    <xf numFmtId="205" fontId="12" fillId="0" borderId="25" xfId="0" applyNumberFormat="1" applyFont="1" applyFill="1" applyBorder="1" applyAlignment="1">
      <alignment horizontal="center" vertical="center"/>
    </xf>
    <xf numFmtId="204" fontId="176" fillId="0" borderId="20" xfId="0" applyNumberFormat="1" applyFont="1" applyFill="1" applyBorder="1" applyAlignment="1">
      <alignment horizontal="center" vertical="center"/>
    </xf>
    <xf numFmtId="204" fontId="112" fillId="0" borderId="0" xfId="0" applyNumberFormat="1" applyFont="1" applyFill="1" applyBorder="1" applyAlignment="1">
      <alignment horizontal="left" vertical="center"/>
    </xf>
    <xf numFmtId="204" fontId="112" fillId="0" borderId="0" xfId="0" applyNumberFormat="1" applyFont="1" applyFill="1" applyBorder="1" applyAlignment="1">
      <alignment vertical="center"/>
    </xf>
    <xf numFmtId="204" fontId="172" fillId="0" borderId="0" xfId="0" applyNumberFormat="1" applyFont="1" applyFill="1" applyBorder="1" applyAlignment="1">
      <alignment horizontal="right" vertical="center"/>
    </xf>
    <xf numFmtId="204" fontId="172" fillId="0" borderId="26" xfId="0" applyNumberFormat="1" applyFont="1" applyFill="1" applyBorder="1" applyAlignment="1">
      <alignment horizontal="right" vertical="center"/>
    </xf>
    <xf numFmtId="197" fontId="8" fillId="0" borderId="0" xfId="0" applyNumberFormat="1" applyFont="1" applyFill="1" applyAlignment="1">
      <alignment vertical="center"/>
    </xf>
    <xf numFmtId="0" fontId="7" fillId="0" borderId="4" xfId="0" applyFont="1" applyFill="1" applyBorder="1" applyAlignment="1">
      <alignment vertical="center"/>
    </xf>
    <xf numFmtId="204" fontId="12" fillId="0" borderId="4" xfId="0" applyNumberFormat="1" applyFont="1" applyFill="1" applyBorder="1" applyAlignment="1">
      <alignment vertical="center"/>
    </xf>
    <xf numFmtId="204" fontId="12" fillId="0" borderId="23" xfId="0" applyNumberFormat="1" applyFont="1" applyFill="1" applyBorder="1" applyAlignment="1">
      <alignment horizontal="left" vertical="center"/>
    </xf>
    <xf numFmtId="204" fontId="24" fillId="0" borderId="23" xfId="0" applyNumberFormat="1" applyFont="1" applyFill="1" applyBorder="1" applyAlignment="1">
      <alignment horizontal="right" vertical="center"/>
    </xf>
    <xf numFmtId="204" fontId="29" fillId="0" borderId="23" xfId="0" applyNumberFormat="1" applyFont="1" applyFill="1" applyBorder="1" applyAlignment="1">
      <alignment horizontal="right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vertical="center"/>
    </xf>
    <xf numFmtId="0" fontId="109" fillId="0" borderId="16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109" fillId="0" borderId="0" xfId="0" applyFont="1" applyFill="1" applyBorder="1" applyAlignment="1">
      <alignment vertical="center"/>
    </xf>
    <xf numFmtId="204" fontId="29" fillId="0" borderId="4" xfId="0" applyNumberFormat="1" applyFont="1" applyFill="1" applyBorder="1" applyAlignment="1">
      <alignment horizontal="right" vertical="center"/>
    </xf>
    <xf numFmtId="204" fontId="8" fillId="0" borderId="4" xfId="0" applyNumberFormat="1" applyFont="1" applyFill="1" applyBorder="1" applyAlignment="1">
      <alignment horizontal="center" vertical="center"/>
    </xf>
    <xf numFmtId="197" fontId="109" fillId="0" borderId="0" xfId="0" applyNumberFormat="1" applyFont="1" applyFill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1" fontId="8" fillId="0" borderId="0" xfId="0" applyNumberFormat="1" applyFont="1" applyFill="1" applyAlignment="1">
      <alignment vertical="center"/>
    </xf>
    <xf numFmtId="43" fontId="8" fillId="0" borderId="0" xfId="0" applyNumberFormat="1" applyFont="1" applyFill="1" applyAlignment="1">
      <alignment vertical="center"/>
    </xf>
    <xf numFmtId="204" fontId="176" fillId="0" borderId="4" xfId="0" applyNumberFormat="1" applyFont="1" applyFill="1" applyBorder="1" applyAlignment="1">
      <alignment horizontal="center" vertical="center"/>
    </xf>
    <xf numFmtId="204" fontId="24" fillId="0" borderId="4" xfId="0" applyNumberFormat="1" applyFont="1" applyFill="1" applyBorder="1" applyAlignment="1">
      <alignment horizontal="center" vertical="center"/>
    </xf>
    <xf numFmtId="204" fontId="29" fillId="0" borderId="4" xfId="0" applyNumberFormat="1" applyFont="1" applyFill="1" applyBorder="1" applyAlignment="1">
      <alignment horizontal="center" vertical="center"/>
    </xf>
    <xf numFmtId="204" fontId="8" fillId="0" borderId="15" xfId="0" applyNumberFormat="1" applyFont="1" applyFill="1" applyBorder="1" applyAlignment="1">
      <alignment horizontal="left" vertical="center" wrapText="1"/>
    </xf>
    <xf numFmtId="204" fontId="8" fillId="0" borderId="23" xfId="0" applyNumberFormat="1" applyFont="1" applyFill="1" applyBorder="1" applyAlignment="1">
      <alignment horizontal="left" vertical="center" wrapText="1"/>
    </xf>
    <xf numFmtId="204" fontId="12" fillId="0" borderId="20" xfId="0" applyNumberFormat="1" applyFont="1" applyFill="1" applyBorder="1" applyAlignment="1">
      <alignment horizontal="right" vertical="center"/>
    </xf>
    <xf numFmtId="204" fontId="12" fillId="0" borderId="15" xfId="0" applyNumberFormat="1" applyFont="1" applyFill="1" applyBorder="1" applyAlignment="1">
      <alignment vertical="center"/>
    </xf>
    <xf numFmtId="204" fontId="24" fillId="0" borderId="23" xfId="0" applyNumberFormat="1" applyFont="1" applyFill="1" applyBorder="1" applyAlignment="1">
      <alignment horizontal="center" vertical="center"/>
    </xf>
    <xf numFmtId="204" fontId="29" fillId="0" borderId="23" xfId="0" applyNumberFormat="1" applyFont="1" applyFill="1" applyBorder="1" applyAlignment="1">
      <alignment horizontal="center" vertical="center"/>
    </xf>
    <xf numFmtId="204" fontId="29" fillId="0" borderId="20" xfId="0" applyNumberFormat="1" applyFont="1" applyFill="1" applyBorder="1" applyAlignment="1">
      <alignment horizontal="right" vertical="center"/>
    </xf>
    <xf numFmtId="204" fontId="12" fillId="0" borderId="23" xfId="0" applyNumberFormat="1" applyFont="1" applyFill="1" applyBorder="1" applyAlignment="1">
      <alignment vertical="center"/>
    </xf>
    <xf numFmtId="204" fontId="8" fillId="0" borderId="15" xfId="0" applyNumberFormat="1" applyFont="1" applyFill="1" applyBorder="1" applyAlignment="1">
      <alignment vertical="center"/>
    </xf>
    <xf numFmtId="0" fontId="8" fillId="0" borderId="23" xfId="0" applyFont="1" applyFill="1" applyBorder="1" applyAlignment="1">
      <alignment vertical="center"/>
    </xf>
    <xf numFmtId="204" fontId="12" fillId="0" borderId="20" xfId="0" applyNumberFormat="1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20" xfId="0" applyFont="1" applyFill="1" applyBorder="1" applyAlignment="1">
      <alignment vertical="center"/>
    </xf>
    <xf numFmtId="189" fontId="27" fillId="0" borderId="0" xfId="0" applyNumberFormat="1" applyFont="1" applyFill="1" applyBorder="1" applyAlignment="1">
      <alignment horizontal="center" vertical="center"/>
    </xf>
    <xf numFmtId="189" fontId="89" fillId="0" borderId="0" xfId="0" applyNumberFormat="1" applyFont="1" applyFill="1" applyBorder="1" applyAlignment="1">
      <alignment horizontal="left" vertical="center"/>
    </xf>
    <xf numFmtId="189" fontId="89" fillId="0" borderId="0" xfId="0" applyNumberFormat="1" applyFont="1" applyFill="1" applyBorder="1" applyAlignment="1">
      <alignment vertical="center"/>
    </xf>
    <xf numFmtId="0" fontId="12" fillId="0" borderId="20" xfId="0" applyFont="1" applyFill="1" applyBorder="1" applyAlignment="1">
      <alignment vertical="center"/>
    </xf>
    <xf numFmtId="197" fontId="68" fillId="0" borderId="0" xfId="1" applyNumberFormat="1" applyFont="1"/>
    <xf numFmtId="0" fontId="45" fillId="0" borderId="4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0" fillId="0" borderId="4" xfId="20" applyFont="1" applyFill="1" applyBorder="1" applyAlignment="1">
      <alignment horizontal="center" vertical="center"/>
    </xf>
    <xf numFmtId="213" fontId="195" fillId="0" borderId="4" xfId="24" applyNumberFormat="1" applyFont="1" applyFill="1" applyBorder="1" applyAlignment="1">
      <alignment vertical="center"/>
    </xf>
    <xf numFmtId="0" fontId="129" fillId="0" borderId="4" xfId="20" applyFont="1" applyFill="1" applyBorder="1" applyAlignment="1">
      <alignment horizontal="center" vertical="center"/>
    </xf>
    <xf numFmtId="190" fontId="109" fillId="0" borderId="19" xfId="1" applyNumberFormat="1" applyFont="1" applyFill="1" applyBorder="1" applyAlignment="1">
      <alignment horizontal="center" vertical="center" shrinkToFit="1"/>
    </xf>
    <xf numFmtId="189" fontId="8" fillId="0" borderId="11" xfId="1" applyNumberFormat="1" applyFont="1" applyFill="1" applyBorder="1" applyAlignment="1">
      <alignment horizontal="center" vertical="center" wrapText="1"/>
    </xf>
    <xf numFmtId="1" fontId="109" fillId="0" borderId="10" xfId="0" applyNumberFormat="1" applyFont="1" applyFill="1" applyBorder="1" applyAlignment="1">
      <alignment horizontal="center" vertical="center"/>
    </xf>
    <xf numFmtId="1" fontId="105" fillId="0" borderId="4" xfId="1" applyNumberFormat="1" applyFont="1" applyFill="1" applyBorder="1" applyAlignment="1">
      <alignment horizontal="center" vertical="center"/>
    </xf>
    <xf numFmtId="1" fontId="165" fillId="0" borderId="0" xfId="1" applyNumberFormat="1" applyFont="1" applyFill="1" applyBorder="1" applyAlignment="1">
      <alignment horizontal="center" vertical="center"/>
    </xf>
    <xf numFmtId="1" fontId="89" fillId="0" borderId="0" xfId="1" applyNumberFormat="1" applyFont="1" applyFill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97" fontId="129" fillId="0" borderId="4" xfId="1" applyNumberFormat="1" applyFont="1" applyFill="1" applyBorder="1" applyAlignment="1">
      <alignment horizontal="center" vertical="center"/>
    </xf>
    <xf numFmtId="1" fontId="165" fillId="0" borderId="0" xfId="1" applyNumberFormat="1" applyFont="1" applyFill="1" applyBorder="1" applyAlignment="1">
      <alignment horizontal="center" vertical="center"/>
    </xf>
    <xf numFmtId="1" fontId="89" fillId="0" borderId="0" xfId="1" applyNumberFormat="1" applyFont="1" applyFill="1" applyAlignment="1">
      <alignment horizontal="center" vertical="center"/>
    </xf>
    <xf numFmtId="0" fontId="197" fillId="0" borderId="4" xfId="20" applyFont="1" applyFill="1" applyBorder="1" applyAlignment="1" applyProtection="1">
      <alignment horizontal="center" vertical="center"/>
    </xf>
    <xf numFmtId="0" fontId="13" fillId="0" borderId="4" xfId="20" applyFont="1" applyFill="1" applyBorder="1" applyAlignment="1">
      <alignment horizontal="center" vertical="center"/>
    </xf>
    <xf numFmtId="0" fontId="198" fillId="0" borderId="33" xfId="0" applyFont="1" applyFill="1" applyBorder="1" applyAlignment="1">
      <alignment horizontal="center" vertical="center"/>
    </xf>
    <xf numFmtId="197" fontId="105" fillId="0" borderId="4" xfId="1" applyNumberFormat="1" applyFont="1" applyFill="1" applyBorder="1" applyAlignment="1">
      <alignment horizontal="left" vertical="center"/>
    </xf>
    <xf numFmtId="1" fontId="105" fillId="0" borderId="4" xfId="1" applyNumberFormat="1" applyFont="1" applyFill="1" applyBorder="1" applyAlignment="1">
      <alignment vertical="center"/>
    </xf>
    <xf numFmtId="213" fontId="195" fillId="0" borderId="4" xfId="1" applyNumberFormat="1" applyFont="1" applyFill="1" applyBorder="1" applyAlignment="1" applyProtection="1">
      <alignment horizontal="center" vertical="center"/>
    </xf>
    <xf numFmtId="2" fontId="193" fillId="0" borderId="4" xfId="0" applyNumberFormat="1" applyFont="1" applyFill="1" applyBorder="1" applyAlignment="1">
      <alignment horizontal="center" vertical="center"/>
    </xf>
    <xf numFmtId="0" fontId="129" fillId="0" borderId="20" xfId="0" applyFont="1" applyFill="1" applyBorder="1" applyAlignment="1">
      <alignment horizontal="center" vertical="center"/>
    </xf>
    <xf numFmtId="0" fontId="129" fillId="0" borderId="4" xfId="13" applyFont="1" applyFill="1" applyBorder="1" applyAlignment="1" applyProtection="1">
      <alignment horizontal="left" vertical="center"/>
    </xf>
    <xf numFmtId="0" fontId="185" fillId="0" borderId="4" xfId="0" applyFont="1" applyFill="1" applyBorder="1" applyAlignment="1">
      <alignment horizontal="center" vertical="center"/>
    </xf>
    <xf numFmtId="2" fontId="193" fillId="0" borderId="4" xfId="0" applyNumberFormat="1" applyFont="1" applyFill="1" applyBorder="1" applyAlignment="1">
      <alignment horizontal="center"/>
    </xf>
    <xf numFmtId="0" fontId="171" fillId="0" borderId="4" xfId="0" applyFont="1" applyFill="1" applyBorder="1" applyAlignment="1">
      <alignment horizontal="right"/>
    </xf>
    <xf numFmtId="1" fontId="141" fillId="0" borderId="15" xfId="1" applyNumberFormat="1" applyFont="1" applyFill="1" applyBorder="1" applyAlignment="1">
      <alignment vertical="center"/>
    </xf>
    <xf numFmtId="1" fontId="141" fillId="0" borderId="23" xfId="1" applyNumberFormat="1" applyFont="1" applyFill="1" applyBorder="1" applyAlignment="1">
      <alignment vertical="center"/>
    </xf>
    <xf numFmtId="198" fontId="170" fillId="0" borderId="4" xfId="0" applyNumberFormat="1" applyFont="1" applyFill="1" applyBorder="1" applyAlignment="1">
      <alignment vertical="center"/>
    </xf>
    <xf numFmtId="1" fontId="129" fillId="0" borderId="4" xfId="1" applyNumberFormat="1" applyFont="1" applyFill="1" applyBorder="1" applyAlignment="1">
      <alignment horizontal="left" vertical="center"/>
    </xf>
    <xf numFmtId="3" fontId="105" fillId="0" borderId="4" xfId="5" applyNumberFormat="1" applyFont="1" applyFill="1" applyBorder="1" applyAlignment="1">
      <alignment horizontal="center" vertical="top" wrapText="1"/>
    </xf>
    <xf numFmtId="0" fontId="45" fillId="0" borderId="4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33" fontId="36" fillId="0" borderId="0" xfId="0" applyNumberFormat="1" applyFont="1" applyFill="1" applyBorder="1" applyAlignment="1"/>
    <xf numFmtId="0" fontId="27" fillId="0" borderId="28" xfId="0" applyFont="1" applyFill="1" applyBorder="1" applyAlignment="1">
      <alignment horizontal="center"/>
    </xf>
    <xf numFmtId="196" fontId="41" fillId="0" borderId="20" xfId="1" applyNumberFormat="1" applyFont="1" applyFill="1" applyBorder="1" applyAlignment="1">
      <alignment horizontal="center" vertical="center"/>
    </xf>
    <xf numFmtId="196" fontId="18" fillId="0" borderId="20" xfId="1" applyNumberFormat="1" applyFont="1" applyFill="1" applyBorder="1" applyAlignment="1">
      <alignment horizontal="right" vertical="center"/>
    </xf>
    <xf numFmtId="0" fontId="89" fillId="0" borderId="4" xfId="0" applyFont="1" applyFill="1" applyBorder="1"/>
    <xf numFmtId="3" fontId="27" fillId="0" borderId="4" xfId="0" applyNumberFormat="1" applyFont="1" applyFill="1" applyBorder="1" applyAlignment="1">
      <alignment vertical="center"/>
    </xf>
    <xf numFmtId="236" fontId="27" fillId="0" borderId="4" xfId="0" applyNumberFormat="1" applyFont="1" applyFill="1" applyBorder="1" applyAlignment="1">
      <alignment vertical="center"/>
    </xf>
    <xf numFmtId="200" fontId="124" fillId="0" borderId="0" xfId="1" applyNumberFormat="1" applyFont="1" applyFill="1"/>
    <xf numFmtId="198" fontId="42" fillId="0" borderId="0" xfId="1" applyNumberFormat="1" applyFont="1" applyFill="1" applyBorder="1" applyAlignment="1">
      <alignment vertical="center" wrapText="1"/>
    </xf>
    <xf numFmtId="198" fontId="12" fillId="0" borderId="4" xfId="1" applyNumberFormat="1" applyFont="1" applyFill="1" applyBorder="1" applyAlignment="1">
      <alignment vertical="center" wrapText="1"/>
    </xf>
    <xf numFmtId="0" fontId="81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198" fontId="3" fillId="0" borderId="0" xfId="0" applyNumberFormat="1" applyFont="1" applyFill="1" applyBorder="1"/>
    <xf numFmtId="197" fontId="3" fillId="0" borderId="0" xfId="1" applyNumberFormat="1" applyFont="1" applyFill="1" applyBorder="1"/>
    <xf numFmtId="197" fontId="3" fillId="0" borderId="0" xfId="0" applyNumberFormat="1" applyFont="1" applyFill="1" applyBorder="1"/>
    <xf numFmtId="0" fontId="3" fillId="0" borderId="0" xfId="0" applyFont="1" applyFill="1" applyBorder="1"/>
    <xf numFmtId="0" fontId="89" fillId="0" borderId="4" xfId="0" applyFont="1" applyFill="1" applyBorder="1" applyAlignment="1">
      <alignment horizontal="center" vertical="center" shrinkToFit="1"/>
    </xf>
    <xf numFmtId="0" fontId="10" fillId="5" borderId="0" xfId="0" applyFont="1" applyFill="1"/>
    <xf numFmtId="0" fontId="8" fillId="0" borderId="4" xfId="0" applyFont="1" applyFill="1" applyBorder="1" applyAlignment="1">
      <alignment horizontal="center" vertical="center"/>
    </xf>
    <xf numFmtId="0" fontId="154" fillId="0" borderId="4" xfId="0" applyFont="1" applyFill="1" applyBorder="1" applyAlignment="1">
      <alignment horizontal="center" vertical="center" shrinkToFit="1"/>
    </xf>
    <xf numFmtId="0" fontId="89" fillId="0" borderId="0" xfId="0" applyFont="1" applyFill="1" applyAlignment="1">
      <alignment horizontal="left"/>
    </xf>
    <xf numFmtId="0" fontId="90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89" fillId="0" borderId="0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13" fillId="0" borderId="4" xfId="13" applyFont="1" applyFill="1" applyBorder="1" applyAlignment="1">
      <alignment vertical="center"/>
    </xf>
    <xf numFmtId="0" fontId="113" fillId="0" borderId="4" xfId="12" applyFont="1" applyFill="1" applyBorder="1" applyAlignment="1">
      <alignment vertical="center"/>
    </xf>
    <xf numFmtId="1" fontId="201" fillId="0" borderId="0" xfId="1" applyNumberFormat="1" applyFont="1" applyFill="1" applyBorder="1" applyAlignment="1">
      <alignment horizontal="center" vertical="center"/>
    </xf>
    <xf numFmtId="1" fontId="201" fillId="0" borderId="0" xfId="1" applyNumberFormat="1" applyFont="1" applyFill="1" applyBorder="1" applyAlignment="1">
      <alignment vertical="center"/>
    </xf>
    <xf numFmtId="1" fontId="159" fillId="0" borderId="4" xfId="1" applyNumberFormat="1" applyFont="1" applyFill="1" applyBorder="1" applyAlignment="1">
      <alignment horizontal="center" vertical="center"/>
    </xf>
    <xf numFmtId="1" fontId="202" fillId="0" borderId="4" xfId="1" applyNumberFormat="1" applyFont="1" applyFill="1" applyBorder="1" applyAlignment="1">
      <alignment vertical="center"/>
    </xf>
    <xf numFmtId="1" fontId="202" fillId="0" borderId="4" xfId="1" applyNumberFormat="1" applyFont="1" applyFill="1" applyBorder="1" applyAlignment="1">
      <alignment horizontal="right" vertical="center"/>
    </xf>
    <xf numFmtId="1" fontId="202" fillId="0" borderId="4" xfId="1" applyNumberFormat="1" applyFont="1" applyFill="1" applyBorder="1" applyAlignment="1">
      <alignment horizontal="center" vertical="center"/>
    </xf>
    <xf numFmtId="1" fontId="203" fillId="0" borderId="4" xfId="1" applyNumberFormat="1" applyFont="1" applyFill="1" applyBorder="1" applyAlignment="1">
      <alignment horizontal="center" vertical="center"/>
    </xf>
    <xf numFmtId="1" fontId="164" fillId="0" borderId="4" xfId="1" applyNumberFormat="1" applyFont="1" applyFill="1" applyBorder="1" applyAlignment="1">
      <alignment horizontal="center" vertical="center"/>
    </xf>
    <xf numFmtId="1" fontId="203" fillId="0" borderId="4" xfId="1" applyNumberFormat="1" applyFont="1" applyFill="1" applyBorder="1" applyAlignment="1">
      <alignment horizontal="right" vertical="center"/>
    </xf>
    <xf numFmtId="1" fontId="164" fillId="0" borderId="4" xfId="1" applyNumberFormat="1" applyFont="1" applyFill="1" applyBorder="1" applyAlignment="1">
      <alignment horizontal="right" vertical="center" wrapText="1"/>
    </xf>
    <xf numFmtId="2" fontId="164" fillId="0" borderId="4" xfId="1" applyNumberFormat="1" applyFont="1" applyFill="1" applyBorder="1" applyAlignment="1">
      <alignment horizontal="right" vertical="center" wrapText="1"/>
    </xf>
    <xf numFmtId="213" fontId="164" fillId="0" borderId="4" xfId="1" applyNumberFormat="1" applyFont="1" applyFill="1" applyBorder="1" applyAlignment="1">
      <alignment horizontal="right" vertical="center" wrapText="1"/>
    </xf>
    <xf numFmtId="1" fontId="159" fillId="0" borderId="4" xfId="1" applyNumberFormat="1" applyFont="1" applyFill="1" applyBorder="1" applyAlignment="1">
      <alignment horizontal="center" vertical="center" wrapText="1"/>
    </xf>
    <xf numFmtId="1" fontId="164" fillId="0" borderId="4" xfId="1" applyNumberFormat="1" applyFont="1" applyFill="1" applyBorder="1" applyAlignment="1">
      <alignment horizontal="right" vertical="center"/>
    </xf>
    <xf numFmtId="1" fontId="164" fillId="0" borderId="4" xfId="1" applyNumberFormat="1" applyFont="1" applyFill="1" applyBorder="1" applyAlignment="1">
      <alignment vertical="center"/>
    </xf>
    <xf numFmtId="197" fontId="164" fillId="0" borderId="4" xfId="1" applyNumberFormat="1" applyFont="1" applyFill="1" applyBorder="1" applyAlignment="1">
      <alignment horizontal="center" vertical="center"/>
    </xf>
    <xf numFmtId="197" fontId="164" fillId="0" borderId="4" xfId="1" applyNumberFormat="1" applyFont="1" applyFill="1" applyBorder="1" applyAlignment="1">
      <alignment horizontal="right" vertical="center"/>
    </xf>
    <xf numFmtId="196" fontId="159" fillId="0" borderId="4" xfId="1" applyNumberFormat="1" applyFont="1" applyFill="1" applyBorder="1" applyAlignment="1">
      <alignment horizontal="center" vertical="center"/>
    </xf>
    <xf numFmtId="196" fontId="159" fillId="0" borderId="4" xfId="1" applyNumberFormat="1" applyFont="1" applyFill="1" applyBorder="1" applyAlignment="1">
      <alignment horizontal="right" vertical="center"/>
    </xf>
    <xf numFmtId="197" fontId="159" fillId="0" borderId="4" xfId="1" applyNumberFormat="1" applyFont="1" applyFill="1" applyBorder="1" applyAlignment="1">
      <alignment horizontal="right" vertical="center"/>
    </xf>
    <xf numFmtId="197" fontId="159" fillId="0" borderId="4" xfId="1" applyNumberFormat="1" applyFont="1" applyFill="1" applyBorder="1" applyAlignment="1">
      <alignment vertical="center"/>
    </xf>
    <xf numFmtId="197" fontId="159" fillId="0" borderId="4" xfId="1" applyNumberFormat="1" applyFont="1" applyFill="1" applyBorder="1" applyAlignment="1">
      <alignment horizontal="center" vertical="center"/>
    </xf>
    <xf numFmtId="1" fontId="159" fillId="0" borderId="4" xfId="1" applyNumberFormat="1" applyFont="1" applyFill="1" applyBorder="1" applyAlignment="1">
      <alignment vertical="center"/>
    </xf>
    <xf numFmtId="1" fontId="141" fillId="0" borderId="0" xfId="1" applyNumberFormat="1" applyFont="1" applyFill="1" applyAlignment="1">
      <alignment vertical="center"/>
    </xf>
    <xf numFmtId="197" fontId="111" fillId="0" borderId="4" xfId="1" applyNumberFormat="1" applyFont="1" applyFill="1" applyBorder="1" applyAlignment="1">
      <alignment horizontal="right"/>
    </xf>
    <xf numFmtId="0" fontId="89" fillId="0" borderId="4" xfId="0" applyFont="1" applyFill="1" applyBorder="1" applyAlignment="1">
      <alignment horizontal="center"/>
    </xf>
    <xf numFmtId="0" fontId="89" fillId="0" borderId="4" xfId="0" applyFont="1" applyFill="1" applyBorder="1" applyAlignment="1"/>
    <xf numFmtId="233" fontId="89" fillId="0" borderId="4" xfId="0" applyNumberFormat="1" applyFont="1" applyFill="1" applyBorder="1" applyAlignment="1"/>
    <xf numFmtId="0" fontId="12" fillId="0" borderId="4" xfId="0" applyFont="1" applyFill="1" applyBorder="1" applyAlignment="1">
      <alignment horizontal="left"/>
    </xf>
    <xf numFmtId="0" fontId="12" fillId="0" borderId="4" xfId="0" applyFont="1" applyFill="1" applyBorder="1" applyAlignment="1"/>
    <xf numFmtId="0" fontId="3" fillId="0" borderId="0" xfId="0" applyFont="1" applyAlignment="1"/>
    <xf numFmtId="189" fontId="129" fillId="0" borderId="4" xfId="5" applyNumberFormat="1" applyFont="1" applyFill="1" applyBorder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213" fontId="58" fillId="5" borderId="1" xfId="0" applyNumberFormat="1" applyFont="1" applyFill="1" applyBorder="1"/>
    <xf numFmtId="213" fontId="3" fillId="5" borderId="0" xfId="0" applyNumberFormat="1" applyFont="1" applyFill="1" applyBorder="1"/>
    <xf numFmtId="213" fontId="10" fillId="5" borderId="0" xfId="0" applyNumberFormat="1" applyFont="1" applyFill="1" applyBorder="1"/>
    <xf numFmtId="0" fontId="10" fillId="5" borderId="0" xfId="0" applyFont="1" applyFill="1" applyBorder="1"/>
    <xf numFmtId="0" fontId="10" fillId="5" borderId="1" xfId="0" applyFont="1" applyFill="1" applyBorder="1"/>
    <xf numFmtId="0" fontId="8" fillId="5" borderId="10" xfId="0" applyFont="1" applyFill="1" applyBorder="1" applyAlignment="1">
      <alignment horizontal="center" vertical="center" shrinkToFit="1"/>
    </xf>
    <xf numFmtId="189" fontId="42" fillId="5" borderId="5" xfId="1" applyNumberFormat="1" applyFont="1" applyFill="1" applyBorder="1" applyAlignment="1">
      <alignment horizontal="center" vertical="center"/>
    </xf>
    <xf numFmtId="190" fontId="10" fillId="5" borderId="6" xfId="0" applyNumberFormat="1" applyFont="1" applyFill="1" applyBorder="1"/>
    <xf numFmtId="213" fontId="10" fillId="5" borderId="6" xfId="0" applyNumberFormat="1" applyFont="1" applyFill="1" applyBorder="1"/>
    <xf numFmtId="0" fontId="13" fillId="5" borderId="5" xfId="0" applyFont="1" applyFill="1" applyBorder="1" applyAlignment="1">
      <alignment horizontal="left" vertical="center" wrapText="1" indent="1"/>
    </xf>
    <xf numFmtId="1" fontId="13" fillId="5" borderId="5" xfId="0" applyNumberFormat="1" applyFont="1" applyFill="1" applyBorder="1" applyAlignment="1">
      <alignment horizontal="left" vertical="center" indent="1"/>
    </xf>
    <xf numFmtId="3" fontId="13" fillId="5" borderId="5" xfId="0" applyNumberFormat="1" applyFont="1" applyFill="1" applyBorder="1" applyAlignment="1">
      <alignment horizontal="left" vertical="center" indent="1"/>
    </xf>
    <xf numFmtId="0" fontId="8" fillId="0" borderId="11" xfId="0" applyFont="1" applyFill="1" applyBorder="1" applyAlignment="1">
      <alignment horizontal="left"/>
    </xf>
    <xf numFmtId="189" fontId="27" fillId="0" borderId="4" xfId="0" applyNumberFormat="1" applyFont="1" applyFill="1" applyBorder="1" applyAlignment="1">
      <alignment horizontal="center"/>
    </xf>
    <xf numFmtId="189" fontId="27" fillId="0" borderId="0" xfId="0" applyNumberFormat="1" applyFont="1" applyFill="1" applyBorder="1" applyAlignment="1">
      <alignment horizontal="center"/>
    </xf>
    <xf numFmtId="189" fontId="27" fillId="0" borderId="4" xfId="0" applyNumberFormat="1" applyFont="1" applyFill="1" applyBorder="1" applyAlignment="1">
      <alignment vertical="center"/>
    </xf>
    <xf numFmtId="189" fontId="27" fillId="0" borderId="4" xfId="1" applyNumberFormat="1" applyFont="1" applyFill="1" applyBorder="1" applyAlignment="1">
      <alignment horizontal="right" vertical="center" wrapText="1"/>
    </xf>
    <xf numFmtId="189" fontId="27" fillId="0" borderId="10" xfId="0" applyNumberFormat="1" applyFont="1" applyFill="1" applyBorder="1" applyAlignment="1">
      <alignment horizontal="center" vertical="center" wrapText="1"/>
    </xf>
    <xf numFmtId="189" fontId="105" fillId="0" borderId="0" xfId="1" applyNumberFormat="1" applyFont="1" applyFill="1" applyAlignment="1"/>
    <xf numFmtId="197" fontId="27" fillId="0" borderId="4" xfId="1" applyNumberFormat="1" applyFont="1" applyFill="1" applyBorder="1" applyAlignment="1">
      <alignment horizontal="center" vertical="center" wrapText="1"/>
    </xf>
    <xf numFmtId="189" fontId="27" fillId="0" borderId="4" xfId="1" applyNumberFormat="1" applyFont="1" applyFill="1" applyBorder="1" applyAlignment="1">
      <alignment horizontal="right" vertical="center" shrinkToFit="1"/>
    </xf>
    <xf numFmtId="189" fontId="89" fillId="0" borderId="4" xfId="0" quotePrefix="1" applyNumberFormat="1" applyFont="1" applyFill="1" applyBorder="1" applyAlignment="1">
      <alignment horizontal="left" vertical="center"/>
    </xf>
    <xf numFmtId="0" fontId="89" fillId="0" borderId="4" xfId="0" applyFont="1" applyFill="1" applyBorder="1" applyAlignment="1">
      <alignment vertical="center" wrapText="1"/>
    </xf>
    <xf numFmtId="198" fontId="27" fillId="0" borderId="4" xfId="1" applyNumberFormat="1" applyFont="1" applyFill="1" applyBorder="1" applyAlignment="1">
      <alignment horizontal="right" vertical="center" shrinkToFit="1"/>
    </xf>
    <xf numFmtId="0" fontId="89" fillId="0" borderId="4" xfId="0" quotePrefix="1" applyFont="1" applyFill="1" applyBorder="1" applyAlignment="1">
      <alignment horizontal="left" vertical="center"/>
    </xf>
    <xf numFmtId="198" fontId="89" fillId="0" borderId="4" xfId="1" applyNumberFormat="1" applyFont="1" applyFill="1" applyBorder="1" applyAlignment="1">
      <alignment vertical="center" shrinkToFit="1"/>
    </xf>
    <xf numFmtId="189" fontId="89" fillId="0" borderId="4" xfId="4" applyNumberFormat="1" applyFont="1" applyFill="1" applyBorder="1" applyAlignment="1">
      <alignment vertical="center" shrinkToFit="1"/>
    </xf>
    <xf numFmtId="189" fontId="89" fillId="0" borderId="4" xfId="1" applyNumberFormat="1" applyFont="1" applyFill="1" applyBorder="1" applyAlignment="1">
      <alignment vertical="center" shrinkToFit="1"/>
    </xf>
    <xf numFmtId="3" fontId="89" fillId="0" borderId="4" xfId="5" applyNumberFormat="1" applyFont="1" applyFill="1" applyBorder="1" applyAlignment="1">
      <alignment vertical="center"/>
    </xf>
    <xf numFmtId="189" fontId="89" fillId="0" borderId="4" xfId="4" applyNumberFormat="1" applyFont="1" applyFill="1" applyBorder="1" applyAlignment="1">
      <alignment horizontal="right" vertical="center"/>
    </xf>
    <xf numFmtId="206" fontId="89" fillId="0" borderId="4" xfId="6" applyNumberFormat="1" applyFont="1" applyFill="1" applyBorder="1" applyAlignment="1">
      <alignment horizontal="left" vertical="center" wrapText="1"/>
    </xf>
    <xf numFmtId="189" fontId="89" fillId="0" borderId="4" xfId="4" applyNumberFormat="1" applyFont="1" applyFill="1" applyBorder="1" applyAlignment="1">
      <alignment vertical="center"/>
    </xf>
    <xf numFmtId="1" fontId="89" fillId="0" borderId="4" xfId="0" applyNumberFormat="1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right"/>
    </xf>
    <xf numFmtId="189" fontId="126" fillId="0" borderId="4" xfId="1" applyNumberFormat="1" applyFont="1" applyFill="1" applyBorder="1" applyAlignment="1">
      <alignment horizontal="right" vertical="center" shrinkToFit="1"/>
    </xf>
    <xf numFmtId="197" fontId="27" fillId="0" borderId="4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left"/>
    </xf>
    <xf numFmtId="0" fontId="27" fillId="0" borderId="0" xfId="0" applyFont="1" applyFill="1" applyAlignment="1">
      <alignment horizontal="right"/>
    </xf>
    <xf numFmtId="198" fontId="27" fillId="0" borderId="0" xfId="0" applyNumberFormat="1" applyFont="1" applyFill="1" applyAlignment="1">
      <alignment horizontal="left"/>
    </xf>
    <xf numFmtId="198" fontId="27" fillId="0" borderId="0" xfId="0" applyNumberFormat="1" applyFont="1" applyFill="1"/>
    <xf numFmtId="0" fontId="89" fillId="0" borderId="0" xfId="0" applyFont="1" applyFill="1" applyAlignment="1">
      <alignment horizontal="right"/>
    </xf>
    <xf numFmtId="213" fontId="89" fillId="0" borderId="0" xfId="0" applyNumberFormat="1" applyFont="1" applyFill="1" applyAlignment="1"/>
    <xf numFmtId="198" fontId="27" fillId="0" borderId="0" xfId="0" applyNumberFormat="1" applyFont="1" applyFill="1" applyAlignment="1"/>
    <xf numFmtId="189" fontId="89" fillId="0" borderId="0" xfId="0" applyNumberFormat="1" applyFont="1" applyFill="1"/>
    <xf numFmtId="190" fontId="89" fillId="0" borderId="0" xfId="0" applyNumberFormat="1" applyFont="1" applyFill="1" applyAlignment="1"/>
    <xf numFmtId="197" fontId="89" fillId="0" borderId="0" xfId="1" applyNumberFormat="1" applyFont="1" applyFill="1" applyAlignment="1">
      <alignment horizontal="center"/>
    </xf>
    <xf numFmtId="197" fontId="89" fillId="0" borderId="0" xfId="1" applyNumberFormat="1" applyFont="1" applyFill="1" applyAlignment="1"/>
    <xf numFmtId="0" fontId="205" fillId="0" borderId="4" xfId="0" applyFont="1" applyBorder="1" applyAlignment="1">
      <alignment horizontal="center" vertical="center" wrapText="1"/>
    </xf>
    <xf numFmtId="0" fontId="169" fillId="0" borderId="0" xfId="0" applyFont="1"/>
    <xf numFmtId="0" fontId="169" fillId="0" borderId="0" xfId="0" applyFont="1" applyAlignment="1">
      <alignment horizontal="center"/>
    </xf>
    <xf numFmtId="0" fontId="142" fillId="0" borderId="0" xfId="0" applyFont="1"/>
    <xf numFmtId="0" fontId="142" fillId="0" borderId="4" xfId="0" applyFont="1" applyBorder="1" applyAlignment="1">
      <alignment horizontal="center" vertical="center" wrapText="1"/>
    </xf>
    <xf numFmtId="197" fontId="142" fillId="0" borderId="4" xfId="1" applyNumberFormat="1" applyFont="1" applyBorder="1" applyAlignment="1">
      <alignment horizontal="right" vertical="center" wrapText="1"/>
    </xf>
    <xf numFmtId="199" fontId="47" fillId="0" borderId="0" xfId="1" applyNumberFormat="1" applyFont="1" applyFill="1" applyAlignment="1"/>
    <xf numFmtId="0" fontId="47" fillId="0" borderId="0" xfId="0" applyFont="1" applyFill="1" applyAlignment="1"/>
    <xf numFmtId="0" fontId="57" fillId="0" borderId="0" xfId="0" applyFont="1" applyFill="1" applyBorder="1" applyAlignment="1">
      <alignment vertical="center" shrinkToFit="1"/>
    </xf>
    <xf numFmtId="0" fontId="205" fillId="0" borderId="0" xfId="0" applyFont="1" applyAlignment="1">
      <alignment vertical="center"/>
    </xf>
    <xf numFmtId="0" fontId="142" fillId="0" borderId="4" xfId="0" applyFont="1" applyBorder="1" applyAlignment="1">
      <alignment vertical="center" wrapText="1"/>
    </xf>
    <xf numFmtId="197" fontId="142" fillId="0" borderId="4" xfId="1" applyNumberFormat="1" applyFont="1" applyBorder="1" applyAlignment="1">
      <alignment vertical="center" wrapText="1"/>
    </xf>
    <xf numFmtId="0" fontId="142" fillId="0" borderId="4" xfId="0" applyFont="1" applyBorder="1" applyAlignment="1">
      <alignment horizontal="center" vertical="center"/>
    </xf>
    <xf numFmtId="197" fontId="205" fillId="0" borderId="4" xfId="1" applyNumberFormat="1" applyFont="1" applyBorder="1" applyAlignment="1">
      <alignment horizontal="center" vertical="center"/>
    </xf>
    <xf numFmtId="197" fontId="205" fillId="0" borderId="4" xfId="1" applyNumberFormat="1" applyFont="1" applyBorder="1" applyAlignment="1">
      <alignment vertical="center"/>
    </xf>
    <xf numFmtId="197" fontId="142" fillId="0" borderId="4" xfId="1" applyNumberFormat="1" applyFont="1" applyBorder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204" fontId="12" fillId="0" borderId="23" xfId="0" applyNumberFormat="1" applyFont="1" applyFill="1" applyBorder="1" applyAlignment="1">
      <alignment horizontal="center" vertical="center"/>
    </xf>
    <xf numFmtId="204" fontId="12" fillId="0" borderId="2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04" fontId="12" fillId="0" borderId="0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center" vertical="center"/>
    </xf>
    <xf numFmtId="204" fontId="18" fillId="0" borderId="20" xfId="0" applyNumberFormat="1" applyFont="1" applyFill="1" applyBorder="1" applyAlignment="1">
      <alignment vertical="center"/>
    </xf>
    <xf numFmtId="204" fontId="208" fillId="0" borderId="11" xfId="0" applyNumberFormat="1" applyFont="1" applyFill="1" applyBorder="1" applyAlignment="1">
      <alignment vertical="center"/>
    </xf>
    <xf numFmtId="204" fontId="208" fillId="0" borderId="9" xfId="0" applyNumberFormat="1" applyFont="1" applyFill="1" applyBorder="1" applyAlignment="1">
      <alignment vertical="center" wrapText="1"/>
    </xf>
    <xf numFmtId="204" fontId="208" fillId="0" borderId="1" xfId="0" applyNumberFormat="1" applyFont="1" applyFill="1" applyBorder="1" applyAlignment="1">
      <alignment vertical="center" wrapText="1"/>
    </xf>
    <xf numFmtId="204" fontId="209" fillId="0" borderId="1" xfId="0" applyNumberFormat="1" applyFont="1" applyFill="1" applyBorder="1" applyAlignment="1">
      <alignment vertical="center"/>
    </xf>
    <xf numFmtId="204" fontId="208" fillId="0" borderId="1" xfId="0" applyNumberFormat="1" applyFont="1" applyFill="1" applyBorder="1" applyAlignment="1">
      <alignment horizontal="left" vertical="center"/>
    </xf>
    <xf numFmtId="204" fontId="208" fillId="0" borderId="1" xfId="0" applyNumberFormat="1" applyFont="1" applyFill="1" applyBorder="1" applyAlignment="1">
      <alignment vertical="center"/>
    </xf>
    <xf numFmtId="204" fontId="209" fillId="0" borderId="18" xfId="0" applyNumberFormat="1" applyFont="1" applyFill="1" applyBorder="1" applyAlignment="1">
      <alignment vertical="center"/>
    </xf>
    <xf numFmtId="0" fontId="196" fillId="0" borderId="6" xfId="0" applyFont="1" applyFill="1" applyBorder="1" applyAlignment="1">
      <alignment vertical="center"/>
    </xf>
    <xf numFmtId="0" fontId="72" fillId="0" borderId="4" xfId="0" applyFont="1" applyFill="1" applyBorder="1" applyAlignment="1">
      <alignment horizontal="center"/>
    </xf>
    <xf numFmtId="0" fontId="43" fillId="0" borderId="4" xfId="0" applyFont="1" applyFill="1" applyBorder="1" applyAlignment="1">
      <alignment horizontal="center"/>
    </xf>
    <xf numFmtId="0" fontId="72" fillId="0" borderId="10" xfId="0" applyFont="1" applyFill="1" applyBorder="1" applyAlignment="1">
      <alignment horizontal="center"/>
    </xf>
    <xf numFmtId="0" fontId="39" fillId="0" borderId="4" xfId="0" applyFont="1" applyFill="1" applyBorder="1" applyAlignment="1">
      <alignment horizontal="center"/>
    </xf>
    <xf numFmtId="211" fontId="39" fillId="0" borderId="4" xfId="7" applyNumberFormat="1" applyFont="1" applyFill="1" applyBorder="1" applyAlignment="1">
      <alignment horizontal="center"/>
    </xf>
    <xf numFmtId="210" fontId="43" fillId="5" borderId="4" xfId="7" applyNumberFormat="1" applyFont="1" applyFill="1" applyBorder="1" applyAlignment="1">
      <alignment horizontal="center"/>
    </xf>
    <xf numFmtId="211" fontId="75" fillId="5" borderId="4" xfId="0" applyNumberFormat="1" applyFont="1" applyFill="1" applyBorder="1"/>
    <xf numFmtId="210" fontId="71" fillId="5" borderId="4" xfId="7" applyNumberFormat="1" applyFont="1" applyFill="1" applyBorder="1" applyAlignment="1">
      <alignment horizontal="center"/>
    </xf>
    <xf numFmtId="210" fontId="64" fillId="5" borderId="4" xfId="7" applyNumberFormat="1" applyFont="1" applyFill="1" applyBorder="1" applyAlignment="1">
      <alignment horizontal="center"/>
    </xf>
    <xf numFmtId="211" fontId="177" fillId="5" borderId="4" xfId="0" applyNumberFormat="1" applyFont="1" applyFill="1" applyBorder="1"/>
    <xf numFmtId="0" fontId="205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47" fillId="0" borderId="0" xfId="0" quotePrefix="1" applyFont="1" applyFill="1" applyAlignment="1"/>
    <xf numFmtId="0" fontId="142" fillId="0" borderId="0" xfId="0" applyFont="1" applyAlignment="1">
      <alignment horizontal="center"/>
    </xf>
    <xf numFmtId="0" fontId="142" fillId="0" borderId="4" xfId="0" applyFont="1" applyBorder="1"/>
    <xf numFmtId="0" fontId="205" fillId="0" borderId="4" xfId="0" applyFont="1" applyBorder="1" applyAlignment="1">
      <alignment vertical="center"/>
    </xf>
    <xf numFmtId="197" fontId="205" fillId="0" borderId="4" xfId="0" applyNumberFormat="1" applyFont="1" applyBorder="1" applyAlignment="1">
      <alignment vertical="center"/>
    </xf>
    <xf numFmtId="0" fontId="142" fillId="0" borderId="4" xfId="0" applyFont="1" applyBorder="1" applyAlignment="1">
      <alignment vertical="center"/>
    </xf>
    <xf numFmtId="0" fontId="140" fillId="0" borderId="0" xfId="0" applyFont="1" applyBorder="1" applyAlignment="1">
      <alignment horizontal="center" vertical="center"/>
    </xf>
    <xf numFmtId="0" fontId="126" fillId="0" borderId="0" xfId="0" applyFont="1" applyBorder="1" applyAlignment="1">
      <alignment horizontal="center" vertical="center"/>
    </xf>
    <xf numFmtId="0" fontId="89" fillId="0" borderId="0" xfId="0" applyFont="1" applyFill="1" applyAlignment="1">
      <alignment horizontal="center"/>
    </xf>
    <xf numFmtId="198" fontId="27" fillId="0" borderId="0" xfId="1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89" fillId="0" borderId="0" xfId="0" applyFont="1" applyFill="1" applyBorder="1" applyAlignment="1">
      <alignment horizontal="center"/>
    </xf>
    <xf numFmtId="0" fontId="27" fillId="0" borderId="23" xfId="0" applyFont="1" applyFill="1" applyBorder="1" applyAlignment="1">
      <alignment horizontal="center" vertical="center" shrinkToFit="1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208" fontId="12" fillId="0" borderId="4" xfId="1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/>
    </xf>
    <xf numFmtId="37" fontId="12" fillId="0" borderId="4" xfId="1" applyNumberFormat="1" applyFont="1" applyFill="1" applyBorder="1" applyAlignment="1">
      <alignment horizontal="center" vertical="center" wrapText="1"/>
    </xf>
    <xf numFmtId="2" fontId="109" fillId="0" borderId="5" xfId="0" applyNumberFormat="1" applyFont="1" applyFill="1" applyBorder="1" applyAlignment="1">
      <alignment horizontal="center" vertical="center" shrinkToFit="1"/>
    </xf>
    <xf numFmtId="200" fontId="12" fillId="0" borderId="10" xfId="0" applyNumberFormat="1" applyFont="1" applyFill="1" applyBorder="1" applyAlignment="1">
      <alignment horizontal="center" vertical="center" shrinkToFit="1"/>
    </xf>
    <xf numFmtId="1" fontId="12" fillId="0" borderId="11" xfId="0" applyNumberFormat="1" applyFont="1" applyFill="1" applyBorder="1" applyAlignment="1">
      <alignment horizontal="center" vertical="center"/>
    </xf>
    <xf numFmtId="0" fontId="13" fillId="4" borderId="4" xfId="20" applyFont="1" applyFill="1" applyBorder="1" applyAlignment="1" applyProtection="1">
      <alignment horizontal="center" vertical="center"/>
    </xf>
    <xf numFmtId="0" fontId="13" fillId="4" borderId="4" xfId="20" applyFont="1" applyFill="1" applyBorder="1" applyAlignment="1">
      <alignment horizontal="center" vertical="center"/>
    </xf>
    <xf numFmtId="0" fontId="179" fillId="4" borderId="4" xfId="13" applyFont="1" applyFill="1" applyBorder="1" applyAlignment="1">
      <alignment horizontal="center" vertical="center"/>
    </xf>
    <xf numFmtId="189" fontId="8" fillId="0" borderId="4" xfId="19" applyNumberFormat="1" applyFont="1" applyFill="1" applyBorder="1" applyAlignment="1">
      <alignment horizontal="center" vertical="center"/>
    </xf>
    <xf numFmtId="189" fontId="16" fillId="0" borderId="4" xfId="19" applyNumberFormat="1" applyFont="1" applyFill="1" applyBorder="1" applyAlignment="1">
      <alignment horizontal="center" vertical="center"/>
    </xf>
    <xf numFmtId="198" fontId="8" fillId="0" borderId="4" xfId="0" applyNumberFormat="1" applyFont="1" applyFill="1" applyBorder="1" applyAlignment="1">
      <alignment vertical="center"/>
    </xf>
    <xf numFmtId="0" fontId="169" fillId="0" borderId="4" xfId="0" applyFont="1" applyFill="1" applyBorder="1" applyAlignment="1">
      <alignment horizontal="center" vertical="center"/>
    </xf>
    <xf numFmtId="0" fontId="169" fillId="0" borderId="4" xfId="0" applyFont="1" applyFill="1" applyBorder="1" applyAlignment="1">
      <alignment vertical="center"/>
    </xf>
    <xf numFmtId="2" fontId="171" fillId="0" borderId="4" xfId="0" applyNumberFormat="1" applyFont="1" applyFill="1" applyBorder="1" applyAlignment="1">
      <alignment horizontal="center" vertical="center"/>
    </xf>
    <xf numFmtId="213" fontId="195" fillId="4" borderId="4" xfId="1" applyNumberFormat="1" applyFont="1" applyFill="1" applyBorder="1" applyAlignment="1" applyProtection="1">
      <alignment horizontal="center" vertical="center"/>
    </xf>
    <xf numFmtId="200" fontId="171" fillId="4" borderId="4" xfId="0" applyNumberFormat="1" applyFont="1" applyFill="1" applyBorder="1" applyAlignment="1">
      <alignment vertical="center"/>
    </xf>
    <xf numFmtId="0" fontId="129" fillId="4" borderId="20" xfId="0" applyFont="1" applyFill="1" applyBorder="1" applyAlignment="1">
      <alignment horizontal="center" vertical="center"/>
    </xf>
    <xf numFmtId="242" fontId="105" fillId="0" borderId="4" xfId="1" applyNumberFormat="1" applyFont="1" applyFill="1" applyBorder="1" applyAlignment="1">
      <alignment horizontal="center" vertical="center" wrapText="1"/>
    </xf>
    <xf numFmtId="200" fontId="171" fillId="4" borderId="4" xfId="0" applyNumberFormat="1" applyFont="1" applyFill="1" applyBorder="1" applyAlignment="1">
      <alignment horizontal="center" vertical="center"/>
    </xf>
    <xf numFmtId="0" fontId="171" fillId="4" borderId="4" xfId="0" applyFont="1" applyFill="1" applyBorder="1" applyAlignment="1">
      <alignment horizontal="center" vertical="center"/>
    </xf>
    <xf numFmtId="0" fontId="171" fillId="4" borderId="4" xfId="0" applyFont="1" applyFill="1" applyBorder="1" applyAlignment="1">
      <alignment horizontal="right" vertical="center"/>
    </xf>
    <xf numFmtId="0" fontId="171" fillId="4" borderId="4" xfId="0" applyFont="1" applyFill="1" applyBorder="1" applyAlignment="1">
      <alignment horizontal="center"/>
    </xf>
    <xf numFmtId="0" fontId="171" fillId="4" borderId="4" xfId="0" applyFont="1" applyFill="1" applyBorder="1" applyAlignment="1">
      <alignment horizontal="right"/>
    </xf>
    <xf numFmtId="191" fontId="129" fillId="4" borderId="17" xfId="26" applyFont="1" applyFill="1" applyBorder="1" applyAlignment="1">
      <alignment horizontal="center" vertical="center" wrapText="1"/>
    </xf>
    <xf numFmtId="191" fontId="129" fillId="4" borderId="4" xfId="26" applyFont="1" applyFill="1" applyBorder="1" applyAlignment="1">
      <alignment horizontal="center" vertical="center" wrapText="1"/>
    </xf>
    <xf numFmtId="242" fontId="159" fillId="0" borderId="4" xfId="1" applyNumberFormat="1" applyFont="1" applyFill="1" applyBorder="1" applyAlignment="1">
      <alignment horizontal="center" vertical="center" wrapText="1"/>
    </xf>
    <xf numFmtId="2" fontId="202" fillId="0" borderId="4" xfId="1" applyNumberFormat="1" applyFont="1" applyFill="1" applyBorder="1" applyAlignment="1">
      <alignment horizontal="right" vertical="center"/>
    </xf>
    <xf numFmtId="196" fontId="164" fillId="0" borderId="4" xfId="1" applyNumberFormat="1" applyFont="1" applyFill="1" applyBorder="1" applyAlignment="1">
      <alignment horizontal="right" vertical="center" wrapText="1"/>
    </xf>
    <xf numFmtId="189" fontId="27" fillId="7" borderId="4" xfId="1" applyNumberFormat="1" applyFont="1" applyFill="1" applyBorder="1" applyAlignment="1">
      <alignment horizontal="right" vertical="center" shrinkToFit="1"/>
    </xf>
    <xf numFmtId="206" fontId="89" fillId="7" borderId="4" xfId="6" applyNumberFormat="1" applyFont="1" applyFill="1" applyBorder="1" applyAlignment="1">
      <alignment horizontal="left" vertical="center" wrapText="1"/>
    </xf>
    <xf numFmtId="197" fontId="3" fillId="7" borderId="0" xfId="0" applyNumberFormat="1" applyFont="1" applyFill="1" applyAlignment="1">
      <alignment vertical="center"/>
    </xf>
    <xf numFmtId="198" fontId="3" fillId="7" borderId="0" xfId="0" applyNumberFormat="1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211" fontId="89" fillId="0" borderId="0" xfId="0" applyNumberFormat="1" applyFont="1" applyFill="1" applyAlignment="1">
      <alignment horizontal="left"/>
    </xf>
    <xf numFmtId="0" fontId="90" fillId="0" borderId="4" xfId="0" applyFont="1" applyFill="1" applyBorder="1" applyAlignment="1">
      <alignment horizontal="center" vertical="center"/>
    </xf>
    <xf numFmtId="0" fontId="89" fillId="0" borderId="0" xfId="0" applyFont="1" applyFill="1" applyAlignment="1">
      <alignment horizontal="left"/>
    </xf>
    <xf numFmtId="0" fontId="89" fillId="0" borderId="0" xfId="0" applyFont="1" applyFill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1" fontId="27" fillId="0" borderId="4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190" fontId="89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97" fontId="27" fillId="0" borderId="0" xfId="1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97" fontId="10" fillId="0" borderId="0" xfId="1" applyNumberFormat="1" applyFont="1" applyFill="1" applyAlignment="1">
      <alignment horizontal="center"/>
    </xf>
    <xf numFmtId="213" fontId="10" fillId="0" borderId="0" xfId="0" applyNumberFormat="1" applyFont="1" applyFill="1" applyAlignment="1">
      <alignment horizontal="center"/>
    </xf>
    <xf numFmtId="242" fontId="12" fillId="0" borderId="4" xfId="1" applyNumberFormat="1" applyFont="1" applyFill="1" applyBorder="1" applyAlignment="1">
      <alignment horizontal="center" vertical="center" wrapText="1"/>
    </xf>
    <xf numFmtId="236" fontId="12" fillId="0" borderId="4" xfId="0" applyNumberFormat="1" applyFont="1" applyFill="1" applyBorder="1" applyAlignment="1">
      <alignment horizontal="center" vertical="center"/>
    </xf>
    <xf numFmtId="220" fontId="146" fillId="0" borderId="0" xfId="0" applyNumberFormat="1" applyFont="1" applyFill="1"/>
    <xf numFmtId="189" fontId="89" fillId="0" borderId="23" xfId="0" quotePrefix="1" applyNumberFormat="1" applyFont="1" applyFill="1" applyBorder="1" applyAlignment="1">
      <alignment horizontal="left" vertical="center"/>
    </xf>
    <xf numFmtId="0" fontId="89" fillId="0" borderId="23" xfId="0" applyFont="1" applyFill="1" applyBorder="1"/>
    <xf numFmtId="0" fontId="105" fillId="0" borderId="4" xfId="0" applyFont="1" applyFill="1" applyBorder="1"/>
    <xf numFmtId="3" fontId="105" fillId="0" borderId="4" xfId="0" applyNumberFormat="1" applyFont="1" applyFill="1" applyBorder="1"/>
    <xf numFmtId="3" fontId="105" fillId="0" borderId="4" xfId="0" applyNumberFormat="1" applyFont="1" applyFill="1" applyBorder="1" applyAlignment="1">
      <alignment horizontal="center"/>
    </xf>
    <xf numFmtId="9" fontId="105" fillId="0" borderId="4" xfId="21" applyFont="1" applyFill="1" applyBorder="1" applyAlignment="1">
      <alignment horizontal="center"/>
    </xf>
    <xf numFmtId="189" fontId="129" fillId="0" borderId="4" xfId="1" applyNumberFormat="1" applyFont="1" applyFill="1" applyBorder="1" applyAlignment="1">
      <alignment horizontal="right" vertical="center" shrinkToFit="1"/>
    </xf>
    <xf numFmtId="189" fontId="141" fillId="0" borderId="0" xfId="0" applyNumberFormat="1" applyFont="1" applyFill="1" applyBorder="1" applyAlignment="1">
      <alignment horizontal="center" vertical="center" shrinkToFit="1"/>
    </xf>
    <xf numFmtId="211" fontId="129" fillId="0" borderId="0" xfId="0" applyNumberFormat="1" applyFont="1" applyFill="1" applyAlignment="1">
      <alignment horizontal="left"/>
    </xf>
    <xf numFmtId="189" fontId="105" fillId="0" borderId="0" xfId="0" applyNumberFormat="1" applyFont="1" applyFill="1" applyBorder="1" applyAlignment="1">
      <alignment horizontal="center" vertical="center" shrinkToFit="1"/>
    </xf>
    <xf numFmtId="3" fontId="12" fillId="0" borderId="4" xfId="0" applyNumberFormat="1" applyFont="1" applyFill="1" applyBorder="1" applyAlignment="1">
      <alignment horizontal="left"/>
    </xf>
    <xf numFmtId="0" fontId="12" fillId="0" borderId="4" xfId="0" applyFont="1" applyFill="1" applyBorder="1"/>
    <xf numFmtId="237" fontId="30" fillId="0" borderId="0" xfId="1" applyNumberFormat="1" applyFont="1" applyFill="1" applyAlignment="1"/>
    <xf numFmtId="4" fontId="12" fillId="0" borderId="4" xfId="21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/>
    </xf>
    <xf numFmtId="189" fontId="91" fillId="0" borderId="0" xfId="0" applyNumberFormat="1" applyFont="1" applyFill="1" applyAlignment="1">
      <alignment horizontal="center"/>
    </xf>
    <xf numFmtId="211" fontId="211" fillId="0" borderId="0" xfId="0" applyNumberFormat="1" applyFont="1" applyFill="1" applyAlignment="1">
      <alignment vertical="center"/>
    </xf>
    <xf numFmtId="213" fontId="89" fillId="0" borderId="4" xfId="5" applyNumberFormat="1" applyFont="1" applyFill="1" applyBorder="1" applyAlignment="1">
      <alignment vertical="center"/>
    </xf>
    <xf numFmtId="189" fontId="89" fillId="0" borderId="23" xfId="0" applyNumberFormat="1" applyFont="1" applyFill="1" applyBorder="1" applyAlignment="1">
      <alignment horizontal="left" vertical="center" shrinkToFit="1"/>
    </xf>
    <xf numFmtId="189" fontId="89" fillId="0" borderId="20" xfId="0" applyNumberFormat="1" applyFont="1" applyFill="1" applyBorder="1" applyAlignment="1">
      <alignment horizontal="left" vertical="center" shrinkToFit="1"/>
    </xf>
    <xf numFmtId="0" fontId="105" fillId="0" borderId="20" xfId="0" applyFont="1" applyFill="1" applyBorder="1"/>
    <xf numFmtId="3" fontId="105" fillId="0" borderId="20" xfId="0" applyNumberFormat="1" applyFont="1" applyFill="1" applyBorder="1" applyAlignment="1">
      <alignment horizontal="center"/>
    </xf>
    <xf numFmtId="199" fontId="47" fillId="4" borderId="0" xfId="1" applyNumberFormat="1" applyFont="1" applyFill="1" applyAlignment="1">
      <alignment horizontal="center"/>
    </xf>
    <xf numFmtId="0" fontId="57" fillId="4" borderId="0" xfId="0" applyFont="1" applyFill="1"/>
    <xf numFmtId="0" fontId="47" fillId="4" borderId="0" xfId="0" applyFont="1" applyFill="1" applyAlignment="1">
      <alignment horizontal="center"/>
    </xf>
    <xf numFmtId="0" fontId="55" fillId="4" borderId="0" xfId="0" applyFont="1" applyFill="1"/>
    <xf numFmtId="0" fontId="60" fillId="4" borderId="0" xfId="0" applyFont="1" applyFill="1" applyAlignment="1">
      <alignment horizontal="center"/>
    </xf>
    <xf numFmtId="0" fontId="42" fillId="4" borderId="0" xfId="0" applyFont="1" applyFill="1"/>
    <xf numFmtId="0" fontId="61" fillId="4" borderId="0" xfId="0" applyFont="1" applyFill="1" applyAlignment="1">
      <alignment horizontal="center"/>
    </xf>
    <xf numFmtId="0" fontId="56" fillId="4" borderId="0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/>
    </xf>
    <xf numFmtId="198" fontId="57" fillId="4" borderId="0" xfId="0" applyNumberFormat="1" applyFont="1" applyFill="1"/>
    <xf numFmtId="0" fontId="45" fillId="4" borderId="4" xfId="0" applyFont="1" applyFill="1" applyBorder="1" applyAlignment="1">
      <alignment horizontal="center" vertical="center"/>
    </xf>
    <xf numFmtId="0" fontId="42" fillId="4" borderId="4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left" vertical="center" wrapText="1"/>
    </xf>
    <xf numFmtId="198" fontId="42" fillId="4" borderId="4" xfId="1" applyNumberFormat="1" applyFont="1" applyFill="1" applyBorder="1" applyAlignment="1">
      <alignment vertical="center" wrapText="1"/>
    </xf>
    <xf numFmtId="0" fontId="57" fillId="4" borderId="0" xfId="0" applyFont="1" applyFill="1" applyBorder="1"/>
    <xf numFmtId="0" fontId="42" fillId="4" borderId="4" xfId="0" applyFont="1" applyFill="1" applyBorder="1" applyAlignment="1">
      <alignment vertical="center" wrapText="1"/>
    </xf>
    <xf numFmtId="0" fontId="42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198" fontId="199" fillId="4" borderId="4" xfId="1" applyNumberFormat="1" applyFont="1" applyFill="1" applyBorder="1" applyAlignment="1">
      <alignment vertical="center" wrapText="1"/>
    </xf>
    <xf numFmtId="198" fontId="12" fillId="4" borderId="4" xfId="1" applyNumberFormat="1" applyFont="1" applyFill="1" applyBorder="1" applyAlignment="1">
      <alignment vertical="center" wrapText="1"/>
    </xf>
    <xf numFmtId="0" fontId="42" fillId="4" borderId="0" xfId="0" applyFont="1" applyFill="1" applyBorder="1" applyAlignment="1">
      <alignment vertical="center" shrinkToFit="1"/>
    </xf>
    <xf numFmtId="0" fontId="57" fillId="4" borderId="0" xfId="0" applyFont="1" applyFill="1" applyBorder="1" applyAlignment="1">
      <alignment horizontal="center" vertical="center" shrinkToFit="1"/>
    </xf>
    <xf numFmtId="0" fontId="44" fillId="4" borderId="0" xfId="0" applyFont="1" applyFill="1"/>
    <xf numFmtId="0" fontId="12" fillId="4" borderId="0" xfId="0" applyFont="1" applyFill="1" applyAlignment="1"/>
    <xf numFmtId="0" fontId="43" fillId="4" borderId="0" xfId="0" applyFont="1" applyFill="1" applyAlignment="1"/>
    <xf numFmtId="0" fontId="43" fillId="4" borderId="0" xfId="0" applyFont="1" applyFill="1" applyAlignment="1">
      <alignment horizontal="center"/>
    </xf>
    <xf numFmtId="0" fontId="44" fillId="4" borderId="0" xfId="0" applyFont="1" applyFill="1" applyAlignment="1">
      <alignment horizontal="left"/>
    </xf>
    <xf numFmtId="0" fontId="42" fillId="4" borderId="0" xfId="0" applyFont="1" applyFill="1" applyAlignment="1">
      <alignment horizontal="left"/>
    </xf>
    <xf numFmtId="0" fontId="43" fillId="4" borderId="0" xfId="0" applyFont="1" applyFill="1"/>
    <xf numFmtId="0" fontId="39" fillId="4" borderId="0" xfId="0" applyFont="1" applyFill="1"/>
    <xf numFmtId="0" fontId="45" fillId="4" borderId="0" xfId="0" applyFont="1" applyFill="1" applyAlignment="1">
      <alignment horizontal="left"/>
    </xf>
    <xf numFmtId="0" fontId="42" fillId="4" borderId="0" xfId="0" applyFont="1" applyFill="1" applyAlignment="1"/>
    <xf numFmtId="0" fontId="57" fillId="4" borderId="0" xfId="0" applyFont="1" applyFill="1" applyAlignment="1"/>
    <xf numFmtId="197" fontId="57" fillId="4" borderId="0" xfId="1" applyNumberFormat="1" applyFont="1" applyFill="1"/>
    <xf numFmtId="0" fontId="90" fillId="4" borderId="0" xfId="0" applyFont="1" applyFill="1"/>
    <xf numFmtId="0" fontId="90" fillId="4" borderId="0" xfId="0" applyFont="1" applyFill="1" applyAlignment="1">
      <alignment horizontal="center"/>
    </xf>
    <xf numFmtId="198" fontId="27" fillId="4" borderId="0" xfId="1" applyNumberFormat="1" applyFont="1" applyFill="1" applyBorder="1" applyAlignment="1">
      <alignment horizontal="center" vertical="center"/>
    </xf>
    <xf numFmtId="198" fontId="30" fillId="4" borderId="0" xfId="1" applyNumberFormat="1" applyFont="1" applyFill="1" applyBorder="1" applyAlignment="1">
      <alignment vertical="center"/>
    </xf>
    <xf numFmtId="0" fontId="27" fillId="4" borderId="0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/>
    </xf>
    <xf numFmtId="0" fontId="89" fillId="4" borderId="4" xfId="0" applyFont="1" applyFill="1" applyBorder="1" applyAlignment="1">
      <alignment horizontal="center" vertical="center" shrinkToFit="1"/>
    </xf>
    <xf numFmtId="0" fontId="27" fillId="4" borderId="4" xfId="0" applyFont="1" applyFill="1" applyBorder="1" applyAlignment="1">
      <alignment horizontal="center" vertical="center" shrinkToFit="1"/>
    </xf>
    <xf numFmtId="0" fontId="153" fillId="4" borderId="4" xfId="0" applyFont="1" applyFill="1" applyBorder="1" applyAlignment="1">
      <alignment vertical="center"/>
    </xf>
    <xf numFmtId="0" fontId="110" fillId="4" borderId="4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 shrinkToFit="1"/>
    </xf>
    <xf numFmtId="189" fontId="12" fillId="4" borderId="4" xfId="19" applyNumberFormat="1" applyFont="1" applyFill="1" applyBorder="1" applyAlignment="1">
      <alignment horizontal="center" vertical="center"/>
    </xf>
    <xf numFmtId="0" fontId="90" fillId="4" borderId="0" xfId="0" applyFont="1" applyFill="1" applyBorder="1" applyAlignment="1">
      <alignment horizontal="center"/>
    </xf>
    <xf numFmtId="0" fontId="89" fillId="4" borderId="0" xfId="0" applyFont="1" applyFill="1" applyBorder="1" applyAlignment="1">
      <alignment horizontal="center"/>
    </xf>
    <xf numFmtId="198" fontId="89" fillId="4" borderId="0" xfId="19" applyNumberFormat="1" applyFont="1" applyFill="1" applyBorder="1" applyAlignment="1">
      <alignment horizontal="center"/>
    </xf>
    <xf numFmtId="0" fontId="27" fillId="4" borderId="0" xfId="0" applyFont="1" applyFill="1" applyBorder="1" applyAlignment="1"/>
    <xf numFmtId="199" fontId="89" fillId="4" borderId="0" xfId="1" applyNumberFormat="1" applyFont="1" applyFill="1"/>
    <xf numFmtId="198" fontId="89" fillId="4" borderId="0" xfId="0" applyNumberFormat="1" applyFont="1" applyFill="1"/>
    <xf numFmtId="0" fontId="89" fillId="4" borderId="0" xfId="0" applyFont="1" applyFill="1" applyAlignment="1"/>
    <xf numFmtId="199" fontId="90" fillId="4" borderId="0" xfId="1" applyNumberFormat="1" applyFont="1" applyFill="1"/>
    <xf numFmtId="198" fontId="90" fillId="4" borderId="0" xfId="0" applyNumberFormat="1" applyFont="1" applyFill="1"/>
    <xf numFmtId="0" fontId="103" fillId="4" borderId="0" xfId="0" applyFont="1" applyFill="1" applyBorder="1" applyAlignment="1">
      <alignment horizontal="center"/>
    </xf>
    <xf numFmtId="0" fontId="103" fillId="4" borderId="0" xfId="0" applyFont="1" applyFill="1" applyAlignment="1">
      <alignment horizontal="center"/>
    </xf>
    <xf numFmtId="0" fontId="103" fillId="4" borderId="0" xfId="0" applyFont="1" applyFill="1"/>
    <xf numFmtId="198" fontId="45" fillId="4" borderId="4" xfId="0" applyNumberFormat="1" applyFont="1" applyFill="1" applyBorder="1" applyAlignment="1">
      <alignment horizontal="center" vertical="center" wrapText="1"/>
    </xf>
    <xf numFmtId="198" fontId="45" fillId="4" borderId="4" xfId="0" applyNumberFormat="1" applyFont="1" applyFill="1" applyBorder="1" applyAlignment="1"/>
    <xf numFmtId="0" fontId="42" fillId="4" borderId="4" xfId="0" applyFont="1" applyFill="1" applyBorder="1" applyAlignment="1">
      <alignment horizontal="center" vertical="center" shrinkToFit="1"/>
    </xf>
    <xf numFmtId="0" fontId="45" fillId="4" borderId="4" xfId="0" applyFont="1" applyFill="1" applyBorder="1" applyAlignment="1">
      <alignment horizontal="center" vertical="center" shrinkToFit="1"/>
    </xf>
    <xf numFmtId="198" fontId="45" fillId="4" borderId="4" xfId="1" applyNumberFormat="1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 wrapText="1"/>
    </xf>
    <xf numFmtId="1" fontId="148" fillId="0" borderId="4" xfId="0" applyNumberFormat="1" applyFont="1" applyFill="1" applyBorder="1" applyAlignment="1">
      <alignment horizontal="right" vertical="center"/>
    </xf>
    <xf numFmtId="0" fontId="3" fillId="4" borderId="0" xfId="0" applyFont="1" applyFill="1"/>
    <xf numFmtId="1" fontId="129" fillId="0" borderId="4" xfId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3" fontId="129" fillId="0" borderId="0" xfId="1" applyNumberFormat="1" applyFont="1" applyFill="1" applyAlignment="1">
      <alignment horizontal="center"/>
    </xf>
    <xf numFmtId="189" fontId="105" fillId="0" borderId="4" xfId="1" applyNumberFormat="1" applyFont="1" applyFill="1" applyBorder="1" applyAlignment="1">
      <alignment horizontal="center" vertical="center" wrapText="1"/>
    </xf>
    <xf numFmtId="189" fontId="105" fillId="0" borderId="4" xfId="0" applyNumberFormat="1" applyFont="1" applyFill="1" applyBorder="1" applyAlignment="1">
      <alignment horizontal="center" vertical="center" wrapText="1"/>
    </xf>
    <xf numFmtId="189" fontId="105" fillId="0" borderId="0" xfId="0" applyNumberFormat="1" applyFont="1" applyFill="1" applyAlignment="1">
      <alignment horizontal="center"/>
    </xf>
    <xf numFmtId="189" fontId="105" fillId="0" borderId="0" xfId="0" applyNumberFormat="1" applyFont="1" applyFill="1" applyAlignment="1">
      <alignment horizontal="center" vertical="center"/>
    </xf>
    <xf numFmtId="214" fontId="129" fillId="0" borderId="0" xfId="0" applyNumberFormat="1" applyFont="1" applyFill="1" applyAlignment="1">
      <alignment horizontal="center"/>
    </xf>
    <xf numFmtId="189" fontId="129" fillId="0" borderId="0" xfId="0" applyNumberFormat="1" applyFont="1" applyFill="1" applyAlignment="1">
      <alignment horizontal="center"/>
    </xf>
    <xf numFmtId="189" fontId="129" fillId="0" borderId="0" xfId="0" applyNumberFormat="1" applyFont="1" applyFill="1" applyBorder="1" applyAlignment="1">
      <alignment horizontal="center"/>
    </xf>
    <xf numFmtId="189" fontId="141" fillId="0" borderId="0" xfId="0" applyNumberFormat="1" applyFont="1" applyFill="1" applyAlignment="1">
      <alignment horizontal="center"/>
    </xf>
    <xf numFmtId="189" fontId="141" fillId="0" borderId="0" xfId="1" applyNumberFormat="1" applyFont="1" applyFill="1" applyAlignment="1">
      <alignment horizontal="center"/>
    </xf>
    <xf numFmtId="189" fontId="135" fillId="0" borderId="0" xfId="0" applyNumberFormat="1" applyFont="1" applyFill="1" applyAlignment="1">
      <alignment horizontal="center"/>
    </xf>
    <xf numFmtId="189" fontId="129" fillId="0" borderId="0" xfId="0" applyNumberFormat="1" applyFont="1" applyFill="1" applyAlignment="1">
      <alignment horizontal="left"/>
    </xf>
    <xf numFmtId="189" fontId="105" fillId="0" borderId="0" xfId="1" applyNumberFormat="1" applyFont="1" applyFill="1" applyAlignment="1">
      <alignment horizontal="center"/>
    </xf>
    <xf numFmtId="189" fontId="27" fillId="0" borderId="4" xfId="1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wrapText="1"/>
    </xf>
    <xf numFmtId="189" fontId="27" fillId="0" borderId="0" xfId="1" applyNumberFormat="1" applyFont="1" applyFill="1" applyAlignment="1">
      <alignment horizontal="center"/>
    </xf>
    <xf numFmtId="189" fontId="13" fillId="0" borderId="0" xfId="0" applyNumberFormat="1" applyFont="1" applyFill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27" fillId="0" borderId="0" xfId="0" applyNumberFormat="1" applyFont="1" applyFill="1" applyAlignment="1">
      <alignment horizontal="center"/>
    </xf>
    <xf numFmtId="189" fontId="156" fillId="0" borderId="0" xfId="0" applyNumberFormat="1" applyFont="1" applyFill="1" applyBorder="1" applyAlignment="1">
      <alignment horizontal="center"/>
    </xf>
    <xf numFmtId="189" fontId="89" fillId="0" borderId="0" xfId="0" applyNumberFormat="1" applyFont="1" applyFill="1" applyAlignment="1">
      <alignment horizontal="center" vertical="center"/>
    </xf>
    <xf numFmtId="4" fontId="13" fillId="0" borderId="0" xfId="1" applyNumberFormat="1" applyFont="1" applyFill="1" applyAlignment="1">
      <alignment horizontal="center"/>
    </xf>
    <xf numFmtId="3" fontId="13" fillId="0" borderId="0" xfId="1" applyNumberFormat="1" applyFont="1" applyFill="1" applyAlignment="1">
      <alignment horizontal="center"/>
    </xf>
    <xf numFmtId="189" fontId="13" fillId="0" borderId="0" xfId="1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45" fillId="0" borderId="4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197" fontId="11" fillId="0" borderId="4" xfId="1" applyNumberFormat="1" applyFont="1" applyFill="1" applyBorder="1" applyAlignment="1">
      <alignment horizontal="right" vertical="center"/>
    </xf>
    <xf numFmtId="197" fontId="13" fillId="0" borderId="0" xfId="1" applyNumberFormat="1" applyFont="1" applyFill="1" applyAlignment="1">
      <alignment horizontal="right"/>
    </xf>
    <xf numFmtId="0" fontId="43" fillId="0" borderId="4" xfId="18" applyFont="1" applyFill="1" applyBorder="1" applyAlignment="1">
      <alignment horizontal="center" vertical="center"/>
    </xf>
    <xf numFmtId="0" fontId="43" fillId="0" borderId="4" xfId="18" applyFont="1" applyFill="1" applyBorder="1" applyAlignment="1">
      <alignment horizontal="left" vertical="center"/>
    </xf>
    <xf numFmtId="4" fontId="13" fillId="0" borderId="4" xfId="1" applyNumberFormat="1" applyFont="1" applyFill="1" applyBorder="1" applyAlignment="1">
      <alignment horizontal="center"/>
    </xf>
    <xf numFmtId="213" fontId="12" fillId="0" borderId="0" xfId="1" applyNumberFormat="1" applyFont="1" applyFill="1" applyBorder="1" applyAlignment="1">
      <alignment horizontal="right" vertical="center" shrinkToFit="1"/>
    </xf>
    <xf numFmtId="190" fontId="13" fillId="0" borderId="0" xfId="1" applyNumberFormat="1" applyFont="1" applyFill="1"/>
    <xf numFmtId="0" fontId="39" fillId="0" borderId="4" xfId="18" applyFont="1" applyFill="1" applyBorder="1" applyAlignment="1">
      <alignment horizontal="center" vertical="center"/>
    </xf>
    <xf numFmtId="3" fontId="13" fillId="0" borderId="4" xfId="1" applyNumberFormat="1" applyFont="1" applyFill="1" applyBorder="1" applyAlignment="1">
      <alignment horizontal="center"/>
    </xf>
    <xf numFmtId="213" fontId="13" fillId="0" borderId="0" xfId="0" applyNumberFormat="1" applyFont="1" applyFill="1"/>
    <xf numFmtId="0" fontId="13" fillId="0" borderId="4" xfId="18" applyFont="1" applyFill="1" applyBorder="1" applyAlignment="1">
      <alignment horizontal="left" vertical="center"/>
    </xf>
    <xf numFmtId="3" fontId="13" fillId="0" borderId="4" xfId="0" applyNumberFormat="1" applyFont="1" applyFill="1" applyBorder="1" applyAlignment="1">
      <alignment horizontal="center"/>
    </xf>
    <xf numFmtId="215" fontId="13" fillId="0" borderId="0" xfId="0" applyNumberFormat="1" applyFont="1" applyFill="1"/>
    <xf numFmtId="219" fontId="13" fillId="0" borderId="0" xfId="1" applyNumberFormat="1" applyFont="1" applyFill="1"/>
    <xf numFmtId="215" fontId="13" fillId="0" borderId="4" xfId="0" applyNumberFormat="1" applyFont="1" applyFill="1" applyBorder="1" applyAlignment="1">
      <alignment horizontal="center"/>
    </xf>
    <xf numFmtId="197" fontId="13" fillId="0" borderId="4" xfId="1" applyNumberFormat="1" applyFont="1" applyFill="1" applyBorder="1" applyAlignment="1"/>
    <xf numFmtId="222" fontId="13" fillId="0" borderId="4" xfId="1" applyNumberFormat="1" applyFont="1" applyFill="1" applyBorder="1" applyAlignment="1">
      <alignment horizontal="right"/>
    </xf>
    <xf numFmtId="197" fontId="13" fillId="0" borderId="0" xfId="0" applyNumberFormat="1" applyFont="1" applyFill="1" applyBorder="1"/>
    <xf numFmtId="196" fontId="13" fillId="0" borderId="4" xfId="1" applyNumberFormat="1" applyFont="1" applyFill="1" applyBorder="1" applyAlignment="1"/>
    <xf numFmtId="4" fontId="13" fillId="0" borderId="0" xfId="0" applyNumberFormat="1" applyFont="1" applyFill="1"/>
    <xf numFmtId="3" fontId="11" fillId="0" borderId="0" xfId="0" applyNumberFormat="1" applyFont="1" applyFill="1"/>
    <xf numFmtId="0" fontId="11" fillId="0" borderId="4" xfId="18" applyFont="1" applyFill="1" applyBorder="1" applyAlignment="1">
      <alignment horizontal="center" vertical="center"/>
    </xf>
    <xf numFmtId="0" fontId="11" fillId="0" borderId="4" xfId="18" applyFont="1" applyFill="1" applyBorder="1" applyAlignment="1">
      <alignment horizontal="left" vertical="center"/>
    </xf>
    <xf numFmtId="197" fontId="177" fillId="0" borderId="4" xfId="1" applyNumberFormat="1" applyFont="1" applyFill="1" applyBorder="1" applyAlignment="1">
      <alignment horizontal="right"/>
    </xf>
    <xf numFmtId="224" fontId="13" fillId="0" borderId="4" xfId="1" applyNumberFormat="1" applyFont="1" applyFill="1" applyBorder="1" applyAlignment="1">
      <alignment horizontal="right"/>
    </xf>
    <xf numFmtId="197" fontId="11" fillId="0" borderId="0" xfId="0" applyNumberFormat="1" applyFont="1" applyFill="1"/>
    <xf numFmtId="3" fontId="11" fillId="0" borderId="0" xfId="0" applyNumberFormat="1" applyFont="1" applyFill="1" applyAlignment="1">
      <alignment horizontal="center"/>
    </xf>
    <xf numFmtId="190" fontId="13" fillId="0" borderId="0" xfId="1" applyNumberFormat="1" applyFont="1" applyFill="1" applyAlignment="1">
      <alignment horizontal="right"/>
    </xf>
    <xf numFmtId="0" fontId="98" fillId="0" borderId="0" xfId="16" applyFont="1" applyFill="1" applyAlignment="1">
      <alignment horizontal="center"/>
    </xf>
    <xf numFmtId="197" fontId="41" fillId="0" borderId="0" xfId="1" applyNumberFormat="1" applyFont="1" applyFill="1" applyAlignment="1">
      <alignment horizontal="center"/>
    </xf>
    <xf numFmtId="197" fontId="41" fillId="0" borderId="0" xfId="1" applyNumberFormat="1" applyFont="1" applyFill="1" applyAlignment="1">
      <alignment horizontal="right"/>
    </xf>
    <xf numFmtId="0" fontId="93" fillId="0" borderId="0" xfId="16" applyFont="1" applyFill="1" applyAlignment="1"/>
    <xf numFmtId="196" fontId="93" fillId="0" borderId="0" xfId="16" applyNumberFormat="1" applyFont="1" applyFill="1" applyAlignment="1"/>
    <xf numFmtId="197" fontId="41" fillId="0" borderId="0" xfId="1" applyNumberFormat="1" applyFont="1" applyFill="1"/>
    <xf numFmtId="231" fontId="41" fillId="0" borderId="0" xfId="0" applyNumberFormat="1" applyFont="1" applyFill="1"/>
    <xf numFmtId="3" fontId="81" fillId="4" borderId="4" xfId="5" applyNumberFormat="1" applyFont="1" applyFill="1" applyBorder="1" applyAlignment="1">
      <alignment vertical="center"/>
    </xf>
    <xf numFmtId="189" fontId="89" fillId="8" borderId="4" xfId="1" applyNumberFormat="1" applyFont="1" applyFill="1" applyBorder="1" applyAlignment="1">
      <alignment horizontal="right" vertical="center" shrinkToFit="1"/>
    </xf>
    <xf numFmtId="196" fontId="11" fillId="9" borderId="4" xfId="1" applyNumberFormat="1" applyFont="1" applyFill="1" applyBorder="1" applyAlignment="1">
      <alignment horizontal="right"/>
    </xf>
    <xf numFmtId="196" fontId="190" fillId="4" borderId="3" xfId="1" applyNumberFormat="1" applyFont="1" applyFill="1" applyBorder="1" applyAlignment="1">
      <alignment horizontal="center" vertical="center" wrapText="1"/>
    </xf>
    <xf numFmtId="196" fontId="190" fillId="0" borderId="3" xfId="1" applyNumberFormat="1" applyFont="1" applyFill="1" applyBorder="1" applyAlignment="1">
      <alignment horizontal="center" vertical="center" wrapText="1"/>
    </xf>
    <xf numFmtId="189" fontId="13" fillId="0" borderId="0" xfId="0" applyNumberFormat="1" applyFont="1" applyFill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212" fillId="0" borderId="0" xfId="0" applyNumberFormat="1" applyFont="1" applyFill="1" applyAlignment="1">
      <alignment horizontal="center"/>
    </xf>
    <xf numFmtId="190" fontId="122" fillId="0" borderId="3" xfId="0" applyNumberFormat="1" applyFont="1" applyFill="1" applyBorder="1" applyAlignment="1">
      <alignment horizontal="center" vertical="center"/>
    </xf>
    <xf numFmtId="211" fontId="122" fillId="0" borderId="3" xfId="1" applyNumberFormat="1" applyFont="1" applyFill="1" applyBorder="1" applyAlignment="1">
      <alignment horizontal="center" vertical="center" wrapText="1"/>
    </xf>
    <xf numFmtId="211" fontId="122" fillId="0" borderId="0" xfId="0" applyNumberFormat="1" applyFont="1" applyFill="1" applyBorder="1" applyAlignment="1">
      <alignment vertical="center"/>
    </xf>
    <xf numFmtId="211" fontId="122" fillId="0" borderId="0" xfId="0" applyNumberFormat="1" applyFont="1" applyFill="1" applyAlignment="1">
      <alignment vertic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7" xfId="0" applyFont="1" applyFill="1" applyBorder="1" applyAlignment="1">
      <alignment horizontal="center" vertical="top" wrapText="1"/>
    </xf>
    <xf numFmtId="0" fontId="90" fillId="0" borderId="4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/>
    </xf>
    <xf numFmtId="0" fontId="89" fillId="0" borderId="0" xfId="0" applyFont="1" applyFill="1" applyAlignment="1">
      <alignment horizontal="left"/>
    </xf>
    <xf numFmtId="0" fontId="36" fillId="0" borderId="0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89" fillId="0" borderId="0" xfId="0" applyFont="1" applyFill="1" applyAlignment="1">
      <alignment horizontal="center"/>
    </xf>
    <xf numFmtId="0" fontId="14" fillId="0" borderId="0" xfId="20" applyFont="1" applyFill="1" applyBorder="1" applyAlignment="1">
      <alignment horizontal="left"/>
    </xf>
    <xf numFmtId="2" fontId="155" fillId="0" borderId="4" xfId="0" applyNumberFormat="1" applyFont="1" applyFill="1" applyBorder="1" applyAlignment="1">
      <alignment horizontal="center" vertical="center"/>
    </xf>
    <xf numFmtId="0" fontId="89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/>
    </xf>
    <xf numFmtId="198" fontId="27" fillId="0" borderId="0" xfId="1" applyNumberFormat="1" applyFont="1" applyFill="1" applyBorder="1" applyAlignment="1">
      <alignment horizontal="center" vertical="center"/>
    </xf>
    <xf numFmtId="198" fontId="27" fillId="0" borderId="0" xfId="1" quotePrefix="1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top"/>
    </xf>
    <xf numFmtId="0" fontId="19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center"/>
    </xf>
    <xf numFmtId="0" fontId="154" fillId="0" borderId="15" xfId="0" applyFont="1" applyFill="1" applyBorder="1" applyAlignment="1">
      <alignment horizontal="center" vertical="center"/>
    </xf>
    <xf numFmtId="0" fontId="154" fillId="0" borderId="23" xfId="0" applyFont="1" applyFill="1" applyBorder="1" applyAlignment="1">
      <alignment horizontal="center" vertical="center"/>
    </xf>
    <xf numFmtId="0" fontId="154" fillId="0" borderId="20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154" fillId="0" borderId="4" xfId="0" applyFont="1" applyFill="1" applyBorder="1" applyAlignment="1">
      <alignment horizontal="center" vertical="center" shrinkToFit="1"/>
    </xf>
    <xf numFmtId="1" fontId="105" fillId="0" borderId="4" xfId="1" applyNumberFormat="1" applyFont="1" applyFill="1" applyBorder="1" applyAlignment="1">
      <alignment horizontal="center" vertical="center" wrapText="1"/>
    </xf>
    <xf numFmtId="1" fontId="105" fillId="0" borderId="4" xfId="1" applyNumberFormat="1" applyFont="1" applyFill="1" applyBorder="1" applyAlignment="1">
      <alignment horizontal="center" vertical="center"/>
    </xf>
    <xf numFmtId="1" fontId="129" fillId="0" borderId="15" xfId="1" applyNumberFormat="1" applyFont="1" applyFill="1" applyBorder="1" applyAlignment="1">
      <alignment horizontal="center" vertical="center"/>
    </xf>
    <xf numFmtId="1" fontId="129" fillId="0" borderId="23" xfId="1" applyNumberFormat="1" applyFont="1" applyFill="1" applyBorder="1" applyAlignment="1">
      <alignment horizontal="center" vertical="center"/>
    </xf>
    <xf numFmtId="0" fontId="192" fillId="0" borderId="15" xfId="0" applyFont="1" applyFill="1" applyBorder="1" applyAlignment="1">
      <alignment horizontal="center"/>
    </xf>
    <xf numFmtId="0" fontId="192" fillId="0" borderId="23" xfId="0" applyFont="1" applyFill="1" applyBorder="1" applyAlignment="1">
      <alignment horizontal="center"/>
    </xf>
    <xf numFmtId="0" fontId="192" fillId="0" borderId="20" xfId="0" applyFont="1" applyFill="1" applyBorder="1" applyAlignment="1">
      <alignment horizontal="center"/>
    </xf>
    <xf numFmtId="190" fontId="191" fillId="0" borderId="15" xfId="1" applyNumberFormat="1" applyFont="1" applyFill="1" applyBorder="1" applyAlignment="1">
      <alignment horizontal="center"/>
    </xf>
    <xf numFmtId="190" fontId="191" fillId="0" borderId="23" xfId="1" applyNumberFormat="1" applyFont="1" applyFill="1" applyBorder="1" applyAlignment="1">
      <alignment horizontal="center"/>
    </xf>
    <xf numFmtId="190" fontId="191" fillId="0" borderId="20" xfId="1" applyNumberFormat="1" applyFont="1" applyFill="1" applyBorder="1" applyAlignment="1">
      <alignment horizontal="center"/>
    </xf>
    <xf numFmtId="1" fontId="165" fillId="0" borderId="0" xfId="1" applyNumberFormat="1" applyFont="1" applyFill="1" applyBorder="1" applyAlignment="1">
      <alignment horizontal="center" vertical="center"/>
    </xf>
    <xf numFmtId="1" fontId="158" fillId="0" borderId="0" xfId="1" applyNumberFormat="1" applyFont="1" applyFill="1" applyBorder="1" applyAlignment="1">
      <alignment horizontal="center" vertical="center"/>
    </xf>
    <xf numFmtId="1" fontId="158" fillId="0" borderId="0" xfId="1" quotePrefix="1" applyNumberFormat="1" applyFont="1" applyFill="1" applyBorder="1" applyAlignment="1">
      <alignment horizontal="center" vertical="center"/>
    </xf>
    <xf numFmtId="197" fontId="145" fillId="0" borderId="4" xfId="1" applyNumberFormat="1" applyFont="1" applyFill="1" applyBorder="1" applyAlignment="1">
      <alignment horizontal="center" vertical="center"/>
    </xf>
    <xf numFmtId="1" fontId="145" fillId="0" borderId="4" xfId="1" applyNumberFormat="1" applyFont="1" applyFill="1" applyBorder="1" applyAlignment="1">
      <alignment horizontal="center" vertical="center"/>
    </xf>
    <xf numFmtId="1" fontId="141" fillId="0" borderId="4" xfId="1" applyNumberFormat="1" applyFont="1" applyFill="1" applyBorder="1" applyAlignment="1">
      <alignment horizontal="center" vertical="center"/>
    </xf>
    <xf numFmtId="3" fontId="105" fillId="0" borderId="4" xfId="1" applyNumberFormat="1" applyFont="1" applyFill="1" applyBorder="1" applyAlignment="1">
      <alignment horizontal="center" vertical="center"/>
    </xf>
    <xf numFmtId="1" fontId="159" fillId="0" borderId="0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45" fillId="0" borderId="15" xfId="1" applyNumberFormat="1" applyFont="1" applyFill="1" applyBorder="1" applyAlignment="1">
      <alignment horizontal="center" vertical="center"/>
    </xf>
    <xf numFmtId="1" fontId="145" fillId="0" borderId="23" xfId="1" applyNumberFormat="1" applyFont="1" applyFill="1" applyBorder="1" applyAlignment="1">
      <alignment horizontal="center" vertical="center"/>
    </xf>
    <xf numFmtId="1" fontId="145" fillId="0" borderId="20" xfId="1" applyNumberFormat="1" applyFont="1" applyFill="1" applyBorder="1" applyAlignment="1">
      <alignment horizontal="center" vertical="center"/>
    </xf>
    <xf numFmtId="1" fontId="141" fillId="0" borderId="23" xfId="1" applyNumberFormat="1" applyFont="1" applyFill="1" applyBorder="1" applyAlignment="1">
      <alignment horizontal="center" vertical="center"/>
    </xf>
    <xf numFmtId="1" fontId="141" fillId="0" borderId="20" xfId="1" applyNumberFormat="1" applyFont="1" applyFill="1" applyBorder="1" applyAlignment="1">
      <alignment horizontal="center" vertical="center"/>
    </xf>
    <xf numFmtId="1" fontId="141" fillId="0" borderId="15" xfId="1" applyNumberFormat="1" applyFont="1" applyFill="1" applyBorder="1" applyAlignment="1">
      <alignment horizontal="center" vertical="center"/>
    </xf>
    <xf numFmtId="1" fontId="105" fillId="0" borderId="3" xfId="1" applyNumberFormat="1" applyFont="1" applyFill="1" applyBorder="1" applyAlignment="1">
      <alignment horizontal="left" vertical="center"/>
    </xf>
    <xf numFmtId="197" fontId="141" fillId="0" borderId="15" xfId="1" applyNumberFormat="1" applyFont="1" applyFill="1" applyBorder="1" applyAlignment="1">
      <alignment horizontal="center" vertical="center" wrapText="1"/>
    </xf>
    <xf numFmtId="197" fontId="141" fillId="0" borderId="23" xfId="1" applyNumberFormat="1" applyFont="1" applyFill="1" applyBorder="1" applyAlignment="1">
      <alignment horizontal="center" vertical="center" wrapText="1"/>
    </xf>
    <xf numFmtId="197" fontId="141" fillId="0" borderId="20" xfId="1" applyNumberFormat="1" applyFont="1" applyFill="1" applyBorder="1" applyAlignment="1">
      <alignment horizontal="center" vertical="center" wrapText="1"/>
    </xf>
    <xf numFmtId="197" fontId="141" fillId="0" borderId="15" xfId="1" applyNumberFormat="1" applyFont="1" applyFill="1" applyBorder="1" applyAlignment="1">
      <alignment horizontal="center" vertical="center"/>
    </xf>
    <xf numFmtId="197" fontId="141" fillId="0" borderId="23" xfId="1" applyNumberFormat="1" applyFont="1" applyFill="1" applyBorder="1" applyAlignment="1">
      <alignment horizontal="center" vertical="center"/>
    </xf>
    <xf numFmtId="197" fontId="141" fillId="0" borderId="20" xfId="1" applyNumberFormat="1" applyFont="1" applyFill="1" applyBorder="1" applyAlignment="1">
      <alignment horizontal="center" vertical="center"/>
    </xf>
    <xf numFmtId="197" fontId="145" fillId="0" borderId="15" xfId="1" applyNumberFormat="1" applyFont="1" applyFill="1" applyBorder="1" applyAlignment="1">
      <alignment vertical="center"/>
    </xf>
    <xf numFmtId="197" fontId="145" fillId="0" borderId="23" xfId="1" applyNumberFormat="1" applyFont="1" applyFill="1" applyBorder="1" applyAlignment="1">
      <alignment vertical="center"/>
    </xf>
    <xf numFmtId="197" fontId="145" fillId="0" borderId="20" xfId="1" applyNumberFormat="1" applyFont="1" applyFill="1" applyBorder="1" applyAlignment="1">
      <alignment vertical="center"/>
    </xf>
    <xf numFmtId="0" fontId="191" fillId="0" borderId="15" xfId="0" applyFont="1" applyFill="1" applyBorder="1" applyAlignment="1">
      <alignment horizontal="center" vertical="center"/>
    </xf>
    <xf numFmtId="0" fontId="191" fillId="0" borderId="23" xfId="0" applyFont="1" applyFill="1" applyBorder="1" applyAlignment="1">
      <alignment horizontal="center" vertical="center"/>
    </xf>
    <xf numFmtId="0" fontId="191" fillId="0" borderId="20" xfId="0" applyFont="1" applyFill="1" applyBorder="1" applyAlignment="1">
      <alignment horizontal="center" vertical="center"/>
    </xf>
    <xf numFmtId="190" fontId="191" fillId="0" borderId="4" xfId="0" applyNumberFormat="1" applyFont="1" applyFill="1" applyBorder="1" applyAlignment="1">
      <alignment horizontal="center"/>
    </xf>
    <xf numFmtId="0" fontId="191" fillId="0" borderId="4" xfId="0" applyFont="1" applyFill="1" applyBorder="1" applyAlignment="1">
      <alignment horizontal="center"/>
    </xf>
    <xf numFmtId="1" fontId="89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left" vertical="center"/>
    </xf>
    <xf numFmtId="1" fontId="10" fillId="0" borderId="0" xfId="1" applyNumberFormat="1" applyFont="1" applyFill="1" applyBorder="1" applyAlignment="1">
      <alignment horizontal="left" vertical="center"/>
    </xf>
    <xf numFmtId="1" fontId="164" fillId="0" borderId="0" xfId="1" applyNumberFormat="1" applyFont="1" applyFill="1" applyAlignment="1">
      <alignment horizontal="center" vertical="center"/>
    </xf>
    <xf numFmtId="196" fontId="156" fillId="0" borderId="0" xfId="1" applyFont="1" applyFill="1" applyBorder="1" applyAlignment="1">
      <alignment horizontal="center" vertical="center"/>
    </xf>
    <xf numFmtId="190" fontId="192" fillId="0" borderId="4" xfId="1" applyNumberFormat="1" applyFont="1" applyFill="1" applyBorder="1" applyAlignment="1">
      <alignment horizontal="center"/>
    </xf>
    <xf numFmtId="213" fontId="144" fillId="0" borderId="4" xfId="1" applyNumberFormat="1" applyFont="1" applyFill="1" applyBorder="1" applyAlignment="1">
      <alignment horizontal="center"/>
    </xf>
    <xf numFmtId="0" fontId="191" fillId="0" borderId="15" xfId="0" applyFont="1" applyFill="1" applyBorder="1" applyAlignment="1">
      <alignment horizontal="center"/>
    </xf>
    <xf numFmtId="0" fontId="191" fillId="0" borderId="23" xfId="0" applyFont="1" applyFill="1" applyBorder="1" applyAlignment="1">
      <alignment horizontal="center"/>
    </xf>
    <xf numFmtId="0" fontId="191" fillId="0" borderId="20" xfId="0" applyFont="1" applyFill="1" applyBorder="1" applyAlignment="1">
      <alignment horizontal="center"/>
    </xf>
    <xf numFmtId="1" fontId="105" fillId="0" borderId="10" xfId="1" applyNumberFormat="1" applyFont="1" applyFill="1" applyBorder="1" applyAlignment="1">
      <alignment horizontal="center" vertical="center" wrapText="1"/>
    </xf>
    <xf numFmtId="1" fontId="105" fillId="0" borderId="17" xfId="1" applyNumberFormat="1" applyFont="1" applyFill="1" applyBorder="1" applyAlignment="1">
      <alignment horizontal="center" vertical="center" wrapText="1"/>
    </xf>
    <xf numFmtId="1" fontId="128" fillId="0" borderId="15" xfId="1" applyNumberFormat="1" applyFont="1" applyFill="1" applyBorder="1" applyAlignment="1">
      <alignment horizontal="center" vertical="center"/>
    </xf>
    <xf numFmtId="1" fontId="128" fillId="0" borderId="23" xfId="1" applyNumberFormat="1" applyFont="1" applyFill="1" applyBorder="1" applyAlignment="1">
      <alignment horizontal="center" vertical="center"/>
    </xf>
    <xf numFmtId="1" fontId="202" fillId="0" borderId="4" xfId="1" applyNumberFormat="1" applyFont="1" applyFill="1" applyBorder="1" applyAlignment="1">
      <alignment horizontal="center" vertical="center"/>
    </xf>
    <xf numFmtId="1" fontId="159" fillId="0" borderId="4" xfId="1" applyNumberFormat="1" applyFont="1" applyFill="1" applyBorder="1" applyAlignment="1">
      <alignment horizontal="center" vertical="center"/>
    </xf>
    <xf numFmtId="1" fontId="159" fillId="0" borderId="0" xfId="1" quotePrefix="1" applyNumberFormat="1" applyFont="1" applyFill="1" applyBorder="1" applyAlignment="1">
      <alignment horizontal="center" vertical="center"/>
    </xf>
    <xf numFmtId="1" fontId="159" fillId="0" borderId="4" xfId="1" applyNumberFormat="1" applyFont="1" applyFill="1" applyBorder="1" applyAlignment="1">
      <alignment horizontal="center" vertical="center" wrapText="1"/>
    </xf>
    <xf numFmtId="1" fontId="200" fillId="0" borderId="0" xfId="1" applyNumberFormat="1" applyFont="1" applyFill="1" applyBorder="1" applyAlignment="1">
      <alignment horizontal="center" vertical="center"/>
    </xf>
    <xf numFmtId="4" fontId="10" fillId="0" borderId="0" xfId="0" applyNumberFormat="1" applyFont="1" applyFill="1" applyAlignment="1">
      <alignment horizontal="center"/>
    </xf>
    <xf numFmtId="196" fontId="11" fillId="0" borderId="0" xfId="1" applyFont="1" applyFill="1" applyAlignment="1">
      <alignment horizontal="center"/>
    </xf>
    <xf numFmtId="0" fontId="12" fillId="0" borderId="15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199" fontId="12" fillId="0" borderId="4" xfId="1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 vertical="center" wrapText="1"/>
    </xf>
    <xf numFmtId="199" fontId="11" fillId="0" borderId="0" xfId="1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199" fontId="29" fillId="0" borderId="0" xfId="1" applyNumberFormat="1" applyFont="1" applyFill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53" fillId="0" borderId="4" xfId="0" applyFont="1" applyFill="1" applyBorder="1" applyAlignment="1">
      <alignment wrapText="1"/>
    </xf>
    <xf numFmtId="208" fontId="12" fillId="0" borderId="4" xfId="1" applyNumberFormat="1" applyFont="1" applyFill="1" applyBorder="1" applyAlignment="1">
      <alignment horizontal="center" vertical="center" wrapText="1"/>
    </xf>
    <xf numFmtId="208" fontId="53" fillId="0" borderId="4" xfId="0" applyNumberFormat="1" applyFont="1" applyFill="1" applyBorder="1"/>
    <xf numFmtId="0" fontId="3" fillId="0" borderId="0" xfId="0" applyFont="1" applyFill="1" applyAlignment="1">
      <alignment horizontal="center"/>
    </xf>
    <xf numFmtId="0" fontId="12" fillId="0" borderId="4" xfId="1" applyNumberFormat="1" applyFont="1" applyFill="1" applyBorder="1" applyAlignment="1">
      <alignment horizontal="center" vertical="center" wrapText="1"/>
    </xf>
    <xf numFmtId="0" fontId="53" fillId="0" borderId="4" xfId="0" applyFont="1" applyFill="1" applyBorder="1"/>
    <xf numFmtId="0" fontId="33" fillId="0" borderId="4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 vertical="center" shrinkToFit="1"/>
    </xf>
    <xf numFmtId="189" fontId="105" fillId="0" borderId="15" xfId="0" applyNumberFormat="1" applyFont="1" applyFill="1" applyBorder="1" applyAlignment="1">
      <alignment horizontal="center" vertical="center" shrinkToFit="1"/>
    </xf>
    <xf numFmtId="189" fontId="105" fillId="0" borderId="23" xfId="0" applyNumberFormat="1" applyFont="1" applyFill="1" applyBorder="1" applyAlignment="1">
      <alignment horizontal="center" vertical="center" shrinkToFit="1"/>
    </xf>
    <xf numFmtId="189" fontId="105" fillId="0" borderId="20" xfId="0" applyNumberFormat="1" applyFont="1" applyFill="1" applyBorder="1" applyAlignment="1">
      <alignment horizontal="center" vertical="center" shrinkToFit="1"/>
    </xf>
    <xf numFmtId="189" fontId="105" fillId="0" borderId="4" xfId="1" applyNumberFormat="1" applyFont="1" applyFill="1" applyBorder="1" applyAlignment="1">
      <alignment horizontal="center"/>
    </xf>
    <xf numFmtId="3" fontId="129" fillId="0" borderId="0" xfId="1" applyNumberFormat="1" applyFont="1" applyFill="1" applyAlignment="1">
      <alignment horizontal="center"/>
    </xf>
    <xf numFmtId="189" fontId="105" fillId="0" borderId="4" xfId="1" applyNumberFormat="1" applyFont="1" applyFill="1" applyBorder="1" applyAlignment="1">
      <alignment horizontal="center" vertical="center" wrapText="1"/>
    </xf>
    <xf numFmtId="189" fontId="105" fillId="0" borderId="4" xfId="0" applyNumberFormat="1" applyFont="1" applyFill="1" applyBorder="1" applyAlignment="1">
      <alignment horizontal="center" vertical="center" wrapText="1"/>
    </xf>
    <xf numFmtId="189" fontId="105" fillId="0" borderId="4" xfId="0" applyNumberFormat="1" applyFont="1" applyFill="1" applyBorder="1" applyAlignment="1">
      <alignment horizontal="center" vertical="center" shrinkToFit="1"/>
    </xf>
    <xf numFmtId="189" fontId="105" fillId="0" borderId="0" xfId="0" applyNumberFormat="1" applyFont="1" applyFill="1" applyAlignment="1">
      <alignment horizontal="center"/>
    </xf>
    <xf numFmtId="189" fontId="105" fillId="0" borderId="0" xfId="0" applyNumberFormat="1" applyFont="1" applyFill="1" applyAlignment="1">
      <alignment horizontal="center" vertical="center"/>
    </xf>
    <xf numFmtId="4" fontId="129" fillId="0" borderId="0" xfId="1" applyNumberFormat="1" applyFont="1" applyFill="1" applyAlignment="1">
      <alignment horizontal="center"/>
    </xf>
    <xf numFmtId="189" fontId="128" fillId="0" borderId="4" xfId="0" applyNumberFormat="1" applyFont="1" applyFill="1" applyBorder="1" applyAlignment="1">
      <alignment horizontal="center" vertical="center" shrinkToFit="1"/>
    </xf>
    <xf numFmtId="214" fontId="129" fillId="0" borderId="0" xfId="0" applyNumberFormat="1" applyFont="1" applyFill="1" applyAlignment="1">
      <alignment horizontal="center"/>
    </xf>
    <xf numFmtId="211" fontId="129" fillId="0" borderId="0" xfId="0" applyNumberFormat="1" applyFont="1" applyFill="1" applyAlignment="1">
      <alignment horizontal="center"/>
    </xf>
    <xf numFmtId="189" fontId="129" fillId="0" borderId="0" xfId="0" applyNumberFormat="1" applyFont="1" applyFill="1" applyAlignment="1">
      <alignment horizontal="center"/>
    </xf>
    <xf numFmtId="189" fontId="129" fillId="0" borderId="0" xfId="0" applyNumberFormat="1" applyFont="1" applyFill="1" applyBorder="1" applyAlignment="1">
      <alignment horizontal="center"/>
    </xf>
    <xf numFmtId="189" fontId="141" fillId="0" borderId="0" xfId="0" applyNumberFormat="1" applyFont="1" applyFill="1" applyAlignment="1">
      <alignment horizontal="center"/>
    </xf>
    <xf numFmtId="189" fontId="141" fillId="0" borderId="0" xfId="1" applyNumberFormat="1" applyFont="1" applyFill="1" applyAlignment="1">
      <alignment horizontal="center"/>
    </xf>
    <xf numFmtId="189" fontId="135" fillId="0" borderId="0" xfId="0" applyNumberFormat="1" applyFont="1" applyFill="1" applyAlignment="1">
      <alignment horizontal="center"/>
    </xf>
    <xf numFmtId="189" fontId="105" fillId="0" borderId="15" xfId="0" applyNumberFormat="1" applyFont="1" applyFill="1" applyBorder="1" applyAlignment="1">
      <alignment horizontal="center" vertical="center" wrapText="1"/>
    </xf>
    <xf numFmtId="189" fontId="105" fillId="0" borderId="20" xfId="0" applyNumberFormat="1" applyFont="1" applyFill="1" applyBorder="1" applyAlignment="1">
      <alignment horizontal="center" vertical="center" wrapText="1"/>
    </xf>
    <xf numFmtId="189" fontId="145" fillId="0" borderId="0" xfId="0" applyNumberFormat="1" applyFont="1" applyFill="1" applyAlignment="1">
      <alignment horizontal="center"/>
    </xf>
    <xf numFmtId="189" fontId="129" fillId="0" borderId="0" xfId="0" applyNumberFormat="1" applyFont="1" applyFill="1" applyAlignment="1">
      <alignment horizontal="left"/>
    </xf>
    <xf numFmtId="189" fontId="141" fillId="0" borderId="0" xfId="1" quotePrefix="1" applyNumberFormat="1" applyFont="1" applyFill="1" applyAlignment="1">
      <alignment horizontal="center"/>
    </xf>
    <xf numFmtId="0" fontId="210" fillId="0" borderId="0" xfId="0" applyFont="1" applyFill="1"/>
    <xf numFmtId="189" fontId="129" fillId="0" borderId="0" xfId="0" applyNumberFormat="1" applyFont="1" applyFill="1" applyBorder="1" applyAlignment="1">
      <alignment horizontal="right"/>
    </xf>
    <xf numFmtId="211" fontId="129" fillId="0" borderId="3" xfId="0" applyNumberFormat="1" applyFont="1" applyFill="1" applyBorder="1" applyAlignment="1">
      <alignment horizontal="center" vertical="center"/>
    </xf>
    <xf numFmtId="189" fontId="129" fillId="0" borderId="16" xfId="0" applyNumberFormat="1" applyFont="1" applyFill="1" applyBorder="1" applyAlignment="1">
      <alignment horizontal="center"/>
    </xf>
    <xf numFmtId="189" fontId="105" fillId="0" borderId="15" xfId="1" applyNumberFormat="1" applyFont="1" applyFill="1" applyBorder="1" applyAlignment="1">
      <alignment horizontal="center" vertical="center"/>
    </xf>
    <xf numFmtId="189" fontId="105" fillId="0" borderId="23" xfId="1" applyNumberFormat="1" applyFont="1" applyFill="1" applyBorder="1" applyAlignment="1">
      <alignment horizontal="center" vertical="center"/>
    </xf>
    <xf numFmtId="189" fontId="105" fillId="0" borderId="20" xfId="1" applyNumberFormat="1" applyFont="1" applyFill="1" applyBorder="1" applyAlignment="1">
      <alignment horizontal="center" vertical="center"/>
    </xf>
    <xf numFmtId="189" fontId="105" fillId="0" borderId="15" xfId="1" applyNumberFormat="1" applyFont="1" applyFill="1" applyBorder="1" applyAlignment="1">
      <alignment horizontal="center" vertical="center" wrapText="1"/>
    </xf>
    <xf numFmtId="189" fontId="105" fillId="0" borderId="23" xfId="1" applyNumberFormat="1" applyFont="1" applyFill="1" applyBorder="1" applyAlignment="1">
      <alignment horizontal="center" vertical="center" wrapText="1"/>
    </xf>
    <xf numFmtId="189" fontId="105" fillId="0" borderId="20" xfId="1" applyNumberFormat="1" applyFont="1" applyFill="1" applyBorder="1" applyAlignment="1">
      <alignment horizontal="center" vertical="center" wrapText="1"/>
    </xf>
    <xf numFmtId="189" fontId="105" fillId="0" borderId="10" xfId="1" applyNumberFormat="1" applyFont="1" applyFill="1" applyBorder="1" applyAlignment="1">
      <alignment horizontal="center" vertical="center" wrapText="1"/>
    </xf>
    <xf numFmtId="189" fontId="105" fillId="0" borderId="11" xfId="1" applyNumberFormat="1" applyFont="1" applyFill="1" applyBorder="1" applyAlignment="1">
      <alignment horizontal="center" vertical="center" wrapText="1"/>
    </xf>
    <xf numFmtId="189" fontId="105" fillId="0" borderId="17" xfId="1" applyNumberFormat="1" applyFont="1" applyFill="1" applyBorder="1" applyAlignment="1">
      <alignment horizontal="center" vertical="center" wrapText="1"/>
    </xf>
    <xf numFmtId="189" fontId="190" fillId="4" borderId="3" xfId="0" applyNumberFormat="1" applyFont="1" applyFill="1" applyBorder="1" applyAlignment="1">
      <alignment horizontal="center" vertical="center"/>
    </xf>
    <xf numFmtId="189" fontId="129" fillId="0" borderId="0" xfId="0" applyNumberFormat="1" applyFont="1" applyFill="1" applyBorder="1" applyAlignment="1">
      <alignment horizontal="center" vertical="center"/>
    </xf>
    <xf numFmtId="189" fontId="190" fillId="0" borderId="3" xfId="0" applyNumberFormat="1" applyFont="1" applyFill="1" applyBorder="1" applyAlignment="1">
      <alignment horizontal="center" vertical="center"/>
    </xf>
    <xf numFmtId="189" fontId="105" fillId="0" borderId="0" xfId="1" applyNumberFormat="1" applyFont="1" applyFill="1" applyAlignment="1">
      <alignment horizontal="center"/>
    </xf>
    <xf numFmtId="189" fontId="105" fillId="0" borderId="0" xfId="1" quotePrefix="1" applyNumberFormat="1" applyFont="1" applyFill="1" applyAlignment="1">
      <alignment horizontal="center"/>
    </xf>
    <xf numFmtId="189" fontId="89" fillId="0" borderId="0" xfId="0" applyNumberFormat="1" applyFont="1" applyFill="1" applyAlignment="1">
      <alignment horizontal="center" vertical="center"/>
    </xf>
    <xf numFmtId="189" fontId="27" fillId="0" borderId="4" xfId="0" applyNumberFormat="1" applyFont="1" applyFill="1" applyBorder="1" applyAlignment="1">
      <alignment horizontal="center" vertical="center"/>
    </xf>
    <xf numFmtId="189" fontId="27" fillId="0" borderId="4" xfId="1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wrapText="1"/>
    </xf>
    <xf numFmtId="189" fontId="27" fillId="0" borderId="10" xfId="1" applyNumberFormat="1" applyFont="1" applyFill="1" applyBorder="1" applyAlignment="1">
      <alignment horizontal="center" vertical="center" wrapText="1"/>
    </xf>
    <xf numFmtId="189" fontId="27" fillId="0" borderId="11" xfId="1" applyNumberFormat="1" applyFont="1" applyFill="1" applyBorder="1" applyAlignment="1">
      <alignment horizontal="center" vertical="center" wrapText="1"/>
    </xf>
    <xf numFmtId="189" fontId="27" fillId="0" borderId="17" xfId="1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shrinkToFit="1"/>
    </xf>
    <xf numFmtId="189" fontId="27" fillId="0" borderId="4" xfId="1" applyNumberFormat="1" applyFont="1" applyFill="1" applyBorder="1" applyAlignment="1">
      <alignment horizontal="center"/>
    </xf>
    <xf numFmtId="189" fontId="89" fillId="0" borderId="0" xfId="0" applyNumberFormat="1" applyFont="1" applyFill="1" applyBorder="1" applyAlignment="1">
      <alignment horizontal="right"/>
    </xf>
    <xf numFmtId="211" fontId="122" fillId="0" borderId="3" xfId="0" applyNumberFormat="1" applyFont="1" applyFill="1" applyBorder="1" applyAlignment="1">
      <alignment horizontal="center" vertical="center"/>
    </xf>
    <xf numFmtId="189" fontId="8" fillId="0" borderId="0" xfId="0" applyNumberFormat="1" applyFont="1" applyFill="1" applyAlignment="1">
      <alignment horizontal="center"/>
    </xf>
    <xf numFmtId="189" fontId="27" fillId="0" borderId="0" xfId="1" applyNumberFormat="1" applyFont="1" applyFill="1" applyAlignment="1">
      <alignment horizontal="center"/>
    </xf>
    <xf numFmtId="189" fontId="13" fillId="0" borderId="0" xfId="0" applyNumberFormat="1" applyFont="1" applyFill="1" applyAlignment="1">
      <alignment horizontal="center"/>
    </xf>
    <xf numFmtId="189" fontId="8" fillId="0" borderId="3" xfId="0" applyNumberFormat="1" applyFont="1" applyFill="1" applyBorder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27" fillId="0" borderId="15" xfId="0" applyNumberFormat="1" applyFont="1" applyFill="1" applyBorder="1" applyAlignment="1">
      <alignment horizontal="center" vertical="center" shrinkToFit="1"/>
    </xf>
    <xf numFmtId="189" fontId="27" fillId="0" borderId="23" xfId="0" applyNumberFormat="1" applyFont="1" applyFill="1" applyBorder="1" applyAlignment="1">
      <alignment horizontal="center" vertical="center" shrinkToFit="1"/>
    </xf>
    <xf numFmtId="189" fontId="27" fillId="0" borderId="20" xfId="0" applyNumberFormat="1" applyFont="1" applyFill="1" applyBorder="1" applyAlignment="1">
      <alignment horizontal="center" vertical="center" shrinkToFit="1"/>
    </xf>
    <xf numFmtId="189" fontId="27" fillId="0" borderId="0" xfId="0" applyNumberFormat="1" applyFont="1" applyFill="1" applyAlignment="1">
      <alignment horizontal="center"/>
    </xf>
    <xf numFmtId="189" fontId="156" fillId="0" borderId="0" xfId="0" applyNumberFormat="1" applyFont="1" applyFill="1" applyBorder="1" applyAlignment="1">
      <alignment horizontal="center"/>
    </xf>
    <xf numFmtId="0" fontId="12" fillId="0" borderId="6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211" fontId="13" fillId="0" borderId="0" xfId="0" applyNumberFormat="1" applyFont="1" applyFill="1" applyAlignment="1">
      <alignment horizontal="center"/>
    </xf>
    <xf numFmtId="4" fontId="13" fillId="0" borderId="0" xfId="1" applyNumberFormat="1" applyFont="1" applyFill="1" applyAlignment="1">
      <alignment horizontal="center"/>
    </xf>
    <xf numFmtId="189" fontId="10" fillId="0" borderId="0" xfId="0" applyNumberFormat="1" applyFont="1" applyFill="1" applyAlignment="1">
      <alignment horizontal="center"/>
    </xf>
    <xf numFmtId="3" fontId="13" fillId="0" borderId="0" xfId="1" applyNumberFormat="1" applyFont="1" applyFill="1" applyAlignment="1">
      <alignment horizontal="center"/>
    </xf>
    <xf numFmtId="189" fontId="13" fillId="0" borderId="0" xfId="1" applyNumberFormat="1" applyFont="1" applyFill="1" applyAlignment="1">
      <alignment horizontal="center"/>
    </xf>
    <xf numFmtId="199" fontId="27" fillId="0" borderId="0" xfId="1" applyNumberFormat="1" applyFont="1" applyFill="1" applyAlignment="1">
      <alignment horizontal="center"/>
    </xf>
    <xf numFmtId="199" fontId="27" fillId="0" borderId="0" xfId="1" quotePrefix="1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justify" wrapText="1"/>
    </xf>
    <xf numFmtId="0" fontId="68" fillId="0" borderId="16" xfId="0" applyFont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27" fillId="0" borderId="10" xfId="0" applyFont="1" applyFill="1" applyBorder="1" applyAlignment="1">
      <alignment horizontal="center" vertical="justify" wrapText="1"/>
    </xf>
    <xf numFmtId="0" fontId="27" fillId="0" borderId="17" xfId="0" applyFont="1" applyFill="1" applyBorder="1" applyAlignment="1">
      <alignment horizontal="center" vertical="justify" wrapText="1"/>
    </xf>
    <xf numFmtId="0" fontId="140" fillId="0" borderId="15" xfId="0" applyFont="1" applyBorder="1" applyAlignment="1">
      <alignment horizontal="center" vertical="center"/>
    </xf>
    <xf numFmtId="0" fontId="126" fillId="0" borderId="23" xfId="0" applyFont="1" applyBorder="1" applyAlignment="1">
      <alignment horizontal="center" vertical="center"/>
    </xf>
    <xf numFmtId="0" fontId="126" fillId="0" borderId="20" xfId="0" applyFont="1" applyBorder="1" applyAlignment="1">
      <alignment horizontal="center" vertical="center"/>
    </xf>
    <xf numFmtId="0" fontId="142" fillId="0" borderId="3" xfId="0" applyFont="1" applyFill="1" applyBorder="1" applyAlignment="1">
      <alignment horizontal="left"/>
    </xf>
    <xf numFmtId="203" fontId="142" fillId="0" borderId="3" xfId="0" applyNumberFormat="1" applyFont="1" applyFill="1" applyBorder="1" applyAlignment="1">
      <alignment horizontal="center"/>
    </xf>
    <xf numFmtId="0" fontId="85" fillId="0" borderId="0" xfId="0" applyFont="1" applyFill="1" applyAlignment="1">
      <alignment horizontal="center"/>
    </xf>
    <xf numFmtId="0" fontId="85" fillId="0" borderId="0" xfId="0" quotePrefix="1" applyFont="1" applyFill="1" applyAlignment="1">
      <alignment horizontal="center"/>
    </xf>
    <xf numFmtId="0" fontId="89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27" fillId="0" borderId="0" xfId="0" applyNumberFormat="1" applyFont="1" applyFill="1" applyAlignment="1">
      <alignment horizontal="center"/>
    </xf>
    <xf numFmtId="0" fontId="15" fillId="0" borderId="0" xfId="0" applyNumberFormat="1" applyFont="1" applyFill="1" applyAlignment="1">
      <alignment horizontal="center"/>
    </xf>
    <xf numFmtId="0" fontId="141" fillId="0" borderId="0" xfId="0" applyNumberFormat="1" applyFont="1" applyFill="1" applyAlignment="1">
      <alignment horizontal="center" vertical="center"/>
    </xf>
    <xf numFmtId="0" fontId="142" fillId="0" borderId="0" xfId="0" applyFont="1" applyFill="1" applyAlignment="1">
      <alignment horizontal="left"/>
    </xf>
    <xf numFmtId="3" fontId="142" fillId="0" borderId="0" xfId="0" applyNumberFormat="1" applyFont="1" applyFill="1" applyAlignment="1">
      <alignment horizontal="center"/>
    </xf>
    <xf numFmtId="216" fontId="27" fillId="0" borderId="0" xfId="6" applyNumberFormat="1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 wrapText="1"/>
    </xf>
    <xf numFmtId="0" fontId="89" fillId="0" borderId="4" xfId="0" applyFont="1" applyFill="1" applyBorder="1" applyAlignment="1">
      <alignment horizontal="center" vertical="center" wrapText="1"/>
    </xf>
    <xf numFmtId="0" fontId="27" fillId="0" borderId="25" xfId="0" applyFont="1" applyFill="1" applyBorder="1" applyAlignment="1">
      <alignment horizontal="center" vertical="center" shrinkToFit="1"/>
    </xf>
    <xf numFmtId="0" fontId="27" fillId="0" borderId="26" xfId="0" applyFont="1" applyFill="1" applyBorder="1" applyAlignment="1">
      <alignment horizontal="center" vertical="center" shrinkToFit="1"/>
    </xf>
    <xf numFmtId="0" fontId="27" fillId="0" borderId="28" xfId="0" applyFont="1" applyFill="1" applyBorder="1" applyAlignment="1">
      <alignment horizontal="center" vertical="center" shrinkToFit="1"/>
    </xf>
    <xf numFmtId="0" fontId="27" fillId="0" borderId="4" xfId="0" applyNumberFormat="1" applyFont="1" applyFill="1" applyBorder="1" applyAlignment="1">
      <alignment horizontal="center" vertical="center" wrapText="1"/>
    </xf>
    <xf numFmtId="213" fontId="27" fillId="0" borderId="15" xfId="6" applyNumberFormat="1" applyFont="1" applyFill="1" applyBorder="1" applyAlignment="1">
      <alignment horizontal="center"/>
    </xf>
    <xf numFmtId="213" fontId="27" fillId="0" borderId="23" xfId="6" applyNumberFormat="1" applyFont="1" applyFill="1" applyBorder="1" applyAlignment="1">
      <alignment horizontal="center"/>
    </xf>
    <xf numFmtId="213" fontId="27" fillId="0" borderId="20" xfId="6" applyNumberFormat="1" applyFont="1" applyFill="1" applyBorder="1" applyAlignment="1">
      <alignment horizontal="center"/>
    </xf>
    <xf numFmtId="213" fontId="27" fillId="0" borderId="4" xfId="6" applyNumberFormat="1" applyFont="1" applyFill="1" applyBorder="1" applyAlignment="1">
      <alignment horizontal="center" vertical="center" wrapText="1"/>
    </xf>
    <xf numFmtId="213" fontId="27" fillId="0" borderId="4" xfId="0" applyNumberFormat="1" applyFont="1" applyFill="1" applyBorder="1" applyAlignment="1">
      <alignment horizontal="center" vertical="center" wrapText="1"/>
    </xf>
    <xf numFmtId="213" fontId="27" fillId="0" borderId="16" xfId="6" applyNumberFormat="1" applyFont="1" applyFill="1" applyBorder="1" applyAlignment="1">
      <alignment horizontal="center" vertical="center" wrapText="1"/>
    </xf>
    <xf numFmtId="213" fontId="27" fillId="0" borderId="0" xfId="6" applyNumberFormat="1" applyFont="1" applyFill="1" applyBorder="1" applyAlignment="1">
      <alignment horizontal="center" vertical="center" wrapText="1"/>
    </xf>
    <xf numFmtId="213" fontId="27" fillId="0" borderId="3" xfId="6" applyNumberFormat="1" applyFont="1" applyFill="1" applyBorder="1" applyAlignment="1">
      <alignment horizontal="center" vertical="center" wrapText="1"/>
    </xf>
    <xf numFmtId="213" fontId="47" fillId="0" borderId="0" xfId="6" applyNumberFormat="1" applyFont="1" applyFill="1" applyBorder="1" applyAlignment="1">
      <alignment horizontal="center"/>
    </xf>
    <xf numFmtId="0" fontId="27" fillId="0" borderId="15" xfId="0" applyNumberFormat="1" applyFont="1" applyFill="1" applyBorder="1" applyAlignment="1">
      <alignment horizontal="left" vertical="center" shrinkToFit="1"/>
    </xf>
    <xf numFmtId="0" fontId="27" fillId="0" borderId="23" xfId="0" applyNumberFormat="1" applyFont="1" applyFill="1" applyBorder="1" applyAlignment="1">
      <alignment horizontal="left" vertical="center" shrinkToFit="1"/>
    </xf>
    <xf numFmtId="0" fontId="27" fillId="0" borderId="20" xfId="0" applyNumberFormat="1" applyFont="1" applyFill="1" applyBorder="1" applyAlignment="1">
      <alignment horizontal="left" vertical="center" shrinkToFit="1"/>
    </xf>
    <xf numFmtId="1" fontId="27" fillId="0" borderId="15" xfId="0" applyNumberFormat="1" applyFont="1" applyFill="1" applyBorder="1" applyAlignment="1">
      <alignment horizontal="center" vertical="center" wrapText="1"/>
    </xf>
    <xf numFmtId="1" fontId="27" fillId="0" borderId="23" xfId="0" applyNumberFormat="1" applyFont="1" applyFill="1" applyBorder="1" applyAlignment="1">
      <alignment horizontal="center" vertical="center" wrapText="1"/>
    </xf>
    <xf numFmtId="1" fontId="27" fillId="0" borderId="20" xfId="0" applyNumberFormat="1" applyFont="1" applyFill="1" applyBorder="1" applyAlignment="1">
      <alignment horizontal="center" vertical="center" wrapText="1"/>
    </xf>
    <xf numFmtId="1" fontId="27" fillId="0" borderId="4" xfId="0" applyNumberFormat="1" applyFont="1" applyFill="1" applyBorder="1" applyAlignment="1">
      <alignment horizontal="center" vertical="center" wrapText="1"/>
    </xf>
    <xf numFmtId="213" fontId="140" fillId="0" borderId="4" xfId="6" applyNumberFormat="1" applyFont="1" applyFill="1" applyBorder="1" applyAlignment="1">
      <alignment horizontal="center" vertical="center" shrinkToFit="1"/>
    </xf>
    <xf numFmtId="213" fontId="36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center"/>
    </xf>
    <xf numFmtId="190" fontId="89" fillId="0" borderId="0" xfId="0" applyNumberFormat="1" applyFont="1" applyFill="1" applyAlignment="1">
      <alignment horizontal="center"/>
    </xf>
    <xf numFmtId="0" fontId="27" fillId="0" borderId="0" xfId="0" applyFont="1" applyFill="1" applyBorder="1" applyAlignment="1">
      <alignment horizontal="center" shrinkToFit="1"/>
    </xf>
    <xf numFmtId="0" fontId="101" fillId="0" borderId="0" xfId="0" applyFont="1" applyAlignment="1">
      <alignment horizontal="center"/>
    </xf>
    <xf numFmtId="0" fontId="27" fillId="0" borderId="10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15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/>
    </xf>
    <xf numFmtId="0" fontId="47" fillId="0" borderId="15" xfId="0" applyFont="1" applyFill="1" applyBorder="1" applyAlignment="1">
      <alignment horizontal="center" vertical="center"/>
    </xf>
    <xf numFmtId="0" fontId="47" fillId="0" borderId="20" xfId="0" applyFont="1" applyFill="1" applyBorder="1" applyAlignment="1">
      <alignment horizontal="center" vertical="center"/>
    </xf>
    <xf numFmtId="0" fontId="105" fillId="0" borderId="0" xfId="0" applyFont="1" applyFill="1" applyAlignment="1">
      <alignment horizontal="center" vertical="center" wrapText="1"/>
    </xf>
    <xf numFmtId="0" fontId="105" fillId="0" borderId="0" xfId="0" applyFont="1" applyFill="1" applyAlignment="1">
      <alignment horizontal="center" vertical="center"/>
    </xf>
    <xf numFmtId="0" fontId="126" fillId="4" borderId="4" xfId="0" applyFont="1" applyFill="1" applyBorder="1" applyAlignment="1">
      <alignment horizontal="center" vertical="center"/>
    </xf>
    <xf numFmtId="197" fontId="18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98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97" fontId="89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197" fontId="27" fillId="0" borderId="0" xfId="1" applyNumberFormat="1" applyFont="1" applyFill="1" applyAlignment="1">
      <alignment horizontal="center"/>
    </xf>
    <xf numFmtId="0" fontId="36" fillId="0" borderId="16" xfId="0" applyFont="1" applyFill="1" applyBorder="1" applyAlignment="1">
      <alignment horizontal="center"/>
    </xf>
    <xf numFmtId="0" fontId="104" fillId="0" borderId="4" xfId="0" applyFont="1" applyFill="1" applyBorder="1" applyAlignment="1">
      <alignment horizontal="left" vertical="center"/>
    </xf>
    <xf numFmtId="0" fontId="104" fillId="0" borderId="4" xfId="0" applyFont="1" applyFill="1" applyBorder="1" applyAlignment="1">
      <alignment horizontal="left" vertical="center" wrapText="1"/>
    </xf>
    <xf numFmtId="1" fontId="27" fillId="0" borderId="15" xfId="0" applyNumberFormat="1" applyFont="1" applyFill="1" applyBorder="1" applyAlignment="1">
      <alignment horizontal="left" vertical="center" wrapText="1"/>
    </xf>
    <xf numFmtId="1" fontId="27" fillId="0" borderId="23" xfId="0" applyNumberFormat="1" applyFont="1" applyFill="1" applyBorder="1" applyAlignment="1">
      <alignment horizontal="left" vertical="center" wrapText="1"/>
    </xf>
    <xf numFmtId="1" fontId="27" fillId="0" borderId="20" xfId="0" applyNumberFormat="1" applyFont="1" applyFill="1" applyBorder="1" applyAlignment="1">
      <alignment horizontal="left" vertical="center" wrapText="1"/>
    </xf>
    <xf numFmtId="1" fontId="104" fillId="0" borderId="15" xfId="0" applyNumberFormat="1" applyFont="1" applyFill="1" applyBorder="1" applyAlignment="1">
      <alignment horizontal="left" vertical="center"/>
    </xf>
    <xf numFmtId="0" fontId="104" fillId="0" borderId="23" xfId="0" applyFont="1" applyFill="1" applyBorder="1" applyAlignment="1">
      <alignment horizontal="left" vertical="center"/>
    </xf>
    <xf numFmtId="0" fontId="104" fillId="0" borderId="20" xfId="0" applyFont="1" applyFill="1" applyBorder="1" applyAlignment="1">
      <alignment horizontal="left" vertical="center"/>
    </xf>
    <xf numFmtId="189" fontId="27" fillId="0" borderId="0" xfId="1" quotePrefix="1" applyNumberFormat="1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27" fillId="7" borderId="15" xfId="0" applyNumberFormat="1" applyFont="1" applyFill="1" applyBorder="1" applyAlignment="1">
      <alignment horizontal="left" vertical="center" wrapText="1"/>
    </xf>
    <xf numFmtId="1" fontId="27" fillId="7" borderId="23" xfId="0" applyNumberFormat="1" applyFont="1" applyFill="1" applyBorder="1" applyAlignment="1">
      <alignment horizontal="left" vertical="center" wrapText="1"/>
    </xf>
    <xf numFmtId="1" fontId="27" fillId="7" borderId="20" xfId="0" applyNumberFormat="1" applyFont="1" applyFill="1" applyBorder="1" applyAlignment="1">
      <alignment horizontal="left" vertical="center" wrapText="1"/>
    </xf>
    <xf numFmtId="0" fontId="125" fillId="0" borderId="0" xfId="0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horizontal="center"/>
    </xf>
    <xf numFmtId="0" fontId="86" fillId="0" borderId="0" xfId="0" quotePrefix="1" applyFont="1" applyFill="1" applyBorder="1" applyAlignment="1">
      <alignment horizontal="center"/>
    </xf>
    <xf numFmtId="0" fontId="82" fillId="0" borderId="0" xfId="0" applyFont="1" applyFill="1" applyBorder="1" applyAlignment="1">
      <alignment horizontal="center"/>
    </xf>
    <xf numFmtId="0" fontId="147" fillId="0" borderId="0" xfId="0" applyFont="1" applyFill="1" applyBorder="1" applyAlignment="1">
      <alignment horizontal="center"/>
    </xf>
    <xf numFmtId="0" fontId="88" fillId="0" borderId="0" xfId="0" applyFont="1" applyFill="1" applyBorder="1" applyAlignment="1">
      <alignment horizontal="center" vertical="center"/>
    </xf>
    <xf numFmtId="0" fontId="147" fillId="0" borderId="15" xfId="0" applyFont="1" applyFill="1" applyBorder="1" applyAlignment="1">
      <alignment horizontal="center" vertical="center"/>
    </xf>
    <xf numFmtId="0" fontId="147" fillId="0" borderId="23" xfId="0" applyFont="1" applyFill="1" applyBorder="1" applyAlignment="1">
      <alignment horizontal="center" vertical="center"/>
    </xf>
    <xf numFmtId="0" fontId="147" fillId="0" borderId="20" xfId="0" applyFont="1" applyFill="1" applyBorder="1" applyAlignment="1">
      <alignment horizontal="center" vertical="center"/>
    </xf>
    <xf numFmtId="0" fontId="149" fillId="0" borderId="16" xfId="0" applyFont="1" applyFill="1" applyBorder="1" applyAlignment="1">
      <alignment horizontal="right" vertical="center"/>
    </xf>
    <xf numFmtId="0" fontId="147" fillId="0" borderId="0" xfId="0" applyFont="1" applyFill="1" applyBorder="1" applyAlignment="1">
      <alignment horizontal="left"/>
    </xf>
    <xf numFmtId="0" fontId="91" fillId="0" borderId="0" xfId="0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25" fillId="0" borderId="0" xfId="16" applyFont="1" applyFill="1" applyAlignment="1">
      <alignment horizontal="center"/>
    </xf>
    <xf numFmtId="0" fontId="76" fillId="0" borderId="0" xfId="0" applyFont="1" applyFill="1" applyAlignment="1">
      <alignment horizontal="center"/>
    </xf>
    <xf numFmtId="0" fontId="99" fillId="0" borderId="0" xfId="0" applyFont="1" applyFill="1" applyAlignment="1">
      <alignment horizontal="center"/>
    </xf>
    <xf numFmtId="197" fontId="13" fillId="0" borderId="3" xfId="1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27" fillId="0" borderId="15" xfId="0" applyFont="1" applyFill="1" applyBorder="1" applyAlignment="1">
      <alignment horizontal="center" vertical="center"/>
    </xf>
    <xf numFmtId="0" fontId="127" fillId="0" borderId="23" xfId="0" applyFont="1" applyFill="1" applyBorder="1" applyAlignment="1">
      <alignment horizontal="center" vertical="center"/>
    </xf>
    <xf numFmtId="0" fontId="127" fillId="0" borderId="20" xfId="0" applyFont="1" applyFill="1" applyBorder="1" applyAlignment="1">
      <alignment horizontal="center" vertical="center"/>
    </xf>
    <xf numFmtId="0" fontId="93" fillId="0" borderId="0" xfId="16" applyFont="1" applyFill="1" applyAlignment="1">
      <alignment horizontal="center"/>
    </xf>
    <xf numFmtId="0" fontId="25" fillId="0" borderId="0" xfId="16" applyFont="1" applyFill="1" applyAlignment="1"/>
    <xf numFmtId="3" fontId="18" fillId="0" borderId="0" xfId="0" applyNumberFormat="1" applyFont="1" applyFill="1" applyAlignment="1">
      <alignment horizontal="center"/>
    </xf>
    <xf numFmtId="0" fontId="204" fillId="0" borderId="0" xfId="0" applyFont="1" applyFill="1" applyAlignment="1">
      <alignment horizontal="center"/>
    </xf>
    <xf numFmtId="0" fontId="101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36" fillId="0" borderId="3" xfId="0" applyFont="1" applyFill="1" applyBorder="1" applyAlignment="1">
      <alignment horizontal="center"/>
    </xf>
    <xf numFmtId="0" fontId="101" fillId="0" borderId="15" xfId="0" applyFont="1" applyFill="1" applyBorder="1" applyAlignment="1">
      <alignment horizontal="center" vertical="center"/>
    </xf>
    <xf numFmtId="0" fontId="101" fillId="0" borderId="20" xfId="0" applyFont="1" applyFill="1" applyBorder="1" applyAlignment="1">
      <alignment horizontal="center" vertical="center"/>
    </xf>
    <xf numFmtId="0" fontId="131" fillId="0" borderId="0" xfId="0" applyFont="1" applyFill="1" applyBorder="1" applyAlignment="1">
      <alignment horizontal="center"/>
    </xf>
    <xf numFmtId="0" fontId="68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 vertical="center" wrapText="1"/>
    </xf>
    <xf numFmtId="0" fontId="91" fillId="0" borderId="0" xfId="0" applyFont="1" applyFill="1" applyAlignment="1">
      <alignment horizontal="center" vertical="center"/>
    </xf>
    <xf numFmtId="0" fontId="68" fillId="0" borderId="0" xfId="0" applyFont="1" applyBorder="1" applyAlignment="1">
      <alignment horizontal="right"/>
    </xf>
    <xf numFmtId="204" fontId="12" fillId="0" borderId="15" xfId="0" applyNumberFormat="1" applyFont="1" applyFill="1" applyBorder="1" applyAlignment="1">
      <alignment horizontal="center" vertical="center"/>
    </xf>
    <xf numFmtId="204" fontId="12" fillId="0" borderId="23" xfId="0" applyNumberFormat="1" applyFont="1" applyFill="1" applyBorder="1" applyAlignment="1">
      <alignment horizontal="center" vertical="center"/>
    </xf>
    <xf numFmtId="204" fontId="12" fillId="0" borderId="2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204" fontId="12" fillId="0" borderId="0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center" vertical="center"/>
    </xf>
    <xf numFmtId="0" fontId="173" fillId="0" borderId="23" xfId="0" applyFont="1" applyFill="1" applyBorder="1" applyAlignment="1">
      <alignment vertical="center"/>
    </xf>
    <xf numFmtId="0" fontId="173" fillId="0" borderId="20" xfId="0" applyFont="1" applyFill="1" applyBorder="1" applyAlignment="1">
      <alignment vertical="center"/>
    </xf>
    <xf numFmtId="221" fontId="36" fillId="4" borderId="0" xfId="5" applyNumberFormat="1" applyFont="1" applyFill="1" applyAlignment="1">
      <alignment horizontal="right"/>
    </xf>
    <xf numFmtId="0" fontId="27" fillId="4" borderId="0" xfId="0" applyFont="1" applyFill="1" applyAlignment="1">
      <alignment horizontal="left"/>
    </xf>
    <xf numFmtId="0" fontId="27" fillId="4" borderId="0" xfId="0" applyFont="1" applyFill="1" applyAlignment="1">
      <alignment horizontal="center"/>
    </xf>
    <xf numFmtId="0" fontId="27" fillId="4" borderId="0" xfId="0" quotePrefix="1" applyFont="1" applyFill="1" applyAlignment="1">
      <alignment horizontal="center"/>
    </xf>
    <xf numFmtId="0" fontId="91" fillId="4" borderId="0" xfId="0" applyFont="1" applyFill="1" applyAlignment="1">
      <alignment horizontal="center"/>
    </xf>
    <xf numFmtId="0" fontId="27" fillId="4" borderId="24" xfId="0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140" fillId="4" borderId="15" xfId="0" applyFont="1" applyFill="1" applyBorder="1" applyAlignment="1">
      <alignment horizontal="center" vertical="center"/>
    </xf>
    <xf numFmtId="0" fontId="140" fillId="4" borderId="23" xfId="0" applyFont="1" applyFill="1" applyBorder="1" applyAlignment="1">
      <alignment horizontal="center" vertical="center"/>
    </xf>
    <xf numFmtId="0" fontId="140" fillId="4" borderId="20" xfId="0" applyFont="1" applyFill="1" applyBorder="1" applyAlignment="1">
      <alignment horizontal="center" vertic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8" fillId="0" borderId="0" xfId="0" applyFont="1" applyFill="1" applyAlignment="1">
      <alignment horizontal="center"/>
    </xf>
    <xf numFmtId="0" fontId="18" fillId="0" borderId="3" xfId="0" applyFont="1" applyFill="1" applyBorder="1" applyAlignment="1">
      <alignment horizontal="center" vertical="center" wrapText="1" shrinkToFit="1"/>
    </xf>
    <xf numFmtId="0" fontId="21" fillId="0" borderId="0" xfId="0" applyFont="1" applyAlignment="1">
      <alignment horizontal="center"/>
    </xf>
    <xf numFmtId="0" fontId="46" fillId="0" borderId="0" xfId="0" applyFont="1" applyBorder="1" applyAlignment="1">
      <alignment horizontal="center"/>
    </xf>
    <xf numFmtId="0" fontId="58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99" fontId="30" fillId="0" borderId="0" xfId="1" applyNumberFormat="1" applyFont="1" applyFill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right"/>
    </xf>
    <xf numFmtId="0" fontId="3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1" fillId="0" borderId="0" xfId="0" applyFont="1" applyFill="1" applyBorder="1" applyAlignment="1">
      <alignment horizontal="center" vertical="center" wrapText="1"/>
    </xf>
    <xf numFmtId="0" fontId="167" fillId="0" borderId="0" xfId="0" applyFont="1" applyFill="1" applyBorder="1"/>
    <xf numFmtId="199" fontId="27" fillId="0" borderId="0" xfId="1" applyNumberFormat="1" applyFont="1" applyFill="1" applyBorder="1" applyAlignment="1">
      <alignment horizontal="center"/>
    </xf>
    <xf numFmtId="199" fontId="27" fillId="0" borderId="0" xfId="1" quotePrefix="1" applyNumberFormat="1" applyFont="1" applyFill="1" applyBorder="1" applyAlignment="1">
      <alignment horizontal="center"/>
    </xf>
    <xf numFmtId="0" fontId="89" fillId="0" borderId="0" xfId="0" applyFont="1" applyFill="1" applyBorder="1" applyAlignment="1">
      <alignment horizontal="center"/>
    </xf>
    <xf numFmtId="0" fontId="140" fillId="0" borderId="4" xfId="0" applyFont="1" applyBorder="1" applyAlignment="1">
      <alignment horizontal="center" vertical="center"/>
    </xf>
    <xf numFmtId="0" fontId="126" fillId="0" borderId="4" xfId="0" applyFont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 shrinkToFit="1"/>
    </xf>
    <xf numFmtId="0" fontId="27" fillId="4" borderId="17" xfId="0" applyFont="1" applyFill="1" applyBorder="1" applyAlignment="1">
      <alignment horizontal="center" vertical="center" shrinkToFit="1"/>
    </xf>
    <xf numFmtId="0" fontId="0" fillId="4" borderId="17" xfId="0" applyFill="1" applyBorder="1"/>
    <xf numFmtId="198" fontId="27" fillId="4" borderId="10" xfId="1" applyNumberFormat="1" applyFont="1" applyFill="1" applyBorder="1" applyAlignment="1">
      <alignment horizontal="center" vertical="center" shrinkToFit="1"/>
    </xf>
    <xf numFmtId="0" fontId="27" fillId="4" borderId="15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center" vertical="center"/>
    </xf>
    <xf numFmtId="198" fontId="90" fillId="4" borderId="0" xfId="0" applyNumberFormat="1" applyFont="1" applyFill="1" applyAlignment="1">
      <alignment horizontal="center"/>
    </xf>
    <xf numFmtId="0" fontId="89" fillId="4" borderId="0" xfId="0" applyFont="1" applyFill="1" applyAlignment="1">
      <alignment horizontal="left"/>
    </xf>
    <xf numFmtId="0" fontId="89" fillId="4" borderId="0" xfId="0" applyFont="1" applyFill="1" applyAlignment="1">
      <alignment horizontal="center"/>
    </xf>
    <xf numFmtId="0" fontId="89" fillId="4" borderId="0" xfId="0" applyFont="1" applyFill="1" applyBorder="1" applyAlignment="1">
      <alignment horizontal="left"/>
    </xf>
    <xf numFmtId="0" fontId="27" fillId="4" borderId="0" xfId="0" applyFont="1" applyFill="1" applyBorder="1" applyAlignment="1">
      <alignment horizontal="center"/>
    </xf>
    <xf numFmtId="0" fontId="36" fillId="4" borderId="16" xfId="0" applyFont="1" applyFill="1" applyBorder="1" applyAlignment="1">
      <alignment horizontal="center" vertical="center"/>
    </xf>
    <xf numFmtId="198" fontId="27" fillId="4" borderId="0" xfId="1" applyNumberFormat="1" applyFont="1" applyFill="1" applyBorder="1" applyAlignment="1">
      <alignment horizontal="center" vertical="center"/>
    </xf>
    <xf numFmtId="198" fontId="27" fillId="4" borderId="0" xfId="1" quotePrefix="1" applyNumberFormat="1" applyFont="1" applyFill="1" applyBorder="1" applyAlignment="1">
      <alignment horizontal="center" vertical="center"/>
    </xf>
    <xf numFmtId="0" fontId="89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166" fillId="4" borderId="0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 vertical="center" shrinkToFit="1"/>
    </xf>
    <xf numFmtId="0" fontId="27" fillId="4" borderId="4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/>
    </xf>
    <xf numFmtId="198" fontId="90" fillId="0" borderId="0" xfId="0" applyNumberFormat="1" applyFont="1" applyFill="1" applyAlignment="1">
      <alignment horizontal="center"/>
    </xf>
    <xf numFmtId="0" fontId="36" fillId="0" borderId="16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 shrinkToFit="1"/>
    </xf>
    <xf numFmtId="0" fontId="0" fillId="0" borderId="17" xfId="0" applyFill="1" applyBorder="1"/>
    <xf numFmtId="198" fontId="27" fillId="0" borderId="10" xfId="1" applyNumberFormat="1" applyFont="1" applyFill="1" applyBorder="1" applyAlignment="1">
      <alignment horizontal="center" vertical="center" shrinkToFit="1"/>
    </xf>
    <xf numFmtId="0" fontId="27" fillId="0" borderId="17" xfId="0" applyFont="1" applyFill="1" applyBorder="1" applyAlignment="1">
      <alignment horizontal="center" vertical="center" shrinkToFit="1"/>
    </xf>
    <xf numFmtId="0" fontId="89" fillId="0" borderId="0" xfId="0" applyFont="1" applyFill="1" applyBorder="1" applyAlignment="1">
      <alignment horizontal="center" vertical="center"/>
    </xf>
    <xf numFmtId="0" fontId="166" fillId="0" borderId="0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 vertical="center" shrinkToFit="1"/>
    </xf>
    <xf numFmtId="0" fontId="61" fillId="4" borderId="0" xfId="0" applyFont="1" applyFill="1" applyAlignment="1">
      <alignment horizontal="center"/>
    </xf>
    <xf numFmtId="199" fontId="47" fillId="4" borderId="0" xfId="1" applyNumberFormat="1" applyFont="1" applyFill="1" applyAlignment="1">
      <alignment horizontal="center"/>
    </xf>
    <xf numFmtId="0" fontId="47" fillId="4" borderId="0" xfId="0" quotePrefix="1" applyFont="1" applyFill="1" applyAlignment="1">
      <alignment horizontal="center"/>
    </xf>
    <xf numFmtId="0" fontId="47" fillId="4" borderId="0" xfId="0" applyFont="1" applyFill="1" applyAlignment="1">
      <alignment horizontal="center"/>
    </xf>
    <xf numFmtId="0" fontId="56" fillId="4" borderId="0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 vertical="center"/>
    </xf>
    <xf numFmtId="0" fontId="45" fillId="4" borderId="10" xfId="0" applyFont="1" applyFill="1" applyBorder="1" applyAlignment="1">
      <alignment horizontal="center" vertical="center"/>
    </xf>
    <xf numFmtId="0" fontId="45" fillId="4" borderId="17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 vertical="center" wrapText="1"/>
    </xf>
    <xf numFmtId="0" fontId="42" fillId="4" borderId="0" xfId="0" applyFont="1" applyFill="1" applyAlignment="1">
      <alignment horizontal="left"/>
    </xf>
    <xf numFmtId="0" fontId="57" fillId="4" borderId="0" xfId="0" applyFont="1" applyFill="1" applyAlignment="1">
      <alignment horizontal="left"/>
    </xf>
    <xf numFmtId="0" fontId="12" fillId="4" borderId="4" xfId="0" applyFont="1" applyFill="1" applyBorder="1" applyAlignment="1">
      <alignment horizontal="center" vertical="center" wrapText="1"/>
    </xf>
    <xf numFmtId="0" fontId="57" fillId="4" borderId="0" xfId="0" applyFont="1" applyFill="1" applyBorder="1" applyAlignment="1">
      <alignment horizontal="center" vertical="center" shrinkToFit="1"/>
    </xf>
    <xf numFmtId="0" fontId="43" fillId="4" borderId="0" xfId="0" applyFont="1" applyFill="1" applyAlignment="1">
      <alignment horizontal="center"/>
    </xf>
    <xf numFmtId="189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19" fillId="0" borderId="4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/>
    </xf>
    <xf numFmtId="0" fontId="12" fillId="0" borderId="31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 wrapText="1"/>
    </xf>
    <xf numFmtId="197" fontId="10" fillId="0" borderId="0" xfId="1" applyNumberFormat="1" applyFont="1" applyFill="1" applyAlignment="1">
      <alignment horizontal="center"/>
    </xf>
    <xf numFmtId="197" fontId="10" fillId="0" borderId="0" xfId="0" applyNumberFormat="1" applyFont="1" applyFill="1" applyAlignment="1">
      <alignment horizontal="center"/>
    </xf>
    <xf numFmtId="0" fontId="12" fillId="0" borderId="4" xfId="0" applyFont="1" applyFill="1" applyBorder="1" applyAlignment="1">
      <alignment horizontal="left" vertical="center"/>
    </xf>
    <xf numFmtId="0" fontId="52" fillId="0" borderId="4" xfId="0" applyFont="1" applyFill="1" applyBorder="1" applyAlignment="1">
      <alignment horizontal="left" vertical="center" wrapText="1"/>
    </xf>
    <xf numFmtId="0" fontId="52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/>
    </xf>
    <xf numFmtId="197" fontId="12" fillId="0" borderId="10" xfId="1" applyNumberFormat="1" applyFont="1" applyFill="1" applyBorder="1" applyAlignment="1">
      <alignment horizontal="center" vertical="center" wrapText="1"/>
    </xf>
    <xf numFmtId="197" fontId="12" fillId="0" borderId="17" xfId="1" applyNumberFormat="1" applyFont="1" applyFill="1" applyBorder="1" applyAlignment="1">
      <alignment horizontal="center" vertical="center" wrapText="1"/>
    </xf>
    <xf numFmtId="213" fontId="10" fillId="0" borderId="0" xfId="0" applyNumberFormat="1" applyFont="1" applyFill="1" applyAlignment="1">
      <alignment horizontal="center"/>
    </xf>
    <xf numFmtId="0" fontId="56" fillId="0" borderId="0" xfId="0" applyFont="1" applyFill="1" applyAlignment="1">
      <alignment horizontal="center"/>
    </xf>
    <xf numFmtId="197" fontId="56" fillId="0" borderId="0" xfId="0" applyNumberFormat="1" applyFont="1" applyFill="1" applyAlignment="1">
      <alignment horizontal="center"/>
    </xf>
    <xf numFmtId="0" fontId="102" fillId="0" borderId="15" xfId="0" applyFont="1" applyBorder="1" applyAlignment="1">
      <alignment horizontal="center" vertical="center"/>
    </xf>
    <xf numFmtId="0" fontId="101" fillId="0" borderId="23" xfId="0" applyFont="1" applyBorder="1" applyAlignment="1">
      <alignment horizontal="center" vertical="center"/>
    </xf>
    <xf numFmtId="0" fontId="101" fillId="0" borderId="20" xfId="0" applyFont="1" applyBorder="1" applyAlignment="1">
      <alignment horizontal="center" vertical="center"/>
    </xf>
    <xf numFmtId="0" fontId="204" fillId="0" borderId="0" xfId="0" applyFont="1" applyAlignment="1">
      <alignment horizontal="center"/>
    </xf>
    <xf numFmtId="0" fontId="36" fillId="0" borderId="0" xfId="0" applyFont="1" applyFill="1" applyBorder="1" applyAlignment="1">
      <alignment horizontal="right" vertical="center"/>
    </xf>
    <xf numFmtId="0" fontId="150" fillId="0" borderId="4" xfId="0" applyFont="1" applyFill="1" applyBorder="1" applyAlignment="1">
      <alignment horizontal="center"/>
    </xf>
    <xf numFmtId="0" fontId="72" fillId="0" borderId="4" xfId="0" applyFont="1" applyFill="1" applyBorder="1" applyAlignment="1">
      <alignment horizontal="center"/>
    </xf>
    <xf numFmtId="0" fontId="71" fillId="0" borderId="4" xfId="0" applyFont="1" applyFill="1" applyBorder="1" applyAlignment="1">
      <alignment horizontal="center"/>
    </xf>
    <xf numFmtId="0" fontId="43" fillId="0" borderId="4" xfId="0" applyFont="1" applyFill="1" applyBorder="1" applyAlignment="1">
      <alignment horizontal="center"/>
    </xf>
    <xf numFmtId="0" fontId="72" fillId="0" borderId="10" xfId="0" applyFont="1" applyFill="1" applyBorder="1" applyAlignment="1">
      <alignment horizontal="center"/>
    </xf>
    <xf numFmtId="0" fontId="39" fillId="0" borderId="4" xfId="0" applyFont="1" applyFill="1" applyBorder="1" applyAlignment="1">
      <alignment horizontal="center"/>
    </xf>
    <xf numFmtId="0" fontId="64" fillId="0" borderId="4" xfId="0" applyFont="1" applyFill="1" applyBorder="1" applyAlignment="1">
      <alignment horizontal="center"/>
    </xf>
    <xf numFmtId="196" fontId="80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80" fillId="0" borderId="0" xfId="1" applyNumberFormat="1" applyFont="1" applyFill="1" applyAlignment="1">
      <alignment horizontal="center"/>
    </xf>
    <xf numFmtId="213" fontId="0" fillId="0" borderId="0" xfId="0" applyNumberFormat="1" applyFill="1" applyAlignment="1">
      <alignment horizontal="center"/>
    </xf>
    <xf numFmtId="0" fontId="101" fillId="0" borderId="0" xfId="16" applyFont="1" applyFill="1" applyAlignment="1">
      <alignment horizontal="center"/>
    </xf>
    <xf numFmtId="0" fontId="82" fillId="0" borderId="0" xfId="16" applyFont="1" applyFill="1" applyBorder="1" applyAlignment="1">
      <alignment horizontal="right"/>
    </xf>
    <xf numFmtId="0" fontId="11" fillId="0" borderId="15" xfId="18" applyFont="1" applyFill="1" applyBorder="1" applyAlignment="1">
      <alignment horizontal="left" vertical="center"/>
    </xf>
    <xf numFmtId="0" fontId="11" fillId="0" borderId="20" xfId="18" applyFont="1" applyFill="1" applyBorder="1" applyAlignment="1">
      <alignment horizontal="left" vertical="center"/>
    </xf>
    <xf numFmtId="0" fontId="57" fillId="0" borderId="0" xfId="0" applyFont="1" applyFill="1" applyBorder="1" applyAlignment="1">
      <alignment horizontal="center" vertical="center" shrinkToFit="1"/>
    </xf>
    <xf numFmtId="0" fontId="42" fillId="0" borderId="0" xfId="0" applyFont="1" applyFill="1" applyBorder="1" applyAlignment="1">
      <alignment horizontal="left" vertical="center" shrinkToFit="1"/>
    </xf>
    <xf numFmtId="0" fontId="43" fillId="0" borderId="0" xfId="0" applyFont="1" applyFill="1" applyAlignment="1">
      <alignment horizontal="center"/>
    </xf>
    <xf numFmtId="0" fontId="180" fillId="0" borderId="0" xfId="0" applyFont="1" applyFill="1" applyAlignment="1">
      <alignment horizontal="center"/>
    </xf>
    <xf numFmtId="199" fontId="47" fillId="0" borderId="0" xfId="1" applyNumberFormat="1" applyFont="1" applyFill="1" applyAlignment="1">
      <alignment horizontal="center"/>
    </xf>
    <xf numFmtId="0" fontId="47" fillId="0" borderId="0" xfId="0" quotePrefix="1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 vertical="center"/>
    </xf>
    <xf numFmtId="0" fontId="81" fillId="0" borderId="0" xfId="0" applyFont="1" applyFill="1" applyAlignment="1">
      <alignment horizontal="center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90" fillId="0" borderId="0" xfId="0" applyFont="1" applyFill="1" applyAlignment="1">
      <alignment horizontal="center"/>
    </xf>
    <xf numFmtId="0" fontId="143" fillId="0" borderId="0" xfId="0" applyFont="1" applyFill="1" applyAlignment="1">
      <alignment horizontal="center" vertical="center"/>
    </xf>
    <xf numFmtId="0" fontId="134" fillId="0" borderId="0" xfId="0" applyFont="1" applyFill="1" applyBorder="1" applyAlignment="1">
      <alignment horizontal="center"/>
    </xf>
    <xf numFmtId="196" fontId="13" fillId="0" borderId="3" xfId="1" applyNumberFormat="1" applyFont="1" applyFill="1" applyBorder="1" applyAlignment="1">
      <alignment horizontal="center" vertical="center" wrapText="1"/>
    </xf>
    <xf numFmtId="0" fontId="105" fillId="0" borderId="0" xfId="0" applyFont="1" applyFill="1" applyAlignment="1">
      <alignment horizontal="center"/>
    </xf>
    <xf numFmtId="0" fontId="27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wrapText="1"/>
    </xf>
    <xf numFmtId="0" fontId="12" fillId="0" borderId="4" xfId="0" applyFont="1" applyFill="1" applyBorder="1" applyAlignment="1">
      <alignment horizontal="center"/>
    </xf>
    <xf numFmtId="0" fontId="194" fillId="0" borderId="0" xfId="0" applyFont="1" applyFill="1" applyAlignment="1">
      <alignment horizontal="center"/>
    </xf>
    <xf numFmtId="0" fontId="162" fillId="0" borderId="0" xfId="0" applyFont="1" applyFill="1" applyAlignment="1">
      <alignment horizontal="center"/>
    </xf>
    <xf numFmtId="0" fontId="27" fillId="0" borderId="34" xfId="0" applyFont="1" applyFill="1" applyBorder="1" applyAlignment="1">
      <alignment horizontal="center" wrapText="1"/>
    </xf>
    <xf numFmtId="0" fontId="27" fillId="0" borderId="35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quotePrefix="1" applyFont="1" applyFill="1" applyAlignment="1">
      <alignment horizontal="center" vertical="center"/>
    </xf>
    <xf numFmtId="0" fontId="89" fillId="0" borderId="0" xfId="0" applyFont="1" applyFill="1" applyAlignment="1">
      <alignment horizontal="center" vertical="center"/>
    </xf>
    <xf numFmtId="0" fontId="45" fillId="4" borderId="10" xfId="0" applyFont="1" applyFill="1" applyBorder="1" applyAlignment="1">
      <alignment horizontal="center" vertical="center" wrapText="1"/>
    </xf>
    <xf numFmtId="0" fontId="45" fillId="4" borderId="1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/>
    </xf>
    <xf numFmtId="0" fontId="180" fillId="4" borderId="0" xfId="0" applyFont="1" applyFill="1" applyAlignment="1">
      <alignment horizontal="center"/>
    </xf>
    <xf numFmtId="0" fontId="55" fillId="0" borderId="0" xfId="0" applyFont="1" applyFill="1" applyBorder="1" applyAlignment="1">
      <alignment horizontal="center" vertical="center" shrinkToFit="1"/>
    </xf>
    <xf numFmtId="0" fontId="205" fillId="0" borderId="0" xfId="0" applyFont="1" applyAlignment="1">
      <alignment horizontal="center" vertical="center"/>
    </xf>
    <xf numFmtId="0" fontId="205" fillId="0" borderId="4" xfId="0" applyFont="1" applyBorder="1" applyAlignment="1">
      <alignment horizontal="center" vertical="center"/>
    </xf>
    <xf numFmtId="0" fontId="205" fillId="0" borderId="4" xfId="0" applyFont="1" applyBorder="1" applyAlignment="1">
      <alignment horizontal="center"/>
    </xf>
    <xf numFmtId="0" fontId="205" fillId="0" borderId="15" xfId="0" applyFont="1" applyBorder="1" applyAlignment="1">
      <alignment horizontal="center"/>
    </xf>
    <xf numFmtId="0" fontId="205" fillId="0" borderId="23" xfId="0" applyFont="1" applyBorder="1" applyAlignment="1">
      <alignment horizontal="center"/>
    </xf>
    <xf numFmtId="0" fontId="205" fillId="0" borderId="20" xfId="0" applyFont="1" applyBorder="1" applyAlignment="1">
      <alignment horizontal="center"/>
    </xf>
    <xf numFmtId="0" fontId="206" fillId="0" borderId="0" xfId="0" applyFont="1" applyAlignment="1">
      <alignment horizontal="center" vertical="center"/>
    </xf>
    <xf numFmtId="0" fontId="205" fillId="0" borderId="0" xfId="0" applyFont="1" applyAlignment="1">
      <alignment horizontal="center"/>
    </xf>
    <xf numFmtId="0" fontId="205" fillId="0" borderId="15" xfId="0" applyFont="1" applyBorder="1" applyAlignment="1">
      <alignment horizontal="center" vertical="center"/>
    </xf>
    <xf numFmtId="0" fontId="205" fillId="0" borderId="23" xfId="0" applyFont="1" applyBorder="1" applyAlignment="1">
      <alignment horizontal="center" vertical="center"/>
    </xf>
    <xf numFmtId="0" fontId="205" fillId="0" borderId="20" xfId="0" applyFont="1" applyBorder="1" applyAlignment="1">
      <alignment horizontal="center" vertical="center"/>
    </xf>
    <xf numFmtId="0" fontId="185" fillId="0" borderId="0" xfId="0" applyFont="1" applyAlignment="1">
      <alignment horizontal="center" vertical="center"/>
    </xf>
    <xf numFmtId="0" fontId="82" fillId="0" borderId="0" xfId="16" applyFont="1" applyFill="1" applyBorder="1" applyAlignment="1">
      <alignment horizontal="center"/>
    </xf>
  </cellXfs>
  <cellStyles count="28"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453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4532"/>
      <tableStyleElement type="secondRowStripe" dxfId="145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CxnSpPr/>
      </xdr:nvCxnSpPr>
      <xdr:spPr>
        <a:xfrm>
          <a:off x="1390650" y="1285875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985435" y="2769052"/>
          <a:ext cx="274060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1264245</xdr:colOff>
      <xdr:row>7</xdr:row>
      <xdr:rowOff>86590</xdr:rowOff>
    </xdr:from>
    <xdr:to>
      <xdr:col>5</xdr:col>
      <xdr:colOff>571518</xdr:colOff>
      <xdr:row>7</xdr:row>
      <xdr:rowOff>86590</xdr:rowOff>
    </xdr:to>
    <xdr:cxnSp macro="">
      <xdr:nvCxnSpPr>
        <xdr:cNvPr id="3" name="Straight Connector 2"/>
        <xdr:cNvCxnSpPr/>
      </xdr:nvCxnSpPr>
      <xdr:spPr>
        <a:xfrm>
          <a:off x="4338222" y="2294658"/>
          <a:ext cx="25977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1587232</xdr:colOff>
      <xdr:row>7</xdr:row>
      <xdr:rowOff>86591</xdr:rowOff>
    </xdr:from>
    <xdr:to>
      <xdr:col>5</xdr:col>
      <xdr:colOff>90075</xdr:colOff>
      <xdr:row>7</xdr:row>
      <xdr:rowOff>88179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CxnSpPr/>
      </xdr:nvCxnSpPr>
      <xdr:spPr>
        <a:xfrm>
          <a:off x="4406632" y="2258291"/>
          <a:ext cx="193184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935184</xdr:colOff>
      <xdr:row>7</xdr:row>
      <xdr:rowOff>69272</xdr:rowOff>
    </xdr:from>
    <xdr:to>
      <xdr:col>4</xdr:col>
      <xdr:colOff>1073729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3896593" y="2182090"/>
          <a:ext cx="21301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675409</xdr:colOff>
      <xdr:row>7</xdr:row>
      <xdr:rowOff>69272</xdr:rowOff>
    </xdr:from>
    <xdr:to>
      <xdr:col>4</xdr:col>
      <xdr:colOff>865910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4121727" y="2130136"/>
          <a:ext cx="24072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1001979</xdr:colOff>
      <xdr:row>7</xdr:row>
      <xdr:rowOff>51955</xdr:rowOff>
    </xdr:from>
    <xdr:to>
      <xdr:col>5</xdr:col>
      <xdr:colOff>34635</xdr:colOff>
      <xdr:row>7</xdr:row>
      <xdr:rowOff>51955</xdr:rowOff>
    </xdr:to>
    <xdr:cxnSp macro="">
      <xdr:nvCxnSpPr>
        <xdr:cNvPr id="2" name="Straight Connector 1"/>
        <xdr:cNvCxnSpPr/>
      </xdr:nvCxnSpPr>
      <xdr:spPr>
        <a:xfrm>
          <a:off x="2104158" y="2038598"/>
          <a:ext cx="17268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7</xdr:row>
      <xdr:rowOff>24849</xdr:rowOff>
    </xdr:from>
    <xdr:to>
      <xdr:col>3</xdr:col>
      <xdr:colOff>505239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1938130" y="1383197"/>
          <a:ext cx="11512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773206</xdr:colOff>
      <xdr:row>7</xdr:row>
      <xdr:rowOff>22412</xdr:rowOff>
    </xdr:from>
    <xdr:to>
      <xdr:col>9</xdr:col>
      <xdr:colOff>134470</xdr:colOff>
      <xdr:row>7</xdr:row>
      <xdr:rowOff>24000</xdr:rowOff>
    </xdr:to>
    <xdr:cxnSp macro="">
      <xdr:nvCxnSpPr>
        <xdr:cNvPr id="4" name="Straight Connector 3"/>
        <xdr:cNvCxnSpPr/>
      </xdr:nvCxnSpPr>
      <xdr:spPr>
        <a:xfrm>
          <a:off x="1893794" y="1725706"/>
          <a:ext cx="198344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7</xdr:row>
      <xdr:rowOff>9525</xdr:rowOff>
    </xdr:from>
    <xdr:to>
      <xdr:col>3</xdr:col>
      <xdr:colOff>209550</xdr:colOff>
      <xdr:row>7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485900" y="1476375"/>
          <a:ext cx="12763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CxnSpPr/>
      </xdr:nvCxnSpPr>
      <xdr:spPr>
        <a:xfrm>
          <a:off x="2451848" y="1549216"/>
          <a:ext cx="2207559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7C3D51FB-6328-4884-8289-69CDCCA49D28}"/>
            </a:ext>
          </a:extLst>
        </xdr:cNvPr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3</xdr:col>
      <xdr:colOff>400050</xdr:colOff>
      <xdr:row>8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828925" y="1371600"/>
          <a:ext cx="1333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269504</xdr:colOff>
      <xdr:row>7</xdr:row>
      <xdr:rowOff>3362</xdr:rowOff>
    </xdr:from>
    <xdr:to>
      <xdr:col>5</xdr:col>
      <xdr:colOff>163609</xdr:colOff>
      <xdr:row>7</xdr:row>
      <xdr:rowOff>4950</xdr:rowOff>
    </xdr:to>
    <xdr:cxnSp macro="">
      <xdr:nvCxnSpPr>
        <xdr:cNvPr id="3" name="Straight Connector 2"/>
        <xdr:cNvCxnSpPr/>
      </xdr:nvCxnSpPr>
      <xdr:spPr>
        <a:xfrm>
          <a:off x="1916769" y="1650627"/>
          <a:ext cx="11379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269504</xdr:colOff>
      <xdr:row>7</xdr:row>
      <xdr:rowOff>3362</xdr:rowOff>
    </xdr:from>
    <xdr:to>
      <xdr:col>5</xdr:col>
      <xdr:colOff>163609</xdr:colOff>
      <xdr:row>7</xdr:row>
      <xdr:rowOff>4950</xdr:rowOff>
    </xdr:to>
    <xdr:cxnSp macro="">
      <xdr:nvCxnSpPr>
        <xdr:cNvPr id="2" name="Straight Connector 1"/>
        <xdr:cNvCxnSpPr/>
      </xdr:nvCxnSpPr>
      <xdr:spPr>
        <a:xfrm>
          <a:off x="1961144" y="1611182"/>
          <a:ext cx="11666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828925" y="1562100"/>
          <a:ext cx="676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5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162050" y="1266825"/>
          <a:ext cx="1628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385161</xdr:colOff>
      <xdr:row>2</xdr:row>
      <xdr:rowOff>76740</xdr:rowOff>
    </xdr:from>
    <xdr:to>
      <xdr:col>20</xdr:col>
      <xdr:colOff>69101</xdr:colOff>
      <xdr:row>2</xdr:row>
      <xdr:rowOff>76740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CxnSpPr/>
      </xdr:nvCxnSpPr>
      <xdr:spPr>
        <a:xfrm>
          <a:off x="10414986" y="495840"/>
          <a:ext cx="27224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</xdr:row>
      <xdr:rowOff>9525</xdr:rowOff>
    </xdr:from>
    <xdr:to>
      <xdr:col>3</xdr:col>
      <xdr:colOff>476250</xdr:colOff>
      <xdr:row>7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714500" y="1476375"/>
          <a:ext cx="1438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/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28575</xdr:rowOff>
    </xdr:from>
    <xdr:to>
      <xdr:col>5</xdr:col>
      <xdr:colOff>19050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181100" y="1285875"/>
          <a:ext cx="1057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178493</xdr:colOff>
      <xdr:row>7</xdr:row>
      <xdr:rowOff>11205</xdr:rowOff>
    </xdr:from>
    <xdr:to>
      <xdr:col>8</xdr:col>
      <xdr:colOff>391404</xdr:colOff>
      <xdr:row>7</xdr:row>
      <xdr:rowOff>12793</xdr:rowOff>
    </xdr:to>
    <xdr:cxnSp macro="">
      <xdr:nvCxnSpPr>
        <xdr:cNvPr id="4" name="Straight Connector 3"/>
        <xdr:cNvCxnSpPr/>
      </xdr:nvCxnSpPr>
      <xdr:spPr>
        <a:xfrm>
          <a:off x="3144850" y="1535205"/>
          <a:ext cx="13014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519785</xdr:colOff>
      <xdr:row>7</xdr:row>
      <xdr:rowOff>28575</xdr:rowOff>
    </xdr:from>
    <xdr:to>
      <xdr:col>5</xdr:col>
      <xdr:colOff>66666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2533642" y="1824718"/>
          <a:ext cx="215945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1209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066925" y="1562100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2.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T11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 xml:space="preserve">nữ 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 xml:space="preserve">nam 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 xml:space="preserve">nữ 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 xml:space="preserve"> 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 xml:space="preserve"> 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 xml:space="preserve">T. Thong </v>
          </cell>
          <cell r="D125" t="str">
            <v xml:space="preserve">ທ້າວ ທອງ 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 xml:space="preserve">ນາງ ລຳ 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 xml:space="preserve">ທ້າວ ຈັນ 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 xml:space="preserve">T. Xeng 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 xml:space="preserve">T. Vi 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 xml:space="preserve">T. Xi 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 xml:space="preserve">ທ້າວ ໂອ 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 xml:space="preserve">N. Khăm (4) 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 xml:space="preserve">N. Khăm </v>
          </cell>
          <cell r="D254" t="str">
            <v xml:space="preserve">ນາງ ຄຳ 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 xml:space="preserve">ນາງ ພອນ 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 xml:space="preserve">Nang On Teng 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 xml:space="preserve">02709 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  <row r="17">
          <cell r="D17" t="str">
            <v>01925</v>
          </cell>
        </row>
        <row r="18">
          <cell r="D18" t="str">
            <v>01926</v>
          </cell>
        </row>
        <row r="19">
          <cell r="D19" t="str">
            <v>01927</v>
          </cell>
        </row>
        <row r="20">
          <cell r="D20" t="str">
            <v>01928</v>
          </cell>
        </row>
        <row r="21">
          <cell r="D21" t="str">
            <v>01929</v>
          </cell>
        </row>
        <row r="22">
          <cell r="D22" t="str">
            <v>01930</v>
          </cell>
        </row>
        <row r="23">
          <cell r="D23" t="str">
            <v>01945</v>
          </cell>
        </row>
        <row r="24">
          <cell r="D24" t="str">
            <v>01956</v>
          </cell>
        </row>
        <row r="25">
          <cell r="D25" t="str">
            <v>01957</v>
          </cell>
        </row>
        <row r="26">
          <cell r="D26" t="str">
            <v>01963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2"/>
      <sheetName val="PC xăng xe T1"/>
      <sheetName val="Thanh toán BVTV"/>
      <sheetName val="Bảng CCBV thời vụ "/>
      <sheetName val="Lương thuế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>
        <row r="100">
          <cell r="J100">
            <v>45769.694999999963</v>
          </cell>
        </row>
      </sheetData>
      <sheetData sheetId="5">
        <row r="105">
          <cell r="J105">
            <v>51381.409000000014</v>
          </cell>
        </row>
      </sheetData>
      <sheetData sheetId="6">
        <row r="82">
          <cell r="J82">
            <v>36598.92099999998</v>
          </cell>
        </row>
      </sheetData>
      <sheetData sheetId="7">
        <row r="85">
          <cell r="J85">
            <v>25755.682000000001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Vệ sinh trạm cán"/>
      <sheetName val="Hổ trợ vi gô"/>
      <sheetName val="Báo cáo SX T09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AJ6">
            <v>26</v>
          </cell>
        </row>
        <row r="25">
          <cell r="AI25">
            <v>26</v>
          </cell>
        </row>
        <row r="26">
          <cell r="AI26">
            <v>26</v>
          </cell>
        </row>
        <row r="27">
          <cell r="AI27">
            <v>26</v>
          </cell>
        </row>
        <row r="28">
          <cell r="AI28">
            <v>26</v>
          </cell>
        </row>
        <row r="34">
          <cell r="B34" t="str">
            <v>Sa Mút</v>
          </cell>
        </row>
        <row r="36">
          <cell r="AI36">
            <v>30</v>
          </cell>
        </row>
      </sheetData>
      <sheetData sheetId="10">
        <row r="13">
          <cell r="D13" t="str">
            <v>Đ. phó</v>
          </cell>
        </row>
        <row r="15">
          <cell r="B15" t="str">
            <v>01615</v>
          </cell>
        </row>
        <row r="96">
          <cell r="C96" t="str">
            <v>T . Zét</v>
          </cell>
          <cell r="D96" t="str">
            <v>Bảo vệ</v>
          </cell>
          <cell r="E96">
            <v>30</v>
          </cell>
          <cell r="F96">
            <v>40000</v>
          </cell>
        </row>
        <row r="97">
          <cell r="E97">
            <v>30</v>
          </cell>
          <cell r="F97">
            <v>25000</v>
          </cell>
        </row>
        <row r="98">
          <cell r="C98" t="str">
            <v>KhămPhườn</v>
          </cell>
          <cell r="D98" t="str">
            <v>CNKT</v>
          </cell>
          <cell r="E98">
            <v>2.6666666666666665</v>
          </cell>
          <cell r="F98">
            <v>25000</v>
          </cell>
        </row>
        <row r="99">
          <cell r="C99" t="str">
            <v xml:space="preserve">Nang On Teng </v>
          </cell>
          <cell r="D99" t="str">
            <v>CNKT</v>
          </cell>
          <cell r="E99">
            <v>2.6666666666666665</v>
          </cell>
          <cell r="F99">
            <v>25000</v>
          </cell>
        </row>
        <row r="100">
          <cell r="C100" t="str">
            <v>T. Đôn Ma</v>
          </cell>
          <cell r="D100" t="str">
            <v>CNKT</v>
          </cell>
          <cell r="E100">
            <v>2.6666666666666665</v>
          </cell>
          <cell r="F100">
            <v>25000</v>
          </cell>
        </row>
        <row r="101">
          <cell r="C101" t="str">
            <v>T Nôn</v>
          </cell>
          <cell r="D101" t="str">
            <v>CNKT</v>
          </cell>
          <cell r="E101">
            <v>2.6666666666666665</v>
          </cell>
          <cell r="F101">
            <v>25000</v>
          </cell>
        </row>
        <row r="102">
          <cell r="C102" t="str">
            <v>N. Khăm..</v>
          </cell>
          <cell r="D102" t="str">
            <v>CNKT</v>
          </cell>
          <cell r="E102">
            <v>2.6666666666666665</v>
          </cell>
          <cell r="F102">
            <v>25000</v>
          </cell>
        </row>
        <row r="103">
          <cell r="C103" t="str">
            <v>Nang La Ty</v>
          </cell>
          <cell r="D103" t="str">
            <v>CNKT</v>
          </cell>
          <cell r="E103">
            <v>2.6666666666666665</v>
          </cell>
          <cell r="F103">
            <v>25000</v>
          </cell>
        </row>
        <row r="104">
          <cell r="C104" t="str">
            <v>N.T.T Trang (1)</v>
          </cell>
          <cell r="D104" t="str">
            <v>CNKT</v>
          </cell>
          <cell r="E104">
            <v>2.6666666666666665</v>
          </cell>
          <cell r="F104">
            <v>25000</v>
          </cell>
        </row>
        <row r="105">
          <cell r="C105" t="str">
            <v>T. Ni On</v>
          </cell>
          <cell r="D105" t="str">
            <v>CNKT</v>
          </cell>
          <cell r="E105">
            <v>2.6666666666666665</v>
          </cell>
          <cell r="F105">
            <v>25000</v>
          </cell>
        </row>
        <row r="106">
          <cell r="C106" t="str">
            <v>Thảo Lẹ</v>
          </cell>
          <cell r="D106" t="str">
            <v>CNKT</v>
          </cell>
          <cell r="E106">
            <v>2.6666666666666665</v>
          </cell>
          <cell r="F106">
            <v>25000</v>
          </cell>
        </row>
        <row r="107">
          <cell r="C107">
            <v>0</v>
          </cell>
          <cell r="D107" t="str">
            <v>CNKT</v>
          </cell>
          <cell r="E107">
            <v>0</v>
          </cell>
          <cell r="F107">
            <v>25000</v>
          </cell>
        </row>
        <row r="108">
          <cell r="C108" t="str">
            <v>N. Sa Văn</v>
          </cell>
          <cell r="D108" t="str">
            <v>CNKT</v>
          </cell>
          <cell r="E108">
            <v>27.954545454545453</v>
          </cell>
          <cell r="F108">
            <v>25000</v>
          </cell>
        </row>
        <row r="109">
          <cell r="C109" t="str">
            <v>t. Văn Na</v>
          </cell>
          <cell r="D109" t="str">
            <v>CNKT</v>
          </cell>
          <cell r="E109">
            <v>2.6666666666666665</v>
          </cell>
          <cell r="F109">
            <v>25000</v>
          </cell>
        </row>
        <row r="110">
          <cell r="C110" t="str">
            <v>T Núc</v>
          </cell>
          <cell r="D110" t="str">
            <v>CNKT</v>
          </cell>
          <cell r="E110">
            <v>2.6666666666666665</v>
          </cell>
          <cell r="F110">
            <v>25000</v>
          </cell>
        </row>
        <row r="111">
          <cell r="C111" t="str">
            <v>T. Cô</v>
          </cell>
          <cell r="D111" t="str">
            <v>CNKT</v>
          </cell>
          <cell r="E111">
            <v>13.727272727272727</v>
          </cell>
          <cell r="F111">
            <v>25000</v>
          </cell>
        </row>
        <row r="112">
          <cell r="C112" t="str">
            <v>T. Phon</v>
          </cell>
          <cell r="D112" t="str">
            <v>CNKT</v>
          </cell>
          <cell r="E112">
            <v>2.6666666666666665</v>
          </cell>
          <cell r="F112">
            <v>25000</v>
          </cell>
        </row>
        <row r="113">
          <cell r="C113" t="str">
            <v>T . Tom</v>
          </cell>
          <cell r="D113" t="str">
            <v>CNKT</v>
          </cell>
          <cell r="E113">
            <v>2.6666666666666665</v>
          </cell>
          <cell r="F113">
            <v>25000</v>
          </cell>
        </row>
        <row r="114">
          <cell r="C114" t="str">
            <v>T. Son Sa May</v>
          </cell>
          <cell r="D114" t="str">
            <v>CNKT</v>
          </cell>
          <cell r="E114">
            <v>2.6666666666666665</v>
          </cell>
          <cell r="F114">
            <v>25000</v>
          </cell>
        </row>
        <row r="115">
          <cell r="C115" t="str">
            <v>N. Lắt Sa Mi</v>
          </cell>
          <cell r="D115" t="str">
            <v>CNKT</v>
          </cell>
          <cell r="E115">
            <v>2.6666666666666665</v>
          </cell>
          <cell r="F115">
            <v>25000</v>
          </cell>
        </row>
        <row r="116">
          <cell r="C116" t="str">
            <v>N Seng</v>
          </cell>
          <cell r="D116" t="str">
            <v>CNKT</v>
          </cell>
          <cell r="E116">
            <v>2.6666666666666665</v>
          </cell>
          <cell r="F116">
            <v>25000</v>
          </cell>
        </row>
        <row r="117">
          <cell r="C117" t="str">
            <v>T. Pha Đi</v>
          </cell>
          <cell r="D117" t="str">
            <v>CNKT</v>
          </cell>
          <cell r="E117">
            <v>2.6666666666666665</v>
          </cell>
          <cell r="F117">
            <v>25000</v>
          </cell>
        </row>
        <row r="118">
          <cell r="C118">
            <v>0</v>
          </cell>
          <cell r="D118" t="str">
            <v>CNKT</v>
          </cell>
          <cell r="E118">
            <v>0</v>
          </cell>
          <cell r="F118">
            <v>25000</v>
          </cell>
        </row>
        <row r="119">
          <cell r="C119" t="str">
            <v>T . Kỷ</v>
          </cell>
          <cell r="D119" t="str">
            <v>CNKT</v>
          </cell>
          <cell r="E119">
            <v>2.6666666666666665</v>
          </cell>
          <cell r="F119">
            <v>25000</v>
          </cell>
        </row>
        <row r="120">
          <cell r="C120" t="str">
            <v>T. Pỉ</v>
          </cell>
          <cell r="D120" t="str">
            <v>CNKT</v>
          </cell>
          <cell r="E120">
            <v>2.6666666666666665</v>
          </cell>
          <cell r="F120">
            <v>25000</v>
          </cell>
        </row>
        <row r="121">
          <cell r="C121" t="str">
            <v>Văn Đi</v>
          </cell>
          <cell r="D121" t="str">
            <v>CNKT</v>
          </cell>
          <cell r="E121">
            <v>12.393939393939394</v>
          </cell>
          <cell r="F121">
            <v>25000</v>
          </cell>
        </row>
        <row r="122">
          <cell r="C122" t="str">
            <v>T. U Đôm</v>
          </cell>
          <cell r="D122" t="str">
            <v>CNKT</v>
          </cell>
          <cell r="E122">
            <v>2.6666666666666665</v>
          </cell>
          <cell r="F122">
            <v>25000</v>
          </cell>
        </row>
        <row r="123">
          <cell r="C123" t="str">
            <v>T. Le A</v>
          </cell>
          <cell r="D123" t="str">
            <v>CNKT</v>
          </cell>
          <cell r="E123">
            <v>1.3333333333333333</v>
          </cell>
          <cell r="F123">
            <v>25000</v>
          </cell>
        </row>
        <row r="124">
          <cell r="C124">
            <v>0</v>
          </cell>
          <cell r="D124" t="str">
            <v>CNKT</v>
          </cell>
          <cell r="E124">
            <v>0</v>
          </cell>
          <cell r="F124">
            <v>25000</v>
          </cell>
        </row>
        <row r="125">
          <cell r="C125" t="str">
            <v>T Đeng</v>
          </cell>
          <cell r="D125" t="str">
            <v>CNKT</v>
          </cell>
          <cell r="E125">
            <v>2.6666666666666665</v>
          </cell>
          <cell r="F125">
            <v>25000</v>
          </cell>
        </row>
        <row r="126">
          <cell r="C126">
            <v>0</v>
          </cell>
          <cell r="D126" t="str">
            <v>CNKT</v>
          </cell>
          <cell r="E126">
            <v>0</v>
          </cell>
          <cell r="F126">
            <v>25000</v>
          </cell>
        </row>
        <row r="127">
          <cell r="C127" t="str">
            <v>L.V. Đông (1)</v>
          </cell>
          <cell r="D127" t="str">
            <v>CNKT</v>
          </cell>
          <cell r="E127">
            <v>2.6666666666666665</v>
          </cell>
          <cell r="F127">
            <v>25000</v>
          </cell>
        </row>
        <row r="128">
          <cell r="C128" t="str">
            <v>Đa Ly</v>
          </cell>
          <cell r="D128" t="str">
            <v>CNKT</v>
          </cell>
          <cell r="E128">
            <v>1.3333333333333333</v>
          </cell>
          <cell r="F128">
            <v>25000</v>
          </cell>
        </row>
        <row r="129">
          <cell r="C129" t="str">
            <v>T . Vông</v>
          </cell>
          <cell r="D129" t="str">
            <v>CNKT</v>
          </cell>
          <cell r="E129">
            <v>1.3333333333333333</v>
          </cell>
          <cell r="F129">
            <v>25000</v>
          </cell>
        </row>
        <row r="130">
          <cell r="C130" t="str">
            <v>L.V. Đông (2)</v>
          </cell>
          <cell r="D130" t="str">
            <v>CNKT</v>
          </cell>
          <cell r="E130">
            <v>2.6666666666666665</v>
          </cell>
          <cell r="F130">
            <v>25000</v>
          </cell>
        </row>
        <row r="131">
          <cell r="C131">
            <v>0</v>
          </cell>
          <cell r="D131" t="str">
            <v>CNKT</v>
          </cell>
          <cell r="E131">
            <v>0</v>
          </cell>
          <cell r="F131">
            <v>25000</v>
          </cell>
        </row>
        <row r="132">
          <cell r="C132">
            <v>0</v>
          </cell>
          <cell r="D132" t="str">
            <v>CNKT</v>
          </cell>
          <cell r="E132">
            <v>0</v>
          </cell>
          <cell r="F132">
            <v>25000</v>
          </cell>
        </row>
        <row r="133">
          <cell r="C133" t="str">
            <v>N. V . Quang (1)</v>
          </cell>
          <cell r="D133" t="str">
            <v>CNKT</v>
          </cell>
          <cell r="E133">
            <v>2.6666666666666665</v>
          </cell>
          <cell r="F133">
            <v>25000</v>
          </cell>
        </row>
        <row r="134">
          <cell r="C134" t="str">
            <v>N. V . Quang (2)</v>
          </cell>
          <cell r="D134" t="str">
            <v>CNKT</v>
          </cell>
          <cell r="E134">
            <v>2.6666666666666665</v>
          </cell>
          <cell r="F134">
            <v>25000</v>
          </cell>
        </row>
        <row r="135">
          <cell r="C135" t="str">
            <v>V. T.Thủy</v>
          </cell>
          <cell r="D135" t="str">
            <v>CNKT</v>
          </cell>
          <cell r="E135">
            <v>2.6666666666666665</v>
          </cell>
          <cell r="F135">
            <v>25000</v>
          </cell>
        </row>
        <row r="136">
          <cell r="C136" t="str">
            <v>N.Q.T.Phú (1)</v>
          </cell>
          <cell r="D136" t="str">
            <v>CNKT</v>
          </cell>
          <cell r="E136">
            <v>2.6666666666666665</v>
          </cell>
          <cell r="F136">
            <v>25000</v>
          </cell>
        </row>
        <row r="137">
          <cell r="C137" t="str">
            <v>N. V. Cương</v>
          </cell>
          <cell r="D137" t="str">
            <v>CNKT</v>
          </cell>
          <cell r="E137">
            <v>2.6666666666666665</v>
          </cell>
          <cell r="F137">
            <v>25000</v>
          </cell>
        </row>
        <row r="138">
          <cell r="C138" t="str">
            <v>N.T.T Trang (2)</v>
          </cell>
          <cell r="D138" t="str">
            <v>CNKT</v>
          </cell>
          <cell r="E138">
            <v>2.6666666666666665</v>
          </cell>
          <cell r="F138">
            <v>25000</v>
          </cell>
        </row>
        <row r="139">
          <cell r="C139" t="str">
            <v>N.Q.T.Phú (2)</v>
          </cell>
          <cell r="D139" t="str">
            <v>CNKT</v>
          </cell>
          <cell r="E139">
            <v>2.6666666666666665</v>
          </cell>
          <cell r="F139">
            <v>25000</v>
          </cell>
        </row>
        <row r="140">
          <cell r="C140" t="str">
            <v>T. Thong Đi</v>
          </cell>
          <cell r="D140" t="str">
            <v>CNKT</v>
          </cell>
          <cell r="E140">
            <v>1.3333333333333333</v>
          </cell>
          <cell r="F140">
            <v>25000</v>
          </cell>
        </row>
        <row r="141">
          <cell r="C141" t="str">
            <v>N. Mon A</v>
          </cell>
          <cell r="D141" t="str">
            <v>CNKT</v>
          </cell>
          <cell r="E141">
            <v>1.3333333333333333</v>
          </cell>
          <cell r="F141">
            <v>25000</v>
          </cell>
        </row>
        <row r="142">
          <cell r="C142">
            <v>0</v>
          </cell>
          <cell r="D142" t="str">
            <v>CNKT</v>
          </cell>
          <cell r="E142">
            <v>0</v>
          </cell>
          <cell r="F142">
            <v>25000</v>
          </cell>
        </row>
        <row r="143">
          <cell r="C143" t="str">
            <v>Viêng Khăm</v>
          </cell>
          <cell r="D143" t="str">
            <v>CNKT</v>
          </cell>
          <cell r="E143">
            <v>2.6666666666666665</v>
          </cell>
          <cell r="F143">
            <v>25000</v>
          </cell>
        </row>
        <row r="144">
          <cell r="C144" t="str">
            <v>Veo Khăm</v>
          </cell>
          <cell r="D144" t="str">
            <v>CNKT</v>
          </cell>
          <cell r="E144">
            <v>2.6666666666666665</v>
          </cell>
          <cell r="F144">
            <v>25000</v>
          </cell>
        </row>
        <row r="145">
          <cell r="C145" t="str">
            <v>T . Khon</v>
          </cell>
          <cell r="D145" t="str">
            <v>CNKT</v>
          </cell>
          <cell r="E145">
            <v>2.6666666666666665</v>
          </cell>
          <cell r="F145">
            <v>25000</v>
          </cell>
        </row>
        <row r="146">
          <cell r="C146">
            <v>0</v>
          </cell>
          <cell r="D146" t="str">
            <v>CNKT</v>
          </cell>
          <cell r="E146">
            <v>0</v>
          </cell>
          <cell r="F146">
            <v>25000</v>
          </cell>
        </row>
        <row r="147">
          <cell r="C147">
            <v>0</v>
          </cell>
          <cell r="D147" t="str">
            <v>CNKT</v>
          </cell>
          <cell r="E147">
            <v>0</v>
          </cell>
          <cell r="F147">
            <v>25000</v>
          </cell>
        </row>
        <row r="148">
          <cell r="C148" t="str">
            <v>A Nóc</v>
          </cell>
          <cell r="D148" t="str">
            <v>CNKT</v>
          </cell>
          <cell r="E148">
            <v>2.6666666666666665</v>
          </cell>
          <cell r="F148">
            <v>25000</v>
          </cell>
        </row>
        <row r="149">
          <cell r="C149" t="str">
            <v>N. La</v>
          </cell>
          <cell r="D149" t="str">
            <v>CNKT</v>
          </cell>
          <cell r="E149">
            <v>1.3333333333333333</v>
          </cell>
          <cell r="F149">
            <v>25000</v>
          </cell>
        </row>
        <row r="150">
          <cell r="C150" t="str">
            <v>Cong Ma Ny</v>
          </cell>
          <cell r="D150" t="str">
            <v>CNKT</v>
          </cell>
          <cell r="E150">
            <v>2.6666666666666665</v>
          </cell>
          <cell r="F150">
            <v>25000</v>
          </cell>
        </row>
        <row r="151">
          <cell r="C151" t="str">
            <v>Khăm Phiêng</v>
          </cell>
          <cell r="D151" t="str">
            <v>CNKT</v>
          </cell>
          <cell r="E151">
            <v>2.6666666666666665</v>
          </cell>
          <cell r="F151">
            <v>25000</v>
          </cell>
        </row>
        <row r="152">
          <cell r="C152" t="str">
            <v>Khiêng Khăm</v>
          </cell>
          <cell r="D152" t="str">
            <v>CNKT</v>
          </cell>
          <cell r="E152">
            <v>2.6666666666666665</v>
          </cell>
          <cell r="F152">
            <v>25000</v>
          </cell>
        </row>
        <row r="153">
          <cell r="C153">
            <v>0</v>
          </cell>
          <cell r="D153" t="str">
            <v>CNKT</v>
          </cell>
          <cell r="E153">
            <v>0</v>
          </cell>
          <cell r="F153">
            <v>25000</v>
          </cell>
        </row>
        <row r="154">
          <cell r="C154">
            <v>0</v>
          </cell>
          <cell r="D154" t="str">
            <v>CNKT</v>
          </cell>
          <cell r="E154">
            <v>0</v>
          </cell>
          <cell r="F154">
            <v>25000</v>
          </cell>
        </row>
        <row r="155">
          <cell r="C155">
            <v>0</v>
          </cell>
          <cell r="D155" t="str">
            <v>CNKT</v>
          </cell>
          <cell r="E155">
            <v>0</v>
          </cell>
          <cell r="F155">
            <v>25000</v>
          </cell>
        </row>
        <row r="156">
          <cell r="C156">
            <v>0</v>
          </cell>
          <cell r="D156" t="str">
            <v>CNKT</v>
          </cell>
          <cell r="E156">
            <v>0</v>
          </cell>
          <cell r="F156">
            <v>25000</v>
          </cell>
        </row>
        <row r="157">
          <cell r="C157" t="str">
            <v>N. Tieng Na</v>
          </cell>
          <cell r="D157" t="str">
            <v>CNKT</v>
          </cell>
          <cell r="E157">
            <v>2.6666666666666665</v>
          </cell>
          <cell r="F157">
            <v>25000</v>
          </cell>
        </row>
        <row r="158">
          <cell r="C158">
            <v>0</v>
          </cell>
          <cell r="D158" t="str">
            <v>CNKT</v>
          </cell>
          <cell r="E158">
            <v>0</v>
          </cell>
          <cell r="F158">
            <v>25000</v>
          </cell>
        </row>
        <row r="159">
          <cell r="C159">
            <v>0</v>
          </cell>
          <cell r="D159" t="str">
            <v>CNKT</v>
          </cell>
          <cell r="E159">
            <v>0</v>
          </cell>
          <cell r="F159">
            <v>25000</v>
          </cell>
        </row>
        <row r="160">
          <cell r="C160">
            <v>0</v>
          </cell>
          <cell r="D160" t="str">
            <v>CNKT</v>
          </cell>
          <cell r="E160">
            <v>0</v>
          </cell>
          <cell r="F160">
            <v>25000</v>
          </cell>
        </row>
        <row r="161">
          <cell r="C161" t="str">
            <v>N. Sôm Phon</v>
          </cell>
          <cell r="D161" t="str">
            <v>CNKT</v>
          </cell>
          <cell r="E161">
            <v>2.6666666666666665</v>
          </cell>
          <cell r="F161">
            <v>25000</v>
          </cell>
        </row>
        <row r="162">
          <cell r="C162" t="str">
            <v>T. Pha Lăng</v>
          </cell>
          <cell r="D162" t="str">
            <v>CNKT</v>
          </cell>
          <cell r="E162">
            <v>12.393939393939394</v>
          </cell>
          <cell r="F162">
            <v>25000</v>
          </cell>
        </row>
        <row r="163">
          <cell r="C163" t="str">
            <v>T. Phu</v>
          </cell>
          <cell r="D163" t="str">
            <v>CNKT</v>
          </cell>
          <cell r="E163">
            <v>2.6666666666666665</v>
          </cell>
          <cell r="F163">
            <v>25000</v>
          </cell>
        </row>
        <row r="164">
          <cell r="C164" t="str">
            <v>N. Nạ</v>
          </cell>
          <cell r="D164" t="str">
            <v>CNKT</v>
          </cell>
          <cell r="E164">
            <v>2.6666666666666665</v>
          </cell>
          <cell r="F164">
            <v>25000</v>
          </cell>
        </row>
        <row r="165">
          <cell r="C165" t="str">
            <v>Chăn Đen</v>
          </cell>
          <cell r="D165" t="str">
            <v>CNKT</v>
          </cell>
          <cell r="E165">
            <v>2.6666666666666665</v>
          </cell>
          <cell r="F165">
            <v>25000</v>
          </cell>
        </row>
        <row r="166">
          <cell r="C166">
            <v>0</v>
          </cell>
          <cell r="D166" t="str">
            <v>CNKT</v>
          </cell>
          <cell r="E166">
            <v>0</v>
          </cell>
          <cell r="F166">
            <v>25000</v>
          </cell>
        </row>
        <row r="167">
          <cell r="C167">
            <v>0</v>
          </cell>
          <cell r="D167" t="str">
            <v>CNKT</v>
          </cell>
          <cell r="E167">
            <v>0</v>
          </cell>
          <cell r="F167">
            <v>25000</v>
          </cell>
        </row>
        <row r="168">
          <cell r="C168" t="str">
            <v>N. Len Đa</v>
          </cell>
          <cell r="D168" t="str">
            <v>CNKT</v>
          </cell>
          <cell r="E168">
            <v>2.6666666666666665</v>
          </cell>
          <cell r="F168">
            <v>25000</v>
          </cell>
        </row>
        <row r="169">
          <cell r="C169" t="str">
            <v>T. Da</v>
          </cell>
          <cell r="D169" t="str">
            <v>CNKT</v>
          </cell>
          <cell r="E169">
            <v>2.6666666666666665</v>
          </cell>
          <cell r="F169">
            <v>25000</v>
          </cell>
        </row>
        <row r="170">
          <cell r="C170" t="str">
            <v>N. Đeng</v>
          </cell>
          <cell r="D170" t="str">
            <v>CNKT</v>
          </cell>
          <cell r="E170">
            <v>2.6666666666666665</v>
          </cell>
          <cell r="F170">
            <v>25000</v>
          </cell>
        </row>
        <row r="171">
          <cell r="C171" t="str">
            <v>N. Mom</v>
          </cell>
          <cell r="D171" t="str">
            <v>CNKT</v>
          </cell>
          <cell r="E171">
            <v>2.6666666666666665</v>
          </cell>
          <cell r="F171">
            <v>25000</v>
          </cell>
        </row>
        <row r="172">
          <cell r="C172" t="str">
            <v>N.Q. Thiện (1)</v>
          </cell>
          <cell r="D172" t="str">
            <v>CNKT</v>
          </cell>
          <cell r="E172">
            <v>0</v>
          </cell>
          <cell r="F172">
            <v>25000</v>
          </cell>
        </row>
        <row r="173">
          <cell r="C173" t="str">
            <v>N.Q. Thiện (2)</v>
          </cell>
          <cell r="D173" t="str">
            <v>CNKT</v>
          </cell>
          <cell r="E173">
            <v>0</v>
          </cell>
          <cell r="F173">
            <v>25000</v>
          </cell>
        </row>
        <row r="174">
          <cell r="C174" t="str">
            <v>N.T. Thảo</v>
          </cell>
          <cell r="D174" t="str">
            <v>CNKT</v>
          </cell>
          <cell r="E174">
            <v>0</v>
          </cell>
          <cell r="F174">
            <v>25000</v>
          </cell>
        </row>
        <row r="175">
          <cell r="C175" t="str">
            <v>Đ.V. Phước</v>
          </cell>
          <cell r="D175" t="str">
            <v>CNKT</v>
          </cell>
          <cell r="E175">
            <v>0</v>
          </cell>
          <cell r="F175">
            <v>25000</v>
          </cell>
        </row>
        <row r="176">
          <cell r="C176" t="str">
            <v>N. A. Vinh</v>
          </cell>
          <cell r="D176" t="str">
            <v>CNKT</v>
          </cell>
          <cell r="E176">
            <v>0</v>
          </cell>
          <cell r="F176">
            <v>25000</v>
          </cell>
        </row>
        <row r="177">
          <cell r="C177" t="str">
            <v>Mẹ Nô Va</v>
          </cell>
          <cell r="D177" t="str">
            <v>CNK</v>
          </cell>
          <cell r="E177">
            <v>413</v>
          </cell>
          <cell r="F177">
            <v>25000</v>
          </cell>
        </row>
        <row r="178">
          <cell r="C178" t="str">
            <v>Um Khăm</v>
          </cell>
          <cell r="D178" t="str">
            <v>CNK</v>
          </cell>
          <cell r="E178">
            <v>0</v>
          </cell>
          <cell r="F178">
            <v>25000</v>
          </cell>
        </row>
        <row r="179">
          <cell r="C179" t="str">
            <v>T. Nôn</v>
          </cell>
          <cell r="D179" t="str">
            <v>CNK</v>
          </cell>
          <cell r="E179">
            <v>0</v>
          </cell>
          <cell r="F179">
            <v>25000</v>
          </cell>
        </row>
        <row r="180">
          <cell r="C180" t="str">
            <v>T. Ứng</v>
          </cell>
          <cell r="D180" t="str">
            <v>CNK</v>
          </cell>
          <cell r="E180">
            <v>0</v>
          </cell>
          <cell r="F180">
            <v>25000</v>
          </cell>
        </row>
        <row r="181">
          <cell r="C181" t="str">
            <v>Ân</v>
          </cell>
          <cell r="D181" t="str">
            <v>CNK</v>
          </cell>
          <cell r="E181">
            <v>0</v>
          </cell>
          <cell r="F181">
            <v>25000</v>
          </cell>
        </row>
        <row r="182">
          <cell r="E182">
            <v>610.13636363636351</v>
          </cell>
        </row>
        <row r="183">
          <cell r="E183">
            <v>764.02333333333331</v>
          </cell>
        </row>
        <row r="184">
          <cell r="C184" t="str">
            <v>Thảo Phôn Chay</v>
          </cell>
          <cell r="D184" t="str">
            <v>Đ. phó</v>
          </cell>
          <cell r="E184">
            <v>26</v>
          </cell>
        </row>
        <row r="185">
          <cell r="E185">
            <v>26</v>
          </cell>
        </row>
        <row r="186">
          <cell r="C186" t="str">
            <v>Đô La</v>
          </cell>
          <cell r="D186" t="str">
            <v>Bảo vệ</v>
          </cell>
          <cell r="E186">
            <v>30</v>
          </cell>
          <cell r="F186">
            <v>40000</v>
          </cell>
        </row>
        <row r="187">
          <cell r="E187">
            <v>30</v>
          </cell>
          <cell r="F187">
            <v>40000</v>
          </cell>
        </row>
        <row r="188">
          <cell r="B188">
            <v>0</v>
          </cell>
          <cell r="C188" t="str">
            <v>T.Son say A</v>
          </cell>
          <cell r="D188" t="str">
            <v>CNKT</v>
          </cell>
          <cell r="E188">
            <v>2.6666666666666665</v>
          </cell>
          <cell r="F188">
            <v>25000</v>
          </cell>
        </row>
        <row r="189">
          <cell r="B189">
            <v>0</v>
          </cell>
          <cell r="C189" t="str">
            <v>N. Keo</v>
          </cell>
          <cell r="D189" t="str">
            <v>CNKT</v>
          </cell>
          <cell r="E189">
            <v>2.6666666666666665</v>
          </cell>
          <cell r="F189">
            <v>25000</v>
          </cell>
        </row>
        <row r="190">
          <cell r="B190">
            <v>0</v>
          </cell>
          <cell r="C190" t="str">
            <v>T .Nhum</v>
          </cell>
          <cell r="D190" t="str">
            <v>CNKT</v>
          </cell>
          <cell r="E190">
            <v>2.6666666666666665</v>
          </cell>
          <cell r="F190">
            <v>25000</v>
          </cell>
        </row>
        <row r="191">
          <cell r="B191">
            <v>0</v>
          </cell>
          <cell r="C191" t="str">
            <v>N.Vông Ma Ni</v>
          </cell>
          <cell r="D191" t="str">
            <v>CNKT</v>
          </cell>
          <cell r="E191">
            <v>2.6666666666666665</v>
          </cell>
          <cell r="F191">
            <v>25000</v>
          </cell>
        </row>
        <row r="192">
          <cell r="B192">
            <v>0</v>
          </cell>
          <cell r="C192" t="str">
            <v>Đao Hương</v>
          </cell>
          <cell r="D192" t="str">
            <v>CNKT</v>
          </cell>
          <cell r="E192">
            <v>2.6666666666666665</v>
          </cell>
          <cell r="F192">
            <v>25000</v>
          </cell>
        </row>
        <row r="193">
          <cell r="B193">
            <v>0</v>
          </cell>
          <cell r="C193" t="str">
            <v>N. Văn Tha</v>
          </cell>
          <cell r="D193" t="str">
            <v>CNKT</v>
          </cell>
          <cell r="E193">
            <v>2.6666666666666665</v>
          </cell>
          <cell r="F193">
            <v>25000</v>
          </cell>
        </row>
        <row r="194">
          <cell r="B194">
            <v>0</v>
          </cell>
          <cell r="C194" t="str">
            <v>T. Bun Hinh</v>
          </cell>
          <cell r="D194" t="str">
            <v>CNKT</v>
          </cell>
          <cell r="E194">
            <v>2.6666666666666665</v>
          </cell>
          <cell r="F194">
            <v>25000</v>
          </cell>
        </row>
        <row r="195">
          <cell r="B195">
            <v>0</v>
          </cell>
          <cell r="C195" t="str">
            <v>N. Lăm</v>
          </cell>
          <cell r="D195" t="str">
            <v>CNKT</v>
          </cell>
          <cell r="E195">
            <v>38.823333333333338</v>
          </cell>
          <cell r="F195">
            <v>25000</v>
          </cell>
        </row>
        <row r="196">
          <cell r="B196">
            <v>0</v>
          </cell>
          <cell r="C196" t="str">
            <v>T. Chăn La</v>
          </cell>
          <cell r="D196" t="str">
            <v>CNKT</v>
          </cell>
          <cell r="E196">
            <v>2.6666666666666665</v>
          </cell>
          <cell r="F196">
            <v>25000</v>
          </cell>
        </row>
        <row r="197">
          <cell r="B197">
            <v>0</v>
          </cell>
          <cell r="C197" t="str">
            <v>N. Lẹ</v>
          </cell>
          <cell r="D197" t="str">
            <v>CNKT</v>
          </cell>
          <cell r="E197">
            <v>2.6666666666666665</v>
          </cell>
          <cell r="F197">
            <v>25000</v>
          </cell>
        </row>
        <row r="198">
          <cell r="B198">
            <v>0</v>
          </cell>
          <cell r="C198" t="str">
            <v>N . Thích</v>
          </cell>
          <cell r="D198" t="str">
            <v>CNKT</v>
          </cell>
          <cell r="E198">
            <v>2.6666666666666665</v>
          </cell>
          <cell r="F198">
            <v>25000</v>
          </cell>
        </row>
        <row r="199">
          <cell r="B199">
            <v>0</v>
          </cell>
          <cell r="C199" t="str">
            <v>N. Cong Mi</v>
          </cell>
          <cell r="D199" t="str">
            <v>CNKT</v>
          </cell>
          <cell r="E199">
            <v>2.6666666666666665</v>
          </cell>
          <cell r="F199">
            <v>25000</v>
          </cell>
        </row>
        <row r="200">
          <cell r="B200">
            <v>0</v>
          </cell>
          <cell r="C200" t="str">
            <v>T . Vay</v>
          </cell>
          <cell r="D200" t="str">
            <v>CNKT</v>
          </cell>
          <cell r="E200">
            <v>2.6666666666666665</v>
          </cell>
          <cell r="F200">
            <v>25000</v>
          </cell>
        </row>
        <row r="201">
          <cell r="B201">
            <v>0</v>
          </cell>
          <cell r="C201" t="str">
            <v>T. Khăm Mặn</v>
          </cell>
          <cell r="D201" t="str">
            <v>CNKT</v>
          </cell>
          <cell r="E201">
            <v>2.6666666666666665</v>
          </cell>
          <cell r="F201">
            <v>25000</v>
          </cell>
        </row>
        <row r="202">
          <cell r="B202">
            <v>0</v>
          </cell>
          <cell r="C202" t="str">
            <v>T . In Tong</v>
          </cell>
          <cell r="D202" t="str">
            <v>CNKT</v>
          </cell>
          <cell r="E202">
            <v>2.6666666666666665</v>
          </cell>
          <cell r="F202">
            <v>25000</v>
          </cell>
        </row>
        <row r="203">
          <cell r="B203">
            <v>0</v>
          </cell>
          <cell r="C203" t="str">
            <v>T. Sòn</v>
          </cell>
          <cell r="D203" t="str">
            <v>CNKT</v>
          </cell>
          <cell r="E203">
            <v>2.6666666666666665</v>
          </cell>
          <cell r="F203">
            <v>25000</v>
          </cell>
        </row>
        <row r="204">
          <cell r="B204">
            <v>0</v>
          </cell>
          <cell r="C204" t="str">
            <v>T. May</v>
          </cell>
          <cell r="D204" t="str">
            <v>CNKT</v>
          </cell>
          <cell r="E204">
            <v>2.6666666666666665</v>
          </cell>
          <cell r="F204">
            <v>25000</v>
          </cell>
        </row>
        <row r="205">
          <cell r="B205">
            <v>0</v>
          </cell>
          <cell r="C205">
            <v>0</v>
          </cell>
          <cell r="D205" t="str">
            <v>CNKT</v>
          </cell>
          <cell r="E205">
            <v>0</v>
          </cell>
          <cell r="F205">
            <v>25000</v>
          </cell>
        </row>
        <row r="206">
          <cell r="B206">
            <v>0</v>
          </cell>
          <cell r="C206" t="str">
            <v>T. Beo</v>
          </cell>
          <cell r="D206" t="str">
            <v>CNKT</v>
          </cell>
          <cell r="E206">
            <v>2.6666666666666665</v>
          </cell>
          <cell r="F206">
            <v>25000</v>
          </cell>
        </row>
        <row r="207">
          <cell r="B207">
            <v>0</v>
          </cell>
          <cell r="C207" t="str">
            <v>T. Huôn</v>
          </cell>
          <cell r="D207" t="str">
            <v>CNKT</v>
          </cell>
          <cell r="E207">
            <v>2.6666666666666665</v>
          </cell>
          <cell r="F207">
            <v>25000</v>
          </cell>
        </row>
        <row r="208">
          <cell r="B208">
            <v>0</v>
          </cell>
          <cell r="C208" t="str">
            <v>N. Lay</v>
          </cell>
          <cell r="D208" t="str">
            <v>CNKT</v>
          </cell>
          <cell r="E208">
            <v>2.6666666666666665</v>
          </cell>
          <cell r="F208">
            <v>25000</v>
          </cell>
        </row>
        <row r="209">
          <cell r="B209">
            <v>0</v>
          </cell>
          <cell r="C209" t="str">
            <v>N. Pon</v>
          </cell>
          <cell r="D209" t="str">
            <v>CNKT</v>
          </cell>
          <cell r="E209">
            <v>2.6666666666666665</v>
          </cell>
          <cell r="F209">
            <v>25000</v>
          </cell>
        </row>
        <row r="210">
          <cell r="B210">
            <v>0</v>
          </cell>
          <cell r="C210" t="str">
            <v>N. Bun Đi</v>
          </cell>
          <cell r="D210" t="str">
            <v>CNKT</v>
          </cell>
          <cell r="E210">
            <v>2.6666666666666665</v>
          </cell>
          <cell r="F210">
            <v>25000</v>
          </cell>
        </row>
        <row r="211">
          <cell r="B211">
            <v>0</v>
          </cell>
          <cell r="C211" t="str">
            <v>N. Phon</v>
          </cell>
          <cell r="D211" t="str">
            <v>CNKT</v>
          </cell>
          <cell r="E211">
            <v>2.6666666666666665</v>
          </cell>
          <cell r="F211">
            <v>25000</v>
          </cell>
        </row>
        <row r="212">
          <cell r="B212">
            <v>0</v>
          </cell>
          <cell r="C212" t="str">
            <v>T. Cỏ</v>
          </cell>
          <cell r="D212" t="str">
            <v>CNKT</v>
          </cell>
          <cell r="E212">
            <v>2.6666666666666665</v>
          </cell>
          <cell r="F212">
            <v>25000</v>
          </cell>
        </row>
        <row r="213">
          <cell r="B213">
            <v>0</v>
          </cell>
          <cell r="C213">
            <v>0</v>
          </cell>
          <cell r="D213" t="str">
            <v>CNKT</v>
          </cell>
          <cell r="E213">
            <v>0</v>
          </cell>
          <cell r="F213">
            <v>25000</v>
          </cell>
        </row>
        <row r="214">
          <cell r="B214">
            <v>0</v>
          </cell>
          <cell r="C214">
            <v>0</v>
          </cell>
          <cell r="D214" t="str">
            <v>CNKT</v>
          </cell>
          <cell r="E214">
            <v>0</v>
          </cell>
          <cell r="F214">
            <v>25000</v>
          </cell>
        </row>
        <row r="215">
          <cell r="B215">
            <v>0</v>
          </cell>
          <cell r="C215">
            <v>0</v>
          </cell>
          <cell r="D215" t="str">
            <v>CNKT</v>
          </cell>
          <cell r="E215">
            <v>0</v>
          </cell>
          <cell r="F215">
            <v>25000</v>
          </cell>
        </row>
        <row r="216">
          <cell r="B216">
            <v>0</v>
          </cell>
          <cell r="C216" t="str">
            <v>N. Đăm</v>
          </cell>
          <cell r="D216" t="str">
            <v>CNKT</v>
          </cell>
          <cell r="E216">
            <v>2.6666666666666665</v>
          </cell>
          <cell r="F216">
            <v>25000</v>
          </cell>
        </row>
        <row r="217">
          <cell r="B217">
            <v>0</v>
          </cell>
          <cell r="C217" t="str">
            <v>N. Ốc</v>
          </cell>
          <cell r="D217" t="str">
            <v>CNKT</v>
          </cell>
          <cell r="E217">
            <v>2.6666666666666665</v>
          </cell>
          <cell r="F217">
            <v>25000</v>
          </cell>
        </row>
        <row r="218">
          <cell r="B218">
            <v>0</v>
          </cell>
          <cell r="C218" t="str">
            <v>Khăm Piền</v>
          </cell>
          <cell r="D218" t="str">
            <v>CNKT</v>
          </cell>
          <cell r="E218">
            <v>2.6666666666666665</v>
          </cell>
          <cell r="F218">
            <v>25000</v>
          </cell>
        </row>
        <row r="219">
          <cell r="B219">
            <v>0</v>
          </cell>
          <cell r="C219" t="str">
            <v>N. Văn Ta</v>
          </cell>
          <cell r="D219" t="str">
            <v>CNKT</v>
          </cell>
          <cell r="E219">
            <v>2.6666666666666665</v>
          </cell>
          <cell r="F219">
            <v>25000</v>
          </cell>
        </row>
        <row r="220">
          <cell r="B220">
            <v>0</v>
          </cell>
          <cell r="C220" t="str">
            <v>T. Thon</v>
          </cell>
          <cell r="D220" t="str">
            <v>CNKT</v>
          </cell>
          <cell r="E220">
            <v>2.6666666666666665</v>
          </cell>
          <cell r="F220">
            <v>25000</v>
          </cell>
        </row>
        <row r="221">
          <cell r="B221">
            <v>0</v>
          </cell>
          <cell r="C221" t="str">
            <v>T . Miềng</v>
          </cell>
          <cell r="D221" t="str">
            <v>CNKT</v>
          </cell>
          <cell r="E221">
            <v>2.6666666666666665</v>
          </cell>
          <cell r="F221">
            <v>25000</v>
          </cell>
        </row>
        <row r="222">
          <cell r="B222">
            <v>0</v>
          </cell>
          <cell r="C222" t="str">
            <v>T . On Chay</v>
          </cell>
          <cell r="D222" t="str">
            <v>CNKT</v>
          </cell>
          <cell r="E222">
            <v>2.6666666666666665</v>
          </cell>
          <cell r="F222">
            <v>25000</v>
          </cell>
        </row>
        <row r="223">
          <cell r="B223">
            <v>0</v>
          </cell>
          <cell r="C223" t="str">
            <v>T . Son.</v>
          </cell>
          <cell r="D223" t="str">
            <v>CNKT</v>
          </cell>
          <cell r="E223">
            <v>2.6666666666666665</v>
          </cell>
          <cell r="F223">
            <v>25000</v>
          </cell>
        </row>
        <row r="224">
          <cell r="B224">
            <v>0</v>
          </cell>
          <cell r="C224" t="str">
            <v>T. Khăm...</v>
          </cell>
          <cell r="D224" t="str">
            <v>CNKT</v>
          </cell>
          <cell r="E224">
            <v>2.6666666666666665</v>
          </cell>
          <cell r="F224">
            <v>25000</v>
          </cell>
        </row>
        <row r="225">
          <cell r="B225">
            <v>0</v>
          </cell>
          <cell r="C225" t="str">
            <v>T. Luương thong</v>
          </cell>
          <cell r="D225" t="str">
            <v>CNKT</v>
          </cell>
          <cell r="E225">
            <v>2.6666666666666665</v>
          </cell>
          <cell r="F225">
            <v>25000</v>
          </cell>
        </row>
        <row r="226">
          <cell r="B226">
            <v>0</v>
          </cell>
          <cell r="C226" t="str">
            <v>N. Pheng</v>
          </cell>
          <cell r="D226" t="str">
            <v>CNKT</v>
          </cell>
          <cell r="E226">
            <v>2.6666666666666665</v>
          </cell>
          <cell r="F226">
            <v>25000</v>
          </cell>
        </row>
        <row r="227">
          <cell r="B227">
            <v>0</v>
          </cell>
          <cell r="C227" t="str">
            <v>T . K Đăm</v>
          </cell>
          <cell r="D227" t="str">
            <v>CNKT</v>
          </cell>
          <cell r="E227">
            <v>2.6666666666666665</v>
          </cell>
          <cell r="F227">
            <v>25000</v>
          </cell>
        </row>
        <row r="228">
          <cell r="B228">
            <v>0</v>
          </cell>
          <cell r="C228">
            <v>0</v>
          </cell>
          <cell r="D228" t="str">
            <v>CNKT</v>
          </cell>
          <cell r="E228">
            <v>0</v>
          </cell>
          <cell r="F228">
            <v>25000</v>
          </cell>
        </row>
        <row r="229">
          <cell r="B229">
            <v>0</v>
          </cell>
          <cell r="C229" t="str">
            <v>Khăn Hạ</v>
          </cell>
          <cell r="D229" t="str">
            <v>CNKT</v>
          </cell>
          <cell r="E229">
            <v>2.6666666666666665</v>
          </cell>
          <cell r="F229">
            <v>25000</v>
          </cell>
        </row>
        <row r="230">
          <cell r="B230">
            <v>0</v>
          </cell>
          <cell r="C230" t="str">
            <v>N. Xúc</v>
          </cell>
          <cell r="D230" t="str">
            <v>CNKT</v>
          </cell>
          <cell r="E230">
            <v>2.6666666666666665</v>
          </cell>
          <cell r="F230">
            <v>25000</v>
          </cell>
        </row>
        <row r="231">
          <cell r="B231">
            <v>0</v>
          </cell>
          <cell r="C231" t="str">
            <v>T. Nú</v>
          </cell>
          <cell r="D231" t="str">
            <v>CNKT</v>
          </cell>
          <cell r="E231">
            <v>2.6666666666666665</v>
          </cell>
          <cell r="F231">
            <v>25000</v>
          </cell>
        </row>
        <row r="232">
          <cell r="C232" t="str">
            <v>T . Lú</v>
          </cell>
          <cell r="D232" t="str">
            <v>CNKT</v>
          </cell>
          <cell r="E232">
            <v>2.6666666666666665</v>
          </cell>
          <cell r="F232">
            <v>25000</v>
          </cell>
        </row>
        <row r="233">
          <cell r="B233">
            <v>0</v>
          </cell>
          <cell r="C233" t="str">
            <v>T. A lem</v>
          </cell>
          <cell r="D233" t="str">
            <v>CNKT</v>
          </cell>
          <cell r="E233">
            <v>2.6666666666666665</v>
          </cell>
          <cell r="F233">
            <v>25000</v>
          </cell>
        </row>
        <row r="234">
          <cell r="C234" t="str">
            <v>T. Chăn</v>
          </cell>
          <cell r="D234" t="str">
            <v>CNKT</v>
          </cell>
          <cell r="E234">
            <v>2.6666666666666665</v>
          </cell>
          <cell r="F234">
            <v>25000</v>
          </cell>
        </row>
        <row r="235">
          <cell r="C235" t="str">
            <v>T . Cổ</v>
          </cell>
          <cell r="D235" t="str">
            <v>CNKT</v>
          </cell>
          <cell r="E235">
            <v>2.6666666666666665</v>
          </cell>
          <cell r="F235">
            <v>25000</v>
          </cell>
        </row>
        <row r="236">
          <cell r="C236" t="str">
            <v>N. Phim Pha</v>
          </cell>
          <cell r="D236" t="str">
            <v>CNKT</v>
          </cell>
          <cell r="E236">
            <v>2.6666666666666665</v>
          </cell>
          <cell r="F236">
            <v>25000</v>
          </cell>
        </row>
        <row r="237">
          <cell r="C237" t="str">
            <v>T. A Ba</v>
          </cell>
          <cell r="D237" t="str">
            <v>CNKT</v>
          </cell>
          <cell r="E237">
            <v>2.6666666666666665</v>
          </cell>
          <cell r="F237">
            <v>25000</v>
          </cell>
        </row>
        <row r="238">
          <cell r="C238" t="str">
            <v>T. Nọi</v>
          </cell>
          <cell r="D238" t="str">
            <v>CNKT</v>
          </cell>
          <cell r="E238">
            <v>1.3333333333333333</v>
          </cell>
          <cell r="F238">
            <v>25000</v>
          </cell>
        </row>
        <row r="239">
          <cell r="C239" t="str">
            <v>T. Lăm Phon</v>
          </cell>
          <cell r="D239" t="str">
            <v>CNKT</v>
          </cell>
          <cell r="E239">
            <v>2.6666666666666665</v>
          </cell>
          <cell r="F239">
            <v>25000</v>
          </cell>
        </row>
        <row r="240">
          <cell r="C240" t="str">
            <v>N. Mom</v>
          </cell>
          <cell r="D240" t="str">
            <v>CNKT</v>
          </cell>
          <cell r="E240">
            <v>2.6666666666666665</v>
          </cell>
          <cell r="F240">
            <v>25000</v>
          </cell>
        </row>
        <row r="241">
          <cell r="C241" t="str">
            <v>T. Thích</v>
          </cell>
          <cell r="D241" t="str">
            <v>CNKT</v>
          </cell>
          <cell r="E241">
            <v>0</v>
          </cell>
          <cell r="F241">
            <v>25000</v>
          </cell>
        </row>
        <row r="242">
          <cell r="C242" t="str">
            <v>Xô La</v>
          </cell>
          <cell r="D242" t="str">
            <v>CNKT</v>
          </cell>
          <cell r="E242">
            <v>2.6666666666666665</v>
          </cell>
          <cell r="F242">
            <v>25000</v>
          </cell>
        </row>
        <row r="243">
          <cell r="C243" t="str">
            <v>T. Xơn</v>
          </cell>
          <cell r="D243" t="str">
            <v>CNKT</v>
          </cell>
          <cell r="E243">
            <v>0</v>
          </cell>
          <cell r="F243">
            <v>25000</v>
          </cell>
        </row>
        <row r="244">
          <cell r="C244">
            <v>0</v>
          </cell>
          <cell r="D244" t="str">
            <v>CNKT</v>
          </cell>
          <cell r="E244">
            <v>0</v>
          </cell>
          <cell r="F244">
            <v>25000</v>
          </cell>
        </row>
        <row r="245">
          <cell r="C245" t="str">
            <v>N. Nô La</v>
          </cell>
          <cell r="D245" t="str">
            <v>CNKT</v>
          </cell>
          <cell r="E245">
            <v>1.3333333333333333</v>
          </cell>
          <cell r="F245">
            <v>25000</v>
          </cell>
        </row>
        <row r="246">
          <cell r="C246" t="str">
            <v>Um Khăm</v>
          </cell>
          <cell r="D246" t="str">
            <v>CNK</v>
          </cell>
          <cell r="E246">
            <v>55.2</v>
          </cell>
          <cell r="F246">
            <v>25000</v>
          </cell>
        </row>
        <row r="247">
          <cell r="C247" t="str">
            <v>Pu</v>
          </cell>
          <cell r="D247" t="str">
            <v>CNK</v>
          </cell>
          <cell r="E247">
            <v>0</v>
          </cell>
          <cell r="F247">
            <v>25000</v>
          </cell>
        </row>
        <row r="248">
          <cell r="C248" t="str">
            <v>Mon ( đ3)</v>
          </cell>
          <cell r="D248" t="str">
            <v>CNK</v>
          </cell>
          <cell r="E248">
            <v>486</v>
          </cell>
          <cell r="F248">
            <v>25000</v>
          </cell>
        </row>
        <row r="249">
          <cell r="E249">
            <v>708.02333333333331</v>
          </cell>
        </row>
        <row r="250">
          <cell r="E250">
            <v>127.94333333333336</v>
          </cell>
        </row>
        <row r="251">
          <cell r="C251" t="str">
            <v>Bun Khưn</v>
          </cell>
          <cell r="D251" t="str">
            <v>Đ. phó</v>
          </cell>
          <cell r="E251">
            <v>26</v>
          </cell>
        </row>
        <row r="252">
          <cell r="E252">
            <v>26</v>
          </cell>
          <cell r="G252" t="str">
            <v>Kíp</v>
          </cell>
        </row>
        <row r="253">
          <cell r="C253" t="str">
            <v>T . Vông</v>
          </cell>
          <cell r="D253" t="str">
            <v>Bảo vệ</v>
          </cell>
          <cell r="E253">
            <v>30</v>
          </cell>
          <cell r="F253">
            <v>40000</v>
          </cell>
          <cell r="G253" t="str">
            <v>Kíp</v>
          </cell>
        </row>
        <row r="254">
          <cell r="E254">
            <v>30</v>
          </cell>
          <cell r="F254">
            <v>40000</v>
          </cell>
        </row>
        <row r="255">
          <cell r="C255" t="str">
            <v>N. Teo</v>
          </cell>
          <cell r="D255" t="str">
            <v>CNKT</v>
          </cell>
          <cell r="E255">
            <v>1.3333333333333333</v>
          </cell>
          <cell r="F255">
            <v>25000</v>
          </cell>
        </row>
        <row r="256">
          <cell r="B256" t="str">
            <v>01569</v>
          </cell>
          <cell r="C256" t="str">
            <v>T . Thau</v>
          </cell>
          <cell r="D256" t="str">
            <v>CNKT</v>
          </cell>
          <cell r="E256">
            <v>1.3333333333333333</v>
          </cell>
          <cell r="F256">
            <v>25000</v>
          </cell>
        </row>
        <row r="257">
          <cell r="B257">
            <v>0</v>
          </cell>
          <cell r="C257" t="str">
            <v xml:space="preserve">T. Vi </v>
          </cell>
          <cell r="D257" t="str">
            <v>CNKT</v>
          </cell>
          <cell r="E257">
            <v>1.3333333333333333</v>
          </cell>
          <cell r="F257">
            <v>25000</v>
          </cell>
        </row>
        <row r="258">
          <cell r="B258">
            <v>0</v>
          </cell>
          <cell r="C258" t="str">
            <v>Khâm Đi</v>
          </cell>
          <cell r="D258" t="str">
            <v>CNKT</v>
          </cell>
          <cell r="E258">
            <v>1.3333333333333333</v>
          </cell>
          <cell r="F258">
            <v>25000</v>
          </cell>
        </row>
        <row r="259">
          <cell r="B259">
            <v>0</v>
          </cell>
          <cell r="C259" t="str">
            <v>T. Ve</v>
          </cell>
          <cell r="D259" t="str">
            <v>CNKT</v>
          </cell>
          <cell r="E259">
            <v>1.3333333333333333</v>
          </cell>
          <cell r="F259">
            <v>25000</v>
          </cell>
        </row>
        <row r="260">
          <cell r="B260">
            <v>0</v>
          </cell>
          <cell r="C260" t="str">
            <v>T. Thèo</v>
          </cell>
          <cell r="D260" t="str">
            <v>CNKT</v>
          </cell>
          <cell r="E260">
            <v>1.3333333333333333</v>
          </cell>
          <cell r="F260">
            <v>25000</v>
          </cell>
        </row>
        <row r="261">
          <cell r="B261">
            <v>0</v>
          </cell>
          <cell r="C261" t="str">
            <v>Kèo Xột</v>
          </cell>
          <cell r="D261" t="str">
            <v>CNKT</v>
          </cell>
          <cell r="E261">
            <v>1.3333333333333333</v>
          </cell>
          <cell r="F261">
            <v>25000</v>
          </cell>
        </row>
        <row r="262">
          <cell r="B262">
            <v>0</v>
          </cell>
          <cell r="C262" t="str">
            <v>N. Chít</v>
          </cell>
          <cell r="D262" t="str">
            <v>CNKT</v>
          </cell>
          <cell r="E262">
            <v>1.3333333333333333</v>
          </cell>
          <cell r="F262">
            <v>25000</v>
          </cell>
        </row>
        <row r="263">
          <cell r="B263">
            <v>0</v>
          </cell>
          <cell r="C263" t="str">
            <v>N. Căn Da</v>
          </cell>
          <cell r="D263" t="str">
            <v>CNKT</v>
          </cell>
          <cell r="E263">
            <v>1.3333333333333333</v>
          </cell>
          <cell r="F263">
            <v>25000</v>
          </cell>
        </row>
        <row r="264">
          <cell r="B264">
            <v>0</v>
          </cell>
          <cell r="C264" t="str">
            <v>T. Phim</v>
          </cell>
          <cell r="D264" t="str">
            <v>CNKT</v>
          </cell>
          <cell r="E264">
            <v>1.3333333333333333</v>
          </cell>
          <cell r="F264">
            <v>25000</v>
          </cell>
        </row>
        <row r="265">
          <cell r="B265">
            <v>0</v>
          </cell>
          <cell r="C265" t="str">
            <v>T Chăn Thi</v>
          </cell>
          <cell r="D265" t="str">
            <v>CNKT</v>
          </cell>
          <cell r="E265">
            <v>1.3333333333333333</v>
          </cell>
          <cell r="F265">
            <v>25000</v>
          </cell>
        </row>
        <row r="266">
          <cell r="B266">
            <v>0</v>
          </cell>
          <cell r="C266" t="str">
            <v>N. Văn Thong</v>
          </cell>
          <cell r="D266" t="str">
            <v>CNKT</v>
          </cell>
          <cell r="E266">
            <v>1.3333333333333333</v>
          </cell>
          <cell r="F266">
            <v>25000</v>
          </cell>
        </row>
        <row r="267">
          <cell r="B267">
            <v>0</v>
          </cell>
          <cell r="C267" t="str">
            <v>N. Sủm</v>
          </cell>
          <cell r="D267" t="str">
            <v>CNKT</v>
          </cell>
          <cell r="E267">
            <v>1.3333333333333333</v>
          </cell>
          <cell r="F267">
            <v>25000</v>
          </cell>
        </row>
        <row r="268">
          <cell r="B268">
            <v>0</v>
          </cell>
          <cell r="C268" t="str">
            <v>T. Dở</v>
          </cell>
          <cell r="D268" t="str">
            <v>CNKT</v>
          </cell>
          <cell r="E268">
            <v>1.3333333333333333</v>
          </cell>
          <cell r="F268">
            <v>25000</v>
          </cell>
        </row>
        <row r="269">
          <cell r="B269">
            <v>0</v>
          </cell>
          <cell r="C269" t="str">
            <v>T. Pơn</v>
          </cell>
          <cell r="D269" t="str">
            <v>CNKT</v>
          </cell>
          <cell r="E269">
            <v>1.3333333333333333</v>
          </cell>
          <cell r="F269">
            <v>25000</v>
          </cell>
        </row>
        <row r="270">
          <cell r="B270">
            <v>0</v>
          </cell>
          <cell r="C270" t="str">
            <v>T. Tắt</v>
          </cell>
          <cell r="D270" t="str">
            <v>CNKT</v>
          </cell>
          <cell r="E270">
            <v>1.3333333333333333</v>
          </cell>
          <cell r="F270">
            <v>25000</v>
          </cell>
        </row>
        <row r="271">
          <cell r="B271">
            <v>0</v>
          </cell>
          <cell r="C271" t="str">
            <v>T Viêng</v>
          </cell>
          <cell r="D271" t="str">
            <v>CNKT</v>
          </cell>
          <cell r="E271">
            <v>1.3333333333333333</v>
          </cell>
          <cell r="F271">
            <v>25000</v>
          </cell>
        </row>
        <row r="272">
          <cell r="B272">
            <v>0</v>
          </cell>
          <cell r="C272" t="str">
            <v>T.Xê</v>
          </cell>
          <cell r="D272" t="str">
            <v>CNKT</v>
          </cell>
          <cell r="E272">
            <v>1.3333333333333333</v>
          </cell>
          <cell r="F272">
            <v>25000</v>
          </cell>
        </row>
        <row r="273">
          <cell r="B273">
            <v>0</v>
          </cell>
          <cell r="C273" t="str">
            <v>T. Hách</v>
          </cell>
          <cell r="D273" t="str">
            <v>CNKT</v>
          </cell>
          <cell r="E273">
            <v>1.3333333333333333</v>
          </cell>
          <cell r="F273">
            <v>25000</v>
          </cell>
        </row>
        <row r="274">
          <cell r="B274">
            <v>0</v>
          </cell>
          <cell r="C274" t="str">
            <v>Khay Khăm</v>
          </cell>
          <cell r="D274" t="str">
            <v>CNKT</v>
          </cell>
          <cell r="E274">
            <v>1.3333333333333333</v>
          </cell>
          <cell r="F274">
            <v>25000</v>
          </cell>
        </row>
        <row r="275">
          <cell r="B275">
            <v>0</v>
          </cell>
          <cell r="C275" t="str">
            <v>N. Kẻ</v>
          </cell>
          <cell r="D275" t="str">
            <v>CNKT</v>
          </cell>
          <cell r="E275">
            <v>1.3333333333333333</v>
          </cell>
          <cell r="F275">
            <v>25000</v>
          </cell>
        </row>
        <row r="276">
          <cell r="B276">
            <v>0</v>
          </cell>
          <cell r="C276" t="str">
            <v>T. Chăn (4)</v>
          </cell>
          <cell r="D276" t="str">
            <v>CNKT</v>
          </cell>
          <cell r="E276">
            <v>1.3333333333333333</v>
          </cell>
          <cell r="F276">
            <v>25000</v>
          </cell>
        </row>
        <row r="277">
          <cell r="B277">
            <v>0</v>
          </cell>
          <cell r="C277" t="str">
            <v>T.Mon</v>
          </cell>
          <cell r="D277" t="str">
            <v>CNKT</v>
          </cell>
          <cell r="E277">
            <v>1.3333333333333333</v>
          </cell>
          <cell r="F277">
            <v>25000</v>
          </cell>
        </row>
        <row r="278">
          <cell r="B278">
            <v>0</v>
          </cell>
          <cell r="C278" t="str">
            <v>T.Nuộc</v>
          </cell>
          <cell r="D278" t="str">
            <v>CNKT</v>
          </cell>
          <cell r="E278">
            <v>1.3333333333333333</v>
          </cell>
          <cell r="F278">
            <v>25000</v>
          </cell>
        </row>
        <row r="279">
          <cell r="B279">
            <v>0</v>
          </cell>
          <cell r="C279" t="str">
            <v>T. Cơ</v>
          </cell>
          <cell r="D279" t="str">
            <v>CNKT</v>
          </cell>
          <cell r="E279">
            <v>1.3333333333333333</v>
          </cell>
          <cell r="F279">
            <v>25000</v>
          </cell>
        </row>
        <row r="280">
          <cell r="B280">
            <v>0</v>
          </cell>
          <cell r="C280" t="str">
            <v>T Phết</v>
          </cell>
          <cell r="D280" t="str">
            <v>CNKT</v>
          </cell>
          <cell r="E280">
            <v>1.3333333333333333</v>
          </cell>
          <cell r="F280">
            <v>25000</v>
          </cell>
        </row>
        <row r="281">
          <cell r="B281">
            <v>0</v>
          </cell>
          <cell r="C281" t="str">
            <v>Bông Tày</v>
          </cell>
          <cell r="D281" t="str">
            <v>CNKT</v>
          </cell>
          <cell r="E281">
            <v>1.3333333333333333</v>
          </cell>
          <cell r="F281">
            <v>25000</v>
          </cell>
        </row>
        <row r="282">
          <cell r="B282">
            <v>0</v>
          </cell>
          <cell r="C282" t="str">
            <v>T. Sắc</v>
          </cell>
          <cell r="D282" t="str">
            <v>CNKT</v>
          </cell>
          <cell r="E282">
            <v>1.3333333333333333</v>
          </cell>
          <cell r="F282">
            <v>25000</v>
          </cell>
        </row>
        <row r="283">
          <cell r="B283">
            <v>0</v>
          </cell>
          <cell r="C283" t="str">
            <v>T. Đông</v>
          </cell>
          <cell r="D283" t="str">
            <v>CNKT</v>
          </cell>
          <cell r="E283">
            <v>1.3333333333333333</v>
          </cell>
          <cell r="F283">
            <v>25000</v>
          </cell>
        </row>
        <row r="284">
          <cell r="B284">
            <v>0</v>
          </cell>
          <cell r="C284" t="str">
            <v>N. Lay (4)</v>
          </cell>
          <cell r="D284" t="str">
            <v>CNKT</v>
          </cell>
          <cell r="E284">
            <v>1.3333333333333333</v>
          </cell>
          <cell r="F284">
            <v>25000</v>
          </cell>
        </row>
        <row r="285">
          <cell r="B285">
            <v>0</v>
          </cell>
          <cell r="C285" t="str">
            <v>T . Sờ Mắc</v>
          </cell>
          <cell r="D285" t="str">
            <v>CNKT</v>
          </cell>
          <cell r="E285">
            <v>1.3333333333333333</v>
          </cell>
          <cell r="F285">
            <v>25000</v>
          </cell>
        </row>
        <row r="286">
          <cell r="B286">
            <v>0</v>
          </cell>
          <cell r="C286" t="str">
            <v xml:space="preserve">T. Xi </v>
          </cell>
          <cell r="D286" t="str">
            <v>CNKT</v>
          </cell>
          <cell r="E286">
            <v>1.3333333333333333</v>
          </cell>
          <cell r="F286">
            <v>25000</v>
          </cell>
        </row>
        <row r="287">
          <cell r="B287">
            <v>0</v>
          </cell>
          <cell r="C287" t="str">
            <v>T Pết</v>
          </cell>
          <cell r="D287" t="str">
            <v>CNKT</v>
          </cell>
          <cell r="E287">
            <v>1.3333333333333333</v>
          </cell>
          <cell r="F287">
            <v>25000</v>
          </cell>
        </row>
        <row r="288">
          <cell r="B288">
            <v>0</v>
          </cell>
          <cell r="C288" t="str">
            <v>N . Múc</v>
          </cell>
          <cell r="D288" t="str">
            <v>CNKT</v>
          </cell>
          <cell r="E288">
            <v>1.3333333333333333</v>
          </cell>
          <cell r="F288">
            <v>25000</v>
          </cell>
        </row>
        <row r="289">
          <cell r="B289">
            <v>0</v>
          </cell>
          <cell r="C289" t="str">
            <v>Khăm Xúc</v>
          </cell>
          <cell r="D289" t="str">
            <v>CNKT</v>
          </cell>
          <cell r="E289">
            <v>1.3333333333333333</v>
          </cell>
          <cell r="F289">
            <v>25000</v>
          </cell>
        </row>
        <row r="290">
          <cell r="B290">
            <v>0</v>
          </cell>
          <cell r="C290" t="str">
            <v>T Cổ</v>
          </cell>
          <cell r="D290" t="str">
            <v>CNKT</v>
          </cell>
          <cell r="E290">
            <v>1.3333333333333333</v>
          </cell>
          <cell r="F290">
            <v>25000</v>
          </cell>
        </row>
        <row r="291">
          <cell r="B291">
            <v>0</v>
          </cell>
          <cell r="C291" t="str">
            <v>T. Be</v>
          </cell>
          <cell r="D291" t="str">
            <v>CNKT</v>
          </cell>
          <cell r="E291">
            <v>1.3333333333333333</v>
          </cell>
          <cell r="F291">
            <v>25000</v>
          </cell>
        </row>
        <row r="292">
          <cell r="B292">
            <v>0</v>
          </cell>
          <cell r="C292" t="str">
            <v>T . Mưn</v>
          </cell>
          <cell r="D292" t="str">
            <v>CNKT</v>
          </cell>
          <cell r="E292">
            <v>1.3333333333333333</v>
          </cell>
          <cell r="F292">
            <v>25000</v>
          </cell>
        </row>
        <row r="293">
          <cell r="B293">
            <v>0</v>
          </cell>
          <cell r="C293" t="str">
            <v>T. Ô</v>
          </cell>
          <cell r="D293" t="str">
            <v>CNKT</v>
          </cell>
          <cell r="E293">
            <v>1.3333333333333333</v>
          </cell>
          <cell r="F293">
            <v>25000</v>
          </cell>
        </row>
        <row r="294">
          <cell r="B294">
            <v>0</v>
          </cell>
          <cell r="C294" t="str">
            <v>N. Lem</v>
          </cell>
          <cell r="D294" t="str">
            <v>CNKT</v>
          </cell>
          <cell r="E294">
            <v>1.3333333333333333</v>
          </cell>
          <cell r="F294">
            <v>25000</v>
          </cell>
        </row>
        <row r="295">
          <cell r="B295">
            <v>0</v>
          </cell>
          <cell r="C295" t="str">
            <v>T. Nọi (4)</v>
          </cell>
          <cell r="D295" t="str">
            <v>CNKT</v>
          </cell>
          <cell r="E295">
            <v>1.3333333333333333</v>
          </cell>
          <cell r="F295">
            <v>25000</v>
          </cell>
        </row>
        <row r="296">
          <cell r="B296">
            <v>0</v>
          </cell>
          <cell r="C296" t="str">
            <v>T. Mi</v>
          </cell>
          <cell r="D296" t="str">
            <v>CNKT</v>
          </cell>
          <cell r="E296">
            <v>1.3333333333333333</v>
          </cell>
          <cell r="F296">
            <v>25000</v>
          </cell>
        </row>
        <row r="297">
          <cell r="B297">
            <v>0</v>
          </cell>
          <cell r="C297" t="str">
            <v>T. Súc</v>
          </cell>
          <cell r="D297" t="str">
            <v>CNKT</v>
          </cell>
          <cell r="E297">
            <v>1.3333333333333333</v>
          </cell>
          <cell r="F297">
            <v>25000</v>
          </cell>
        </row>
        <row r="298">
          <cell r="B298">
            <v>0</v>
          </cell>
          <cell r="C298" t="str">
            <v>N. Sum Kang</v>
          </cell>
          <cell r="D298" t="str">
            <v>CNKT</v>
          </cell>
          <cell r="E298">
            <v>0</v>
          </cell>
          <cell r="F298">
            <v>25000</v>
          </cell>
        </row>
        <row r="299">
          <cell r="B299">
            <v>0</v>
          </cell>
          <cell r="C299" t="str">
            <v xml:space="preserve">N. Khăm </v>
          </cell>
          <cell r="D299" t="str">
            <v>CNKT</v>
          </cell>
          <cell r="E299">
            <v>1.3333333333333333</v>
          </cell>
          <cell r="F299">
            <v>25000</v>
          </cell>
        </row>
        <row r="300">
          <cell r="C300" t="str">
            <v>T. Xủm</v>
          </cell>
          <cell r="D300" t="str">
            <v>CNKT</v>
          </cell>
          <cell r="E300">
            <v>1.3333333333333333</v>
          </cell>
          <cell r="F300">
            <v>25000</v>
          </cell>
        </row>
        <row r="301">
          <cell r="C301" t="str">
            <v>N.Phon</v>
          </cell>
          <cell r="D301" t="str">
            <v>CNKT</v>
          </cell>
          <cell r="E301">
            <v>1.3333333333333333</v>
          </cell>
          <cell r="F301">
            <v>25000</v>
          </cell>
        </row>
        <row r="302">
          <cell r="C302" t="str">
            <v>T. Choi</v>
          </cell>
          <cell r="D302" t="str">
            <v>CNKT</v>
          </cell>
          <cell r="E302">
            <v>1.3333333333333333</v>
          </cell>
          <cell r="F302">
            <v>25000</v>
          </cell>
        </row>
        <row r="303">
          <cell r="C303" t="str">
            <v>N. Lã</v>
          </cell>
          <cell r="D303" t="str">
            <v>CNKT</v>
          </cell>
          <cell r="E303">
            <v>1.3333333333333333</v>
          </cell>
          <cell r="F303">
            <v>25000</v>
          </cell>
        </row>
        <row r="304">
          <cell r="C304" t="str">
            <v>Vông Chăn</v>
          </cell>
          <cell r="D304" t="str">
            <v>CNKT</v>
          </cell>
          <cell r="E304">
            <v>1.3333333333333333</v>
          </cell>
          <cell r="F304">
            <v>25000</v>
          </cell>
        </row>
        <row r="305">
          <cell r="C305" t="str">
            <v>T. Mựt</v>
          </cell>
          <cell r="D305" t="str">
            <v>CNKT</v>
          </cell>
          <cell r="E305">
            <v>1.3333333333333333</v>
          </cell>
          <cell r="F305">
            <v>25000</v>
          </cell>
        </row>
        <row r="306">
          <cell r="C306" t="str">
            <v>N. Phút</v>
          </cell>
          <cell r="D306" t="str">
            <v>CNKT</v>
          </cell>
          <cell r="E306">
            <v>1.3333333333333333</v>
          </cell>
          <cell r="F306">
            <v>25000</v>
          </cell>
        </row>
        <row r="307">
          <cell r="C307" t="str">
            <v>Khăm Nôn</v>
          </cell>
          <cell r="D307" t="str">
            <v>CNKT</v>
          </cell>
          <cell r="E307">
            <v>1.3333333333333333</v>
          </cell>
          <cell r="F307">
            <v>25000</v>
          </cell>
        </row>
        <row r="308">
          <cell r="C308" t="str">
            <v>T. Ỉa</v>
          </cell>
          <cell r="D308" t="str">
            <v>CNKT</v>
          </cell>
          <cell r="E308">
            <v>0</v>
          </cell>
          <cell r="F308">
            <v>25000</v>
          </cell>
        </row>
        <row r="309">
          <cell r="C309" t="str">
            <v>T. Khăm</v>
          </cell>
          <cell r="D309" t="str">
            <v>CNKT</v>
          </cell>
          <cell r="E309">
            <v>0</v>
          </cell>
          <cell r="F309">
            <v>25000</v>
          </cell>
        </row>
        <row r="310">
          <cell r="C310" t="str">
            <v>N. Muôn</v>
          </cell>
          <cell r="D310" t="str">
            <v>CNKT</v>
          </cell>
          <cell r="E310">
            <v>0</v>
          </cell>
          <cell r="F310">
            <v>25000</v>
          </cell>
        </row>
        <row r="311">
          <cell r="C311" t="str">
            <v>T. Ta</v>
          </cell>
          <cell r="D311" t="str">
            <v>CNKT</v>
          </cell>
          <cell r="E311">
            <v>0</v>
          </cell>
          <cell r="F311">
            <v>25000</v>
          </cell>
        </row>
        <row r="312">
          <cell r="C312" t="str">
            <v>T Ka Ly</v>
          </cell>
          <cell r="D312" t="str">
            <v>CNKT</v>
          </cell>
          <cell r="E312">
            <v>0</v>
          </cell>
          <cell r="F312">
            <v>25000</v>
          </cell>
        </row>
        <row r="313">
          <cell r="C313" t="str">
            <v>Mủ XI Rum</v>
          </cell>
          <cell r="D313" t="str">
            <v>CNKT</v>
          </cell>
          <cell r="E313">
            <v>0</v>
          </cell>
          <cell r="F313">
            <v>25000</v>
          </cell>
        </row>
        <row r="314">
          <cell r="C314" t="str">
            <v>Mon</v>
          </cell>
          <cell r="D314" t="str">
            <v xml:space="preserve">CNK </v>
          </cell>
          <cell r="E314">
            <v>0</v>
          </cell>
          <cell r="F314">
            <v>25000</v>
          </cell>
        </row>
        <row r="315">
          <cell r="C315" t="str">
            <v>T. Cung</v>
          </cell>
          <cell r="D315" t="str">
            <v xml:space="preserve">CNK </v>
          </cell>
          <cell r="E315">
            <v>2.61</v>
          </cell>
          <cell r="F315">
            <v>25000</v>
          </cell>
        </row>
        <row r="316">
          <cell r="E316">
            <v>71.943333333333356</v>
          </cell>
        </row>
        <row r="317">
          <cell r="E317">
            <v>1768.1030303030302</v>
          </cell>
        </row>
        <row r="320">
          <cell r="C320" t="str">
            <v>PHÒNG TC - KT</v>
          </cell>
        </row>
        <row r="335">
          <cell r="C335" t="e">
            <v>#REF!</v>
          </cell>
          <cell r="F335" t="str">
            <v>SL A</v>
          </cell>
        </row>
        <row r="336">
          <cell r="F336" t="str">
            <v>SLB</v>
          </cell>
        </row>
        <row r="337">
          <cell r="F337" t="str">
            <v>SLC</v>
          </cell>
        </row>
        <row r="338">
          <cell r="F338" t="str">
            <v>SLD</v>
          </cell>
        </row>
        <row r="342">
          <cell r="F342" t="str">
            <v>ngày công thường</v>
          </cell>
        </row>
        <row r="343">
          <cell r="F343" t="str">
            <v>ngày công đúp</v>
          </cell>
        </row>
        <row r="344">
          <cell r="F344" t="str">
            <v>Ngày công đi cạo đúp có bốc mủ</v>
          </cell>
        </row>
        <row r="345">
          <cell r="F345" t="str">
            <v>chủ nhật</v>
          </cell>
        </row>
        <row r="346">
          <cell r="F346" t="str">
            <v>chủ nhật đúp</v>
          </cell>
        </row>
        <row r="347">
          <cell r="F347" t="str">
            <v>Ngày chủ nhật đi cạo đúp có bốc mủ</v>
          </cell>
        </row>
        <row r="349">
          <cell r="F349" t="str">
            <v>lương sp</v>
          </cell>
        </row>
        <row r="350">
          <cell r="E350" t="str">
            <v>lương Đội Lào Phôn +bun khưn</v>
          </cell>
        </row>
        <row r="351">
          <cell r="F351" t="str">
            <v>lương Đội Lào Vôn</v>
          </cell>
        </row>
        <row r="352">
          <cell r="F352" t="str">
            <v>lương BV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9">
          <cell r="C9">
            <v>20743</v>
          </cell>
        </row>
        <row r="10">
          <cell r="C10">
            <v>1.0048999999999999</v>
          </cell>
        </row>
      </sheetData>
      <sheetData sheetId="19" refreshError="1"/>
      <sheetData sheetId="20" refreshError="1"/>
      <sheetData sheetId="21" refreshError="1"/>
      <sheetData sheetId="22">
        <row r="12">
          <cell r="E12" t="str">
            <v>Tẩn</v>
          </cell>
          <cell r="H12">
            <v>350</v>
          </cell>
        </row>
        <row r="13">
          <cell r="E13" t="str">
            <v>Ca Tăn</v>
          </cell>
        </row>
        <row r="14">
          <cell r="E14" t="str">
            <v>Đao Tha La</v>
          </cell>
          <cell r="H14">
            <v>350</v>
          </cell>
        </row>
        <row r="15">
          <cell r="D15" t="str">
            <v>02358</v>
          </cell>
          <cell r="E15" t="str">
            <v>Sum Mai</v>
          </cell>
          <cell r="H15">
            <v>310</v>
          </cell>
        </row>
        <row r="17">
          <cell r="D17" t="str">
            <v>01925</v>
          </cell>
          <cell r="E17" t="str">
            <v>Cưng</v>
          </cell>
        </row>
        <row r="18">
          <cell r="D18" t="str">
            <v>01926</v>
          </cell>
          <cell r="E18" t="str">
            <v>A Viêng</v>
          </cell>
        </row>
        <row r="19">
          <cell r="D19" t="str">
            <v>01927</v>
          </cell>
          <cell r="E19" t="str">
            <v>Keo</v>
          </cell>
        </row>
        <row r="20">
          <cell r="D20" t="str">
            <v>01928</v>
          </cell>
          <cell r="E20" t="str">
            <v>Vay</v>
          </cell>
        </row>
        <row r="21">
          <cell r="D21" t="str">
            <v>01929</v>
          </cell>
          <cell r="E21" t="str">
            <v>Vi Khăm</v>
          </cell>
        </row>
        <row r="22">
          <cell r="D22" t="str">
            <v>01930</v>
          </cell>
          <cell r="E22" t="str">
            <v>T. Pu</v>
          </cell>
        </row>
        <row r="23">
          <cell r="D23" t="str">
            <v>01945</v>
          </cell>
          <cell r="E23" t="str">
            <v>Tôn Ma</v>
          </cell>
        </row>
        <row r="24">
          <cell r="D24" t="str">
            <v>01956</v>
          </cell>
          <cell r="E24" t="str">
            <v>Leo</v>
          </cell>
        </row>
        <row r="25">
          <cell r="D25" t="str">
            <v>01957</v>
          </cell>
          <cell r="E25" t="str">
            <v>Phi</v>
          </cell>
        </row>
        <row r="26">
          <cell r="D26" t="str">
            <v>01963</v>
          </cell>
          <cell r="E26" t="str">
            <v>Đăm</v>
          </cell>
        </row>
        <row r="27">
          <cell r="E27" t="str">
            <v xml:space="preserve"> Pợt</v>
          </cell>
        </row>
        <row r="28">
          <cell r="E28" t="str">
            <v>May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329"/>
  <sheetViews>
    <sheetView topLeftCell="A7" zoomScale="85" zoomScaleNormal="85" workbookViewId="0">
      <pane ySplit="3" topLeftCell="A296" activePane="bottomLeft" state="frozen"/>
      <selection activeCell="A7" sqref="A7"/>
      <selection pane="bottomLeft" activeCell="E240" sqref="E240:AI305"/>
    </sheetView>
  </sheetViews>
  <sheetFormatPr defaultColWidth="5.28515625" defaultRowHeight="12.75"/>
  <cols>
    <col min="1" max="2" width="3.85546875" style="229" customWidth="1"/>
    <col min="3" max="3" width="14.140625" style="229" customWidth="1"/>
    <col min="4" max="4" width="7.5703125" style="13" customWidth="1"/>
    <col min="5" max="33" width="4.28515625" style="229" customWidth="1"/>
    <col min="34" max="34" width="5" style="229" customWidth="1"/>
    <col min="35" max="35" width="5.7109375" style="229" customWidth="1"/>
    <col min="36" max="37" width="6.7109375" style="229" customWidth="1"/>
    <col min="38" max="38" width="7.42578125" style="229" hidden="1" customWidth="1"/>
    <col min="39" max="39" width="6.85546875" style="229" hidden="1" customWidth="1"/>
    <col min="40" max="40" width="7.42578125" style="229" customWidth="1"/>
    <col min="41" max="41" width="7.42578125" style="229" hidden="1" customWidth="1"/>
    <col min="42" max="42" width="8.7109375" style="229" customWidth="1"/>
    <col min="43" max="43" width="11.140625" style="230" customWidth="1"/>
    <col min="44" max="44" width="5.28515625" style="229"/>
    <col min="45" max="45" width="9.7109375" style="229" customWidth="1"/>
    <col min="46" max="46" width="9" style="953" customWidth="1"/>
    <col min="47" max="16384" width="5.28515625" style="229"/>
  </cols>
  <sheetData>
    <row r="1" spans="1:52" ht="16.5">
      <c r="B1" s="1897" t="s">
        <v>90</v>
      </c>
      <c r="C1" s="1897"/>
      <c r="D1" s="1897"/>
      <c r="E1" s="1897"/>
      <c r="F1" s="1897"/>
      <c r="G1" s="1897"/>
      <c r="H1" s="1897"/>
      <c r="I1" s="1897"/>
      <c r="J1" s="1897"/>
      <c r="K1" s="1897"/>
      <c r="L1" s="1897"/>
      <c r="M1" s="1897"/>
      <c r="N1" s="1897"/>
      <c r="O1" s="1897"/>
      <c r="P1" s="1897"/>
      <c r="Q1" s="1897"/>
      <c r="R1" s="1897"/>
      <c r="S1" s="1897"/>
      <c r="T1" s="1897"/>
      <c r="U1" s="1897"/>
      <c r="V1" s="1897"/>
      <c r="W1" s="1897"/>
      <c r="X1" s="1897"/>
      <c r="Y1" s="1897"/>
      <c r="Z1" s="1897"/>
      <c r="AA1" s="1897"/>
      <c r="AB1" s="1897"/>
      <c r="AC1" s="1897"/>
      <c r="AD1" s="1897"/>
      <c r="AE1" s="1897"/>
      <c r="AF1" s="1897"/>
      <c r="AG1" s="1897"/>
      <c r="AH1" s="1897"/>
      <c r="AI1" s="1897"/>
      <c r="AJ1" s="1897"/>
      <c r="AK1" s="1897"/>
      <c r="AL1" s="1897"/>
      <c r="AM1" s="1897"/>
      <c r="AN1" s="1897"/>
      <c r="AO1" s="1897"/>
      <c r="AP1" s="1897"/>
    </row>
    <row r="2" spans="1:52" ht="16.5">
      <c r="B2" s="1897" t="s">
        <v>91</v>
      </c>
      <c r="C2" s="1897"/>
      <c r="D2" s="1897"/>
      <c r="E2" s="1897"/>
      <c r="F2" s="1897"/>
      <c r="G2" s="1897"/>
      <c r="H2" s="1897"/>
      <c r="I2" s="1897"/>
      <c r="J2" s="1897"/>
      <c r="K2" s="1897"/>
      <c r="L2" s="1897"/>
      <c r="M2" s="1897"/>
      <c r="N2" s="1897"/>
      <c r="O2" s="1897"/>
      <c r="P2" s="1897"/>
      <c r="Q2" s="1897"/>
      <c r="R2" s="1897"/>
      <c r="S2" s="1897"/>
      <c r="T2" s="1897"/>
      <c r="U2" s="1897"/>
      <c r="V2" s="1897"/>
      <c r="W2" s="1897"/>
      <c r="X2" s="1897"/>
      <c r="Y2" s="1897"/>
      <c r="Z2" s="1897"/>
      <c r="AA2" s="1897"/>
      <c r="AB2" s="1897"/>
      <c r="AC2" s="1897"/>
      <c r="AD2" s="1897"/>
      <c r="AE2" s="1897"/>
      <c r="AF2" s="1897"/>
      <c r="AG2" s="1897"/>
      <c r="AH2" s="1897"/>
      <c r="AI2" s="1897"/>
      <c r="AJ2" s="1897"/>
      <c r="AK2" s="1897"/>
      <c r="AL2" s="1897"/>
      <c r="AM2" s="1897"/>
      <c r="AN2" s="1897"/>
      <c r="AO2" s="1897"/>
      <c r="AP2" s="1897"/>
    </row>
    <row r="3" spans="1:52" ht="16.5">
      <c r="B3" s="1898" t="s">
        <v>604</v>
      </c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7"/>
      <c r="S3" s="1897"/>
      <c r="T3" s="1897"/>
      <c r="U3" s="1897"/>
      <c r="V3" s="1897"/>
      <c r="W3" s="1897"/>
      <c r="X3" s="1897"/>
      <c r="Y3" s="1897"/>
      <c r="Z3" s="1897"/>
      <c r="AA3" s="1897"/>
      <c r="AB3" s="1897"/>
      <c r="AC3" s="1897"/>
      <c r="AD3" s="1897"/>
      <c r="AE3" s="1897"/>
      <c r="AF3" s="1897"/>
      <c r="AG3" s="1897"/>
      <c r="AH3" s="1897"/>
      <c r="AI3" s="1897"/>
      <c r="AJ3" s="1897"/>
      <c r="AK3" s="1897"/>
      <c r="AL3" s="1897"/>
      <c r="AM3" s="1897"/>
      <c r="AN3" s="1897"/>
      <c r="AO3" s="1897"/>
      <c r="AP3" s="1897"/>
    </row>
    <row r="4" spans="1:52" ht="9" customHeight="1">
      <c r="B4" s="568"/>
      <c r="C4" s="568"/>
      <c r="D4" s="954"/>
      <c r="E4" s="568"/>
      <c r="F4" s="568"/>
      <c r="G4" s="568"/>
      <c r="H4" s="568"/>
      <c r="I4" s="568"/>
      <c r="J4" s="568"/>
      <c r="K4" s="568"/>
      <c r="L4" s="568"/>
      <c r="M4" s="564"/>
      <c r="N4" s="564"/>
      <c r="O4" s="564"/>
      <c r="P4" s="564"/>
      <c r="Q4" s="564"/>
      <c r="R4" s="564"/>
      <c r="S4" s="564"/>
      <c r="T4" s="564"/>
      <c r="U4" s="564"/>
      <c r="V4" s="564"/>
      <c r="W4" s="564"/>
      <c r="X4" s="564"/>
      <c r="Y4" s="564"/>
      <c r="Z4" s="564"/>
      <c r="AA4" s="564"/>
      <c r="AB4" s="564"/>
      <c r="AC4" s="564"/>
      <c r="AD4" s="564"/>
      <c r="AE4" s="564"/>
      <c r="AF4" s="564"/>
      <c r="AG4" s="564"/>
      <c r="AH4" s="564"/>
      <c r="AI4" s="564"/>
      <c r="AJ4" s="360"/>
      <c r="AK4" s="360"/>
      <c r="AL4" s="360"/>
      <c r="AM4" s="360"/>
      <c r="AN4" s="360"/>
      <c r="AO4" s="360"/>
      <c r="AP4" s="360"/>
    </row>
    <row r="5" spans="1:52" ht="16.5">
      <c r="B5" s="1899" t="s">
        <v>479</v>
      </c>
      <c r="C5" s="1899"/>
      <c r="D5" s="1899"/>
      <c r="E5" s="1899"/>
      <c r="F5" s="1899"/>
      <c r="G5" s="1899"/>
      <c r="H5" s="1899"/>
      <c r="I5" s="1899"/>
      <c r="J5" s="1899"/>
      <c r="K5" s="1899"/>
      <c r="L5" s="1899"/>
      <c r="M5" s="1899"/>
      <c r="N5" s="1899"/>
      <c r="O5" s="1899"/>
      <c r="P5" s="564"/>
      <c r="Q5" s="564"/>
      <c r="R5" s="564"/>
      <c r="S5" s="564"/>
      <c r="T5" s="564"/>
      <c r="U5" s="564"/>
      <c r="V5" s="564"/>
      <c r="W5" s="564"/>
      <c r="X5" s="564"/>
      <c r="Y5" s="564"/>
      <c r="Z5" s="564"/>
      <c r="AA5" s="564"/>
      <c r="AB5" s="564"/>
      <c r="AC5" s="564"/>
      <c r="AD5" s="564"/>
      <c r="AE5" s="564"/>
      <c r="AF5" s="564"/>
      <c r="AG5" s="564"/>
      <c r="AH5" s="564"/>
      <c r="AI5" s="564"/>
      <c r="AJ5" s="360"/>
      <c r="AK5" s="360"/>
      <c r="AL5" s="360"/>
      <c r="AM5" s="360"/>
      <c r="AN5" s="360"/>
      <c r="AO5" s="360"/>
      <c r="AP5" s="360"/>
    </row>
    <row r="6" spans="1:52" ht="16.5">
      <c r="B6" s="1899" t="s">
        <v>101</v>
      </c>
      <c r="C6" s="1899"/>
      <c r="D6" s="1899"/>
      <c r="E6" s="1899"/>
      <c r="F6" s="1899"/>
      <c r="G6" s="1899"/>
      <c r="H6" s="1899"/>
      <c r="I6" s="1899"/>
      <c r="J6" s="1899"/>
      <c r="K6" s="1899"/>
      <c r="L6" s="1899"/>
      <c r="M6" s="1899"/>
      <c r="N6" s="1899"/>
      <c r="O6" s="1899"/>
      <c r="P6" s="564"/>
      <c r="Q6" s="564"/>
      <c r="R6" s="564"/>
      <c r="S6" s="564"/>
      <c r="T6" s="564"/>
      <c r="U6" s="564"/>
      <c r="V6" s="564"/>
      <c r="W6" s="564"/>
      <c r="X6" s="564"/>
      <c r="Y6" s="564"/>
      <c r="Z6" s="564"/>
      <c r="AA6" s="564"/>
      <c r="AB6" s="564"/>
      <c r="AC6" s="564"/>
      <c r="AD6" s="564"/>
      <c r="AE6" s="564"/>
      <c r="AF6" s="564"/>
      <c r="AG6" s="564"/>
      <c r="AH6" s="564"/>
      <c r="AI6" s="564"/>
      <c r="AJ6" s="360"/>
      <c r="AK6" s="360"/>
      <c r="AL6" s="360"/>
      <c r="AM6" s="360"/>
      <c r="AN6" s="360"/>
      <c r="AO6" s="360"/>
      <c r="AP6" s="360"/>
    </row>
    <row r="7" spans="1:52" ht="25.5" customHeight="1">
      <c r="B7" s="1896" t="s">
        <v>1153</v>
      </c>
      <c r="C7" s="1896"/>
      <c r="D7" s="1896"/>
      <c r="E7" s="1896"/>
      <c r="F7" s="1896"/>
      <c r="G7" s="1896"/>
      <c r="H7" s="1896"/>
      <c r="I7" s="1896"/>
      <c r="J7" s="1896"/>
      <c r="K7" s="1896"/>
      <c r="L7" s="1896"/>
      <c r="M7" s="1896"/>
      <c r="N7" s="1896"/>
      <c r="O7" s="1896"/>
      <c r="P7" s="1896"/>
      <c r="Q7" s="1896"/>
      <c r="R7" s="1896"/>
      <c r="S7" s="1896"/>
      <c r="T7" s="1896"/>
      <c r="U7" s="1896"/>
      <c r="V7" s="1896"/>
      <c r="W7" s="1896"/>
      <c r="X7" s="1896"/>
      <c r="Y7" s="1896"/>
      <c r="Z7" s="1896"/>
      <c r="AA7" s="1896"/>
      <c r="AB7" s="1896"/>
      <c r="AC7" s="1896"/>
      <c r="AD7" s="1896"/>
      <c r="AE7" s="1896"/>
      <c r="AF7" s="1896"/>
      <c r="AG7" s="1896"/>
      <c r="AH7" s="1896"/>
      <c r="AI7" s="1896"/>
      <c r="AJ7" s="1896"/>
      <c r="AK7" s="1896"/>
      <c r="AL7" s="1896"/>
      <c r="AM7" s="1896"/>
      <c r="AN7" s="1896"/>
      <c r="AO7" s="1896"/>
      <c r="AP7" s="1896"/>
    </row>
    <row r="8" spans="1:52" ht="15.75" customHeight="1">
      <c r="A8" s="1887" t="s">
        <v>11</v>
      </c>
      <c r="B8" s="1908" t="s">
        <v>11</v>
      </c>
      <c r="C8" s="1906" t="s">
        <v>93</v>
      </c>
      <c r="D8" s="1907" t="s">
        <v>94</v>
      </c>
      <c r="E8" s="1903" t="s">
        <v>96</v>
      </c>
      <c r="F8" s="1904"/>
      <c r="G8" s="1904"/>
      <c r="H8" s="1904"/>
      <c r="I8" s="1904"/>
      <c r="J8" s="1904"/>
      <c r="K8" s="1904"/>
      <c r="L8" s="1904"/>
      <c r="M8" s="1904"/>
      <c r="N8" s="1904"/>
      <c r="O8" s="1904"/>
      <c r="P8" s="1904"/>
      <c r="Q8" s="1904"/>
      <c r="R8" s="1904"/>
      <c r="S8" s="1904"/>
      <c r="T8" s="1904"/>
      <c r="U8" s="1904"/>
      <c r="V8" s="1904"/>
      <c r="W8" s="1904"/>
      <c r="X8" s="1904"/>
      <c r="Y8" s="1904"/>
      <c r="Z8" s="1904"/>
      <c r="AA8" s="1904"/>
      <c r="AB8" s="1904"/>
      <c r="AC8" s="1904"/>
      <c r="AD8" s="1904"/>
      <c r="AE8" s="1904"/>
      <c r="AF8" s="1904"/>
      <c r="AG8" s="1904"/>
      <c r="AH8" s="1904"/>
      <c r="AI8" s="1905"/>
      <c r="AJ8" s="1901" t="s">
        <v>446</v>
      </c>
      <c r="AK8" s="1901" t="s">
        <v>447</v>
      </c>
      <c r="AL8" s="1901" t="s">
        <v>919</v>
      </c>
      <c r="AM8" s="1885" t="s">
        <v>924</v>
      </c>
      <c r="AN8" s="1885" t="s">
        <v>917</v>
      </c>
      <c r="AO8" s="1885" t="s">
        <v>918</v>
      </c>
      <c r="AP8" s="1901" t="s">
        <v>49</v>
      </c>
      <c r="AQ8" s="1900" t="s">
        <v>803</v>
      </c>
      <c r="AU8" s="1144" t="s">
        <v>446</v>
      </c>
      <c r="AV8" s="1144" t="s">
        <v>447</v>
      </c>
      <c r="AW8" s="1144" t="s">
        <v>919</v>
      </c>
      <c r="AX8" s="1144" t="s">
        <v>924</v>
      </c>
      <c r="AY8" s="1144" t="s">
        <v>917</v>
      </c>
      <c r="AZ8" s="1144" t="s">
        <v>918</v>
      </c>
    </row>
    <row r="9" spans="1:52" ht="73.5" customHeight="1">
      <c r="A9" s="1887"/>
      <c r="B9" s="1908"/>
      <c r="C9" s="1906"/>
      <c r="D9" s="1907"/>
      <c r="E9" s="1517">
        <v>1</v>
      </c>
      <c r="F9" s="887">
        <v>2</v>
      </c>
      <c r="G9" s="1517">
        <v>3</v>
      </c>
      <c r="H9" s="887">
        <v>4</v>
      </c>
      <c r="I9" s="1517">
        <v>5</v>
      </c>
      <c r="J9" s="887">
        <v>6</v>
      </c>
      <c r="K9" s="1517">
        <v>7</v>
      </c>
      <c r="L9" s="887">
        <v>8</v>
      </c>
      <c r="M9" s="1517">
        <v>9</v>
      </c>
      <c r="N9" s="887">
        <v>10</v>
      </c>
      <c r="O9" s="1517">
        <v>11</v>
      </c>
      <c r="P9" s="887">
        <v>12</v>
      </c>
      <c r="Q9" s="1517">
        <v>13</v>
      </c>
      <c r="R9" s="887">
        <v>14</v>
      </c>
      <c r="S9" s="1517">
        <v>15</v>
      </c>
      <c r="T9" s="887">
        <v>16</v>
      </c>
      <c r="U9" s="1517">
        <v>17</v>
      </c>
      <c r="V9" s="887">
        <v>18</v>
      </c>
      <c r="W9" s="1517">
        <v>19</v>
      </c>
      <c r="X9" s="887">
        <v>20</v>
      </c>
      <c r="Y9" s="1517">
        <v>21</v>
      </c>
      <c r="Z9" s="887">
        <v>22</v>
      </c>
      <c r="AA9" s="1517">
        <v>23</v>
      </c>
      <c r="AB9" s="887">
        <v>24</v>
      </c>
      <c r="AC9" s="1517">
        <v>25</v>
      </c>
      <c r="AD9" s="887">
        <v>26</v>
      </c>
      <c r="AE9" s="1517">
        <v>27</v>
      </c>
      <c r="AF9" s="887">
        <v>28</v>
      </c>
      <c r="AG9" s="1517">
        <v>29</v>
      </c>
      <c r="AH9" s="887">
        <v>30</v>
      </c>
      <c r="AI9" s="1517">
        <v>31</v>
      </c>
      <c r="AJ9" s="1901"/>
      <c r="AK9" s="1901"/>
      <c r="AL9" s="1901"/>
      <c r="AM9" s="1886"/>
      <c r="AN9" s="1886"/>
      <c r="AO9" s="1886"/>
      <c r="AP9" s="1901"/>
      <c r="AQ9" s="1900"/>
      <c r="AU9" s="1145"/>
      <c r="AV9" s="1145"/>
      <c r="AW9" s="1145"/>
      <c r="AX9" s="1145"/>
      <c r="AY9" s="1145"/>
      <c r="AZ9" s="1145"/>
    </row>
    <row r="10" spans="1:52" s="1233" customFormat="1" ht="15.75" customHeight="1">
      <c r="A10" s="1235"/>
      <c r="B10" s="1906" t="s">
        <v>110</v>
      </c>
      <c r="C10" s="1906"/>
      <c r="D10" s="1906"/>
      <c r="E10" s="1236">
        <f t="shared" ref="E10:AH10" si="0">SUM(COUNTIF(E11:E90,"x"))+(COUNTIF(E11:E90,"cn"))+(COUNTIF(E11:E90,"gt"))+(COUNTIF(E11:E90,"ct"))</f>
        <v>0</v>
      </c>
      <c r="F10" s="1236">
        <f t="shared" si="0"/>
        <v>0</v>
      </c>
      <c r="G10" s="1236">
        <f t="shared" si="0"/>
        <v>0</v>
      </c>
      <c r="H10" s="1236">
        <f t="shared" si="0"/>
        <v>0</v>
      </c>
      <c r="I10" s="1236">
        <f t="shared" si="0"/>
        <v>0</v>
      </c>
      <c r="J10" s="1236">
        <f t="shared" si="0"/>
        <v>0</v>
      </c>
      <c r="K10" s="1236">
        <f t="shared" si="0"/>
        <v>0</v>
      </c>
      <c r="L10" s="1236">
        <f t="shared" si="0"/>
        <v>0</v>
      </c>
      <c r="M10" s="1236">
        <f t="shared" si="0"/>
        <v>0</v>
      </c>
      <c r="N10" s="1236">
        <f t="shared" si="0"/>
        <v>0</v>
      </c>
      <c r="O10" s="1236">
        <f t="shared" si="0"/>
        <v>0</v>
      </c>
      <c r="P10" s="1236">
        <f t="shared" si="0"/>
        <v>0</v>
      </c>
      <c r="Q10" s="1236">
        <f t="shared" si="0"/>
        <v>0</v>
      </c>
      <c r="R10" s="1236">
        <f t="shared" si="0"/>
        <v>0</v>
      </c>
      <c r="S10" s="1236">
        <f t="shared" si="0"/>
        <v>0</v>
      </c>
      <c r="T10" s="1236">
        <f t="shared" si="0"/>
        <v>0</v>
      </c>
      <c r="U10" s="1236">
        <f t="shared" si="0"/>
        <v>0</v>
      </c>
      <c r="V10" s="1236">
        <f t="shared" si="0"/>
        <v>0</v>
      </c>
      <c r="W10" s="1236">
        <f t="shared" si="0"/>
        <v>0</v>
      </c>
      <c r="X10" s="1236">
        <f t="shared" si="0"/>
        <v>0</v>
      </c>
      <c r="Y10" s="1236">
        <f t="shared" si="0"/>
        <v>0</v>
      </c>
      <c r="Z10" s="1236">
        <f t="shared" si="0"/>
        <v>0</v>
      </c>
      <c r="AA10" s="1236">
        <f t="shared" si="0"/>
        <v>0</v>
      </c>
      <c r="AB10" s="1236">
        <f t="shared" si="0"/>
        <v>0</v>
      </c>
      <c r="AC10" s="1236">
        <f t="shared" si="0"/>
        <v>0</v>
      </c>
      <c r="AD10" s="1236">
        <f t="shared" si="0"/>
        <v>0</v>
      </c>
      <c r="AE10" s="1236">
        <f t="shared" si="0"/>
        <v>0</v>
      </c>
      <c r="AF10" s="1236">
        <f t="shared" si="0"/>
        <v>0</v>
      </c>
      <c r="AG10" s="1236">
        <f t="shared" si="0"/>
        <v>0</v>
      </c>
      <c r="AH10" s="1236">
        <f t="shared" si="0"/>
        <v>0</v>
      </c>
      <c r="AI10" s="1236">
        <f>SUM(COUNTIF(AI11:AI90,"x"))+(COUNTIF(AI11:AI90,"cn"))+(COUNTIF(AI11:AI90,"đ"))</f>
        <v>0</v>
      </c>
      <c r="AJ10" s="1491">
        <f t="shared" ref="AJ10:AP10" si="1">SUM(AJ11:AJ90)</f>
        <v>0</v>
      </c>
      <c r="AK10" s="1491">
        <f t="shared" si="1"/>
        <v>0</v>
      </c>
      <c r="AL10" s="1491">
        <f t="shared" si="1"/>
        <v>0</v>
      </c>
      <c r="AM10" s="1491">
        <f t="shared" si="1"/>
        <v>0</v>
      </c>
      <c r="AN10" s="1491">
        <f t="shared" si="1"/>
        <v>0</v>
      </c>
      <c r="AO10" s="1491">
        <f t="shared" si="1"/>
        <v>0</v>
      </c>
      <c r="AP10" s="1491">
        <f t="shared" si="1"/>
        <v>0</v>
      </c>
      <c r="AQ10" s="1519"/>
      <c r="AS10" s="1233" t="str">
        <f>VLOOKUP(C11,'[1]NT 2'!$C$2:$J$259,8,0)</f>
        <v>03456</v>
      </c>
      <c r="AT10" s="1234">
        <f t="shared" ref="AT10:AT41" si="2">D11-AS10</f>
        <v>0</v>
      </c>
    </row>
    <row r="11" spans="1:52" ht="24.75" customHeight="1">
      <c r="A11" s="1519">
        <v>1</v>
      </c>
      <c r="B11" s="1516">
        <v>1</v>
      </c>
      <c r="C11" s="1435" t="s">
        <v>647</v>
      </c>
      <c r="D11" s="13" t="str">
        <f>VLOOKUP(C11,'[1]NT 2'!$C$2:$J$259,8,0)</f>
        <v>03456</v>
      </c>
      <c r="E11" s="1671"/>
      <c r="F11" s="1671"/>
      <c r="G11" s="1671"/>
      <c r="H11" s="1671"/>
      <c r="I11" s="1671"/>
      <c r="J11" s="1671"/>
      <c r="K11" s="1671"/>
      <c r="L11" s="1671"/>
      <c r="M11" s="1671"/>
      <c r="N11" s="1671"/>
      <c r="O11" s="1671"/>
      <c r="P11" s="1671"/>
      <c r="Q11" s="1671"/>
      <c r="R11" s="1671"/>
      <c r="S11" s="1671"/>
      <c r="T11" s="1671"/>
      <c r="U11" s="1671"/>
      <c r="V11" s="1671"/>
      <c r="W11" s="1671"/>
      <c r="X11" s="1671"/>
      <c r="Y11" s="1671"/>
      <c r="Z11" s="1671"/>
      <c r="AA11" s="1671"/>
      <c r="AB11" s="1671"/>
      <c r="AC11" s="1671"/>
      <c r="AD11" s="1671"/>
      <c r="AE11" s="1671"/>
      <c r="AF11" s="1671"/>
      <c r="AG11" s="1477"/>
      <c r="AH11" s="1477"/>
      <c r="AI11" s="1477"/>
      <c r="AJ11" s="1060">
        <f>SUM(COUNTIF(E11:AI11,"x"))</f>
        <v>0</v>
      </c>
      <c r="AK11" s="1061">
        <f>SUM(COUNTIF(E11:AI11,"cn"))</f>
        <v>0</v>
      </c>
      <c r="AL11" s="1060">
        <f>SUM(COUNTIF(E11:AI11,"đ"))</f>
        <v>0</v>
      </c>
      <c r="AM11" s="1060">
        <f>SUM(COUNTIF(E11:AI11,"đc"))</f>
        <v>0</v>
      </c>
      <c r="AN11" s="1060">
        <f>SUM(COUNTIF(E11:AI11,"gt"))</f>
        <v>0</v>
      </c>
      <c r="AO11" s="1061">
        <f>SUM(COUNTIF(E11:AI11,"ct"))</f>
        <v>0</v>
      </c>
      <c r="AP11" s="1062">
        <f>AJ11+AK11+AL11+AM11+AN11+AO11</f>
        <v>0</v>
      </c>
      <c r="AQ11" s="888"/>
      <c r="AR11" s="231"/>
      <c r="AS11" s="229" t="e">
        <f>VLOOKUP(C12,'[1]NT 2'!$C$2:$J$259,8,0)</f>
        <v>#N/A</v>
      </c>
      <c r="AT11" s="953" t="e">
        <f t="shared" si="2"/>
        <v>#N/A</v>
      </c>
    </row>
    <row r="12" spans="1:52" ht="24.75" customHeight="1">
      <c r="A12" s="1519">
        <v>2</v>
      </c>
      <c r="B12" s="1516">
        <v>2</v>
      </c>
      <c r="C12" s="833" t="s">
        <v>821</v>
      </c>
      <c r="E12" s="1671"/>
      <c r="F12" s="1671"/>
      <c r="G12" s="1671"/>
      <c r="H12" s="1671"/>
      <c r="I12" s="1671"/>
      <c r="J12" s="1671"/>
      <c r="K12" s="1671"/>
      <c r="L12" s="1671"/>
      <c r="M12" s="1671"/>
      <c r="N12" s="1671"/>
      <c r="O12" s="1671"/>
      <c r="P12" s="1671"/>
      <c r="Q12" s="1671"/>
      <c r="R12" s="1671"/>
      <c r="S12" s="1671"/>
      <c r="T12" s="1671"/>
      <c r="U12" s="1671"/>
      <c r="V12" s="1671"/>
      <c r="W12" s="1671"/>
      <c r="X12" s="1671"/>
      <c r="Y12" s="1671"/>
      <c r="Z12" s="1671"/>
      <c r="AA12" s="1671"/>
      <c r="AB12" s="1671"/>
      <c r="AC12" s="1671"/>
      <c r="AD12" s="1671"/>
      <c r="AE12" s="1671"/>
      <c r="AF12" s="1671"/>
      <c r="AG12" s="1477"/>
      <c r="AH12" s="1477"/>
      <c r="AI12" s="1477"/>
      <c r="AJ12" s="1060">
        <f t="shared" ref="AJ12:AJ75" si="3">SUM(COUNTIF(E12:AI12,"x"))</f>
        <v>0</v>
      </c>
      <c r="AK12" s="1061">
        <f t="shared" ref="AK12:AK75" si="4">SUM(COUNTIF(E12:AI12,"cn"))</f>
        <v>0</v>
      </c>
      <c r="AL12" s="1060">
        <f t="shared" ref="AL12:AL75" si="5">SUM(COUNTIF(E12:AI12,"đ"))</f>
        <v>0</v>
      </c>
      <c r="AM12" s="1060">
        <f t="shared" ref="AM12:AM75" si="6">SUM(COUNTIF(E12:AI12,"đc"))</f>
        <v>0</v>
      </c>
      <c r="AN12" s="1060">
        <f t="shared" ref="AN12:AN75" si="7">SUM(COUNTIF(E12:AI12,"gt"))</f>
        <v>0</v>
      </c>
      <c r="AO12" s="1061">
        <f>SUM(COUNTIF(E12:AI12,"ct"))</f>
        <v>0</v>
      </c>
      <c r="AP12" s="1062">
        <f t="shared" ref="AP12:AP75" si="8">AJ12+AK12+AL12+AM12+AN12+AO12</f>
        <v>0</v>
      </c>
      <c r="AQ12" s="888"/>
      <c r="AR12" s="231"/>
      <c r="AS12" s="229" t="str">
        <f>VLOOKUP(C13,'[1]NT 2'!$C$2:$J$259,8,0)</f>
        <v>02725</v>
      </c>
      <c r="AT12" s="953">
        <f t="shared" si="2"/>
        <v>0</v>
      </c>
    </row>
    <row r="13" spans="1:52" ht="24.75" customHeight="1">
      <c r="A13" s="1519">
        <v>3</v>
      </c>
      <c r="B13" s="1516">
        <v>3</v>
      </c>
      <c r="C13" s="833" t="s">
        <v>379</v>
      </c>
      <c r="D13" s="13" t="str">
        <f>VLOOKUP(C13,'[1]NT 2'!$C$2:$J$259,8,0)</f>
        <v>02725</v>
      </c>
      <c r="E13" s="1671"/>
      <c r="F13" s="1671"/>
      <c r="G13" s="1671"/>
      <c r="H13" s="1671"/>
      <c r="I13" s="1671"/>
      <c r="J13" s="1671"/>
      <c r="K13" s="1671"/>
      <c r="L13" s="1671"/>
      <c r="M13" s="1671"/>
      <c r="N13" s="1671"/>
      <c r="O13" s="1671"/>
      <c r="P13" s="1671"/>
      <c r="Q13" s="1671"/>
      <c r="R13" s="1671"/>
      <c r="S13" s="1671"/>
      <c r="T13" s="1671"/>
      <c r="U13" s="1671"/>
      <c r="V13" s="1671"/>
      <c r="W13" s="1671"/>
      <c r="X13" s="1671"/>
      <c r="Y13" s="1671"/>
      <c r="Z13" s="1671"/>
      <c r="AA13" s="1671"/>
      <c r="AB13" s="1671"/>
      <c r="AC13" s="1671"/>
      <c r="AD13" s="1671"/>
      <c r="AE13" s="1671"/>
      <c r="AF13" s="1671"/>
      <c r="AG13" s="1477"/>
      <c r="AH13" s="1477"/>
      <c r="AI13" s="1477"/>
      <c r="AJ13" s="1060">
        <f t="shared" si="3"/>
        <v>0</v>
      </c>
      <c r="AK13" s="1061">
        <f t="shared" si="4"/>
        <v>0</v>
      </c>
      <c r="AL13" s="1060">
        <f t="shared" si="5"/>
        <v>0</v>
      </c>
      <c r="AM13" s="1060">
        <f t="shared" si="6"/>
        <v>0</v>
      </c>
      <c r="AN13" s="1060">
        <f t="shared" si="7"/>
        <v>0</v>
      </c>
      <c r="AO13" s="1061">
        <f t="shared" ref="AO13:AO75" si="9">SUM(COUNTIF(E13:AI13,"ct"))</f>
        <v>0</v>
      </c>
      <c r="AP13" s="1062">
        <f t="shared" si="8"/>
        <v>0</v>
      </c>
      <c r="AQ13" s="939"/>
      <c r="AR13" s="231"/>
      <c r="AS13" s="229" t="str">
        <f>VLOOKUP(C14,'[1]NT 2'!$C$2:$J$259,8,0)</f>
        <v>03458</v>
      </c>
      <c r="AT13" s="953">
        <f t="shared" si="2"/>
        <v>0</v>
      </c>
    </row>
    <row r="14" spans="1:52" ht="24.75" customHeight="1">
      <c r="A14" s="1700">
        <v>4</v>
      </c>
      <c r="B14" s="1703">
        <v>4</v>
      </c>
      <c r="C14" s="1435" t="s">
        <v>648</v>
      </c>
      <c r="D14" s="13" t="str">
        <f>VLOOKUP(C14,'[1]NT 2'!$C$2:$J$259,8,0)</f>
        <v>03458</v>
      </c>
      <c r="E14" s="1671"/>
      <c r="F14" s="1671"/>
      <c r="G14" s="1671"/>
      <c r="H14" s="1671"/>
      <c r="I14" s="1671"/>
      <c r="J14" s="1671"/>
      <c r="K14" s="1671"/>
      <c r="L14" s="1671"/>
      <c r="M14" s="1671"/>
      <c r="N14" s="1671"/>
      <c r="O14" s="1671"/>
      <c r="P14" s="1671"/>
      <c r="Q14" s="1671"/>
      <c r="R14" s="1671"/>
      <c r="S14" s="1671"/>
      <c r="T14" s="1671"/>
      <c r="U14" s="1671"/>
      <c r="V14" s="1671"/>
      <c r="W14" s="1671"/>
      <c r="X14" s="1671"/>
      <c r="Y14" s="1671"/>
      <c r="Z14" s="1671"/>
      <c r="AA14" s="1671"/>
      <c r="AB14" s="1671"/>
      <c r="AC14" s="1671"/>
      <c r="AD14" s="1671"/>
      <c r="AE14" s="1671"/>
      <c r="AF14" s="1671"/>
      <c r="AG14" s="1477"/>
      <c r="AH14" s="1477"/>
      <c r="AI14" s="1477"/>
      <c r="AJ14" s="1060">
        <f t="shared" si="3"/>
        <v>0</v>
      </c>
      <c r="AK14" s="1061">
        <f t="shared" si="4"/>
        <v>0</v>
      </c>
      <c r="AL14" s="1060">
        <f t="shared" si="5"/>
        <v>0</v>
      </c>
      <c r="AM14" s="1060">
        <f t="shared" si="6"/>
        <v>0</v>
      </c>
      <c r="AN14" s="1060">
        <f t="shared" si="7"/>
        <v>0</v>
      </c>
      <c r="AO14" s="1061">
        <f t="shared" si="9"/>
        <v>0</v>
      </c>
      <c r="AP14" s="1062">
        <f t="shared" si="8"/>
        <v>0</v>
      </c>
      <c r="AQ14" s="888"/>
      <c r="AR14" s="231"/>
      <c r="AS14" s="229" t="str">
        <f>VLOOKUP(C15,'[1]NT 2'!$C$2:$J$259,8,0)</f>
        <v>03459</v>
      </c>
      <c r="AT14" s="953">
        <f t="shared" si="2"/>
        <v>0</v>
      </c>
    </row>
    <row r="15" spans="1:52" ht="24.75" customHeight="1">
      <c r="A15" s="1700">
        <v>5</v>
      </c>
      <c r="B15" s="1703">
        <v>5</v>
      </c>
      <c r="C15" s="163" t="s">
        <v>420</v>
      </c>
      <c r="D15" s="13" t="str">
        <f>VLOOKUP(C15,'[1]NT 2'!$C$2:$J$259,8,0)</f>
        <v>03459</v>
      </c>
      <c r="E15" s="1671"/>
      <c r="F15" s="1671"/>
      <c r="G15" s="1671"/>
      <c r="H15" s="1671"/>
      <c r="I15" s="1671"/>
      <c r="J15" s="1671"/>
      <c r="K15" s="1671"/>
      <c r="L15" s="1671"/>
      <c r="M15" s="1671"/>
      <c r="N15" s="1671"/>
      <c r="O15" s="1671"/>
      <c r="P15" s="1671"/>
      <c r="Q15" s="1671"/>
      <c r="R15" s="1671"/>
      <c r="S15" s="1671"/>
      <c r="T15" s="1671"/>
      <c r="U15" s="1671"/>
      <c r="V15" s="1671"/>
      <c r="W15" s="1671"/>
      <c r="X15" s="1671"/>
      <c r="Y15" s="1671"/>
      <c r="Z15" s="1671"/>
      <c r="AA15" s="1671"/>
      <c r="AB15" s="1671"/>
      <c r="AC15" s="1671"/>
      <c r="AD15" s="1671"/>
      <c r="AE15" s="1671"/>
      <c r="AF15" s="1671"/>
      <c r="AG15" s="1477"/>
      <c r="AH15" s="1477"/>
      <c r="AI15" s="1477"/>
      <c r="AJ15" s="1060">
        <f t="shared" si="3"/>
        <v>0</v>
      </c>
      <c r="AK15" s="1061">
        <f t="shared" si="4"/>
        <v>0</v>
      </c>
      <c r="AL15" s="1060">
        <f t="shared" si="5"/>
        <v>0</v>
      </c>
      <c r="AM15" s="1060">
        <f t="shared" si="6"/>
        <v>0</v>
      </c>
      <c r="AN15" s="1060">
        <f t="shared" si="7"/>
        <v>0</v>
      </c>
      <c r="AO15" s="1061">
        <f t="shared" si="9"/>
        <v>0</v>
      </c>
      <c r="AP15" s="1062">
        <f t="shared" si="8"/>
        <v>0</v>
      </c>
      <c r="AQ15" s="940"/>
      <c r="AR15" s="231"/>
      <c r="AS15" s="229" t="str">
        <f>VLOOKUP(C16,'[1]NT 2'!$C$2:$J$259,8,0)</f>
        <v>03460</v>
      </c>
      <c r="AT15" s="953">
        <f t="shared" si="2"/>
        <v>0</v>
      </c>
    </row>
    <row r="16" spans="1:52" ht="24.75" customHeight="1">
      <c r="A16" s="1700">
        <v>6</v>
      </c>
      <c r="B16" s="1703">
        <v>6</v>
      </c>
      <c r="C16" s="833" t="s">
        <v>649</v>
      </c>
      <c r="D16" s="13" t="str">
        <f>VLOOKUP(C16,'[1]NT 2'!$C$2:$J$259,8,0)</f>
        <v>03460</v>
      </c>
      <c r="E16" s="1671"/>
      <c r="F16" s="1671"/>
      <c r="G16" s="1671"/>
      <c r="H16" s="1671"/>
      <c r="I16" s="1671"/>
      <c r="J16" s="1671"/>
      <c r="K16" s="1671"/>
      <c r="L16" s="1671"/>
      <c r="M16" s="1671"/>
      <c r="N16" s="1671"/>
      <c r="O16" s="1671"/>
      <c r="P16" s="1671"/>
      <c r="Q16" s="1671"/>
      <c r="R16" s="1671"/>
      <c r="S16" s="1671"/>
      <c r="T16" s="1671"/>
      <c r="U16" s="1671"/>
      <c r="V16" s="1671"/>
      <c r="W16" s="1671"/>
      <c r="X16" s="1671"/>
      <c r="Y16" s="1671"/>
      <c r="Z16" s="1671"/>
      <c r="AA16" s="1671"/>
      <c r="AB16" s="1671"/>
      <c r="AC16" s="1671"/>
      <c r="AD16" s="1671"/>
      <c r="AE16" s="1671"/>
      <c r="AF16" s="1671"/>
      <c r="AG16" s="1477"/>
      <c r="AH16" s="1477"/>
      <c r="AI16" s="1477"/>
      <c r="AJ16" s="1060">
        <f t="shared" si="3"/>
        <v>0</v>
      </c>
      <c r="AK16" s="1061">
        <f t="shared" si="4"/>
        <v>0</v>
      </c>
      <c r="AL16" s="1060">
        <f t="shared" si="5"/>
        <v>0</v>
      </c>
      <c r="AM16" s="1060">
        <f t="shared" si="6"/>
        <v>0</v>
      </c>
      <c r="AN16" s="1060">
        <f t="shared" si="7"/>
        <v>0</v>
      </c>
      <c r="AO16" s="1061">
        <f t="shared" si="9"/>
        <v>0</v>
      </c>
      <c r="AP16" s="1062">
        <f t="shared" si="8"/>
        <v>0</v>
      </c>
      <c r="AQ16" s="941"/>
      <c r="AR16" s="231"/>
      <c r="AS16" s="229" t="str">
        <f>VLOOKUP(C17,'[1]NT 2'!$C$2:$J$259,8,0)</f>
        <v>03461</v>
      </c>
      <c r="AT16" s="953">
        <f t="shared" si="2"/>
        <v>0</v>
      </c>
    </row>
    <row r="17" spans="1:46" ht="24.75" customHeight="1">
      <c r="A17" s="1700">
        <v>7</v>
      </c>
      <c r="B17" s="1703">
        <v>7</v>
      </c>
      <c r="C17" s="1268" t="s">
        <v>285</v>
      </c>
      <c r="D17" s="13" t="str">
        <f>VLOOKUP(C17,'[1]NT 2'!$C$2:$J$259,8,0)</f>
        <v>03461</v>
      </c>
      <c r="E17" s="1671"/>
      <c r="F17" s="1671"/>
      <c r="G17" s="1671"/>
      <c r="H17" s="1671"/>
      <c r="I17" s="1671"/>
      <c r="J17" s="1671"/>
      <c r="K17" s="1671"/>
      <c r="L17" s="1671"/>
      <c r="M17" s="1671"/>
      <c r="N17" s="1671"/>
      <c r="O17" s="1671"/>
      <c r="P17" s="1671"/>
      <c r="Q17" s="1671"/>
      <c r="R17" s="1671"/>
      <c r="S17" s="1671"/>
      <c r="T17" s="1671"/>
      <c r="U17" s="1671"/>
      <c r="V17" s="1671"/>
      <c r="W17" s="1671"/>
      <c r="X17" s="1671"/>
      <c r="Y17" s="1671"/>
      <c r="Z17" s="1671"/>
      <c r="AA17" s="1671"/>
      <c r="AB17" s="1671"/>
      <c r="AC17" s="1671"/>
      <c r="AD17" s="1671"/>
      <c r="AE17" s="1671"/>
      <c r="AF17" s="1671"/>
      <c r="AG17" s="1477"/>
      <c r="AH17" s="1477"/>
      <c r="AI17" s="1477"/>
      <c r="AJ17" s="1060">
        <f t="shared" si="3"/>
        <v>0</v>
      </c>
      <c r="AK17" s="1061">
        <f t="shared" si="4"/>
        <v>0</v>
      </c>
      <c r="AL17" s="1060">
        <f t="shared" si="5"/>
        <v>0</v>
      </c>
      <c r="AM17" s="1060">
        <f t="shared" si="6"/>
        <v>0</v>
      </c>
      <c r="AN17" s="1060">
        <f t="shared" si="7"/>
        <v>0</v>
      </c>
      <c r="AO17" s="1061">
        <f t="shared" si="9"/>
        <v>0</v>
      </c>
      <c r="AP17" s="1062">
        <f t="shared" si="8"/>
        <v>0</v>
      </c>
      <c r="AQ17" s="888"/>
      <c r="AR17" s="231"/>
      <c r="AS17" s="229" t="str">
        <f>VLOOKUP(C18,'[1]NT 2'!$C$2:$J$259,8,0)</f>
        <v>03462</v>
      </c>
      <c r="AT17" s="953">
        <f t="shared" si="2"/>
        <v>0</v>
      </c>
    </row>
    <row r="18" spans="1:46" ht="24.75" customHeight="1">
      <c r="A18" s="1700">
        <v>8</v>
      </c>
      <c r="B18" s="1703">
        <v>8</v>
      </c>
      <c r="C18" s="163" t="s">
        <v>650</v>
      </c>
      <c r="D18" s="13" t="str">
        <f>VLOOKUP(C18,'[1]NT 2'!$C$2:$J$259,8,0)</f>
        <v>03462</v>
      </c>
      <c r="E18" s="1671"/>
      <c r="F18" s="1671"/>
      <c r="G18" s="1671"/>
      <c r="H18" s="1671"/>
      <c r="I18" s="1671"/>
      <c r="J18" s="1671"/>
      <c r="K18" s="1671"/>
      <c r="L18" s="1671"/>
      <c r="M18" s="1671"/>
      <c r="N18" s="1671"/>
      <c r="O18" s="1671"/>
      <c r="P18" s="1671"/>
      <c r="Q18" s="1671"/>
      <c r="R18" s="1671"/>
      <c r="S18" s="1671"/>
      <c r="T18" s="1671"/>
      <c r="U18" s="1671"/>
      <c r="V18" s="1671"/>
      <c r="W18" s="1671"/>
      <c r="X18" s="1671"/>
      <c r="Y18" s="1671"/>
      <c r="Z18" s="1671"/>
      <c r="AA18" s="1671"/>
      <c r="AB18" s="1671"/>
      <c r="AC18" s="1671"/>
      <c r="AD18" s="1671"/>
      <c r="AE18" s="1671"/>
      <c r="AF18" s="1671"/>
      <c r="AG18" s="1477"/>
      <c r="AH18" s="1477"/>
      <c r="AI18" s="1477"/>
      <c r="AJ18" s="1060">
        <f t="shared" si="3"/>
        <v>0</v>
      </c>
      <c r="AK18" s="1061">
        <f t="shared" si="4"/>
        <v>0</v>
      </c>
      <c r="AL18" s="1060">
        <f t="shared" si="5"/>
        <v>0</v>
      </c>
      <c r="AM18" s="1060">
        <f t="shared" si="6"/>
        <v>0</v>
      </c>
      <c r="AN18" s="1060">
        <f t="shared" si="7"/>
        <v>0</v>
      </c>
      <c r="AO18" s="1061">
        <f t="shared" si="9"/>
        <v>0</v>
      </c>
      <c r="AP18" s="1062">
        <f t="shared" si="8"/>
        <v>0</v>
      </c>
      <c r="AQ18" s="888"/>
      <c r="AR18" s="231"/>
      <c r="AS18" s="229" t="str">
        <f>VLOOKUP(C19,'[1]NT 2'!$C$2:$J$259,8,0)</f>
        <v>03463</v>
      </c>
      <c r="AT18" s="953">
        <f t="shared" si="2"/>
        <v>0</v>
      </c>
    </row>
    <row r="19" spans="1:46" ht="24.75" customHeight="1">
      <c r="A19" s="1700">
        <v>9</v>
      </c>
      <c r="B19" s="1703">
        <v>9</v>
      </c>
      <c r="C19" s="833" t="s">
        <v>423</v>
      </c>
      <c r="D19" s="13" t="str">
        <f>VLOOKUP(C19,'[1]NT 2'!$C$2:$J$259,8,0)</f>
        <v>03463</v>
      </c>
      <c r="E19" s="1671"/>
      <c r="F19" s="1671"/>
      <c r="G19" s="1671"/>
      <c r="H19" s="1671"/>
      <c r="I19" s="1671"/>
      <c r="J19" s="1671"/>
      <c r="K19" s="1671"/>
      <c r="L19" s="1671"/>
      <c r="M19" s="1671"/>
      <c r="N19" s="1671"/>
      <c r="O19" s="1671"/>
      <c r="P19" s="1671"/>
      <c r="Q19" s="1671"/>
      <c r="R19" s="1671"/>
      <c r="S19" s="1671"/>
      <c r="T19" s="1671"/>
      <c r="U19" s="1671"/>
      <c r="V19" s="1671"/>
      <c r="W19" s="1671"/>
      <c r="X19" s="1671"/>
      <c r="Y19" s="1671"/>
      <c r="Z19" s="1671"/>
      <c r="AA19" s="1671"/>
      <c r="AB19" s="1671"/>
      <c r="AC19" s="1671"/>
      <c r="AD19" s="1671"/>
      <c r="AE19" s="1671"/>
      <c r="AF19" s="1671"/>
      <c r="AG19" s="1477"/>
      <c r="AH19" s="1477"/>
      <c r="AI19" s="1477"/>
      <c r="AJ19" s="1060">
        <f t="shared" si="3"/>
        <v>0</v>
      </c>
      <c r="AK19" s="1061">
        <f t="shared" si="4"/>
        <v>0</v>
      </c>
      <c r="AL19" s="1060">
        <f t="shared" si="5"/>
        <v>0</v>
      </c>
      <c r="AM19" s="1060">
        <f t="shared" si="6"/>
        <v>0</v>
      </c>
      <c r="AN19" s="1060">
        <f t="shared" si="7"/>
        <v>0</v>
      </c>
      <c r="AO19" s="1061">
        <f t="shared" si="9"/>
        <v>0</v>
      </c>
      <c r="AP19" s="1062">
        <f t="shared" si="8"/>
        <v>0</v>
      </c>
      <c r="AQ19" s="888"/>
      <c r="AR19" s="231"/>
      <c r="AS19" s="229" t="str">
        <f>VLOOKUP(C20,'[1]NT 2'!$C$2:$J$259,8,0)</f>
        <v>03464</v>
      </c>
      <c r="AT19" s="953">
        <f t="shared" si="2"/>
        <v>0</v>
      </c>
    </row>
    <row r="20" spans="1:46" ht="24.75" customHeight="1">
      <c r="A20" s="1700">
        <v>10</v>
      </c>
      <c r="B20" s="1703">
        <v>10</v>
      </c>
      <c r="C20" s="833" t="s">
        <v>422</v>
      </c>
      <c r="D20" s="13" t="str">
        <f>VLOOKUP(C20,'[1]NT 2'!$C$2:$J$259,8,0)</f>
        <v>03464</v>
      </c>
      <c r="E20" s="1671"/>
      <c r="F20" s="1671"/>
      <c r="G20" s="1671"/>
      <c r="H20" s="1671"/>
      <c r="I20" s="1671"/>
      <c r="J20" s="1671"/>
      <c r="K20" s="1671"/>
      <c r="L20" s="1671"/>
      <c r="M20" s="1671"/>
      <c r="N20" s="1671"/>
      <c r="O20" s="1671"/>
      <c r="P20" s="1671"/>
      <c r="Q20" s="1671"/>
      <c r="R20" s="1671"/>
      <c r="S20" s="1671"/>
      <c r="T20" s="1671"/>
      <c r="U20" s="1671"/>
      <c r="V20" s="1671"/>
      <c r="W20" s="1671"/>
      <c r="X20" s="1671"/>
      <c r="Y20" s="1671"/>
      <c r="Z20" s="1671"/>
      <c r="AA20" s="1671"/>
      <c r="AB20" s="1671"/>
      <c r="AC20" s="1671"/>
      <c r="AD20" s="1671"/>
      <c r="AE20" s="1671"/>
      <c r="AF20" s="1671"/>
      <c r="AG20" s="1477"/>
      <c r="AH20" s="1477"/>
      <c r="AI20" s="1477"/>
      <c r="AJ20" s="1060">
        <f t="shared" si="3"/>
        <v>0</v>
      </c>
      <c r="AK20" s="1061">
        <f t="shared" si="4"/>
        <v>0</v>
      </c>
      <c r="AL20" s="1060">
        <f t="shared" si="5"/>
        <v>0</v>
      </c>
      <c r="AM20" s="1060">
        <f t="shared" si="6"/>
        <v>0</v>
      </c>
      <c r="AN20" s="1060">
        <f t="shared" si="7"/>
        <v>0</v>
      </c>
      <c r="AO20" s="1061">
        <f t="shared" si="9"/>
        <v>0</v>
      </c>
      <c r="AP20" s="1062">
        <f t="shared" si="8"/>
        <v>0</v>
      </c>
      <c r="AQ20" s="888"/>
      <c r="AR20" s="231"/>
      <c r="AS20" s="229" t="str">
        <f>VLOOKUP(C21,'[1]NT 2'!$C$2:$J$259,8,0)</f>
        <v>03465</v>
      </c>
      <c r="AT20" s="953">
        <f t="shared" si="2"/>
        <v>0</v>
      </c>
    </row>
    <row r="21" spans="1:46" ht="24.75" customHeight="1">
      <c r="A21" s="1700">
        <v>11</v>
      </c>
      <c r="B21" s="1703">
        <v>11</v>
      </c>
      <c r="C21" s="833" t="s">
        <v>424</v>
      </c>
      <c r="D21" s="13" t="str">
        <f>VLOOKUP(C21,'[1]NT 2'!$C$2:$J$259,8,0)</f>
        <v>03465</v>
      </c>
      <c r="E21" s="1671"/>
      <c r="F21" s="1671"/>
      <c r="G21" s="1671"/>
      <c r="H21" s="1671"/>
      <c r="I21" s="1671"/>
      <c r="J21" s="1671"/>
      <c r="K21" s="1671"/>
      <c r="L21" s="1671"/>
      <c r="M21" s="1671"/>
      <c r="N21" s="1671"/>
      <c r="O21" s="1671"/>
      <c r="P21" s="1671"/>
      <c r="Q21" s="1671"/>
      <c r="R21" s="1671"/>
      <c r="S21" s="1671"/>
      <c r="T21" s="1671"/>
      <c r="U21" s="1671"/>
      <c r="V21" s="1671"/>
      <c r="W21" s="1671"/>
      <c r="X21" s="1671"/>
      <c r="Y21" s="1671"/>
      <c r="Z21" s="1671"/>
      <c r="AA21" s="1671"/>
      <c r="AB21" s="1671"/>
      <c r="AC21" s="1671"/>
      <c r="AD21" s="1671"/>
      <c r="AE21" s="1671"/>
      <c r="AF21" s="1671"/>
      <c r="AG21" s="1477"/>
      <c r="AH21" s="1477"/>
      <c r="AI21" s="1477"/>
      <c r="AJ21" s="1060">
        <f t="shared" si="3"/>
        <v>0</v>
      </c>
      <c r="AK21" s="1061">
        <f t="shared" si="4"/>
        <v>0</v>
      </c>
      <c r="AL21" s="1060">
        <f t="shared" si="5"/>
        <v>0</v>
      </c>
      <c r="AM21" s="1060">
        <f t="shared" si="6"/>
        <v>0</v>
      </c>
      <c r="AN21" s="1060">
        <f t="shared" si="7"/>
        <v>0</v>
      </c>
      <c r="AO21" s="1061">
        <f t="shared" si="9"/>
        <v>0</v>
      </c>
      <c r="AP21" s="1062">
        <f t="shared" si="8"/>
        <v>0</v>
      </c>
      <c r="AQ21" s="888"/>
      <c r="AR21" s="231"/>
      <c r="AS21" s="229" t="str">
        <f>VLOOKUP(C22,'[1]NT 2'!$C$2:$J$259,8,0)</f>
        <v>03466</v>
      </c>
      <c r="AT21" s="953">
        <f t="shared" si="2"/>
        <v>0</v>
      </c>
    </row>
    <row r="22" spans="1:46" ht="24.75" customHeight="1">
      <c r="A22" s="1700">
        <v>12</v>
      </c>
      <c r="B22" s="1703">
        <v>12</v>
      </c>
      <c r="C22" s="163" t="s">
        <v>434</v>
      </c>
      <c r="D22" s="13" t="str">
        <f>VLOOKUP(C22,'[1]NT 2'!$C$2:$J$259,8,0)</f>
        <v>03466</v>
      </c>
      <c r="E22" s="1671"/>
      <c r="F22" s="1671"/>
      <c r="G22" s="1671"/>
      <c r="H22" s="1671"/>
      <c r="I22" s="1671"/>
      <c r="J22" s="1671"/>
      <c r="K22" s="1671"/>
      <c r="L22" s="1671"/>
      <c r="M22" s="1671"/>
      <c r="N22" s="1671"/>
      <c r="O22" s="1671"/>
      <c r="P22" s="1671"/>
      <c r="Q22" s="1671"/>
      <c r="R22" s="1671"/>
      <c r="S22" s="1671"/>
      <c r="T22" s="1671"/>
      <c r="U22" s="1671"/>
      <c r="V22" s="1671"/>
      <c r="W22" s="1671"/>
      <c r="X22" s="1671"/>
      <c r="Y22" s="1671"/>
      <c r="Z22" s="1671"/>
      <c r="AA22" s="1671"/>
      <c r="AB22" s="1671"/>
      <c r="AC22" s="1671"/>
      <c r="AD22" s="1671"/>
      <c r="AE22" s="1671"/>
      <c r="AF22" s="1671"/>
      <c r="AG22" s="1477"/>
      <c r="AH22" s="1477"/>
      <c r="AI22" s="1477"/>
      <c r="AJ22" s="1060">
        <f t="shared" si="3"/>
        <v>0</v>
      </c>
      <c r="AK22" s="1061">
        <f t="shared" si="4"/>
        <v>0</v>
      </c>
      <c r="AL22" s="1060">
        <f t="shared" si="5"/>
        <v>0</v>
      </c>
      <c r="AM22" s="1060">
        <f t="shared" si="6"/>
        <v>0</v>
      </c>
      <c r="AN22" s="1060">
        <f t="shared" si="7"/>
        <v>0</v>
      </c>
      <c r="AO22" s="1061">
        <f t="shared" si="9"/>
        <v>0</v>
      </c>
      <c r="AP22" s="1062">
        <f t="shared" si="8"/>
        <v>0</v>
      </c>
      <c r="AQ22" s="888"/>
      <c r="AR22" s="231"/>
      <c r="AS22" s="229" t="str">
        <f>VLOOKUP(C23,'[1]NT 2'!$C$2:$J$259,8,0)</f>
        <v>02727</v>
      </c>
      <c r="AT22" s="953">
        <f t="shared" si="2"/>
        <v>0</v>
      </c>
    </row>
    <row r="23" spans="1:46" ht="24.75" customHeight="1">
      <c r="A23" s="1700">
        <v>13</v>
      </c>
      <c r="B23" s="1703">
        <v>13</v>
      </c>
      <c r="C23" s="1268" t="s">
        <v>408</v>
      </c>
      <c r="D23" s="13" t="str">
        <f>VLOOKUP(C23,'[1]NT 2'!$C$2:$J$259,8,0)</f>
        <v>02727</v>
      </c>
      <c r="E23" s="1671"/>
      <c r="F23" s="1671"/>
      <c r="G23" s="1671"/>
      <c r="H23" s="1671"/>
      <c r="I23" s="1671"/>
      <c r="J23" s="1671"/>
      <c r="K23" s="1671"/>
      <c r="L23" s="1671"/>
      <c r="M23" s="1671"/>
      <c r="N23" s="1671"/>
      <c r="O23" s="1671"/>
      <c r="P23" s="1671"/>
      <c r="Q23" s="1671"/>
      <c r="R23" s="1671"/>
      <c r="S23" s="1671"/>
      <c r="T23" s="1671"/>
      <c r="U23" s="1671"/>
      <c r="V23" s="1671"/>
      <c r="W23" s="1671"/>
      <c r="X23" s="1671"/>
      <c r="Y23" s="1671"/>
      <c r="Z23" s="1671"/>
      <c r="AA23" s="1671"/>
      <c r="AB23" s="1671"/>
      <c r="AC23" s="1671"/>
      <c r="AD23" s="1671"/>
      <c r="AE23" s="1671"/>
      <c r="AF23" s="1671"/>
      <c r="AG23" s="1477"/>
      <c r="AH23" s="1477"/>
      <c r="AI23" s="1477"/>
      <c r="AJ23" s="1060">
        <f t="shared" si="3"/>
        <v>0</v>
      </c>
      <c r="AK23" s="1061">
        <f t="shared" si="4"/>
        <v>0</v>
      </c>
      <c r="AL23" s="1060">
        <f t="shared" si="5"/>
        <v>0</v>
      </c>
      <c r="AM23" s="1060">
        <f t="shared" si="6"/>
        <v>0</v>
      </c>
      <c r="AN23" s="1060">
        <f t="shared" si="7"/>
        <v>0</v>
      </c>
      <c r="AO23" s="1061">
        <f t="shared" si="9"/>
        <v>0</v>
      </c>
      <c r="AP23" s="1062">
        <f t="shared" si="8"/>
        <v>0</v>
      </c>
      <c r="AQ23" s="888"/>
      <c r="AR23" s="231"/>
      <c r="AS23" s="229" t="str">
        <f>VLOOKUP(C24,'[1]NT 2'!$C$2:$J$259,8,0)</f>
        <v>03467</v>
      </c>
      <c r="AT23" s="953">
        <f t="shared" si="2"/>
        <v>0</v>
      </c>
    </row>
    <row r="24" spans="1:46" ht="24.75" customHeight="1">
      <c r="A24" s="1700">
        <v>14</v>
      </c>
      <c r="B24" s="1703">
        <v>14</v>
      </c>
      <c r="C24" s="1435" t="s">
        <v>393</v>
      </c>
      <c r="D24" s="13" t="str">
        <f>VLOOKUP(C24,'[1]NT 2'!$C$2:$J$259,8,0)</f>
        <v>03467</v>
      </c>
      <c r="E24" s="1671"/>
      <c r="F24" s="1671"/>
      <c r="G24" s="1671"/>
      <c r="H24" s="1671"/>
      <c r="I24" s="1671"/>
      <c r="J24" s="1671"/>
      <c r="K24" s="1671"/>
      <c r="L24" s="1671"/>
      <c r="M24" s="1671"/>
      <c r="N24" s="1671"/>
      <c r="O24" s="1671"/>
      <c r="P24" s="1671"/>
      <c r="Q24" s="1671"/>
      <c r="R24" s="1671"/>
      <c r="S24" s="1671"/>
      <c r="T24" s="1671"/>
      <c r="U24" s="1671"/>
      <c r="V24" s="1671"/>
      <c r="W24" s="1671"/>
      <c r="X24" s="1671"/>
      <c r="Y24" s="1671"/>
      <c r="Z24" s="1671"/>
      <c r="AA24" s="1671"/>
      <c r="AB24" s="1671"/>
      <c r="AC24" s="1671"/>
      <c r="AD24" s="1671"/>
      <c r="AE24" s="1671"/>
      <c r="AF24" s="1671"/>
      <c r="AG24" s="1477"/>
      <c r="AH24" s="1477"/>
      <c r="AI24" s="1477"/>
      <c r="AJ24" s="1060">
        <f t="shared" si="3"/>
        <v>0</v>
      </c>
      <c r="AK24" s="1061">
        <f t="shared" si="4"/>
        <v>0</v>
      </c>
      <c r="AL24" s="1060">
        <f t="shared" si="5"/>
        <v>0</v>
      </c>
      <c r="AM24" s="1060">
        <f t="shared" si="6"/>
        <v>0</v>
      </c>
      <c r="AN24" s="1060">
        <f t="shared" si="7"/>
        <v>0</v>
      </c>
      <c r="AO24" s="1061">
        <f t="shared" si="9"/>
        <v>0</v>
      </c>
      <c r="AP24" s="1062">
        <f t="shared" si="8"/>
        <v>0</v>
      </c>
      <c r="AQ24" s="888"/>
      <c r="AR24" s="231"/>
      <c r="AS24" s="229" t="str">
        <f>VLOOKUP(C25,'[1]NT 2'!$C$2:$J$259,8,0)</f>
        <v>03468</v>
      </c>
      <c r="AT24" s="953">
        <f t="shared" si="2"/>
        <v>0</v>
      </c>
    </row>
    <row r="25" spans="1:46" ht="24.75" customHeight="1">
      <c r="A25" s="1700">
        <v>15</v>
      </c>
      <c r="B25" s="1703">
        <v>15</v>
      </c>
      <c r="C25" s="833" t="s">
        <v>491</v>
      </c>
      <c r="D25" s="13" t="str">
        <f>VLOOKUP(C25,'[1]NT 2'!$C$2:$J$259,8,0)</f>
        <v>03468</v>
      </c>
      <c r="E25" s="1671"/>
      <c r="F25" s="1671"/>
      <c r="G25" s="1671"/>
      <c r="H25" s="1671"/>
      <c r="I25" s="1671"/>
      <c r="J25" s="1671"/>
      <c r="K25" s="1671"/>
      <c r="L25" s="1671"/>
      <c r="M25" s="1671"/>
      <c r="N25" s="1671"/>
      <c r="O25" s="1671"/>
      <c r="P25" s="1671"/>
      <c r="Q25" s="1671"/>
      <c r="R25" s="1671"/>
      <c r="S25" s="1671"/>
      <c r="T25" s="1671"/>
      <c r="U25" s="1671"/>
      <c r="V25" s="1671"/>
      <c r="W25" s="1671"/>
      <c r="X25" s="1671"/>
      <c r="Y25" s="1671"/>
      <c r="Z25" s="1671"/>
      <c r="AA25" s="1671"/>
      <c r="AB25" s="1671"/>
      <c r="AC25" s="1671"/>
      <c r="AD25" s="1671"/>
      <c r="AE25" s="1671"/>
      <c r="AF25" s="1671"/>
      <c r="AG25" s="1477"/>
      <c r="AH25" s="1477"/>
      <c r="AI25" s="1477"/>
      <c r="AJ25" s="1060">
        <f t="shared" si="3"/>
        <v>0</v>
      </c>
      <c r="AK25" s="1061">
        <f t="shared" si="4"/>
        <v>0</v>
      </c>
      <c r="AL25" s="1060">
        <f t="shared" si="5"/>
        <v>0</v>
      </c>
      <c r="AM25" s="1060">
        <f t="shared" si="6"/>
        <v>0</v>
      </c>
      <c r="AN25" s="1060">
        <f t="shared" si="7"/>
        <v>0</v>
      </c>
      <c r="AO25" s="1061">
        <f t="shared" si="9"/>
        <v>0</v>
      </c>
      <c r="AP25" s="1062">
        <f t="shared" si="8"/>
        <v>0</v>
      </c>
      <c r="AQ25" s="888"/>
      <c r="AR25" s="231"/>
      <c r="AS25" s="229" t="str">
        <f>VLOOKUP(C26,'[1]NT 2'!$C$2:$J$259,8,0)</f>
        <v>03469</v>
      </c>
      <c r="AT25" s="953">
        <f t="shared" si="2"/>
        <v>0</v>
      </c>
    </row>
    <row r="26" spans="1:46" ht="24.75" customHeight="1">
      <c r="A26" s="1700">
        <v>16</v>
      </c>
      <c r="B26" s="1703">
        <v>16</v>
      </c>
      <c r="C26" s="833" t="s">
        <v>394</v>
      </c>
      <c r="D26" s="13" t="str">
        <f>VLOOKUP(C26,'[1]NT 2'!$C$2:$J$259,8,0)</f>
        <v>03469</v>
      </c>
      <c r="E26" s="1671"/>
      <c r="F26" s="1671"/>
      <c r="G26" s="1671"/>
      <c r="H26" s="1671"/>
      <c r="I26" s="1671"/>
      <c r="J26" s="1671"/>
      <c r="K26" s="1671"/>
      <c r="L26" s="1671"/>
      <c r="M26" s="1671"/>
      <c r="N26" s="1671"/>
      <c r="O26" s="1671"/>
      <c r="P26" s="1671"/>
      <c r="Q26" s="1671"/>
      <c r="R26" s="1671"/>
      <c r="S26" s="1671"/>
      <c r="T26" s="1671"/>
      <c r="U26" s="1671"/>
      <c r="V26" s="1671"/>
      <c r="W26" s="1671"/>
      <c r="X26" s="1671"/>
      <c r="Y26" s="1671"/>
      <c r="Z26" s="1671"/>
      <c r="AA26" s="1671"/>
      <c r="AB26" s="1671"/>
      <c r="AC26" s="1671"/>
      <c r="AD26" s="1671"/>
      <c r="AE26" s="1671"/>
      <c r="AF26" s="1671"/>
      <c r="AG26" s="1477"/>
      <c r="AH26" s="1477"/>
      <c r="AI26" s="1477"/>
      <c r="AJ26" s="1060">
        <f t="shared" si="3"/>
        <v>0</v>
      </c>
      <c r="AK26" s="1061">
        <f t="shared" si="4"/>
        <v>0</v>
      </c>
      <c r="AL26" s="1060">
        <f t="shared" si="5"/>
        <v>0</v>
      </c>
      <c r="AM26" s="1060">
        <f t="shared" si="6"/>
        <v>0</v>
      </c>
      <c r="AN26" s="1060">
        <f t="shared" si="7"/>
        <v>0</v>
      </c>
      <c r="AO26" s="1061">
        <f t="shared" si="9"/>
        <v>0</v>
      </c>
      <c r="AP26" s="1062">
        <f t="shared" si="8"/>
        <v>0</v>
      </c>
      <c r="AQ26" s="888"/>
      <c r="AR26" s="231"/>
      <c r="AS26" s="229" t="str">
        <f>VLOOKUP(C27,'[1]NT 2'!$C$2:$J$259,8,0)</f>
        <v>03470</v>
      </c>
      <c r="AT26" s="953">
        <f t="shared" si="2"/>
        <v>0</v>
      </c>
    </row>
    <row r="27" spans="1:46" ht="24.75" customHeight="1">
      <c r="A27" s="1700">
        <v>17</v>
      </c>
      <c r="B27" s="1703">
        <v>17</v>
      </c>
      <c r="C27" s="365" t="s">
        <v>395</v>
      </c>
      <c r="D27" s="13" t="str">
        <f>VLOOKUP(C27,'[1]NT 2'!$C$2:$J$259,8,0)</f>
        <v>03470</v>
      </c>
      <c r="E27" s="1671"/>
      <c r="F27" s="1671"/>
      <c r="G27" s="1671"/>
      <c r="H27" s="1671"/>
      <c r="I27" s="1671"/>
      <c r="J27" s="1671"/>
      <c r="K27" s="1671"/>
      <c r="L27" s="1671"/>
      <c r="M27" s="1671"/>
      <c r="N27" s="1671"/>
      <c r="O27" s="1671"/>
      <c r="P27" s="1671"/>
      <c r="Q27" s="1671"/>
      <c r="R27" s="1671"/>
      <c r="S27" s="1671"/>
      <c r="T27" s="1671"/>
      <c r="U27" s="1671"/>
      <c r="V27" s="1671"/>
      <c r="W27" s="1671"/>
      <c r="X27" s="1671"/>
      <c r="Y27" s="1671"/>
      <c r="Z27" s="1671"/>
      <c r="AA27" s="1671"/>
      <c r="AB27" s="1671"/>
      <c r="AC27" s="1671"/>
      <c r="AD27" s="1671"/>
      <c r="AE27" s="1671"/>
      <c r="AF27" s="1671"/>
      <c r="AG27" s="1477"/>
      <c r="AH27" s="1477"/>
      <c r="AI27" s="1477"/>
      <c r="AJ27" s="1060">
        <f t="shared" si="3"/>
        <v>0</v>
      </c>
      <c r="AK27" s="1061">
        <f t="shared" si="4"/>
        <v>0</v>
      </c>
      <c r="AL27" s="1060">
        <f t="shared" si="5"/>
        <v>0</v>
      </c>
      <c r="AM27" s="1060">
        <f t="shared" si="6"/>
        <v>0</v>
      </c>
      <c r="AN27" s="1060">
        <f t="shared" si="7"/>
        <v>0</v>
      </c>
      <c r="AO27" s="1061">
        <f t="shared" si="9"/>
        <v>0</v>
      </c>
      <c r="AP27" s="1062">
        <f t="shared" si="8"/>
        <v>0</v>
      </c>
      <c r="AQ27" s="888"/>
      <c r="AR27" s="231"/>
      <c r="AS27" s="229" t="str">
        <f>VLOOKUP(C28,'[1]NT 2'!$C$2:$J$259,8,0)</f>
        <v>03471</v>
      </c>
      <c r="AT27" s="953">
        <f t="shared" si="2"/>
        <v>0</v>
      </c>
    </row>
    <row r="28" spans="1:46" ht="24.75" customHeight="1">
      <c r="A28" s="1700">
        <v>18</v>
      </c>
      <c r="B28" s="1703">
        <v>18</v>
      </c>
      <c r="C28" s="1268" t="s">
        <v>336</v>
      </c>
      <c r="D28" s="13" t="str">
        <f>VLOOKUP(C28,'[1]NT 2'!$C$2:$J$259,8,0)</f>
        <v>03471</v>
      </c>
      <c r="E28" s="1671"/>
      <c r="F28" s="1671"/>
      <c r="G28" s="1671"/>
      <c r="H28" s="1671"/>
      <c r="I28" s="1671"/>
      <c r="J28" s="1671"/>
      <c r="K28" s="1671"/>
      <c r="L28" s="1671"/>
      <c r="M28" s="1671"/>
      <c r="N28" s="1671"/>
      <c r="O28" s="1671"/>
      <c r="P28" s="1671"/>
      <c r="Q28" s="1671"/>
      <c r="R28" s="1671"/>
      <c r="S28" s="1671"/>
      <c r="T28" s="1671"/>
      <c r="U28" s="1671"/>
      <c r="V28" s="1671"/>
      <c r="W28" s="1671"/>
      <c r="X28" s="1671"/>
      <c r="Y28" s="1671"/>
      <c r="Z28" s="1671"/>
      <c r="AA28" s="1671"/>
      <c r="AB28" s="1671"/>
      <c r="AC28" s="1671"/>
      <c r="AD28" s="1671"/>
      <c r="AE28" s="1671"/>
      <c r="AF28" s="1671"/>
      <c r="AG28" s="1477"/>
      <c r="AH28" s="1477"/>
      <c r="AI28" s="1477"/>
      <c r="AJ28" s="1060">
        <f t="shared" si="3"/>
        <v>0</v>
      </c>
      <c r="AK28" s="1061">
        <f t="shared" si="4"/>
        <v>0</v>
      </c>
      <c r="AL28" s="1060">
        <f t="shared" si="5"/>
        <v>0</v>
      </c>
      <c r="AM28" s="1060">
        <f t="shared" si="6"/>
        <v>0</v>
      </c>
      <c r="AN28" s="1060">
        <f t="shared" si="7"/>
        <v>0</v>
      </c>
      <c r="AO28" s="1061">
        <f t="shared" si="9"/>
        <v>0</v>
      </c>
      <c r="AP28" s="1062">
        <f t="shared" si="8"/>
        <v>0</v>
      </c>
      <c r="AQ28" s="888"/>
      <c r="AR28" s="231"/>
      <c r="AS28" s="229" t="str">
        <f>VLOOKUP(C29,'[1]NT 2'!$C$2:$J$259,8,0)</f>
        <v>03472</v>
      </c>
      <c r="AT28" s="953">
        <f t="shared" si="2"/>
        <v>0</v>
      </c>
    </row>
    <row r="29" spans="1:46" ht="24.75" customHeight="1">
      <c r="A29" s="1700">
        <v>19</v>
      </c>
      <c r="B29" s="1703">
        <v>19</v>
      </c>
      <c r="C29" s="1435" t="s">
        <v>413</v>
      </c>
      <c r="D29" s="13" t="str">
        <f>VLOOKUP(C29,'[1]NT 2'!$C$2:$J$259,8,0)</f>
        <v>03472</v>
      </c>
      <c r="E29" s="1671"/>
      <c r="F29" s="1671"/>
      <c r="G29" s="1671"/>
      <c r="H29" s="1671"/>
      <c r="I29" s="1671"/>
      <c r="J29" s="1671"/>
      <c r="K29" s="1671"/>
      <c r="L29" s="1671"/>
      <c r="M29" s="1671"/>
      <c r="N29" s="1671"/>
      <c r="O29" s="1671"/>
      <c r="P29" s="1671"/>
      <c r="Q29" s="1671"/>
      <c r="R29" s="1671"/>
      <c r="S29" s="1671"/>
      <c r="T29" s="1671"/>
      <c r="U29" s="1671"/>
      <c r="V29" s="1671"/>
      <c r="W29" s="1671"/>
      <c r="X29" s="1671"/>
      <c r="Y29" s="1671"/>
      <c r="Z29" s="1671"/>
      <c r="AA29" s="1671"/>
      <c r="AB29" s="1671"/>
      <c r="AC29" s="1671"/>
      <c r="AD29" s="1671"/>
      <c r="AE29" s="1671"/>
      <c r="AF29" s="1671"/>
      <c r="AG29" s="1477"/>
      <c r="AH29" s="1477"/>
      <c r="AI29" s="1477"/>
      <c r="AJ29" s="1060">
        <f t="shared" si="3"/>
        <v>0</v>
      </c>
      <c r="AK29" s="1061">
        <f t="shared" si="4"/>
        <v>0</v>
      </c>
      <c r="AL29" s="1060">
        <f t="shared" si="5"/>
        <v>0</v>
      </c>
      <c r="AM29" s="1060">
        <f t="shared" si="6"/>
        <v>0</v>
      </c>
      <c r="AN29" s="1060">
        <f t="shared" si="7"/>
        <v>0</v>
      </c>
      <c r="AO29" s="1061">
        <f t="shared" si="9"/>
        <v>0</v>
      </c>
      <c r="AP29" s="1062">
        <f t="shared" si="8"/>
        <v>0</v>
      </c>
      <c r="AQ29" s="888"/>
      <c r="AR29" s="231"/>
      <c r="AS29" s="229" t="str">
        <f>VLOOKUP(C30,'[1]NT 2'!$C$2:$J$259,8,0)</f>
        <v>03473</v>
      </c>
      <c r="AT29" s="953">
        <f t="shared" si="2"/>
        <v>0</v>
      </c>
    </row>
    <row r="30" spans="1:46" ht="24.75" customHeight="1">
      <c r="A30" s="1700">
        <v>20</v>
      </c>
      <c r="B30" s="1703">
        <v>20</v>
      </c>
      <c r="C30" s="833" t="s">
        <v>425</v>
      </c>
      <c r="D30" s="13" t="str">
        <f>VLOOKUP(C30,'[1]NT 2'!$C$2:$J$259,8,0)</f>
        <v>03473</v>
      </c>
      <c r="E30" s="1671"/>
      <c r="F30" s="1671"/>
      <c r="G30" s="1671"/>
      <c r="H30" s="1671"/>
      <c r="I30" s="1671"/>
      <c r="J30" s="1671"/>
      <c r="K30" s="1671"/>
      <c r="L30" s="1671"/>
      <c r="M30" s="1671"/>
      <c r="N30" s="1671"/>
      <c r="O30" s="1671"/>
      <c r="P30" s="1671"/>
      <c r="Q30" s="1671"/>
      <c r="R30" s="1671"/>
      <c r="S30" s="1671"/>
      <c r="T30" s="1671"/>
      <c r="U30" s="1671"/>
      <c r="V30" s="1671"/>
      <c r="W30" s="1671"/>
      <c r="X30" s="1671"/>
      <c r="Y30" s="1671"/>
      <c r="Z30" s="1671"/>
      <c r="AA30" s="1671"/>
      <c r="AB30" s="1671"/>
      <c r="AC30" s="1671"/>
      <c r="AD30" s="1671"/>
      <c r="AE30" s="1671"/>
      <c r="AF30" s="1671"/>
      <c r="AG30" s="1477"/>
      <c r="AH30" s="1477"/>
      <c r="AI30" s="1477"/>
      <c r="AJ30" s="1060">
        <f t="shared" si="3"/>
        <v>0</v>
      </c>
      <c r="AK30" s="1061">
        <f t="shared" si="4"/>
        <v>0</v>
      </c>
      <c r="AL30" s="1060">
        <f t="shared" si="5"/>
        <v>0</v>
      </c>
      <c r="AM30" s="1060">
        <f t="shared" si="6"/>
        <v>0</v>
      </c>
      <c r="AN30" s="1060">
        <f t="shared" si="7"/>
        <v>0</v>
      </c>
      <c r="AO30" s="1061">
        <f t="shared" si="9"/>
        <v>0</v>
      </c>
      <c r="AP30" s="1062">
        <f t="shared" si="8"/>
        <v>0</v>
      </c>
      <c r="AQ30" s="888"/>
      <c r="AR30" s="231"/>
      <c r="AS30" s="229" t="str">
        <f>VLOOKUP(C31,'[1]NT 2'!$C$2:$J$259,8,0)</f>
        <v>03474</v>
      </c>
      <c r="AT30" s="953">
        <f t="shared" si="2"/>
        <v>0</v>
      </c>
    </row>
    <row r="31" spans="1:46" ht="24.75" customHeight="1">
      <c r="A31" s="1700">
        <v>21</v>
      </c>
      <c r="B31" s="1703">
        <v>21</v>
      </c>
      <c r="C31" s="163" t="s">
        <v>392</v>
      </c>
      <c r="D31" s="13" t="str">
        <f>VLOOKUP(C31,'[1]NT 2'!$C$2:$J$259,8,0)</f>
        <v>03474</v>
      </c>
      <c r="E31" s="1671"/>
      <c r="F31" s="1671"/>
      <c r="G31" s="1671"/>
      <c r="H31" s="1671"/>
      <c r="I31" s="1671"/>
      <c r="J31" s="1671"/>
      <c r="K31" s="1671"/>
      <c r="L31" s="1671"/>
      <c r="M31" s="1671"/>
      <c r="N31" s="1671"/>
      <c r="O31" s="1671"/>
      <c r="P31" s="1671"/>
      <c r="Q31" s="1671"/>
      <c r="R31" s="1671"/>
      <c r="S31" s="1671"/>
      <c r="T31" s="1671"/>
      <c r="U31" s="1671"/>
      <c r="V31" s="1671"/>
      <c r="W31" s="1671"/>
      <c r="X31" s="1671"/>
      <c r="Y31" s="1671"/>
      <c r="Z31" s="1671"/>
      <c r="AA31" s="1671"/>
      <c r="AB31" s="1671"/>
      <c r="AC31" s="1671"/>
      <c r="AD31" s="1671"/>
      <c r="AE31" s="1671"/>
      <c r="AF31" s="1671"/>
      <c r="AG31" s="1477"/>
      <c r="AH31" s="1477"/>
      <c r="AI31" s="1477"/>
      <c r="AJ31" s="1060">
        <f t="shared" si="3"/>
        <v>0</v>
      </c>
      <c r="AK31" s="1061">
        <f t="shared" si="4"/>
        <v>0</v>
      </c>
      <c r="AL31" s="1060">
        <f t="shared" si="5"/>
        <v>0</v>
      </c>
      <c r="AM31" s="1060">
        <f t="shared" si="6"/>
        <v>0</v>
      </c>
      <c r="AN31" s="1060">
        <f t="shared" si="7"/>
        <v>0</v>
      </c>
      <c r="AO31" s="1061">
        <f t="shared" si="9"/>
        <v>0</v>
      </c>
      <c r="AP31" s="1062">
        <f t="shared" si="8"/>
        <v>0</v>
      </c>
      <c r="AQ31" s="888"/>
      <c r="AR31" s="231"/>
      <c r="AS31" s="229" t="str">
        <f>VLOOKUP(C32,'[1]NT 2'!$C$2:$J$259,8,0)</f>
        <v>03475</v>
      </c>
      <c r="AT31" s="953">
        <f t="shared" si="2"/>
        <v>0</v>
      </c>
    </row>
    <row r="32" spans="1:46" ht="24.75" customHeight="1">
      <c r="A32" s="1700">
        <v>22</v>
      </c>
      <c r="B32" s="1703">
        <v>22</v>
      </c>
      <c r="C32" s="1268" t="s">
        <v>421</v>
      </c>
      <c r="D32" s="13" t="str">
        <f>VLOOKUP(C32,'[1]NT 2'!$C$2:$J$259,8,0)</f>
        <v>03475</v>
      </c>
      <c r="E32" s="1671"/>
      <c r="F32" s="1671"/>
      <c r="G32" s="1671"/>
      <c r="H32" s="1671"/>
      <c r="I32" s="1671"/>
      <c r="J32" s="1671"/>
      <c r="K32" s="1671"/>
      <c r="L32" s="1671"/>
      <c r="M32" s="1671"/>
      <c r="N32" s="1671"/>
      <c r="O32" s="1671"/>
      <c r="P32" s="1671"/>
      <c r="Q32" s="1671"/>
      <c r="R32" s="1671"/>
      <c r="S32" s="1671"/>
      <c r="T32" s="1671"/>
      <c r="U32" s="1671"/>
      <c r="V32" s="1671"/>
      <c r="W32" s="1671"/>
      <c r="X32" s="1671"/>
      <c r="Y32" s="1671"/>
      <c r="Z32" s="1671"/>
      <c r="AA32" s="1671"/>
      <c r="AB32" s="1671"/>
      <c r="AC32" s="1671"/>
      <c r="AD32" s="1671"/>
      <c r="AE32" s="1671"/>
      <c r="AF32" s="1671"/>
      <c r="AG32" s="1477"/>
      <c r="AH32" s="1477"/>
      <c r="AI32" s="1477"/>
      <c r="AJ32" s="1060">
        <f t="shared" si="3"/>
        <v>0</v>
      </c>
      <c r="AK32" s="1061">
        <f t="shared" si="4"/>
        <v>0</v>
      </c>
      <c r="AL32" s="1060">
        <f t="shared" si="5"/>
        <v>0</v>
      </c>
      <c r="AM32" s="1060">
        <f t="shared" si="6"/>
        <v>0</v>
      </c>
      <c r="AN32" s="1060">
        <f t="shared" si="7"/>
        <v>0</v>
      </c>
      <c r="AO32" s="1061">
        <f t="shared" si="9"/>
        <v>0</v>
      </c>
      <c r="AP32" s="1062">
        <f t="shared" si="8"/>
        <v>0</v>
      </c>
      <c r="AQ32" s="888"/>
      <c r="AR32" s="231"/>
      <c r="AS32" s="229" t="str">
        <f>VLOOKUP(C33,'[1]NT 2'!$C$2:$J$259,8,0)</f>
        <v>03476</v>
      </c>
      <c r="AT32" s="953">
        <f t="shared" si="2"/>
        <v>0</v>
      </c>
    </row>
    <row r="33" spans="1:46" ht="24.75" customHeight="1">
      <c r="A33" s="1700">
        <v>23</v>
      </c>
      <c r="B33" s="1703">
        <v>23</v>
      </c>
      <c r="C33" s="1268" t="s">
        <v>426</v>
      </c>
      <c r="D33" s="13" t="str">
        <f>VLOOKUP(C33,'[1]NT 2'!$C$2:$J$259,8,0)</f>
        <v>03476</v>
      </c>
      <c r="E33" s="1671"/>
      <c r="F33" s="1671"/>
      <c r="G33" s="1671"/>
      <c r="H33" s="1671"/>
      <c r="I33" s="1671"/>
      <c r="J33" s="1671"/>
      <c r="K33" s="1671"/>
      <c r="L33" s="1671"/>
      <c r="M33" s="1671"/>
      <c r="N33" s="1671"/>
      <c r="O33" s="1671"/>
      <c r="P33" s="1671"/>
      <c r="Q33" s="1671"/>
      <c r="R33" s="1671"/>
      <c r="S33" s="1671"/>
      <c r="T33" s="1671"/>
      <c r="U33" s="1671"/>
      <c r="V33" s="1671"/>
      <c r="W33" s="1671"/>
      <c r="X33" s="1671"/>
      <c r="Y33" s="1671"/>
      <c r="Z33" s="1671"/>
      <c r="AA33" s="1671"/>
      <c r="AB33" s="1671"/>
      <c r="AC33" s="1671"/>
      <c r="AD33" s="1671"/>
      <c r="AE33" s="1671"/>
      <c r="AF33" s="1671"/>
      <c r="AG33" s="1477"/>
      <c r="AH33" s="1477"/>
      <c r="AI33" s="1477"/>
      <c r="AJ33" s="1060">
        <f t="shared" si="3"/>
        <v>0</v>
      </c>
      <c r="AK33" s="1061">
        <f t="shared" si="4"/>
        <v>0</v>
      </c>
      <c r="AL33" s="1060">
        <f t="shared" si="5"/>
        <v>0</v>
      </c>
      <c r="AM33" s="1060">
        <f t="shared" si="6"/>
        <v>0</v>
      </c>
      <c r="AN33" s="1060">
        <f t="shared" si="7"/>
        <v>0</v>
      </c>
      <c r="AO33" s="1061">
        <f t="shared" si="9"/>
        <v>0</v>
      </c>
      <c r="AP33" s="1062">
        <f t="shared" si="8"/>
        <v>0</v>
      </c>
      <c r="AQ33" s="888"/>
      <c r="AR33" s="231"/>
      <c r="AS33" s="229" t="str">
        <f>VLOOKUP(C34,'[1]NT 2'!$C$2:$J$259,8,0)</f>
        <v>03477</v>
      </c>
      <c r="AT33" s="953">
        <f t="shared" si="2"/>
        <v>0</v>
      </c>
    </row>
    <row r="34" spans="1:46" ht="24.75" customHeight="1">
      <c r="A34" s="1700">
        <v>24</v>
      </c>
      <c r="B34" s="1703">
        <v>24</v>
      </c>
      <c r="C34" s="833" t="s">
        <v>427</v>
      </c>
      <c r="D34" s="13" t="str">
        <f>VLOOKUP(C34,'[1]NT 2'!$C$2:$J$259,8,0)</f>
        <v>03477</v>
      </c>
      <c r="E34" s="1671"/>
      <c r="F34" s="1671"/>
      <c r="G34" s="1671"/>
      <c r="H34" s="1671"/>
      <c r="I34" s="1671"/>
      <c r="J34" s="1671"/>
      <c r="K34" s="1671"/>
      <c r="L34" s="1671"/>
      <c r="M34" s="1671"/>
      <c r="N34" s="1671"/>
      <c r="O34" s="1671"/>
      <c r="P34" s="1671"/>
      <c r="Q34" s="1671"/>
      <c r="R34" s="1671"/>
      <c r="S34" s="1671"/>
      <c r="T34" s="1671"/>
      <c r="U34" s="1671"/>
      <c r="V34" s="1671"/>
      <c r="W34" s="1671"/>
      <c r="X34" s="1671"/>
      <c r="Y34" s="1671"/>
      <c r="Z34" s="1671"/>
      <c r="AA34" s="1671"/>
      <c r="AB34" s="1671"/>
      <c r="AC34" s="1671"/>
      <c r="AD34" s="1671"/>
      <c r="AE34" s="1671"/>
      <c r="AF34" s="1671"/>
      <c r="AG34" s="1477"/>
      <c r="AH34" s="1477"/>
      <c r="AI34" s="1477"/>
      <c r="AJ34" s="1060">
        <f t="shared" si="3"/>
        <v>0</v>
      </c>
      <c r="AK34" s="1061">
        <f t="shared" si="4"/>
        <v>0</v>
      </c>
      <c r="AL34" s="1060">
        <f t="shared" si="5"/>
        <v>0</v>
      </c>
      <c r="AM34" s="1060">
        <f t="shared" si="6"/>
        <v>0</v>
      </c>
      <c r="AN34" s="1060">
        <f t="shared" si="7"/>
        <v>0</v>
      </c>
      <c r="AO34" s="1061">
        <f t="shared" si="9"/>
        <v>0</v>
      </c>
      <c r="AP34" s="1062">
        <f t="shared" si="8"/>
        <v>0</v>
      </c>
      <c r="AQ34" s="888"/>
      <c r="AR34" s="231"/>
      <c r="AS34" s="229" t="str">
        <f>VLOOKUP(C35,'[1]NT 2'!$C$2:$J$259,8,0)</f>
        <v>03478</v>
      </c>
      <c r="AT34" s="953">
        <f t="shared" si="2"/>
        <v>0</v>
      </c>
    </row>
    <row r="35" spans="1:46" ht="24.75" customHeight="1">
      <c r="A35" s="1700">
        <v>25</v>
      </c>
      <c r="B35" s="1703">
        <v>25</v>
      </c>
      <c r="C35" s="1435" t="s">
        <v>651</v>
      </c>
      <c r="D35" s="13" t="str">
        <f>VLOOKUP(C35,'[1]NT 2'!$C$2:$J$259,8,0)</f>
        <v>03478</v>
      </c>
      <c r="E35" s="1671"/>
      <c r="F35" s="1671"/>
      <c r="G35" s="1671"/>
      <c r="H35" s="1671"/>
      <c r="I35" s="1671"/>
      <c r="J35" s="1671"/>
      <c r="K35" s="1671"/>
      <c r="L35" s="1671"/>
      <c r="M35" s="1671"/>
      <c r="N35" s="1671"/>
      <c r="O35" s="1671"/>
      <c r="P35" s="1671"/>
      <c r="Q35" s="1671"/>
      <c r="R35" s="1671"/>
      <c r="S35" s="1671"/>
      <c r="T35" s="1671"/>
      <c r="U35" s="1671"/>
      <c r="V35" s="1671"/>
      <c r="W35" s="1671"/>
      <c r="X35" s="1671"/>
      <c r="Y35" s="1671"/>
      <c r="Z35" s="1671"/>
      <c r="AA35" s="1671"/>
      <c r="AB35" s="1671"/>
      <c r="AC35" s="1671"/>
      <c r="AD35" s="1671"/>
      <c r="AE35" s="1671"/>
      <c r="AF35" s="1671"/>
      <c r="AG35" s="1477"/>
      <c r="AH35" s="1477"/>
      <c r="AI35" s="1477"/>
      <c r="AJ35" s="1060">
        <f t="shared" si="3"/>
        <v>0</v>
      </c>
      <c r="AK35" s="1061">
        <f t="shared" si="4"/>
        <v>0</v>
      </c>
      <c r="AL35" s="1060">
        <f t="shared" si="5"/>
        <v>0</v>
      </c>
      <c r="AM35" s="1060">
        <f t="shared" si="6"/>
        <v>0</v>
      </c>
      <c r="AN35" s="1060">
        <f t="shared" si="7"/>
        <v>0</v>
      </c>
      <c r="AO35" s="1061">
        <f t="shared" si="9"/>
        <v>0</v>
      </c>
      <c r="AP35" s="1062">
        <f t="shared" si="8"/>
        <v>0</v>
      </c>
      <c r="AQ35" s="888"/>
      <c r="AR35" s="231"/>
      <c r="AS35" s="229" t="str">
        <f>VLOOKUP(C36,'[1]NT 2'!$C$2:$J$259,8,0)</f>
        <v>03479</v>
      </c>
      <c r="AT35" s="953">
        <f t="shared" si="2"/>
        <v>0</v>
      </c>
    </row>
    <row r="36" spans="1:46" ht="24.75" customHeight="1">
      <c r="A36" s="1700">
        <v>26</v>
      </c>
      <c r="B36" s="1703">
        <v>26</v>
      </c>
      <c r="C36" s="833" t="s">
        <v>324</v>
      </c>
      <c r="D36" s="13" t="str">
        <f>VLOOKUP(C36,'[1]NT 2'!$C$2:$J$259,8,0)</f>
        <v>03479</v>
      </c>
      <c r="E36" s="1671"/>
      <c r="F36" s="1671"/>
      <c r="G36" s="1671"/>
      <c r="H36" s="1671"/>
      <c r="I36" s="1671"/>
      <c r="J36" s="1671"/>
      <c r="K36" s="1671"/>
      <c r="L36" s="1671"/>
      <c r="M36" s="1671"/>
      <c r="N36" s="1671"/>
      <c r="O36" s="1671"/>
      <c r="P36" s="1671"/>
      <c r="Q36" s="1671"/>
      <c r="R36" s="1671"/>
      <c r="S36" s="1671"/>
      <c r="T36" s="1671"/>
      <c r="U36" s="1671"/>
      <c r="V36" s="1671"/>
      <c r="W36" s="1671"/>
      <c r="X36" s="1671"/>
      <c r="Y36" s="1671"/>
      <c r="Z36" s="1671"/>
      <c r="AA36" s="1671"/>
      <c r="AB36" s="1671"/>
      <c r="AC36" s="1671"/>
      <c r="AD36" s="1671"/>
      <c r="AE36" s="1671"/>
      <c r="AF36" s="1671"/>
      <c r="AG36" s="1477"/>
      <c r="AH36" s="1477"/>
      <c r="AI36" s="1477"/>
      <c r="AJ36" s="1060">
        <f t="shared" si="3"/>
        <v>0</v>
      </c>
      <c r="AK36" s="1061">
        <f t="shared" si="4"/>
        <v>0</v>
      </c>
      <c r="AL36" s="1060">
        <f t="shared" si="5"/>
        <v>0</v>
      </c>
      <c r="AM36" s="1060">
        <f t="shared" si="6"/>
        <v>0</v>
      </c>
      <c r="AN36" s="1060">
        <f t="shared" si="7"/>
        <v>0</v>
      </c>
      <c r="AO36" s="1061">
        <f t="shared" si="9"/>
        <v>0</v>
      </c>
      <c r="AP36" s="1062">
        <f t="shared" si="8"/>
        <v>0</v>
      </c>
      <c r="AQ36" s="888"/>
      <c r="AR36" s="231"/>
      <c r="AS36" s="229" t="str">
        <f>VLOOKUP(C37,'[1]NT 2'!$C$2:$J$259,8,0)</f>
        <v>03480</v>
      </c>
      <c r="AT36" s="953">
        <f t="shared" si="2"/>
        <v>0</v>
      </c>
    </row>
    <row r="37" spans="1:46" ht="24.75" customHeight="1">
      <c r="A37" s="1700">
        <v>27</v>
      </c>
      <c r="B37" s="1703">
        <v>27</v>
      </c>
      <c r="C37" s="833" t="s">
        <v>317</v>
      </c>
      <c r="D37" s="13" t="str">
        <f>VLOOKUP(C37,'[1]NT 2'!$C$2:$J$259,8,0)</f>
        <v>03480</v>
      </c>
      <c r="E37" s="1671"/>
      <c r="F37" s="1671"/>
      <c r="G37" s="1671"/>
      <c r="H37" s="1671"/>
      <c r="I37" s="1671"/>
      <c r="J37" s="1671"/>
      <c r="K37" s="1671"/>
      <c r="L37" s="1671"/>
      <c r="M37" s="1671"/>
      <c r="N37" s="1671"/>
      <c r="O37" s="1671"/>
      <c r="P37" s="1671"/>
      <c r="Q37" s="1671"/>
      <c r="R37" s="1671"/>
      <c r="S37" s="1671"/>
      <c r="T37" s="1671"/>
      <c r="U37" s="1671"/>
      <c r="V37" s="1671"/>
      <c r="W37" s="1671"/>
      <c r="X37" s="1671"/>
      <c r="Y37" s="1671"/>
      <c r="Z37" s="1671"/>
      <c r="AA37" s="1671"/>
      <c r="AB37" s="1671"/>
      <c r="AC37" s="1671"/>
      <c r="AD37" s="1671"/>
      <c r="AE37" s="1671"/>
      <c r="AF37" s="1671"/>
      <c r="AG37" s="1477"/>
      <c r="AH37" s="1477"/>
      <c r="AI37" s="1477"/>
      <c r="AJ37" s="1060">
        <f t="shared" si="3"/>
        <v>0</v>
      </c>
      <c r="AK37" s="1061">
        <f t="shared" si="4"/>
        <v>0</v>
      </c>
      <c r="AL37" s="1060">
        <f t="shared" si="5"/>
        <v>0</v>
      </c>
      <c r="AM37" s="1060">
        <f t="shared" si="6"/>
        <v>0</v>
      </c>
      <c r="AN37" s="1060">
        <f t="shared" si="7"/>
        <v>0</v>
      </c>
      <c r="AO37" s="1061">
        <f t="shared" si="9"/>
        <v>0</v>
      </c>
      <c r="AP37" s="1062">
        <f t="shared" si="8"/>
        <v>0</v>
      </c>
      <c r="AQ37" s="888"/>
      <c r="AR37" s="231"/>
      <c r="AS37" s="229" t="str">
        <f>VLOOKUP(C38,'[1]NT 2'!$C$2:$J$259,8,0)</f>
        <v>03481</v>
      </c>
      <c r="AT37" s="953">
        <f t="shared" si="2"/>
        <v>0</v>
      </c>
    </row>
    <row r="38" spans="1:46" ht="24.75" customHeight="1">
      <c r="A38" s="1700">
        <v>28</v>
      </c>
      <c r="B38" s="1703">
        <v>28</v>
      </c>
      <c r="C38" s="163" t="s">
        <v>282</v>
      </c>
      <c r="D38" s="13" t="str">
        <f>VLOOKUP(C38,'[1]NT 2'!$C$2:$J$259,8,0)</f>
        <v>03481</v>
      </c>
      <c r="E38" s="1671"/>
      <c r="F38" s="1671"/>
      <c r="G38" s="1671"/>
      <c r="H38" s="1671"/>
      <c r="I38" s="1671"/>
      <c r="J38" s="1671"/>
      <c r="K38" s="1671"/>
      <c r="L38" s="1671"/>
      <c r="M38" s="1671"/>
      <c r="N38" s="1671"/>
      <c r="O38" s="1671"/>
      <c r="P38" s="1671"/>
      <c r="Q38" s="1671"/>
      <c r="R38" s="1671"/>
      <c r="S38" s="1671"/>
      <c r="T38" s="1671"/>
      <c r="U38" s="1671"/>
      <c r="V38" s="1671"/>
      <c r="W38" s="1671"/>
      <c r="X38" s="1671"/>
      <c r="Y38" s="1671"/>
      <c r="Z38" s="1671"/>
      <c r="AA38" s="1671"/>
      <c r="AB38" s="1671"/>
      <c r="AC38" s="1671"/>
      <c r="AD38" s="1671"/>
      <c r="AE38" s="1671"/>
      <c r="AF38" s="1671"/>
      <c r="AG38" s="1477"/>
      <c r="AH38" s="1477"/>
      <c r="AI38" s="1477"/>
      <c r="AJ38" s="1060">
        <f t="shared" si="3"/>
        <v>0</v>
      </c>
      <c r="AK38" s="1061">
        <f t="shared" si="4"/>
        <v>0</v>
      </c>
      <c r="AL38" s="1060">
        <f t="shared" si="5"/>
        <v>0</v>
      </c>
      <c r="AM38" s="1060">
        <f t="shared" si="6"/>
        <v>0</v>
      </c>
      <c r="AN38" s="1060">
        <f t="shared" si="7"/>
        <v>0</v>
      </c>
      <c r="AO38" s="1061">
        <f t="shared" si="9"/>
        <v>0</v>
      </c>
      <c r="AP38" s="1062">
        <f t="shared" si="8"/>
        <v>0</v>
      </c>
      <c r="AQ38" s="888"/>
      <c r="AR38" s="231"/>
      <c r="AS38" s="229" t="str">
        <f>VLOOKUP(C39,'[1]NT 2'!$C$2:$J$259,8,0)</f>
        <v>03482</v>
      </c>
      <c r="AT38" s="953">
        <f t="shared" si="2"/>
        <v>0</v>
      </c>
    </row>
    <row r="39" spans="1:46" ht="24.75" customHeight="1">
      <c r="A39" s="1700">
        <v>29</v>
      </c>
      <c r="B39" s="1703">
        <v>29</v>
      </c>
      <c r="C39" s="833" t="s">
        <v>280</v>
      </c>
      <c r="D39" s="13" t="str">
        <f>VLOOKUP(C39,'[1]NT 2'!$C$2:$J$259,8,0)</f>
        <v>03482</v>
      </c>
      <c r="E39" s="1671"/>
      <c r="F39" s="1671"/>
      <c r="G39" s="1671"/>
      <c r="H39" s="1671"/>
      <c r="I39" s="1671"/>
      <c r="J39" s="1671"/>
      <c r="K39" s="1671"/>
      <c r="L39" s="1671"/>
      <c r="M39" s="1671"/>
      <c r="N39" s="1671"/>
      <c r="O39" s="1671"/>
      <c r="P39" s="1671"/>
      <c r="Q39" s="1671"/>
      <c r="R39" s="1671"/>
      <c r="S39" s="1671"/>
      <c r="T39" s="1671"/>
      <c r="U39" s="1671"/>
      <c r="V39" s="1671"/>
      <c r="W39" s="1671"/>
      <c r="X39" s="1671"/>
      <c r="Y39" s="1671"/>
      <c r="Z39" s="1671"/>
      <c r="AA39" s="1671"/>
      <c r="AB39" s="1671"/>
      <c r="AC39" s="1671"/>
      <c r="AD39" s="1671"/>
      <c r="AE39" s="1671"/>
      <c r="AF39" s="1671"/>
      <c r="AG39" s="1477"/>
      <c r="AH39" s="1477"/>
      <c r="AI39" s="1477"/>
      <c r="AJ39" s="1060">
        <f t="shared" si="3"/>
        <v>0</v>
      </c>
      <c r="AK39" s="1061">
        <f t="shared" si="4"/>
        <v>0</v>
      </c>
      <c r="AL39" s="1060">
        <f t="shared" si="5"/>
        <v>0</v>
      </c>
      <c r="AM39" s="1060">
        <f t="shared" si="6"/>
        <v>0</v>
      </c>
      <c r="AN39" s="1060">
        <f t="shared" si="7"/>
        <v>0</v>
      </c>
      <c r="AO39" s="1061">
        <f t="shared" si="9"/>
        <v>0</v>
      </c>
      <c r="AP39" s="1062">
        <f t="shared" si="8"/>
        <v>0</v>
      </c>
      <c r="AQ39" s="888"/>
      <c r="AR39" s="231"/>
      <c r="AS39" s="229" t="str">
        <f>VLOOKUP(C40,'[1]NT 2'!$C$2:$J$259,8,0)</f>
        <v>03483</v>
      </c>
      <c r="AT39" s="953">
        <f t="shared" si="2"/>
        <v>0</v>
      </c>
    </row>
    <row r="40" spans="1:46" ht="24.75" customHeight="1">
      <c r="A40" s="1700">
        <v>30</v>
      </c>
      <c r="B40" s="1703">
        <v>30</v>
      </c>
      <c r="C40" s="365" t="s">
        <v>409</v>
      </c>
      <c r="D40" s="13" t="str">
        <f>VLOOKUP(C40,'[1]NT 2'!$C$2:$J$259,8,0)</f>
        <v>03483</v>
      </c>
      <c r="E40" s="1671"/>
      <c r="F40" s="1671"/>
      <c r="G40" s="1671"/>
      <c r="H40" s="1671"/>
      <c r="I40" s="1671"/>
      <c r="J40" s="1671"/>
      <c r="K40" s="1671"/>
      <c r="L40" s="1671"/>
      <c r="M40" s="1671"/>
      <c r="N40" s="1671"/>
      <c r="O40" s="1671"/>
      <c r="P40" s="1671"/>
      <c r="Q40" s="1671"/>
      <c r="R40" s="1671"/>
      <c r="S40" s="1671"/>
      <c r="T40" s="1671"/>
      <c r="U40" s="1671"/>
      <c r="V40" s="1671"/>
      <c r="W40" s="1671"/>
      <c r="X40" s="1671"/>
      <c r="Y40" s="1671"/>
      <c r="Z40" s="1671"/>
      <c r="AA40" s="1671"/>
      <c r="AB40" s="1671"/>
      <c r="AC40" s="1671"/>
      <c r="AD40" s="1671"/>
      <c r="AE40" s="1671"/>
      <c r="AF40" s="1671"/>
      <c r="AG40" s="1477"/>
      <c r="AH40" s="1477"/>
      <c r="AI40" s="1477"/>
      <c r="AJ40" s="1060">
        <f t="shared" si="3"/>
        <v>0</v>
      </c>
      <c r="AK40" s="1061">
        <f t="shared" si="4"/>
        <v>0</v>
      </c>
      <c r="AL40" s="1060">
        <f t="shared" si="5"/>
        <v>0</v>
      </c>
      <c r="AM40" s="1060">
        <f t="shared" si="6"/>
        <v>0</v>
      </c>
      <c r="AN40" s="1060">
        <f t="shared" si="7"/>
        <v>0</v>
      </c>
      <c r="AO40" s="1061">
        <f t="shared" si="9"/>
        <v>0</v>
      </c>
      <c r="AP40" s="1062">
        <f t="shared" si="8"/>
        <v>0</v>
      </c>
      <c r="AQ40" s="888"/>
      <c r="AR40" s="231"/>
      <c r="AS40" s="229" t="str">
        <f>VLOOKUP(C41,'[1]NT 2'!$C$2:$J$259,8,0)</f>
        <v>03484</v>
      </c>
      <c r="AT40" s="953">
        <f t="shared" si="2"/>
        <v>0</v>
      </c>
    </row>
    <row r="41" spans="1:46" ht="24.75" customHeight="1">
      <c r="A41" s="1700">
        <v>31</v>
      </c>
      <c r="B41" s="1703">
        <v>31</v>
      </c>
      <c r="C41" s="1268" t="s">
        <v>396</v>
      </c>
      <c r="D41" s="13" t="str">
        <f>VLOOKUP(C41,'[1]NT 2'!$C$2:$J$259,8,0)</f>
        <v>03484</v>
      </c>
      <c r="E41" s="1671"/>
      <c r="F41" s="1671"/>
      <c r="G41" s="1671"/>
      <c r="H41" s="1671"/>
      <c r="I41" s="1671"/>
      <c r="J41" s="1671"/>
      <c r="K41" s="1671"/>
      <c r="L41" s="1671"/>
      <c r="M41" s="1671"/>
      <c r="N41" s="1671"/>
      <c r="O41" s="1671"/>
      <c r="P41" s="1671"/>
      <c r="Q41" s="1671"/>
      <c r="R41" s="1671"/>
      <c r="S41" s="1671"/>
      <c r="T41" s="1671"/>
      <c r="U41" s="1671"/>
      <c r="V41" s="1671"/>
      <c r="W41" s="1671"/>
      <c r="X41" s="1671"/>
      <c r="Y41" s="1671"/>
      <c r="Z41" s="1671"/>
      <c r="AA41" s="1671"/>
      <c r="AB41" s="1671"/>
      <c r="AC41" s="1671"/>
      <c r="AD41" s="1671"/>
      <c r="AE41" s="1671"/>
      <c r="AF41" s="1671"/>
      <c r="AG41" s="1477"/>
      <c r="AH41" s="1477"/>
      <c r="AI41" s="1477"/>
      <c r="AJ41" s="1060">
        <f t="shared" si="3"/>
        <v>0</v>
      </c>
      <c r="AK41" s="1061">
        <f t="shared" si="4"/>
        <v>0</v>
      </c>
      <c r="AL41" s="1060">
        <f t="shared" si="5"/>
        <v>0</v>
      </c>
      <c r="AM41" s="1060">
        <f t="shared" si="6"/>
        <v>0</v>
      </c>
      <c r="AN41" s="1060">
        <f t="shared" si="7"/>
        <v>0</v>
      </c>
      <c r="AO41" s="1061">
        <f t="shared" si="9"/>
        <v>0</v>
      </c>
      <c r="AP41" s="1062">
        <f t="shared" si="8"/>
        <v>0</v>
      </c>
      <c r="AQ41" s="888"/>
      <c r="AR41" s="231"/>
      <c r="AS41" s="229" t="str">
        <f>VLOOKUP(C42,'[1]NT 2'!$C$2:$J$259,8,0)</f>
        <v>03485</v>
      </c>
      <c r="AT41" s="953">
        <f t="shared" si="2"/>
        <v>0</v>
      </c>
    </row>
    <row r="42" spans="1:46" ht="24.75" customHeight="1">
      <c r="A42" s="1700">
        <v>32</v>
      </c>
      <c r="B42" s="1703">
        <v>32</v>
      </c>
      <c r="C42" s="1268" t="s">
        <v>397</v>
      </c>
      <c r="D42" s="13" t="str">
        <f>VLOOKUP(C42,'[1]NT 2'!$C$2:$J$259,8,0)</f>
        <v>03485</v>
      </c>
      <c r="E42" s="1671"/>
      <c r="F42" s="1671"/>
      <c r="G42" s="1671"/>
      <c r="H42" s="1671"/>
      <c r="I42" s="1671"/>
      <c r="J42" s="1671"/>
      <c r="K42" s="1671"/>
      <c r="L42" s="1671"/>
      <c r="M42" s="1671"/>
      <c r="N42" s="1671"/>
      <c r="O42" s="1671"/>
      <c r="P42" s="1671"/>
      <c r="Q42" s="1671"/>
      <c r="R42" s="1671"/>
      <c r="S42" s="1671"/>
      <c r="T42" s="1671"/>
      <c r="U42" s="1671"/>
      <c r="V42" s="1671"/>
      <c r="W42" s="1671"/>
      <c r="X42" s="1671"/>
      <c r="Y42" s="1671"/>
      <c r="Z42" s="1671"/>
      <c r="AA42" s="1671"/>
      <c r="AB42" s="1671"/>
      <c r="AC42" s="1671"/>
      <c r="AD42" s="1671"/>
      <c r="AE42" s="1671"/>
      <c r="AF42" s="1671"/>
      <c r="AG42" s="1477"/>
      <c r="AH42" s="1477"/>
      <c r="AI42" s="1477"/>
      <c r="AJ42" s="1060">
        <f t="shared" si="3"/>
        <v>0</v>
      </c>
      <c r="AK42" s="1061">
        <f t="shared" si="4"/>
        <v>0</v>
      </c>
      <c r="AL42" s="1060">
        <f t="shared" si="5"/>
        <v>0</v>
      </c>
      <c r="AM42" s="1060">
        <f t="shared" si="6"/>
        <v>0</v>
      </c>
      <c r="AN42" s="1060">
        <f t="shared" si="7"/>
        <v>0</v>
      </c>
      <c r="AO42" s="1061">
        <f t="shared" si="9"/>
        <v>0</v>
      </c>
      <c r="AP42" s="1062">
        <f t="shared" si="8"/>
        <v>0</v>
      </c>
      <c r="AQ42" s="888"/>
      <c r="AR42" s="231"/>
      <c r="AS42" s="229" t="str">
        <f>VLOOKUP(C43,'[1]NT 2'!$C$2:$J$259,8,0)</f>
        <v>02712</v>
      </c>
      <c r="AT42" s="953">
        <f t="shared" ref="AT42:AT73" si="10">D43-AS42</f>
        <v>0</v>
      </c>
    </row>
    <row r="43" spans="1:46" ht="24.75" customHeight="1">
      <c r="A43" s="1700">
        <v>33</v>
      </c>
      <c r="B43" s="1703">
        <v>33</v>
      </c>
      <c r="C43" s="834" t="s">
        <v>337</v>
      </c>
      <c r="D43" s="13" t="str">
        <f>VLOOKUP(C43,'[1]NT 2'!$C$2:$J$259,8,0)</f>
        <v>02712</v>
      </c>
      <c r="E43" s="1671"/>
      <c r="F43" s="1671"/>
      <c r="G43" s="1671"/>
      <c r="H43" s="1671"/>
      <c r="I43" s="1671"/>
      <c r="J43" s="1671"/>
      <c r="K43" s="1671"/>
      <c r="L43" s="1671"/>
      <c r="M43" s="1671"/>
      <c r="N43" s="1671"/>
      <c r="O43" s="1671"/>
      <c r="P43" s="1671"/>
      <c r="Q43" s="1671"/>
      <c r="R43" s="1671"/>
      <c r="S43" s="1671"/>
      <c r="T43" s="1671"/>
      <c r="U43" s="1671"/>
      <c r="V43" s="1671"/>
      <c r="W43" s="1671"/>
      <c r="X43" s="1671"/>
      <c r="Y43" s="1671"/>
      <c r="Z43" s="1671"/>
      <c r="AA43" s="1671"/>
      <c r="AB43" s="1671"/>
      <c r="AC43" s="1671"/>
      <c r="AD43" s="1671"/>
      <c r="AE43" s="1671"/>
      <c r="AF43" s="1671"/>
      <c r="AG43" s="1477"/>
      <c r="AH43" s="1477"/>
      <c r="AI43" s="1477"/>
      <c r="AJ43" s="1060">
        <f t="shared" si="3"/>
        <v>0</v>
      </c>
      <c r="AK43" s="1061">
        <f t="shared" si="4"/>
        <v>0</v>
      </c>
      <c r="AL43" s="1060">
        <f t="shared" si="5"/>
        <v>0</v>
      </c>
      <c r="AM43" s="1060">
        <f t="shared" si="6"/>
        <v>0</v>
      </c>
      <c r="AN43" s="1060">
        <f t="shared" si="7"/>
        <v>0</v>
      </c>
      <c r="AO43" s="1061">
        <f t="shared" si="9"/>
        <v>0</v>
      </c>
      <c r="AP43" s="1062">
        <f t="shared" si="8"/>
        <v>0</v>
      </c>
      <c r="AQ43" s="888"/>
      <c r="AR43" s="231"/>
      <c r="AS43" s="229" t="str">
        <f>VLOOKUP(C44,'[1]NT 2'!$C$2:$J$259,8,0)</f>
        <v>02722</v>
      </c>
      <c r="AT43" s="953">
        <f t="shared" si="10"/>
        <v>0</v>
      </c>
    </row>
    <row r="44" spans="1:46" ht="24.75" customHeight="1">
      <c r="A44" s="1700">
        <v>34</v>
      </c>
      <c r="B44" s="1703">
        <v>34</v>
      </c>
      <c r="C44" s="833" t="s">
        <v>428</v>
      </c>
      <c r="D44" s="13" t="str">
        <f>VLOOKUP(C44,'[1]NT 2'!$C$2:$J$259,8,0)</f>
        <v>02722</v>
      </c>
      <c r="E44" s="1671"/>
      <c r="F44" s="1671"/>
      <c r="G44" s="1671"/>
      <c r="H44" s="1671"/>
      <c r="I44" s="1671"/>
      <c r="J44" s="1671"/>
      <c r="K44" s="1671"/>
      <c r="L44" s="1671"/>
      <c r="M44" s="1671"/>
      <c r="N44" s="1671"/>
      <c r="O44" s="1671"/>
      <c r="P44" s="1671"/>
      <c r="Q44" s="1671"/>
      <c r="R44" s="1671"/>
      <c r="S44" s="1671"/>
      <c r="T44" s="1671"/>
      <c r="U44" s="1671"/>
      <c r="V44" s="1671"/>
      <c r="W44" s="1671"/>
      <c r="X44" s="1671"/>
      <c r="Y44" s="1671"/>
      <c r="Z44" s="1671"/>
      <c r="AA44" s="1671"/>
      <c r="AB44" s="1671"/>
      <c r="AC44" s="1671"/>
      <c r="AD44" s="1671"/>
      <c r="AE44" s="1671"/>
      <c r="AF44" s="1671"/>
      <c r="AG44" s="1477"/>
      <c r="AH44" s="1477"/>
      <c r="AI44" s="1477"/>
      <c r="AJ44" s="1060">
        <f t="shared" si="3"/>
        <v>0</v>
      </c>
      <c r="AK44" s="1061">
        <f t="shared" si="4"/>
        <v>0</v>
      </c>
      <c r="AL44" s="1060">
        <f t="shared" si="5"/>
        <v>0</v>
      </c>
      <c r="AM44" s="1060">
        <f t="shared" si="6"/>
        <v>0</v>
      </c>
      <c r="AN44" s="1060">
        <f t="shared" si="7"/>
        <v>0</v>
      </c>
      <c r="AO44" s="1061">
        <f t="shared" si="9"/>
        <v>0</v>
      </c>
      <c r="AP44" s="1062">
        <f t="shared" si="8"/>
        <v>0</v>
      </c>
      <c r="AQ44" s="888"/>
      <c r="AR44" s="231"/>
      <c r="AS44" s="229" t="str">
        <f>VLOOKUP(C45,'[1]NT 2'!$C$2:$J$259,8,0)</f>
        <v>02714</v>
      </c>
      <c r="AT44" s="953">
        <f t="shared" si="10"/>
        <v>0</v>
      </c>
    </row>
    <row r="45" spans="1:46" ht="24.75" customHeight="1">
      <c r="A45" s="1700">
        <v>35</v>
      </c>
      <c r="B45" s="1703">
        <v>35</v>
      </c>
      <c r="C45" s="833" t="s">
        <v>338</v>
      </c>
      <c r="D45" s="13" t="str">
        <f>VLOOKUP(C45,'[1]NT 2'!$C$2:$J$259,8,0)</f>
        <v>02714</v>
      </c>
      <c r="E45" s="1671"/>
      <c r="F45" s="1671"/>
      <c r="G45" s="1671"/>
      <c r="H45" s="1671"/>
      <c r="I45" s="1671"/>
      <c r="J45" s="1671"/>
      <c r="K45" s="1671"/>
      <c r="L45" s="1671"/>
      <c r="M45" s="1671"/>
      <c r="N45" s="1671"/>
      <c r="O45" s="1671"/>
      <c r="P45" s="1671"/>
      <c r="Q45" s="1671"/>
      <c r="R45" s="1671"/>
      <c r="S45" s="1671"/>
      <c r="T45" s="1671"/>
      <c r="U45" s="1671"/>
      <c r="V45" s="1671"/>
      <c r="W45" s="1671"/>
      <c r="X45" s="1671"/>
      <c r="Y45" s="1671"/>
      <c r="Z45" s="1671"/>
      <c r="AA45" s="1671"/>
      <c r="AB45" s="1671"/>
      <c r="AC45" s="1671"/>
      <c r="AD45" s="1671"/>
      <c r="AE45" s="1671"/>
      <c r="AF45" s="1671"/>
      <c r="AG45" s="1477"/>
      <c r="AH45" s="1477"/>
      <c r="AI45" s="1477"/>
      <c r="AJ45" s="1060">
        <f t="shared" si="3"/>
        <v>0</v>
      </c>
      <c r="AK45" s="1061">
        <f t="shared" si="4"/>
        <v>0</v>
      </c>
      <c r="AL45" s="1060">
        <f t="shared" si="5"/>
        <v>0</v>
      </c>
      <c r="AM45" s="1060">
        <f t="shared" si="6"/>
        <v>0</v>
      </c>
      <c r="AN45" s="1060">
        <f t="shared" si="7"/>
        <v>0</v>
      </c>
      <c r="AO45" s="1061">
        <f t="shared" si="9"/>
        <v>0</v>
      </c>
      <c r="AP45" s="1062">
        <f t="shared" si="8"/>
        <v>0</v>
      </c>
      <c r="AQ45" s="888"/>
      <c r="AR45" s="231"/>
      <c r="AS45" s="229" t="str">
        <f>VLOOKUP(C46,'[1]NT 2'!$C$2:$J$259,8,0)</f>
        <v>02713</v>
      </c>
      <c r="AT45" s="953">
        <f t="shared" si="10"/>
        <v>0</v>
      </c>
    </row>
    <row r="46" spans="1:46" ht="24.75" customHeight="1">
      <c r="A46" s="1700">
        <v>36</v>
      </c>
      <c r="B46" s="1703">
        <v>36</v>
      </c>
      <c r="C46" s="1268" t="s">
        <v>339</v>
      </c>
      <c r="D46" s="13" t="str">
        <f>VLOOKUP(C46,'[1]NT 2'!$C$2:$J$259,8,0)</f>
        <v>02713</v>
      </c>
      <c r="E46" s="1671"/>
      <c r="F46" s="1671"/>
      <c r="G46" s="1671"/>
      <c r="H46" s="1671"/>
      <c r="I46" s="1671"/>
      <c r="J46" s="1671"/>
      <c r="K46" s="1671"/>
      <c r="L46" s="1671"/>
      <c r="M46" s="1671"/>
      <c r="N46" s="1671"/>
      <c r="O46" s="1671"/>
      <c r="P46" s="1671"/>
      <c r="Q46" s="1671"/>
      <c r="R46" s="1671"/>
      <c r="S46" s="1671"/>
      <c r="T46" s="1671"/>
      <c r="U46" s="1671"/>
      <c r="V46" s="1671"/>
      <c r="W46" s="1671"/>
      <c r="X46" s="1671"/>
      <c r="Y46" s="1671"/>
      <c r="Z46" s="1671"/>
      <c r="AA46" s="1671"/>
      <c r="AB46" s="1671"/>
      <c r="AC46" s="1671"/>
      <c r="AD46" s="1671"/>
      <c r="AE46" s="1671"/>
      <c r="AF46" s="1671"/>
      <c r="AG46" s="1477"/>
      <c r="AH46" s="1477"/>
      <c r="AI46" s="1477"/>
      <c r="AJ46" s="1060">
        <f t="shared" si="3"/>
        <v>0</v>
      </c>
      <c r="AK46" s="1061">
        <f t="shared" si="4"/>
        <v>0</v>
      </c>
      <c r="AL46" s="1060">
        <f t="shared" si="5"/>
        <v>0</v>
      </c>
      <c r="AM46" s="1060">
        <f t="shared" si="6"/>
        <v>0</v>
      </c>
      <c r="AN46" s="1060">
        <f t="shared" si="7"/>
        <v>0</v>
      </c>
      <c r="AO46" s="1061">
        <f t="shared" si="9"/>
        <v>0</v>
      </c>
      <c r="AP46" s="1062">
        <f t="shared" si="8"/>
        <v>0</v>
      </c>
      <c r="AQ46" s="888"/>
      <c r="AR46" s="231"/>
      <c r="AS46" s="229" t="str">
        <f>VLOOKUP(C47,'[1]NT 2'!$C$2:$J$259,8,0)</f>
        <v>03486</v>
      </c>
      <c r="AT46" s="953">
        <f t="shared" si="10"/>
        <v>0</v>
      </c>
    </row>
    <row r="47" spans="1:46" ht="24.75" customHeight="1">
      <c r="A47" s="1700">
        <v>37</v>
      </c>
      <c r="B47" s="1703">
        <v>37</v>
      </c>
      <c r="C47" s="833" t="s">
        <v>284</v>
      </c>
      <c r="D47" s="13" t="str">
        <f>VLOOKUP(C47,'[1]NT 2'!$C$2:$J$259,8,0)</f>
        <v>03486</v>
      </c>
      <c r="E47" s="1671"/>
      <c r="F47" s="1671"/>
      <c r="G47" s="1671"/>
      <c r="H47" s="1671"/>
      <c r="I47" s="1671"/>
      <c r="J47" s="1671"/>
      <c r="K47" s="1671"/>
      <c r="L47" s="1671"/>
      <c r="M47" s="1671"/>
      <c r="N47" s="1671"/>
      <c r="O47" s="1671"/>
      <c r="P47" s="1671"/>
      <c r="Q47" s="1671"/>
      <c r="R47" s="1671"/>
      <c r="S47" s="1671"/>
      <c r="T47" s="1671"/>
      <c r="U47" s="1671"/>
      <c r="V47" s="1671"/>
      <c r="W47" s="1671"/>
      <c r="X47" s="1671"/>
      <c r="Y47" s="1671"/>
      <c r="Z47" s="1671"/>
      <c r="AA47" s="1671"/>
      <c r="AB47" s="1671"/>
      <c r="AC47" s="1671"/>
      <c r="AD47" s="1671"/>
      <c r="AE47" s="1671"/>
      <c r="AF47" s="1671"/>
      <c r="AG47" s="1477"/>
      <c r="AH47" s="1477"/>
      <c r="AI47" s="1477"/>
      <c r="AJ47" s="1060">
        <f t="shared" si="3"/>
        <v>0</v>
      </c>
      <c r="AK47" s="1061">
        <f t="shared" si="4"/>
        <v>0</v>
      </c>
      <c r="AL47" s="1060">
        <f t="shared" si="5"/>
        <v>0</v>
      </c>
      <c r="AM47" s="1060">
        <f t="shared" si="6"/>
        <v>0</v>
      </c>
      <c r="AN47" s="1060">
        <f t="shared" si="7"/>
        <v>0</v>
      </c>
      <c r="AO47" s="1061">
        <f t="shared" si="9"/>
        <v>0</v>
      </c>
      <c r="AP47" s="1062">
        <f t="shared" si="8"/>
        <v>0</v>
      </c>
      <c r="AQ47" s="888"/>
      <c r="AR47" s="231"/>
      <c r="AS47" s="229" t="str">
        <f>VLOOKUP(C48,'[1]NT 2'!$C$2:$J$259,8,0)</f>
        <v>03487</v>
      </c>
      <c r="AT47" s="953">
        <f t="shared" si="10"/>
        <v>0</v>
      </c>
    </row>
    <row r="48" spans="1:46" ht="24.75" customHeight="1">
      <c r="A48" s="1700">
        <v>38</v>
      </c>
      <c r="B48" s="1703">
        <v>38</v>
      </c>
      <c r="C48" s="365" t="s">
        <v>429</v>
      </c>
      <c r="D48" s="13" t="str">
        <f>VLOOKUP(C48,'[1]NT 2'!$C$2:$J$259,8,0)</f>
        <v>03487</v>
      </c>
      <c r="E48" s="1671"/>
      <c r="F48" s="1671"/>
      <c r="G48" s="1671"/>
      <c r="H48" s="1671"/>
      <c r="I48" s="1671"/>
      <c r="J48" s="1671"/>
      <c r="K48" s="1671"/>
      <c r="L48" s="1671"/>
      <c r="M48" s="1671"/>
      <c r="N48" s="1671"/>
      <c r="O48" s="1671"/>
      <c r="P48" s="1671"/>
      <c r="Q48" s="1671"/>
      <c r="R48" s="1671"/>
      <c r="S48" s="1671"/>
      <c r="T48" s="1671"/>
      <c r="U48" s="1671"/>
      <c r="V48" s="1671"/>
      <c r="W48" s="1671"/>
      <c r="X48" s="1671"/>
      <c r="Y48" s="1671"/>
      <c r="Z48" s="1671"/>
      <c r="AA48" s="1671"/>
      <c r="AB48" s="1671"/>
      <c r="AC48" s="1671"/>
      <c r="AD48" s="1671"/>
      <c r="AE48" s="1671"/>
      <c r="AF48" s="1671"/>
      <c r="AG48" s="1477"/>
      <c r="AH48" s="1477"/>
      <c r="AI48" s="1477"/>
      <c r="AJ48" s="1060">
        <f t="shared" si="3"/>
        <v>0</v>
      </c>
      <c r="AK48" s="1061">
        <f t="shared" si="4"/>
        <v>0</v>
      </c>
      <c r="AL48" s="1060">
        <f t="shared" si="5"/>
        <v>0</v>
      </c>
      <c r="AM48" s="1060">
        <f t="shared" si="6"/>
        <v>0</v>
      </c>
      <c r="AN48" s="1060">
        <f t="shared" si="7"/>
        <v>0</v>
      </c>
      <c r="AO48" s="1061">
        <f t="shared" si="9"/>
        <v>0</v>
      </c>
      <c r="AP48" s="1062">
        <f t="shared" si="8"/>
        <v>0</v>
      </c>
      <c r="AQ48" s="888"/>
      <c r="AR48" s="231"/>
      <c r="AS48" s="229" t="str">
        <f>VLOOKUP(C49,'[1]NT 2'!$C$2:$J$259,8,0)</f>
        <v>03488</v>
      </c>
      <c r="AT48" s="953">
        <f t="shared" si="10"/>
        <v>0</v>
      </c>
    </row>
    <row r="49" spans="1:46" ht="24.75" customHeight="1">
      <c r="A49" s="1700">
        <v>39</v>
      </c>
      <c r="B49" s="1703">
        <v>39</v>
      </c>
      <c r="C49" s="833" t="s">
        <v>398</v>
      </c>
      <c r="D49" s="13" t="str">
        <f>VLOOKUP(C49,'[1]NT 2'!$C$2:$J$259,8,0)</f>
        <v>03488</v>
      </c>
      <c r="E49" s="1671"/>
      <c r="F49" s="1671"/>
      <c r="G49" s="1671"/>
      <c r="H49" s="1671"/>
      <c r="I49" s="1671"/>
      <c r="J49" s="1671"/>
      <c r="K49" s="1671"/>
      <c r="L49" s="1671"/>
      <c r="M49" s="1671"/>
      <c r="N49" s="1671"/>
      <c r="O49" s="1671"/>
      <c r="P49" s="1671"/>
      <c r="Q49" s="1671"/>
      <c r="R49" s="1671"/>
      <c r="S49" s="1671"/>
      <c r="T49" s="1671"/>
      <c r="U49" s="1671"/>
      <c r="V49" s="1671"/>
      <c r="W49" s="1671"/>
      <c r="X49" s="1671"/>
      <c r="Y49" s="1671"/>
      <c r="Z49" s="1671"/>
      <c r="AA49" s="1671"/>
      <c r="AB49" s="1671"/>
      <c r="AC49" s="1671"/>
      <c r="AD49" s="1671"/>
      <c r="AE49" s="1671"/>
      <c r="AF49" s="1671"/>
      <c r="AG49" s="1477"/>
      <c r="AH49" s="1477"/>
      <c r="AI49" s="1477"/>
      <c r="AJ49" s="1060">
        <f t="shared" si="3"/>
        <v>0</v>
      </c>
      <c r="AK49" s="1061">
        <f t="shared" si="4"/>
        <v>0</v>
      </c>
      <c r="AL49" s="1060">
        <f t="shared" si="5"/>
        <v>0</v>
      </c>
      <c r="AM49" s="1060">
        <f t="shared" si="6"/>
        <v>0</v>
      </c>
      <c r="AN49" s="1060">
        <f t="shared" si="7"/>
        <v>0</v>
      </c>
      <c r="AO49" s="1061">
        <f t="shared" si="9"/>
        <v>0</v>
      </c>
      <c r="AP49" s="1062">
        <f t="shared" si="8"/>
        <v>0</v>
      </c>
      <c r="AQ49" s="888"/>
      <c r="AR49" s="231"/>
      <c r="AS49" s="229" t="str">
        <f>VLOOKUP(C50,'[1]NT 2'!$C$2:$J$259,8,0)</f>
        <v>03489</v>
      </c>
      <c r="AT49" s="953">
        <f t="shared" si="10"/>
        <v>0</v>
      </c>
    </row>
    <row r="50" spans="1:46" ht="24.75" customHeight="1">
      <c r="A50" s="1700">
        <v>40</v>
      </c>
      <c r="B50" s="1703">
        <v>40</v>
      </c>
      <c r="C50" s="1268" t="s">
        <v>410</v>
      </c>
      <c r="D50" s="13" t="str">
        <f>VLOOKUP(C50,'[1]NT 2'!$C$2:$J$259,8,0)</f>
        <v>03489</v>
      </c>
      <c r="E50" s="1671"/>
      <c r="F50" s="1671"/>
      <c r="G50" s="1671"/>
      <c r="H50" s="1671"/>
      <c r="I50" s="1671"/>
      <c r="J50" s="1671"/>
      <c r="K50" s="1671"/>
      <c r="L50" s="1671"/>
      <c r="M50" s="1671"/>
      <c r="N50" s="1671"/>
      <c r="O50" s="1671"/>
      <c r="P50" s="1671"/>
      <c r="Q50" s="1671"/>
      <c r="R50" s="1671"/>
      <c r="S50" s="1671"/>
      <c r="T50" s="1671"/>
      <c r="U50" s="1671"/>
      <c r="V50" s="1671"/>
      <c r="W50" s="1671"/>
      <c r="X50" s="1671"/>
      <c r="Y50" s="1671"/>
      <c r="Z50" s="1671"/>
      <c r="AA50" s="1671"/>
      <c r="AB50" s="1671"/>
      <c r="AC50" s="1671"/>
      <c r="AD50" s="1671"/>
      <c r="AE50" s="1671"/>
      <c r="AF50" s="1671"/>
      <c r="AG50" s="1477"/>
      <c r="AH50" s="1477"/>
      <c r="AI50" s="1477"/>
      <c r="AJ50" s="1060">
        <f t="shared" si="3"/>
        <v>0</v>
      </c>
      <c r="AK50" s="1061">
        <f t="shared" si="4"/>
        <v>0</v>
      </c>
      <c r="AL50" s="1060">
        <f t="shared" si="5"/>
        <v>0</v>
      </c>
      <c r="AM50" s="1060">
        <f t="shared" si="6"/>
        <v>0</v>
      </c>
      <c r="AN50" s="1060">
        <f t="shared" si="7"/>
        <v>0</v>
      </c>
      <c r="AO50" s="1061">
        <f t="shared" si="9"/>
        <v>0</v>
      </c>
      <c r="AP50" s="1062">
        <f t="shared" si="8"/>
        <v>0</v>
      </c>
      <c r="AQ50" s="888"/>
      <c r="AR50" s="231"/>
      <c r="AS50" s="229" t="e">
        <f>VLOOKUP(C51,'[1]NT 2'!$C$2:$J$259,8,0)</f>
        <v>#N/A</v>
      </c>
      <c r="AT50" s="953" t="e">
        <f t="shared" si="10"/>
        <v>#N/A</v>
      </c>
    </row>
    <row r="51" spans="1:46" ht="24.75" customHeight="1">
      <c r="A51" s="1700">
        <v>41</v>
      </c>
      <c r="B51" s="1703">
        <v>41</v>
      </c>
      <c r="C51" s="1269" t="s">
        <v>932</v>
      </c>
      <c r="E51" s="1671"/>
      <c r="F51" s="1671"/>
      <c r="G51" s="1671"/>
      <c r="H51" s="1671"/>
      <c r="I51" s="1671"/>
      <c r="J51" s="1671"/>
      <c r="K51" s="1671"/>
      <c r="L51" s="1671"/>
      <c r="M51" s="1671"/>
      <c r="N51" s="1671"/>
      <c r="O51" s="1671"/>
      <c r="P51" s="1671"/>
      <c r="Q51" s="1671"/>
      <c r="R51" s="1671"/>
      <c r="S51" s="1671"/>
      <c r="T51" s="1671"/>
      <c r="U51" s="1671"/>
      <c r="V51" s="1671"/>
      <c r="W51" s="1671"/>
      <c r="X51" s="1671"/>
      <c r="Y51" s="1671"/>
      <c r="Z51" s="1671"/>
      <c r="AA51" s="1671"/>
      <c r="AB51" s="1671"/>
      <c r="AC51" s="1671"/>
      <c r="AD51" s="1671"/>
      <c r="AE51" s="1671"/>
      <c r="AF51" s="1671"/>
      <c r="AG51" s="1477"/>
      <c r="AH51" s="1477"/>
      <c r="AI51" s="1477"/>
      <c r="AJ51" s="1060">
        <f t="shared" si="3"/>
        <v>0</v>
      </c>
      <c r="AK51" s="1061">
        <f t="shared" si="4"/>
        <v>0</v>
      </c>
      <c r="AL51" s="1060">
        <f t="shared" si="5"/>
        <v>0</v>
      </c>
      <c r="AM51" s="1060">
        <f t="shared" si="6"/>
        <v>0</v>
      </c>
      <c r="AN51" s="1060">
        <f t="shared" si="7"/>
        <v>0</v>
      </c>
      <c r="AO51" s="1061">
        <f t="shared" si="9"/>
        <v>0</v>
      </c>
      <c r="AP51" s="1062">
        <f t="shared" si="8"/>
        <v>0</v>
      </c>
      <c r="AQ51" s="888"/>
      <c r="AR51" s="231"/>
      <c r="AS51" s="229" t="str">
        <f>VLOOKUP(C52,'[1]NT 2'!$C$2:$J$259,8,0)</f>
        <v>03491</v>
      </c>
      <c r="AT51" s="953">
        <f t="shared" si="10"/>
        <v>0</v>
      </c>
    </row>
    <row r="52" spans="1:46" ht="24.75" customHeight="1">
      <c r="A52" s="1700">
        <v>42</v>
      </c>
      <c r="B52" s="1703">
        <v>42</v>
      </c>
      <c r="C52" s="163" t="s">
        <v>382</v>
      </c>
      <c r="D52" s="13" t="str">
        <f>VLOOKUP(C52,'[1]NT 2'!$C$2:$J$259,8,0)</f>
        <v>03491</v>
      </c>
      <c r="E52" s="1671"/>
      <c r="F52" s="1671"/>
      <c r="G52" s="1671"/>
      <c r="H52" s="1671"/>
      <c r="I52" s="1671"/>
      <c r="J52" s="1671"/>
      <c r="K52" s="1671"/>
      <c r="L52" s="1671"/>
      <c r="M52" s="1671"/>
      <c r="N52" s="1671"/>
      <c r="O52" s="1671"/>
      <c r="P52" s="1671"/>
      <c r="Q52" s="1671"/>
      <c r="R52" s="1671"/>
      <c r="S52" s="1671"/>
      <c r="T52" s="1671"/>
      <c r="U52" s="1671"/>
      <c r="V52" s="1671"/>
      <c r="W52" s="1671"/>
      <c r="X52" s="1671"/>
      <c r="Y52" s="1671"/>
      <c r="Z52" s="1671"/>
      <c r="AA52" s="1671"/>
      <c r="AB52" s="1671"/>
      <c r="AC52" s="1671"/>
      <c r="AD52" s="1671"/>
      <c r="AE52" s="1671"/>
      <c r="AF52" s="1671"/>
      <c r="AG52" s="1477"/>
      <c r="AH52" s="1477"/>
      <c r="AI52" s="1477"/>
      <c r="AJ52" s="1060">
        <f t="shared" si="3"/>
        <v>0</v>
      </c>
      <c r="AK52" s="1061">
        <f t="shared" si="4"/>
        <v>0</v>
      </c>
      <c r="AL52" s="1060">
        <f t="shared" si="5"/>
        <v>0</v>
      </c>
      <c r="AM52" s="1060">
        <f t="shared" si="6"/>
        <v>0</v>
      </c>
      <c r="AN52" s="1060">
        <f t="shared" si="7"/>
        <v>0</v>
      </c>
      <c r="AO52" s="1061">
        <f t="shared" si="9"/>
        <v>0</v>
      </c>
      <c r="AP52" s="1062">
        <f t="shared" si="8"/>
        <v>0</v>
      </c>
      <c r="AQ52" s="888"/>
      <c r="AR52" s="231"/>
      <c r="AS52" s="229" t="str">
        <f>VLOOKUP(C53,'[1]NT 2'!$C$2:$J$259,8,0)</f>
        <v>02715</v>
      </c>
      <c r="AT52" s="953">
        <f t="shared" si="10"/>
        <v>0</v>
      </c>
    </row>
    <row r="53" spans="1:46" ht="24.75" customHeight="1">
      <c r="A53" s="1700">
        <v>43</v>
      </c>
      <c r="B53" s="1703">
        <v>43</v>
      </c>
      <c r="C53" s="1268" t="s">
        <v>383</v>
      </c>
      <c r="D53" s="13" t="str">
        <f>VLOOKUP(C53,'[1]NT 2'!$C$2:$J$259,8,0)</f>
        <v>02715</v>
      </c>
      <c r="E53" s="1671"/>
      <c r="F53" s="1671"/>
      <c r="G53" s="1671"/>
      <c r="H53" s="1671"/>
      <c r="I53" s="1671"/>
      <c r="J53" s="1671"/>
      <c r="K53" s="1671"/>
      <c r="L53" s="1671"/>
      <c r="M53" s="1671"/>
      <c r="N53" s="1671"/>
      <c r="O53" s="1671"/>
      <c r="P53" s="1671"/>
      <c r="Q53" s="1671"/>
      <c r="R53" s="1671"/>
      <c r="S53" s="1671"/>
      <c r="T53" s="1671"/>
      <c r="U53" s="1671"/>
      <c r="V53" s="1671"/>
      <c r="W53" s="1671"/>
      <c r="X53" s="1671"/>
      <c r="Y53" s="1671"/>
      <c r="Z53" s="1671"/>
      <c r="AA53" s="1671"/>
      <c r="AB53" s="1671"/>
      <c r="AC53" s="1671"/>
      <c r="AD53" s="1671"/>
      <c r="AE53" s="1671"/>
      <c r="AF53" s="1671"/>
      <c r="AG53" s="1477"/>
      <c r="AH53" s="1477"/>
      <c r="AI53" s="1477"/>
      <c r="AJ53" s="1060">
        <f t="shared" si="3"/>
        <v>0</v>
      </c>
      <c r="AK53" s="1061">
        <f t="shared" si="4"/>
        <v>0</v>
      </c>
      <c r="AL53" s="1060">
        <f t="shared" si="5"/>
        <v>0</v>
      </c>
      <c r="AM53" s="1060">
        <f t="shared" si="6"/>
        <v>0</v>
      </c>
      <c r="AN53" s="1060">
        <f t="shared" si="7"/>
        <v>0</v>
      </c>
      <c r="AO53" s="1061">
        <f t="shared" si="9"/>
        <v>0</v>
      </c>
      <c r="AP53" s="1062">
        <f t="shared" si="8"/>
        <v>0</v>
      </c>
      <c r="AQ53" s="888"/>
      <c r="AR53" s="231"/>
      <c r="AS53" s="229" t="str">
        <f>VLOOKUP(C54,'[1]NT 2'!$C$2:$J$259,8,0)</f>
        <v>03492</v>
      </c>
      <c r="AT53" s="953">
        <f t="shared" si="10"/>
        <v>0</v>
      </c>
    </row>
    <row r="54" spans="1:46" ht="24.75" customHeight="1">
      <c r="A54" s="1700">
        <v>44</v>
      </c>
      <c r="B54" s="1703">
        <v>44</v>
      </c>
      <c r="C54" s="1268" t="s">
        <v>441</v>
      </c>
      <c r="D54" s="13" t="str">
        <f>VLOOKUP(C54,'[1]NT 2'!$C$2:$J$259,8,0)</f>
        <v>03492</v>
      </c>
      <c r="E54" s="1671"/>
      <c r="F54" s="1671"/>
      <c r="G54" s="1671"/>
      <c r="H54" s="1671"/>
      <c r="I54" s="1671"/>
      <c r="J54" s="1671"/>
      <c r="K54" s="1671"/>
      <c r="L54" s="1671"/>
      <c r="M54" s="1671"/>
      <c r="N54" s="1671"/>
      <c r="O54" s="1671"/>
      <c r="P54" s="1671"/>
      <c r="Q54" s="1671"/>
      <c r="R54" s="1671"/>
      <c r="S54" s="1671"/>
      <c r="T54" s="1671"/>
      <c r="U54" s="1671"/>
      <c r="V54" s="1671"/>
      <c r="W54" s="1671"/>
      <c r="X54" s="1671"/>
      <c r="Y54" s="1671"/>
      <c r="Z54" s="1671"/>
      <c r="AA54" s="1671"/>
      <c r="AB54" s="1671"/>
      <c r="AC54" s="1671"/>
      <c r="AD54" s="1671"/>
      <c r="AE54" s="1671"/>
      <c r="AF54" s="1671"/>
      <c r="AG54" s="1477"/>
      <c r="AH54" s="1477"/>
      <c r="AI54" s="1477"/>
      <c r="AJ54" s="1060">
        <f t="shared" si="3"/>
        <v>0</v>
      </c>
      <c r="AK54" s="1061">
        <f t="shared" si="4"/>
        <v>0</v>
      </c>
      <c r="AL54" s="1060">
        <f t="shared" si="5"/>
        <v>0</v>
      </c>
      <c r="AM54" s="1060">
        <f t="shared" si="6"/>
        <v>0</v>
      </c>
      <c r="AN54" s="1060">
        <f t="shared" si="7"/>
        <v>0</v>
      </c>
      <c r="AO54" s="1061">
        <f t="shared" si="9"/>
        <v>0</v>
      </c>
      <c r="AP54" s="1062">
        <f t="shared" si="8"/>
        <v>0</v>
      </c>
      <c r="AQ54" s="888"/>
      <c r="AR54" s="231"/>
      <c r="AS54" s="229" t="str">
        <f>VLOOKUP(C55,'[1]NT 2'!$C$2:$J$259,8,0)</f>
        <v>03493</v>
      </c>
      <c r="AT54" s="953">
        <f t="shared" si="10"/>
        <v>0</v>
      </c>
    </row>
    <row r="55" spans="1:46" ht="24.75" customHeight="1">
      <c r="A55" s="1700">
        <v>45</v>
      </c>
      <c r="B55" s="1703">
        <v>45</v>
      </c>
      <c r="C55" s="833" t="s">
        <v>400</v>
      </c>
      <c r="D55" s="13" t="str">
        <f>VLOOKUP(C55,'[1]NT 2'!$C$2:$J$259,8,0)</f>
        <v>03493</v>
      </c>
      <c r="E55" s="1671"/>
      <c r="F55" s="1671"/>
      <c r="G55" s="1671"/>
      <c r="H55" s="1671"/>
      <c r="I55" s="1671"/>
      <c r="J55" s="1671"/>
      <c r="K55" s="1671"/>
      <c r="L55" s="1671"/>
      <c r="M55" s="1671"/>
      <c r="N55" s="1671"/>
      <c r="O55" s="1671"/>
      <c r="P55" s="1671"/>
      <c r="Q55" s="1671"/>
      <c r="R55" s="1671"/>
      <c r="S55" s="1671"/>
      <c r="T55" s="1671"/>
      <c r="U55" s="1671"/>
      <c r="V55" s="1671"/>
      <c r="W55" s="1671"/>
      <c r="X55" s="1671"/>
      <c r="Y55" s="1671"/>
      <c r="Z55" s="1671"/>
      <c r="AA55" s="1671"/>
      <c r="AB55" s="1671"/>
      <c r="AC55" s="1671"/>
      <c r="AD55" s="1671"/>
      <c r="AE55" s="1671"/>
      <c r="AF55" s="1671"/>
      <c r="AG55" s="1477"/>
      <c r="AH55" s="1477"/>
      <c r="AI55" s="1477"/>
      <c r="AJ55" s="1060">
        <f t="shared" si="3"/>
        <v>0</v>
      </c>
      <c r="AK55" s="1061">
        <f t="shared" si="4"/>
        <v>0</v>
      </c>
      <c r="AL55" s="1060">
        <f t="shared" si="5"/>
        <v>0</v>
      </c>
      <c r="AM55" s="1060">
        <f t="shared" si="6"/>
        <v>0</v>
      </c>
      <c r="AN55" s="1060">
        <f t="shared" si="7"/>
        <v>0</v>
      </c>
      <c r="AO55" s="1061">
        <f t="shared" si="9"/>
        <v>0</v>
      </c>
      <c r="AP55" s="1062">
        <f t="shared" si="8"/>
        <v>0</v>
      </c>
      <c r="AQ55" s="888"/>
      <c r="AR55" s="231"/>
      <c r="AS55" s="229" t="str">
        <f>VLOOKUP(C56,'[1]NT 2'!$C$2:$J$259,8,0)</f>
        <v>02721</v>
      </c>
      <c r="AT55" s="953">
        <f t="shared" si="10"/>
        <v>0</v>
      </c>
    </row>
    <row r="56" spans="1:46" ht="24.75" customHeight="1">
      <c r="A56" s="1700">
        <v>46</v>
      </c>
      <c r="B56" s="1703">
        <v>46</v>
      </c>
      <c r="C56" s="833" t="s">
        <v>399</v>
      </c>
      <c r="D56" s="13" t="str">
        <f>VLOOKUP(C56,'[1]NT 2'!$C$2:$J$259,8,0)</f>
        <v>02721</v>
      </c>
      <c r="E56" s="1671"/>
      <c r="F56" s="1671"/>
      <c r="G56" s="1671"/>
      <c r="H56" s="1671"/>
      <c r="I56" s="1671"/>
      <c r="J56" s="1671"/>
      <c r="K56" s="1671"/>
      <c r="L56" s="1671"/>
      <c r="M56" s="1671"/>
      <c r="N56" s="1671"/>
      <c r="O56" s="1671"/>
      <c r="P56" s="1671"/>
      <c r="Q56" s="1671"/>
      <c r="R56" s="1671"/>
      <c r="S56" s="1671"/>
      <c r="T56" s="1671"/>
      <c r="U56" s="1671"/>
      <c r="V56" s="1671"/>
      <c r="W56" s="1671"/>
      <c r="X56" s="1671"/>
      <c r="Y56" s="1671"/>
      <c r="Z56" s="1671"/>
      <c r="AA56" s="1671"/>
      <c r="AB56" s="1671"/>
      <c r="AC56" s="1671"/>
      <c r="AD56" s="1671"/>
      <c r="AE56" s="1671"/>
      <c r="AF56" s="1671"/>
      <c r="AG56" s="1477"/>
      <c r="AH56" s="1477"/>
      <c r="AI56" s="1477"/>
      <c r="AJ56" s="1060">
        <f t="shared" si="3"/>
        <v>0</v>
      </c>
      <c r="AK56" s="1061">
        <f t="shared" si="4"/>
        <v>0</v>
      </c>
      <c r="AL56" s="1060">
        <f t="shared" si="5"/>
        <v>0</v>
      </c>
      <c r="AM56" s="1060">
        <f t="shared" si="6"/>
        <v>0</v>
      </c>
      <c r="AN56" s="1060">
        <f t="shared" si="7"/>
        <v>0</v>
      </c>
      <c r="AO56" s="1061">
        <f t="shared" si="9"/>
        <v>0</v>
      </c>
      <c r="AP56" s="1062">
        <f t="shared" si="8"/>
        <v>0</v>
      </c>
      <c r="AQ56" s="888"/>
      <c r="AR56" s="231"/>
      <c r="AS56" s="229" t="str">
        <f>VLOOKUP(C57,'[1]NT 2'!$C$2:$J$259,8,0)</f>
        <v>02720</v>
      </c>
      <c r="AT56" s="953">
        <f t="shared" si="10"/>
        <v>0</v>
      </c>
    </row>
    <row r="57" spans="1:46" ht="24.75" customHeight="1">
      <c r="A57" s="1700">
        <v>47</v>
      </c>
      <c r="B57" s="1703">
        <v>47</v>
      </c>
      <c r="C57" s="1268" t="s">
        <v>329</v>
      </c>
      <c r="D57" s="13" t="str">
        <f>VLOOKUP(C57,'[1]NT 2'!$C$2:$J$259,8,0)</f>
        <v>02720</v>
      </c>
      <c r="E57" s="1671"/>
      <c r="F57" s="1671"/>
      <c r="G57" s="1671"/>
      <c r="H57" s="1671"/>
      <c r="I57" s="1671"/>
      <c r="J57" s="1671"/>
      <c r="K57" s="1671"/>
      <c r="L57" s="1671"/>
      <c r="M57" s="1671"/>
      <c r="N57" s="1671"/>
      <c r="O57" s="1671"/>
      <c r="P57" s="1671"/>
      <c r="Q57" s="1671"/>
      <c r="R57" s="1671"/>
      <c r="S57" s="1671"/>
      <c r="T57" s="1671"/>
      <c r="U57" s="1671"/>
      <c r="V57" s="1671"/>
      <c r="W57" s="1671"/>
      <c r="X57" s="1671"/>
      <c r="Y57" s="1671"/>
      <c r="Z57" s="1671"/>
      <c r="AA57" s="1671"/>
      <c r="AB57" s="1671"/>
      <c r="AC57" s="1671"/>
      <c r="AD57" s="1671"/>
      <c r="AE57" s="1671"/>
      <c r="AF57" s="1671"/>
      <c r="AG57" s="1477"/>
      <c r="AH57" s="1477"/>
      <c r="AI57" s="1477"/>
      <c r="AJ57" s="1060">
        <f t="shared" si="3"/>
        <v>0</v>
      </c>
      <c r="AK57" s="1061">
        <f t="shared" si="4"/>
        <v>0</v>
      </c>
      <c r="AL57" s="1060">
        <f t="shared" si="5"/>
        <v>0</v>
      </c>
      <c r="AM57" s="1060">
        <f t="shared" si="6"/>
        <v>0</v>
      </c>
      <c r="AN57" s="1060">
        <f t="shared" si="7"/>
        <v>0</v>
      </c>
      <c r="AO57" s="1061">
        <f t="shared" si="9"/>
        <v>0</v>
      </c>
      <c r="AP57" s="1062">
        <f t="shared" si="8"/>
        <v>0</v>
      </c>
      <c r="AQ57" s="888"/>
      <c r="AR57" s="231"/>
      <c r="AS57" s="229" t="str">
        <f>VLOOKUP(C58,'[1]NT 2'!$C$2:$J$259,8,0)</f>
        <v>03494</v>
      </c>
      <c r="AT57" s="953">
        <f t="shared" si="10"/>
        <v>0</v>
      </c>
    </row>
    <row r="58" spans="1:46" ht="24.75" customHeight="1">
      <c r="A58" s="1700">
        <v>48</v>
      </c>
      <c r="B58" s="1703">
        <v>48</v>
      </c>
      <c r="C58" s="833" t="s">
        <v>221</v>
      </c>
      <c r="D58" s="13" t="str">
        <f>VLOOKUP(C58,'[1]NT 2'!$C$2:$J$259,8,0)</f>
        <v>03494</v>
      </c>
      <c r="E58" s="1671"/>
      <c r="F58" s="1671"/>
      <c r="G58" s="1671"/>
      <c r="H58" s="1671"/>
      <c r="I58" s="1671"/>
      <c r="J58" s="1671"/>
      <c r="K58" s="1671"/>
      <c r="L58" s="1671"/>
      <c r="M58" s="1671"/>
      <c r="N58" s="1671"/>
      <c r="O58" s="1671"/>
      <c r="P58" s="1671"/>
      <c r="Q58" s="1671"/>
      <c r="R58" s="1671"/>
      <c r="S58" s="1671"/>
      <c r="T58" s="1671"/>
      <c r="U58" s="1671"/>
      <c r="V58" s="1671"/>
      <c r="W58" s="1671"/>
      <c r="X58" s="1671"/>
      <c r="Y58" s="1671"/>
      <c r="Z58" s="1671"/>
      <c r="AA58" s="1671"/>
      <c r="AB58" s="1671"/>
      <c r="AC58" s="1671"/>
      <c r="AD58" s="1671"/>
      <c r="AE58" s="1671"/>
      <c r="AF58" s="1671"/>
      <c r="AG58" s="1477"/>
      <c r="AH58" s="1477"/>
      <c r="AI58" s="1477"/>
      <c r="AJ58" s="1060">
        <f t="shared" si="3"/>
        <v>0</v>
      </c>
      <c r="AK58" s="1061">
        <f t="shared" si="4"/>
        <v>0</v>
      </c>
      <c r="AL58" s="1060">
        <f t="shared" si="5"/>
        <v>0</v>
      </c>
      <c r="AM58" s="1060">
        <f t="shared" si="6"/>
        <v>0</v>
      </c>
      <c r="AN58" s="1060">
        <f t="shared" si="7"/>
        <v>0</v>
      </c>
      <c r="AO58" s="1061">
        <f t="shared" si="9"/>
        <v>0</v>
      </c>
      <c r="AP58" s="1062">
        <f t="shared" si="8"/>
        <v>0</v>
      </c>
      <c r="AQ58" s="888"/>
      <c r="AR58" s="231"/>
      <c r="AS58" s="229" t="str">
        <f>VLOOKUP(C59,'[1]NT 2'!$C$2:$J$259,8,0)</f>
        <v>03495</v>
      </c>
      <c r="AT58" s="953">
        <f t="shared" si="10"/>
        <v>0</v>
      </c>
    </row>
    <row r="59" spans="1:46" ht="24.75" customHeight="1">
      <c r="A59" s="1700">
        <v>49</v>
      </c>
      <c r="B59" s="1703">
        <v>49</v>
      </c>
      <c r="C59" s="833" t="s">
        <v>652</v>
      </c>
      <c r="D59" s="13" t="str">
        <f>VLOOKUP(C59,'[1]NT 2'!$C$2:$J$259,8,0)</f>
        <v>03495</v>
      </c>
      <c r="E59" s="1671"/>
      <c r="F59" s="1671"/>
      <c r="G59" s="1671"/>
      <c r="H59" s="1671"/>
      <c r="I59" s="1671"/>
      <c r="J59" s="1671"/>
      <c r="K59" s="1671"/>
      <c r="L59" s="1671"/>
      <c r="M59" s="1671"/>
      <c r="N59" s="1671"/>
      <c r="O59" s="1671"/>
      <c r="P59" s="1671"/>
      <c r="Q59" s="1671"/>
      <c r="R59" s="1671"/>
      <c r="S59" s="1671"/>
      <c r="T59" s="1671"/>
      <c r="U59" s="1671"/>
      <c r="V59" s="1671"/>
      <c r="W59" s="1671"/>
      <c r="X59" s="1671"/>
      <c r="Y59" s="1671"/>
      <c r="Z59" s="1671"/>
      <c r="AA59" s="1671"/>
      <c r="AB59" s="1671"/>
      <c r="AC59" s="1671"/>
      <c r="AD59" s="1671"/>
      <c r="AE59" s="1671"/>
      <c r="AF59" s="1671"/>
      <c r="AG59" s="1477"/>
      <c r="AH59" s="1477"/>
      <c r="AI59" s="1477"/>
      <c r="AJ59" s="1060">
        <f t="shared" si="3"/>
        <v>0</v>
      </c>
      <c r="AK59" s="1061">
        <f t="shared" si="4"/>
        <v>0</v>
      </c>
      <c r="AL59" s="1060">
        <f t="shared" si="5"/>
        <v>0</v>
      </c>
      <c r="AM59" s="1060">
        <f t="shared" si="6"/>
        <v>0</v>
      </c>
      <c r="AN59" s="1060">
        <f t="shared" si="7"/>
        <v>0</v>
      </c>
      <c r="AO59" s="1061">
        <f t="shared" si="9"/>
        <v>0</v>
      </c>
      <c r="AP59" s="1062">
        <f t="shared" si="8"/>
        <v>0</v>
      </c>
      <c r="AQ59" s="888"/>
      <c r="AR59" s="231"/>
      <c r="AS59" s="229" t="str">
        <f>VLOOKUP(C60,'[1]NT 2'!$C$2:$J$259,8,0)</f>
        <v>03496</v>
      </c>
      <c r="AT59" s="953">
        <f t="shared" si="10"/>
        <v>0</v>
      </c>
    </row>
    <row r="60" spans="1:46" ht="24.75" customHeight="1">
      <c r="A60" s="1700">
        <v>50</v>
      </c>
      <c r="B60" s="1703">
        <v>50</v>
      </c>
      <c r="C60" s="833" t="s">
        <v>653</v>
      </c>
      <c r="D60" s="13" t="str">
        <f>VLOOKUP(C60,'[1]NT 2'!$C$2:$J$259,8,0)</f>
        <v>03496</v>
      </c>
      <c r="E60" s="1671"/>
      <c r="F60" s="1671"/>
      <c r="G60" s="1671"/>
      <c r="H60" s="1671"/>
      <c r="I60" s="1671"/>
      <c r="J60" s="1671"/>
      <c r="K60" s="1671"/>
      <c r="L60" s="1671"/>
      <c r="M60" s="1671"/>
      <c r="N60" s="1671"/>
      <c r="O60" s="1671"/>
      <c r="P60" s="1671"/>
      <c r="Q60" s="1671"/>
      <c r="R60" s="1671"/>
      <c r="S60" s="1671"/>
      <c r="T60" s="1671"/>
      <c r="U60" s="1671"/>
      <c r="V60" s="1671"/>
      <c r="W60" s="1671"/>
      <c r="X60" s="1671"/>
      <c r="Y60" s="1671"/>
      <c r="Z60" s="1671"/>
      <c r="AA60" s="1671"/>
      <c r="AB60" s="1671"/>
      <c r="AC60" s="1671"/>
      <c r="AD60" s="1671"/>
      <c r="AE60" s="1671"/>
      <c r="AF60" s="1671"/>
      <c r="AG60" s="1477"/>
      <c r="AH60" s="1477"/>
      <c r="AI60" s="1477"/>
      <c r="AJ60" s="1060">
        <f t="shared" si="3"/>
        <v>0</v>
      </c>
      <c r="AK60" s="1061">
        <f t="shared" si="4"/>
        <v>0</v>
      </c>
      <c r="AL60" s="1060">
        <f t="shared" si="5"/>
        <v>0</v>
      </c>
      <c r="AM60" s="1060">
        <f t="shared" si="6"/>
        <v>0</v>
      </c>
      <c r="AN60" s="1060">
        <f t="shared" si="7"/>
        <v>0</v>
      </c>
      <c r="AO60" s="1061">
        <f t="shared" si="9"/>
        <v>0</v>
      </c>
      <c r="AP60" s="1062">
        <f t="shared" si="8"/>
        <v>0</v>
      </c>
      <c r="AQ60" s="888"/>
      <c r="AR60" s="231"/>
      <c r="AS60" s="229" t="str">
        <f>VLOOKUP(C61,'[1]NT 2'!$C$2:$J$259,8,0)</f>
        <v>03497</v>
      </c>
      <c r="AT60" s="953">
        <f t="shared" si="10"/>
        <v>0</v>
      </c>
    </row>
    <row r="61" spans="1:46" ht="24.75" customHeight="1">
      <c r="A61" s="1700">
        <v>51</v>
      </c>
      <c r="B61" s="1703">
        <v>51</v>
      </c>
      <c r="C61" s="833" t="s">
        <v>391</v>
      </c>
      <c r="D61" s="13" t="str">
        <f>VLOOKUP(C61,'[1]NT 2'!$C$2:$J$259,8,0)</f>
        <v>03497</v>
      </c>
      <c r="E61" s="1671"/>
      <c r="F61" s="1671"/>
      <c r="G61" s="1671"/>
      <c r="H61" s="1671"/>
      <c r="I61" s="1671"/>
      <c r="J61" s="1671"/>
      <c r="K61" s="1671"/>
      <c r="L61" s="1671"/>
      <c r="M61" s="1671"/>
      <c r="N61" s="1671"/>
      <c r="O61" s="1671"/>
      <c r="P61" s="1671"/>
      <c r="Q61" s="1671"/>
      <c r="R61" s="1671"/>
      <c r="S61" s="1671"/>
      <c r="T61" s="1671"/>
      <c r="U61" s="1671"/>
      <c r="V61" s="1671"/>
      <c r="W61" s="1671"/>
      <c r="X61" s="1671"/>
      <c r="Y61" s="1671"/>
      <c r="Z61" s="1671"/>
      <c r="AA61" s="1671"/>
      <c r="AB61" s="1671"/>
      <c r="AC61" s="1671"/>
      <c r="AD61" s="1671"/>
      <c r="AE61" s="1671"/>
      <c r="AF61" s="1671"/>
      <c r="AG61" s="1477"/>
      <c r="AH61" s="1477"/>
      <c r="AI61" s="1477"/>
      <c r="AJ61" s="1060">
        <f t="shared" si="3"/>
        <v>0</v>
      </c>
      <c r="AK61" s="1061">
        <f t="shared" si="4"/>
        <v>0</v>
      </c>
      <c r="AL61" s="1060">
        <f t="shared" si="5"/>
        <v>0</v>
      </c>
      <c r="AM61" s="1060">
        <f t="shared" si="6"/>
        <v>0</v>
      </c>
      <c r="AN61" s="1060">
        <f t="shared" si="7"/>
        <v>0</v>
      </c>
      <c r="AO61" s="1061">
        <f t="shared" si="9"/>
        <v>0</v>
      </c>
      <c r="AP61" s="1062">
        <f t="shared" si="8"/>
        <v>0</v>
      </c>
      <c r="AQ61" s="888"/>
      <c r="AR61" s="231"/>
      <c r="AS61" s="229" t="str">
        <f>VLOOKUP(C62,'[1]NT 2'!$C$2:$J$259,8,0)</f>
        <v>03498</v>
      </c>
      <c r="AT61" s="953">
        <f t="shared" si="10"/>
        <v>0</v>
      </c>
    </row>
    <row r="62" spans="1:46" ht="24.75" customHeight="1">
      <c r="A62" s="1700">
        <v>52</v>
      </c>
      <c r="B62" s="1703">
        <v>52</v>
      </c>
      <c r="C62" s="1268" t="s">
        <v>654</v>
      </c>
      <c r="D62" s="13" t="str">
        <f>VLOOKUP(C62,'[1]NT 2'!$C$2:$J$259,8,0)</f>
        <v>03498</v>
      </c>
      <c r="E62" s="1671"/>
      <c r="F62" s="1671"/>
      <c r="G62" s="1671"/>
      <c r="H62" s="1671"/>
      <c r="I62" s="1671"/>
      <c r="J62" s="1671"/>
      <c r="K62" s="1671"/>
      <c r="L62" s="1671"/>
      <c r="M62" s="1671"/>
      <c r="N62" s="1671"/>
      <c r="O62" s="1671"/>
      <c r="P62" s="1671"/>
      <c r="Q62" s="1671"/>
      <c r="R62" s="1671"/>
      <c r="S62" s="1671"/>
      <c r="T62" s="1671"/>
      <c r="U62" s="1671"/>
      <c r="V62" s="1671"/>
      <c r="W62" s="1671"/>
      <c r="X62" s="1671"/>
      <c r="Y62" s="1671"/>
      <c r="Z62" s="1671"/>
      <c r="AA62" s="1671"/>
      <c r="AB62" s="1671"/>
      <c r="AC62" s="1671"/>
      <c r="AD62" s="1671"/>
      <c r="AE62" s="1671"/>
      <c r="AF62" s="1671"/>
      <c r="AG62" s="1477"/>
      <c r="AH62" s="1477"/>
      <c r="AI62" s="1477"/>
      <c r="AJ62" s="1060">
        <f t="shared" si="3"/>
        <v>0</v>
      </c>
      <c r="AK62" s="1061">
        <f t="shared" si="4"/>
        <v>0</v>
      </c>
      <c r="AL62" s="1060">
        <f t="shared" si="5"/>
        <v>0</v>
      </c>
      <c r="AM62" s="1060">
        <f t="shared" si="6"/>
        <v>0</v>
      </c>
      <c r="AN62" s="1060">
        <f t="shared" si="7"/>
        <v>0</v>
      </c>
      <c r="AO62" s="1061">
        <f t="shared" si="9"/>
        <v>0</v>
      </c>
      <c r="AP62" s="1062">
        <f t="shared" si="8"/>
        <v>0</v>
      </c>
      <c r="AQ62" s="888"/>
      <c r="AR62" s="231"/>
      <c r="AS62" s="229" t="str">
        <f>VLOOKUP(C63,'[1]NT 2'!$C$2:$J$259,8,0)</f>
        <v>02706</v>
      </c>
      <c r="AT62" s="953">
        <f t="shared" si="10"/>
        <v>0</v>
      </c>
    </row>
    <row r="63" spans="1:46" ht="24.75" customHeight="1">
      <c r="A63" s="1700">
        <v>53</v>
      </c>
      <c r="B63" s="1703">
        <v>53</v>
      </c>
      <c r="C63" s="1268" t="s">
        <v>222</v>
      </c>
      <c r="D63" s="13" t="str">
        <f>VLOOKUP(C63,'[1]NT 2'!$C$2:$J$259,8,0)</f>
        <v>02706</v>
      </c>
      <c r="E63" s="1671"/>
      <c r="F63" s="1671"/>
      <c r="G63" s="1671"/>
      <c r="H63" s="1671"/>
      <c r="I63" s="1671"/>
      <c r="J63" s="1671"/>
      <c r="K63" s="1671"/>
      <c r="L63" s="1671"/>
      <c r="M63" s="1671"/>
      <c r="N63" s="1671"/>
      <c r="O63" s="1671"/>
      <c r="P63" s="1671"/>
      <c r="Q63" s="1671"/>
      <c r="R63" s="1671"/>
      <c r="S63" s="1671"/>
      <c r="T63" s="1671"/>
      <c r="U63" s="1671"/>
      <c r="V63" s="1671"/>
      <c r="W63" s="1671"/>
      <c r="X63" s="1671"/>
      <c r="Y63" s="1671"/>
      <c r="Z63" s="1671"/>
      <c r="AA63" s="1671"/>
      <c r="AB63" s="1671"/>
      <c r="AC63" s="1671"/>
      <c r="AD63" s="1671"/>
      <c r="AE63" s="1671"/>
      <c r="AF63" s="1671"/>
      <c r="AG63" s="1477"/>
      <c r="AH63" s="1477"/>
      <c r="AI63" s="1477"/>
      <c r="AJ63" s="1060">
        <f t="shared" si="3"/>
        <v>0</v>
      </c>
      <c r="AK63" s="1061">
        <f t="shared" si="4"/>
        <v>0</v>
      </c>
      <c r="AL63" s="1060">
        <f t="shared" si="5"/>
        <v>0</v>
      </c>
      <c r="AM63" s="1060">
        <f t="shared" si="6"/>
        <v>0</v>
      </c>
      <c r="AN63" s="1060">
        <f t="shared" si="7"/>
        <v>0</v>
      </c>
      <c r="AO63" s="1061">
        <f t="shared" si="9"/>
        <v>0</v>
      </c>
      <c r="AP63" s="1062">
        <f t="shared" si="8"/>
        <v>0</v>
      </c>
      <c r="AQ63" s="888"/>
      <c r="AR63" s="231"/>
      <c r="AS63" s="229" t="str">
        <f>VLOOKUP(C64,'[1]NT 2'!$C$2:$J$259,8,0)</f>
        <v>03499</v>
      </c>
      <c r="AT63" s="953">
        <f t="shared" si="10"/>
        <v>0</v>
      </c>
    </row>
    <row r="64" spans="1:46" ht="24.75" customHeight="1">
      <c r="A64" s="1700">
        <v>54</v>
      </c>
      <c r="B64" s="1703">
        <v>54</v>
      </c>
      <c r="C64" s="833" t="s">
        <v>465</v>
      </c>
      <c r="D64" s="13" t="str">
        <f>VLOOKUP(C64,'[1]NT 2'!$C$2:$J$259,8,0)</f>
        <v>03499</v>
      </c>
      <c r="E64" s="1671"/>
      <c r="F64" s="1671"/>
      <c r="G64" s="1671"/>
      <c r="H64" s="1671"/>
      <c r="I64" s="1671"/>
      <c r="J64" s="1671"/>
      <c r="K64" s="1671"/>
      <c r="L64" s="1671"/>
      <c r="M64" s="1671"/>
      <c r="N64" s="1671"/>
      <c r="O64" s="1671"/>
      <c r="P64" s="1671"/>
      <c r="Q64" s="1671"/>
      <c r="R64" s="1671"/>
      <c r="S64" s="1671"/>
      <c r="T64" s="1671"/>
      <c r="U64" s="1671"/>
      <c r="V64" s="1671"/>
      <c r="W64" s="1671"/>
      <c r="X64" s="1671"/>
      <c r="Y64" s="1671"/>
      <c r="Z64" s="1671"/>
      <c r="AA64" s="1671"/>
      <c r="AB64" s="1671"/>
      <c r="AC64" s="1671"/>
      <c r="AD64" s="1671"/>
      <c r="AE64" s="1671"/>
      <c r="AF64" s="1671"/>
      <c r="AG64" s="1477"/>
      <c r="AH64" s="1477"/>
      <c r="AI64" s="1477"/>
      <c r="AJ64" s="1060">
        <f t="shared" si="3"/>
        <v>0</v>
      </c>
      <c r="AK64" s="1061">
        <f t="shared" si="4"/>
        <v>0</v>
      </c>
      <c r="AL64" s="1060">
        <f t="shared" si="5"/>
        <v>0</v>
      </c>
      <c r="AM64" s="1060">
        <f t="shared" si="6"/>
        <v>0</v>
      </c>
      <c r="AN64" s="1060">
        <f t="shared" si="7"/>
        <v>0</v>
      </c>
      <c r="AO64" s="1061">
        <f t="shared" si="9"/>
        <v>0</v>
      </c>
      <c r="AP64" s="1062">
        <f t="shared" si="8"/>
        <v>0</v>
      </c>
      <c r="AQ64" s="888"/>
      <c r="AR64" s="231"/>
      <c r="AS64" s="229" t="e">
        <f>VLOOKUP(C65,'[1]NT 2'!$C$2:$J$259,8,0)</f>
        <v>#N/A</v>
      </c>
      <c r="AT64" s="953" t="e">
        <f t="shared" si="10"/>
        <v>#N/A</v>
      </c>
    </row>
    <row r="65" spans="1:46" ht="24.75" customHeight="1">
      <c r="A65" s="1700">
        <v>55</v>
      </c>
      <c r="B65" s="1703">
        <v>55</v>
      </c>
      <c r="C65" s="833" t="s">
        <v>716</v>
      </c>
      <c r="E65" s="1671"/>
      <c r="F65" s="1671"/>
      <c r="G65" s="1671"/>
      <c r="H65" s="1671"/>
      <c r="I65" s="1671"/>
      <c r="J65" s="1671"/>
      <c r="K65" s="1671"/>
      <c r="L65" s="1671"/>
      <c r="M65" s="1671"/>
      <c r="N65" s="1671"/>
      <c r="O65" s="1671"/>
      <c r="P65" s="1671"/>
      <c r="Q65" s="1671"/>
      <c r="R65" s="1671"/>
      <c r="S65" s="1671"/>
      <c r="T65" s="1671"/>
      <c r="U65" s="1671"/>
      <c r="V65" s="1671"/>
      <c r="W65" s="1671"/>
      <c r="X65" s="1671"/>
      <c r="Y65" s="1671"/>
      <c r="Z65" s="1671"/>
      <c r="AA65" s="1671"/>
      <c r="AB65" s="1671"/>
      <c r="AC65" s="1671"/>
      <c r="AD65" s="1671"/>
      <c r="AE65" s="1671"/>
      <c r="AF65" s="1671"/>
      <c r="AG65" s="1477"/>
      <c r="AH65" s="1477"/>
      <c r="AI65" s="1477"/>
      <c r="AJ65" s="1060">
        <f t="shared" si="3"/>
        <v>0</v>
      </c>
      <c r="AK65" s="1061">
        <f t="shared" si="4"/>
        <v>0</v>
      </c>
      <c r="AL65" s="1060">
        <f t="shared" si="5"/>
        <v>0</v>
      </c>
      <c r="AM65" s="1060">
        <f t="shared" si="6"/>
        <v>0</v>
      </c>
      <c r="AN65" s="1060">
        <f t="shared" si="7"/>
        <v>0</v>
      </c>
      <c r="AO65" s="1061">
        <f t="shared" si="9"/>
        <v>0</v>
      </c>
      <c r="AP65" s="1062">
        <f t="shared" si="8"/>
        <v>0</v>
      </c>
      <c r="AQ65" s="888"/>
      <c r="AR65" s="231"/>
      <c r="AS65" s="229" t="str">
        <f>VLOOKUP(C66,'[1]NT 2'!$C$2:$J$259,8,0)</f>
        <v>03501</v>
      </c>
      <c r="AT65" s="953">
        <f t="shared" si="10"/>
        <v>0</v>
      </c>
    </row>
    <row r="66" spans="1:46" ht="24.75" customHeight="1">
      <c r="A66" s="1700">
        <v>56</v>
      </c>
      <c r="B66" s="1703">
        <v>56</v>
      </c>
      <c r="C66" s="833" t="s">
        <v>655</v>
      </c>
      <c r="D66" s="13" t="str">
        <f>VLOOKUP(C66,'[1]NT 2'!$C$2:$J$259,8,0)</f>
        <v>03501</v>
      </c>
      <c r="E66" s="1671"/>
      <c r="F66" s="1671"/>
      <c r="G66" s="1671"/>
      <c r="H66" s="1671"/>
      <c r="I66" s="1671"/>
      <c r="J66" s="1671"/>
      <c r="K66" s="1671"/>
      <c r="L66" s="1671"/>
      <c r="M66" s="1671"/>
      <c r="N66" s="1671"/>
      <c r="O66" s="1671"/>
      <c r="P66" s="1671"/>
      <c r="Q66" s="1671"/>
      <c r="R66" s="1671"/>
      <c r="S66" s="1671"/>
      <c r="T66" s="1671"/>
      <c r="U66" s="1671"/>
      <c r="V66" s="1671"/>
      <c r="W66" s="1671"/>
      <c r="X66" s="1671"/>
      <c r="Y66" s="1671"/>
      <c r="Z66" s="1671"/>
      <c r="AA66" s="1671"/>
      <c r="AB66" s="1671"/>
      <c r="AC66" s="1671"/>
      <c r="AD66" s="1671"/>
      <c r="AE66" s="1671"/>
      <c r="AF66" s="1671"/>
      <c r="AG66" s="1477"/>
      <c r="AH66" s="1477"/>
      <c r="AI66" s="1477"/>
      <c r="AJ66" s="1060">
        <f t="shared" si="3"/>
        <v>0</v>
      </c>
      <c r="AK66" s="1061">
        <f t="shared" si="4"/>
        <v>0</v>
      </c>
      <c r="AL66" s="1060">
        <f t="shared" si="5"/>
        <v>0</v>
      </c>
      <c r="AM66" s="1060">
        <f t="shared" si="6"/>
        <v>0</v>
      </c>
      <c r="AN66" s="1060">
        <f t="shared" si="7"/>
        <v>0</v>
      </c>
      <c r="AO66" s="1061">
        <f t="shared" si="9"/>
        <v>0</v>
      </c>
      <c r="AP66" s="1062">
        <f t="shared" si="8"/>
        <v>0</v>
      </c>
      <c r="AQ66" s="888"/>
      <c r="AR66" s="231"/>
      <c r="AS66" s="229" t="str">
        <f>VLOOKUP(C67,'[1]NT 2'!$C$2:$J$259,8,0)</f>
        <v>03502</v>
      </c>
      <c r="AT66" s="953">
        <f t="shared" si="10"/>
        <v>0</v>
      </c>
    </row>
    <row r="67" spans="1:46" ht="24.75" customHeight="1">
      <c r="A67" s="1700">
        <v>57</v>
      </c>
      <c r="B67" s="1703">
        <v>57</v>
      </c>
      <c r="C67" s="1268" t="s">
        <v>656</v>
      </c>
      <c r="D67" s="13" t="str">
        <f>VLOOKUP(C67,'[1]NT 2'!$C$2:$J$259,8,0)</f>
        <v>03502</v>
      </c>
      <c r="E67" s="1671"/>
      <c r="F67" s="1671"/>
      <c r="G67" s="1671"/>
      <c r="H67" s="1671"/>
      <c r="I67" s="1671"/>
      <c r="J67" s="1671"/>
      <c r="K67" s="1671"/>
      <c r="L67" s="1671"/>
      <c r="M67" s="1671"/>
      <c r="N67" s="1671"/>
      <c r="O67" s="1671"/>
      <c r="P67" s="1671"/>
      <c r="Q67" s="1671"/>
      <c r="R67" s="1671"/>
      <c r="S67" s="1671"/>
      <c r="T67" s="1671"/>
      <c r="U67" s="1671"/>
      <c r="V67" s="1671"/>
      <c r="W67" s="1671"/>
      <c r="X67" s="1671"/>
      <c r="Y67" s="1671"/>
      <c r="Z67" s="1671"/>
      <c r="AA67" s="1671"/>
      <c r="AB67" s="1671"/>
      <c r="AC67" s="1671"/>
      <c r="AD67" s="1671"/>
      <c r="AE67" s="1671"/>
      <c r="AF67" s="1671"/>
      <c r="AG67" s="1477"/>
      <c r="AH67" s="1477"/>
      <c r="AI67" s="1477"/>
      <c r="AJ67" s="1060">
        <f t="shared" si="3"/>
        <v>0</v>
      </c>
      <c r="AK67" s="1061">
        <f t="shared" si="4"/>
        <v>0</v>
      </c>
      <c r="AL67" s="1060">
        <f t="shared" si="5"/>
        <v>0</v>
      </c>
      <c r="AM67" s="1060">
        <f t="shared" si="6"/>
        <v>0</v>
      </c>
      <c r="AN67" s="1060">
        <f t="shared" si="7"/>
        <v>0</v>
      </c>
      <c r="AO67" s="1061">
        <f t="shared" si="9"/>
        <v>0</v>
      </c>
      <c r="AP67" s="1062">
        <f t="shared" si="8"/>
        <v>0</v>
      </c>
      <c r="AQ67" s="888"/>
      <c r="AR67" s="231"/>
      <c r="AS67" s="229" t="e">
        <f>VLOOKUP(C68,'[1]NT 2'!$C$2:$J$259,8,0)</f>
        <v>#N/A</v>
      </c>
      <c r="AT67" s="953" t="e">
        <f t="shared" si="10"/>
        <v>#N/A</v>
      </c>
    </row>
    <row r="68" spans="1:46" ht="24.75" customHeight="1">
      <c r="A68" s="1700">
        <v>58</v>
      </c>
      <c r="B68" s="1703">
        <v>58</v>
      </c>
      <c r="C68" s="365" t="s">
        <v>989</v>
      </c>
      <c r="D68" s="13" t="e">
        <f>VLOOKUP(C68,'[1]NT 2'!$C$2:$J$259,8,0)</f>
        <v>#N/A</v>
      </c>
      <c r="E68" s="1671"/>
      <c r="F68" s="1671"/>
      <c r="G68" s="1671"/>
      <c r="H68" s="1671"/>
      <c r="I68" s="1671"/>
      <c r="J68" s="1671"/>
      <c r="K68" s="1671"/>
      <c r="L68" s="1671"/>
      <c r="M68" s="1671"/>
      <c r="N68" s="1671"/>
      <c r="O68" s="1671"/>
      <c r="P68" s="1671"/>
      <c r="Q68" s="1671"/>
      <c r="R68" s="1671"/>
      <c r="S68" s="1671"/>
      <c r="T68" s="1671"/>
      <c r="U68" s="1671"/>
      <c r="V68" s="1671"/>
      <c r="W68" s="1671"/>
      <c r="X68" s="1671"/>
      <c r="Y68" s="1671"/>
      <c r="Z68" s="1671"/>
      <c r="AA68" s="1671"/>
      <c r="AB68" s="1671"/>
      <c r="AC68" s="1671"/>
      <c r="AD68" s="1671"/>
      <c r="AE68" s="1671"/>
      <c r="AF68" s="1671"/>
      <c r="AG68" s="1477"/>
      <c r="AH68" s="1477"/>
      <c r="AI68" s="1477"/>
      <c r="AJ68" s="1060">
        <f t="shared" si="3"/>
        <v>0</v>
      </c>
      <c r="AK68" s="1061">
        <f t="shared" si="4"/>
        <v>0</v>
      </c>
      <c r="AL68" s="1060">
        <f t="shared" si="5"/>
        <v>0</v>
      </c>
      <c r="AM68" s="1060">
        <f t="shared" si="6"/>
        <v>0</v>
      </c>
      <c r="AN68" s="1060">
        <f t="shared" si="7"/>
        <v>0</v>
      </c>
      <c r="AO68" s="1061">
        <f t="shared" si="9"/>
        <v>0</v>
      </c>
      <c r="AP68" s="1062">
        <f t="shared" si="8"/>
        <v>0</v>
      </c>
      <c r="AQ68" s="888"/>
      <c r="AR68" s="231"/>
      <c r="AS68" s="229" t="str">
        <f>VLOOKUP(C69,'[1]NT 2'!$C$2:$J$259,8,0)</f>
        <v>03504</v>
      </c>
      <c r="AT68" s="953">
        <f t="shared" si="10"/>
        <v>0</v>
      </c>
    </row>
    <row r="69" spans="1:46" ht="24.75" customHeight="1">
      <c r="A69" s="1700">
        <v>59</v>
      </c>
      <c r="B69" s="1703">
        <v>59</v>
      </c>
      <c r="C69" s="833" t="s">
        <v>412</v>
      </c>
      <c r="D69" s="13" t="str">
        <f>VLOOKUP(C69,'[1]NT 2'!$C$2:$J$259,8,0)</f>
        <v>03504</v>
      </c>
      <c r="E69" s="1671"/>
      <c r="F69" s="1671"/>
      <c r="G69" s="1671"/>
      <c r="H69" s="1671"/>
      <c r="I69" s="1671"/>
      <c r="J69" s="1671"/>
      <c r="K69" s="1671"/>
      <c r="L69" s="1671"/>
      <c r="M69" s="1671"/>
      <c r="N69" s="1671"/>
      <c r="O69" s="1671"/>
      <c r="P69" s="1671"/>
      <c r="Q69" s="1671"/>
      <c r="R69" s="1671"/>
      <c r="S69" s="1671"/>
      <c r="T69" s="1671"/>
      <c r="U69" s="1671"/>
      <c r="V69" s="1671"/>
      <c r="W69" s="1671"/>
      <c r="X69" s="1671"/>
      <c r="Y69" s="1671"/>
      <c r="Z69" s="1671"/>
      <c r="AA69" s="1671"/>
      <c r="AB69" s="1671"/>
      <c r="AC69" s="1671"/>
      <c r="AD69" s="1671"/>
      <c r="AE69" s="1671"/>
      <c r="AF69" s="1671"/>
      <c r="AG69" s="1477"/>
      <c r="AH69" s="1477"/>
      <c r="AI69" s="1477"/>
      <c r="AJ69" s="1060">
        <f t="shared" si="3"/>
        <v>0</v>
      </c>
      <c r="AK69" s="1061">
        <f t="shared" si="4"/>
        <v>0</v>
      </c>
      <c r="AL69" s="1060">
        <f t="shared" si="5"/>
        <v>0</v>
      </c>
      <c r="AM69" s="1060">
        <f t="shared" si="6"/>
        <v>0</v>
      </c>
      <c r="AN69" s="1060">
        <f t="shared" si="7"/>
        <v>0</v>
      </c>
      <c r="AO69" s="1061">
        <f t="shared" si="9"/>
        <v>0</v>
      </c>
      <c r="AP69" s="1062">
        <f t="shared" si="8"/>
        <v>0</v>
      </c>
      <c r="AQ69" s="888"/>
      <c r="AR69" s="231"/>
      <c r="AS69" s="229" t="str">
        <f>VLOOKUP(C70,'[1]NT 2'!$C$2:$J$259,8,0)</f>
        <v>03505</v>
      </c>
      <c r="AT69" s="953">
        <f t="shared" si="10"/>
        <v>0</v>
      </c>
    </row>
    <row r="70" spans="1:46" ht="24.75" customHeight="1">
      <c r="A70" s="1700">
        <v>60</v>
      </c>
      <c r="B70" s="1703">
        <v>60</v>
      </c>
      <c r="C70" s="833" t="s">
        <v>1</v>
      </c>
      <c r="D70" s="13" t="str">
        <f>VLOOKUP(C70,'[1]NT 2'!$C$2:$J$259,8,0)</f>
        <v>03505</v>
      </c>
      <c r="E70" s="1671"/>
      <c r="F70" s="1671"/>
      <c r="G70" s="1671"/>
      <c r="H70" s="1671"/>
      <c r="I70" s="1671"/>
      <c r="J70" s="1671"/>
      <c r="K70" s="1671"/>
      <c r="L70" s="1671"/>
      <c r="M70" s="1671"/>
      <c r="N70" s="1671"/>
      <c r="O70" s="1671"/>
      <c r="P70" s="1671"/>
      <c r="Q70" s="1671"/>
      <c r="R70" s="1671"/>
      <c r="S70" s="1671"/>
      <c r="T70" s="1671"/>
      <c r="U70" s="1671"/>
      <c r="V70" s="1671"/>
      <c r="W70" s="1671"/>
      <c r="X70" s="1671"/>
      <c r="Y70" s="1671"/>
      <c r="Z70" s="1671"/>
      <c r="AA70" s="1671"/>
      <c r="AB70" s="1671"/>
      <c r="AC70" s="1671"/>
      <c r="AD70" s="1671"/>
      <c r="AE70" s="1671"/>
      <c r="AF70" s="1671"/>
      <c r="AG70" s="1477"/>
      <c r="AH70" s="1477"/>
      <c r="AI70" s="1477"/>
      <c r="AJ70" s="1060">
        <f t="shared" si="3"/>
        <v>0</v>
      </c>
      <c r="AK70" s="1061">
        <f t="shared" si="4"/>
        <v>0</v>
      </c>
      <c r="AL70" s="1060">
        <f t="shared" si="5"/>
        <v>0</v>
      </c>
      <c r="AM70" s="1060">
        <f t="shared" si="6"/>
        <v>0</v>
      </c>
      <c r="AN70" s="1060">
        <f t="shared" si="7"/>
        <v>0</v>
      </c>
      <c r="AO70" s="1061">
        <f t="shared" si="9"/>
        <v>0</v>
      </c>
      <c r="AP70" s="1062">
        <f t="shared" si="8"/>
        <v>0</v>
      </c>
      <c r="AQ70" s="888"/>
      <c r="AR70" s="231"/>
      <c r="AS70" s="229" t="str">
        <f>VLOOKUP(C71,'[1]NT 2'!$C$2:$J$259,8,0)</f>
        <v>03506</v>
      </c>
      <c r="AT70" s="953">
        <f t="shared" si="10"/>
        <v>0</v>
      </c>
    </row>
    <row r="71" spans="1:46" ht="24.75" customHeight="1">
      <c r="A71" s="1700">
        <v>61</v>
      </c>
      <c r="B71" s="1703">
        <v>61</v>
      </c>
      <c r="C71" s="163" t="s">
        <v>442</v>
      </c>
      <c r="D71" s="13" t="str">
        <f>VLOOKUP(C71,'[1]NT 2'!$C$2:$J$259,8,0)</f>
        <v>03506</v>
      </c>
      <c r="E71" s="1671"/>
      <c r="F71" s="1671"/>
      <c r="G71" s="1671"/>
      <c r="H71" s="1671"/>
      <c r="I71" s="1671"/>
      <c r="J71" s="1671"/>
      <c r="K71" s="1671"/>
      <c r="L71" s="1671"/>
      <c r="M71" s="1671"/>
      <c r="N71" s="1671"/>
      <c r="O71" s="1671"/>
      <c r="P71" s="1671"/>
      <c r="Q71" s="1671"/>
      <c r="R71" s="1671"/>
      <c r="S71" s="1671"/>
      <c r="T71" s="1671"/>
      <c r="U71" s="1671"/>
      <c r="V71" s="1671"/>
      <c r="W71" s="1671"/>
      <c r="X71" s="1671"/>
      <c r="Y71" s="1671"/>
      <c r="Z71" s="1671"/>
      <c r="AA71" s="1671"/>
      <c r="AB71" s="1671"/>
      <c r="AC71" s="1671"/>
      <c r="AD71" s="1671"/>
      <c r="AE71" s="1671"/>
      <c r="AF71" s="1671"/>
      <c r="AG71" s="1477"/>
      <c r="AH71" s="1477"/>
      <c r="AI71" s="1477"/>
      <c r="AJ71" s="1060">
        <f t="shared" si="3"/>
        <v>0</v>
      </c>
      <c r="AK71" s="1061">
        <f t="shared" si="4"/>
        <v>0</v>
      </c>
      <c r="AL71" s="1060">
        <f t="shared" si="5"/>
        <v>0</v>
      </c>
      <c r="AM71" s="1060">
        <f t="shared" si="6"/>
        <v>0</v>
      </c>
      <c r="AN71" s="1060">
        <f t="shared" si="7"/>
        <v>0</v>
      </c>
      <c r="AO71" s="1061">
        <f t="shared" si="9"/>
        <v>0</v>
      </c>
      <c r="AP71" s="1062">
        <f t="shared" si="8"/>
        <v>0</v>
      </c>
      <c r="AQ71" s="888"/>
      <c r="AR71" s="231"/>
      <c r="AS71" s="229" t="str">
        <f>VLOOKUP(C72,'[1]NT 2'!$C$2:$J$259,8,0)</f>
        <v>03507</v>
      </c>
      <c r="AT71" s="953">
        <f t="shared" si="10"/>
        <v>0</v>
      </c>
    </row>
    <row r="72" spans="1:46" ht="24.75" customHeight="1">
      <c r="A72" s="1700">
        <v>62</v>
      </c>
      <c r="B72" s="1703">
        <v>62</v>
      </c>
      <c r="C72" s="163" t="s">
        <v>430</v>
      </c>
      <c r="D72" s="13" t="str">
        <f>VLOOKUP(C72,'[1]NT 2'!$C$2:$J$259,8,0)</f>
        <v>03507</v>
      </c>
      <c r="E72" s="1671"/>
      <c r="F72" s="1671"/>
      <c r="G72" s="1671"/>
      <c r="H72" s="1671"/>
      <c r="I72" s="1671"/>
      <c r="J72" s="1671"/>
      <c r="K72" s="1671"/>
      <c r="L72" s="1671"/>
      <c r="M72" s="1671"/>
      <c r="N72" s="1671"/>
      <c r="O72" s="1671"/>
      <c r="P72" s="1671"/>
      <c r="Q72" s="1671"/>
      <c r="R72" s="1671"/>
      <c r="S72" s="1671"/>
      <c r="T72" s="1671"/>
      <c r="U72" s="1671"/>
      <c r="V72" s="1671"/>
      <c r="W72" s="1671"/>
      <c r="X72" s="1671"/>
      <c r="Y72" s="1671"/>
      <c r="Z72" s="1671"/>
      <c r="AA72" s="1671"/>
      <c r="AB72" s="1671"/>
      <c r="AC72" s="1671"/>
      <c r="AD72" s="1671"/>
      <c r="AE72" s="1671"/>
      <c r="AF72" s="1671"/>
      <c r="AG72" s="1477"/>
      <c r="AH72" s="1477"/>
      <c r="AI72" s="1477"/>
      <c r="AJ72" s="1060">
        <f t="shared" si="3"/>
        <v>0</v>
      </c>
      <c r="AK72" s="1061">
        <f t="shared" si="4"/>
        <v>0</v>
      </c>
      <c r="AL72" s="1060">
        <f t="shared" si="5"/>
        <v>0</v>
      </c>
      <c r="AM72" s="1060">
        <f t="shared" si="6"/>
        <v>0</v>
      </c>
      <c r="AN72" s="1060">
        <f t="shared" si="7"/>
        <v>0</v>
      </c>
      <c r="AO72" s="1061">
        <f t="shared" si="9"/>
        <v>0</v>
      </c>
      <c r="AP72" s="1062">
        <f t="shared" si="8"/>
        <v>0</v>
      </c>
      <c r="AQ72" s="888"/>
      <c r="AR72" s="231"/>
      <c r="AS72" s="229" t="str">
        <f>VLOOKUP(C73,'[1]NT 2'!$C$2:$J$259,8,0)</f>
        <v>03508</v>
      </c>
      <c r="AT72" s="953">
        <f t="shared" si="10"/>
        <v>0</v>
      </c>
    </row>
    <row r="73" spans="1:46" ht="24.75" customHeight="1">
      <c r="A73" s="1700">
        <v>63</v>
      </c>
      <c r="B73" s="1703">
        <v>63</v>
      </c>
      <c r="C73" s="365" t="s">
        <v>657</v>
      </c>
      <c r="D73" s="13" t="str">
        <f>VLOOKUP(C73,'[1]NT 2'!$C$2:$J$259,8,0)</f>
        <v>03508</v>
      </c>
      <c r="E73" s="1671"/>
      <c r="F73" s="1671"/>
      <c r="G73" s="1671"/>
      <c r="H73" s="1671"/>
      <c r="I73" s="1671"/>
      <c r="J73" s="1671"/>
      <c r="K73" s="1671"/>
      <c r="L73" s="1671"/>
      <c r="M73" s="1671"/>
      <c r="N73" s="1671"/>
      <c r="O73" s="1671"/>
      <c r="P73" s="1671"/>
      <c r="Q73" s="1671"/>
      <c r="R73" s="1671"/>
      <c r="S73" s="1671"/>
      <c r="T73" s="1671"/>
      <c r="U73" s="1671"/>
      <c r="V73" s="1671"/>
      <c r="W73" s="1671"/>
      <c r="X73" s="1671"/>
      <c r="Y73" s="1671"/>
      <c r="Z73" s="1671"/>
      <c r="AA73" s="1671"/>
      <c r="AB73" s="1671"/>
      <c r="AC73" s="1671"/>
      <c r="AD73" s="1671"/>
      <c r="AE73" s="1671"/>
      <c r="AF73" s="1671"/>
      <c r="AG73" s="1477"/>
      <c r="AH73" s="1477"/>
      <c r="AI73" s="1477"/>
      <c r="AJ73" s="1060">
        <f t="shared" si="3"/>
        <v>0</v>
      </c>
      <c r="AK73" s="1061">
        <f t="shared" si="4"/>
        <v>0</v>
      </c>
      <c r="AL73" s="1060">
        <f t="shared" si="5"/>
        <v>0</v>
      </c>
      <c r="AM73" s="1060">
        <f t="shared" si="6"/>
        <v>0</v>
      </c>
      <c r="AN73" s="1060">
        <f t="shared" si="7"/>
        <v>0</v>
      </c>
      <c r="AO73" s="1061">
        <f t="shared" si="9"/>
        <v>0</v>
      </c>
      <c r="AP73" s="1062">
        <f t="shared" si="8"/>
        <v>0</v>
      </c>
      <c r="AQ73" s="888"/>
      <c r="AR73" s="231"/>
      <c r="AS73" s="229" t="str">
        <f>VLOOKUP(C74,'[1]NT 2'!$C$2:$J$259,8,0)</f>
        <v>03509</v>
      </c>
      <c r="AT73" s="953">
        <f t="shared" si="10"/>
        <v>0</v>
      </c>
    </row>
    <row r="74" spans="1:46" ht="24.75" customHeight="1">
      <c r="A74" s="1700">
        <v>64</v>
      </c>
      <c r="B74" s="1703">
        <v>64</v>
      </c>
      <c r="C74" s="833" t="s">
        <v>431</v>
      </c>
      <c r="D74" s="13" t="str">
        <f>VLOOKUP(C74,'[1]NT 2'!$C$2:$J$259,8,0)</f>
        <v>03509</v>
      </c>
      <c r="E74" s="1671"/>
      <c r="F74" s="1671"/>
      <c r="G74" s="1671"/>
      <c r="H74" s="1671"/>
      <c r="I74" s="1671"/>
      <c r="J74" s="1671"/>
      <c r="K74" s="1671"/>
      <c r="L74" s="1671"/>
      <c r="M74" s="1671"/>
      <c r="N74" s="1671"/>
      <c r="O74" s="1671"/>
      <c r="P74" s="1671"/>
      <c r="Q74" s="1671"/>
      <c r="R74" s="1671"/>
      <c r="S74" s="1671"/>
      <c r="T74" s="1671"/>
      <c r="U74" s="1671"/>
      <c r="V74" s="1671"/>
      <c r="W74" s="1671"/>
      <c r="X74" s="1671"/>
      <c r="Y74" s="1671"/>
      <c r="Z74" s="1671"/>
      <c r="AA74" s="1671"/>
      <c r="AB74" s="1671"/>
      <c r="AC74" s="1671"/>
      <c r="AD74" s="1671"/>
      <c r="AE74" s="1671"/>
      <c r="AF74" s="1671"/>
      <c r="AG74" s="1477"/>
      <c r="AH74" s="1477"/>
      <c r="AI74" s="1477"/>
      <c r="AJ74" s="1060">
        <f t="shared" si="3"/>
        <v>0</v>
      </c>
      <c r="AK74" s="1061">
        <f t="shared" si="4"/>
        <v>0</v>
      </c>
      <c r="AL74" s="1060">
        <f t="shared" si="5"/>
        <v>0</v>
      </c>
      <c r="AM74" s="1060">
        <f t="shared" si="6"/>
        <v>0</v>
      </c>
      <c r="AN74" s="1060">
        <f t="shared" si="7"/>
        <v>0</v>
      </c>
      <c r="AO74" s="1061">
        <f t="shared" si="9"/>
        <v>0</v>
      </c>
      <c r="AP74" s="1062">
        <f t="shared" si="8"/>
        <v>0</v>
      </c>
      <c r="AQ74" s="888"/>
      <c r="AR74" s="231"/>
      <c r="AS74" s="229" t="e">
        <f>VLOOKUP(C75,'[1]NT 2'!$C$2:$J$259,8,0)</f>
        <v>#N/A</v>
      </c>
      <c r="AT74" s="953" t="e">
        <f t="shared" ref="AT74:AT85" si="11">D75-AS74</f>
        <v>#N/A</v>
      </c>
    </row>
    <row r="75" spans="1:46" ht="24.75" customHeight="1">
      <c r="A75" s="1700">
        <v>65</v>
      </c>
      <c r="B75" s="1703">
        <v>65</v>
      </c>
      <c r="C75" s="833" t="s">
        <v>822</v>
      </c>
      <c r="E75" s="1671"/>
      <c r="F75" s="1671"/>
      <c r="G75" s="1671"/>
      <c r="H75" s="1671"/>
      <c r="I75" s="1671"/>
      <c r="J75" s="1671"/>
      <c r="K75" s="1671"/>
      <c r="L75" s="1671"/>
      <c r="M75" s="1671"/>
      <c r="N75" s="1671"/>
      <c r="O75" s="1671"/>
      <c r="P75" s="1671"/>
      <c r="Q75" s="1671"/>
      <c r="R75" s="1671"/>
      <c r="S75" s="1671"/>
      <c r="T75" s="1671"/>
      <c r="U75" s="1671"/>
      <c r="V75" s="1671"/>
      <c r="W75" s="1671"/>
      <c r="X75" s="1671"/>
      <c r="Y75" s="1671"/>
      <c r="Z75" s="1671"/>
      <c r="AA75" s="1671"/>
      <c r="AB75" s="1671"/>
      <c r="AC75" s="1671"/>
      <c r="AD75" s="1671"/>
      <c r="AE75" s="1671"/>
      <c r="AF75" s="1671"/>
      <c r="AG75" s="1477"/>
      <c r="AH75" s="1477"/>
      <c r="AI75" s="1477"/>
      <c r="AJ75" s="1060">
        <f t="shared" si="3"/>
        <v>0</v>
      </c>
      <c r="AK75" s="1061">
        <f t="shared" si="4"/>
        <v>0</v>
      </c>
      <c r="AL75" s="1060">
        <f t="shared" si="5"/>
        <v>0</v>
      </c>
      <c r="AM75" s="1060">
        <f t="shared" si="6"/>
        <v>0</v>
      </c>
      <c r="AN75" s="1060">
        <f t="shared" si="7"/>
        <v>0</v>
      </c>
      <c r="AO75" s="1061">
        <f t="shared" si="9"/>
        <v>0</v>
      </c>
      <c r="AP75" s="1062">
        <f t="shared" si="8"/>
        <v>0</v>
      </c>
      <c r="AQ75" s="888"/>
      <c r="AR75" s="231"/>
      <c r="AS75" s="229" t="e">
        <f>VLOOKUP(C76,'[1]NT 2'!$C$2:$J$259,8,0)</f>
        <v>#N/A</v>
      </c>
      <c r="AT75" s="953" t="e">
        <f t="shared" si="11"/>
        <v>#N/A</v>
      </c>
    </row>
    <row r="76" spans="1:46" ht="24.75" customHeight="1">
      <c r="A76" s="1700">
        <v>66</v>
      </c>
      <c r="B76" s="1703">
        <v>66</v>
      </c>
      <c r="C76" s="833" t="s">
        <v>881</v>
      </c>
      <c r="E76" s="1671"/>
      <c r="F76" s="1671"/>
      <c r="G76" s="1671"/>
      <c r="H76" s="1671"/>
      <c r="I76" s="1671"/>
      <c r="J76" s="1671"/>
      <c r="K76" s="1671"/>
      <c r="L76" s="1671"/>
      <c r="M76" s="1671"/>
      <c r="N76" s="1671"/>
      <c r="O76" s="1671"/>
      <c r="P76" s="1671"/>
      <c r="Q76" s="1671"/>
      <c r="R76" s="1671"/>
      <c r="S76" s="1671"/>
      <c r="T76" s="1671"/>
      <c r="U76" s="1671"/>
      <c r="V76" s="1671"/>
      <c r="W76" s="1671"/>
      <c r="X76" s="1671"/>
      <c r="Y76" s="1671"/>
      <c r="Z76" s="1671"/>
      <c r="AA76" s="1671"/>
      <c r="AB76" s="1671"/>
      <c r="AC76" s="1671"/>
      <c r="AD76" s="1671"/>
      <c r="AE76" s="1671"/>
      <c r="AF76" s="1671"/>
      <c r="AG76" s="1477"/>
      <c r="AH76" s="1477"/>
      <c r="AI76" s="1477"/>
      <c r="AJ76" s="1060">
        <f t="shared" ref="AJ76:AJ89" si="12">SUM(COUNTIF(E76:AI76,"x"))</f>
        <v>0</v>
      </c>
      <c r="AK76" s="1061">
        <f t="shared" ref="AK76:AK89" si="13">SUM(COUNTIF(E76:AI76,"cn"))</f>
        <v>0</v>
      </c>
      <c r="AL76" s="1060">
        <f t="shared" ref="AL76:AL89" si="14">SUM(COUNTIF(E76:AI76,"đ"))</f>
        <v>0</v>
      </c>
      <c r="AM76" s="1060">
        <f t="shared" ref="AM76:AM89" si="15">SUM(COUNTIF(E76:AI76,"đc"))</f>
        <v>0</v>
      </c>
      <c r="AN76" s="1060">
        <f t="shared" ref="AN76:AN89" si="16">SUM(COUNTIF(E76:AI76,"gt"))</f>
        <v>0</v>
      </c>
      <c r="AO76" s="1061">
        <f t="shared" ref="AO76:AO89" si="17">SUM(COUNTIF(E76:AI76,"ct"))</f>
        <v>0</v>
      </c>
      <c r="AP76" s="1062">
        <f t="shared" ref="AP76:AP89" si="18">AJ76+AK76+AL76+AM76+AN76+AO76</f>
        <v>0</v>
      </c>
      <c r="AQ76" s="888"/>
      <c r="AR76" s="231"/>
      <c r="AS76" s="229" t="str">
        <f>VLOOKUP(C77,'[1]NT 2'!$C$2:$J$259,8,0)</f>
        <v>03512</v>
      </c>
      <c r="AT76" s="953">
        <f t="shared" si="11"/>
        <v>0</v>
      </c>
    </row>
    <row r="77" spans="1:46" ht="24.75" customHeight="1">
      <c r="A77" s="1700">
        <v>67</v>
      </c>
      <c r="B77" s="1703">
        <v>67</v>
      </c>
      <c r="C77" s="833" t="s">
        <v>658</v>
      </c>
      <c r="D77" s="13" t="str">
        <f>VLOOKUP(C77,'[1]NT 2'!$C$2:$J$259,8,0)</f>
        <v>03512</v>
      </c>
      <c r="E77" s="1671"/>
      <c r="F77" s="1671"/>
      <c r="G77" s="1671"/>
      <c r="H77" s="1671"/>
      <c r="I77" s="1671"/>
      <c r="J77" s="1671"/>
      <c r="K77" s="1671"/>
      <c r="L77" s="1671"/>
      <c r="M77" s="1671"/>
      <c r="N77" s="1671"/>
      <c r="O77" s="1671"/>
      <c r="P77" s="1671"/>
      <c r="Q77" s="1671"/>
      <c r="R77" s="1671"/>
      <c r="S77" s="1671"/>
      <c r="T77" s="1671"/>
      <c r="U77" s="1671"/>
      <c r="V77" s="1671"/>
      <c r="W77" s="1671"/>
      <c r="X77" s="1671"/>
      <c r="Y77" s="1671"/>
      <c r="Z77" s="1671"/>
      <c r="AA77" s="1671"/>
      <c r="AB77" s="1671"/>
      <c r="AC77" s="1671"/>
      <c r="AD77" s="1671"/>
      <c r="AE77" s="1671"/>
      <c r="AF77" s="1671"/>
      <c r="AG77" s="1477"/>
      <c r="AH77" s="1477"/>
      <c r="AI77" s="1477"/>
      <c r="AJ77" s="1060">
        <f t="shared" si="12"/>
        <v>0</v>
      </c>
      <c r="AK77" s="1061">
        <f t="shared" si="13"/>
        <v>0</v>
      </c>
      <c r="AL77" s="1060">
        <f t="shared" si="14"/>
        <v>0</v>
      </c>
      <c r="AM77" s="1060">
        <f t="shared" si="15"/>
        <v>0</v>
      </c>
      <c r="AN77" s="1060">
        <f t="shared" si="16"/>
        <v>0</v>
      </c>
      <c r="AO77" s="1061">
        <f t="shared" si="17"/>
        <v>0</v>
      </c>
      <c r="AP77" s="1062">
        <f t="shared" si="18"/>
        <v>0</v>
      </c>
      <c r="AQ77" s="888"/>
      <c r="AR77" s="231"/>
      <c r="AS77" s="229" t="str">
        <f>VLOOKUP(C78,'[1]NT 2'!$C$2:$J$259,8,0)</f>
        <v>03513</v>
      </c>
      <c r="AT77" s="953">
        <f t="shared" si="11"/>
        <v>0</v>
      </c>
    </row>
    <row r="78" spans="1:46" ht="24.75" customHeight="1">
      <c r="A78" s="1700">
        <v>68</v>
      </c>
      <c r="B78" s="1703">
        <v>68</v>
      </c>
      <c r="C78" s="833" t="s">
        <v>659</v>
      </c>
      <c r="D78" s="13" t="str">
        <f>VLOOKUP(C78,'[1]NT 2'!$C$2:$J$259,8,0)</f>
        <v>03513</v>
      </c>
      <c r="E78" s="1671"/>
      <c r="F78" s="1671"/>
      <c r="G78" s="1671"/>
      <c r="H78" s="1671"/>
      <c r="I78" s="1671"/>
      <c r="J78" s="1671"/>
      <c r="K78" s="1671"/>
      <c r="L78" s="1671"/>
      <c r="M78" s="1671"/>
      <c r="N78" s="1671"/>
      <c r="O78" s="1671"/>
      <c r="P78" s="1671"/>
      <c r="Q78" s="1671"/>
      <c r="R78" s="1671"/>
      <c r="S78" s="1671"/>
      <c r="T78" s="1671"/>
      <c r="U78" s="1671"/>
      <c r="V78" s="1671"/>
      <c r="W78" s="1671"/>
      <c r="X78" s="1671"/>
      <c r="Y78" s="1671"/>
      <c r="Z78" s="1671"/>
      <c r="AA78" s="1671"/>
      <c r="AB78" s="1671"/>
      <c r="AC78" s="1671"/>
      <c r="AD78" s="1671"/>
      <c r="AE78" s="1671"/>
      <c r="AF78" s="1671"/>
      <c r="AG78" s="1477"/>
      <c r="AH78" s="1477"/>
      <c r="AI78" s="1477"/>
      <c r="AJ78" s="1060">
        <f t="shared" si="12"/>
        <v>0</v>
      </c>
      <c r="AK78" s="1061">
        <f t="shared" si="13"/>
        <v>0</v>
      </c>
      <c r="AL78" s="1060">
        <f t="shared" si="14"/>
        <v>0</v>
      </c>
      <c r="AM78" s="1060">
        <f t="shared" si="15"/>
        <v>0</v>
      </c>
      <c r="AN78" s="1060">
        <f t="shared" si="16"/>
        <v>0</v>
      </c>
      <c r="AO78" s="1061">
        <f t="shared" si="17"/>
        <v>0</v>
      </c>
      <c r="AP78" s="1062">
        <f t="shared" si="18"/>
        <v>0</v>
      </c>
      <c r="AQ78" s="888"/>
      <c r="AR78" s="231"/>
      <c r="AS78" s="229" t="e">
        <f>VLOOKUP(C79,'[1]NT 2'!$C$2:$J$259,8,0)</f>
        <v>#N/A</v>
      </c>
      <c r="AT78" s="953" t="e">
        <f t="shared" si="11"/>
        <v>#N/A</v>
      </c>
    </row>
    <row r="79" spans="1:46" ht="24.75" customHeight="1">
      <c r="A79" s="1700">
        <v>69</v>
      </c>
      <c r="B79" s="1703">
        <v>69</v>
      </c>
      <c r="C79" s="833" t="s">
        <v>704</v>
      </c>
      <c r="E79" s="1671"/>
      <c r="F79" s="1671"/>
      <c r="G79" s="1671"/>
      <c r="H79" s="1671"/>
      <c r="I79" s="1671"/>
      <c r="J79" s="1671"/>
      <c r="K79" s="1671"/>
      <c r="L79" s="1671"/>
      <c r="M79" s="1671"/>
      <c r="N79" s="1671"/>
      <c r="O79" s="1671"/>
      <c r="P79" s="1671"/>
      <c r="Q79" s="1671"/>
      <c r="R79" s="1671"/>
      <c r="S79" s="1671"/>
      <c r="T79" s="1671"/>
      <c r="U79" s="1671"/>
      <c r="V79" s="1671"/>
      <c r="W79" s="1671"/>
      <c r="X79" s="1671"/>
      <c r="Y79" s="1671"/>
      <c r="Z79" s="1671"/>
      <c r="AA79" s="1671"/>
      <c r="AB79" s="1671"/>
      <c r="AC79" s="1671"/>
      <c r="AD79" s="1671"/>
      <c r="AE79" s="1671"/>
      <c r="AF79" s="1671"/>
      <c r="AG79" s="1477"/>
      <c r="AH79" s="1477"/>
      <c r="AI79" s="1477"/>
      <c r="AJ79" s="1060">
        <f t="shared" si="12"/>
        <v>0</v>
      </c>
      <c r="AK79" s="1061">
        <f t="shared" si="13"/>
        <v>0</v>
      </c>
      <c r="AL79" s="1060">
        <f t="shared" si="14"/>
        <v>0</v>
      </c>
      <c r="AM79" s="1060">
        <f t="shared" si="15"/>
        <v>0</v>
      </c>
      <c r="AN79" s="1060">
        <f t="shared" si="16"/>
        <v>0</v>
      </c>
      <c r="AO79" s="1061">
        <f t="shared" si="17"/>
        <v>0</v>
      </c>
      <c r="AP79" s="1062">
        <f t="shared" si="18"/>
        <v>0</v>
      </c>
      <c r="AQ79" s="888"/>
      <c r="AR79" s="231"/>
      <c r="AS79" s="229" t="str">
        <f>VLOOKUP(C80,'[1]NT 2'!$C$2:$J$259,8,0)</f>
        <v>03515</v>
      </c>
      <c r="AT79" s="953">
        <f t="shared" si="11"/>
        <v>0</v>
      </c>
    </row>
    <row r="80" spans="1:46" ht="24.75" customHeight="1">
      <c r="A80" s="1700">
        <v>70</v>
      </c>
      <c r="B80" s="1703">
        <v>70</v>
      </c>
      <c r="C80" s="833" t="s">
        <v>660</v>
      </c>
      <c r="D80" s="13" t="str">
        <f>VLOOKUP(C80,'[1]NT 2'!$C$2:$J$259,8,0)</f>
        <v>03515</v>
      </c>
      <c r="E80" s="1671"/>
      <c r="F80" s="1671"/>
      <c r="G80" s="1671"/>
      <c r="H80" s="1671"/>
      <c r="I80" s="1671"/>
      <c r="J80" s="1671"/>
      <c r="K80" s="1671"/>
      <c r="L80" s="1671"/>
      <c r="M80" s="1671"/>
      <c r="N80" s="1671"/>
      <c r="O80" s="1671"/>
      <c r="P80" s="1671"/>
      <c r="Q80" s="1671"/>
      <c r="R80" s="1671"/>
      <c r="S80" s="1671"/>
      <c r="T80" s="1671"/>
      <c r="U80" s="1671"/>
      <c r="V80" s="1671"/>
      <c r="W80" s="1671"/>
      <c r="X80" s="1671"/>
      <c r="Y80" s="1671"/>
      <c r="Z80" s="1671"/>
      <c r="AA80" s="1671"/>
      <c r="AB80" s="1671"/>
      <c r="AC80" s="1671"/>
      <c r="AD80" s="1671"/>
      <c r="AE80" s="1671"/>
      <c r="AF80" s="1671"/>
      <c r="AG80" s="1477"/>
      <c r="AH80" s="1477"/>
      <c r="AI80" s="1477"/>
      <c r="AJ80" s="1060">
        <f t="shared" si="12"/>
        <v>0</v>
      </c>
      <c r="AK80" s="1061">
        <f t="shared" si="13"/>
        <v>0</v>
      </c>
      <c r="AL80" s="1060">
        <f t="shared" si="14"/>
        <v>0</v>
      </c>
      <c r="AM80" s="1060">
        <f t="shared" si="15"/>
        <v>0</v>
      </c>
      <c r="AN80" s="1060">
        <f t="shared" si="16"/>
        <v>0</v>
      </c>
      <c r="AO80" s="1061">
        <f t="shared" si="17"/>
        <v>0</v>
      </c>
      <c r="AP80" s="1062">
        <f t="shared" si="18"/>
        <v>0</v>
      </c>
      <c r="AQ80" s="888"/>
      <c r="AR80" s="231"/>
      <c r="AS80" s="229" t="str">
        <f>VLOOKUP(C81,'[1]NT 2'!$C$2:$J$259,8,0)</f>
        <v>03516</v>
      </c>
      <c r="AT80" s="953">
        <f t="shared" si="11"/>
        <v>0</v>
      </c>
    </row>
    <row r="81" spans="1:46" ht="24.75" customHeight="1">
      <c r="A81" s="1700">
        <v>71</v>
      </c>
      <c r="B81" s="1703">
        <v>71</v>
      </c>
      <c r="C81" s="833" t="s">
        <v>411</v>
      </c>
      <c r="D81" s="13" t="str">
        <f>VLOOKUP(C81,'[1]NT 2'!$C$2:$J$259,8,0)</f>
        <v>03516</v>
      </c>
      <c r="E81" s="1671"/>
      <c r="F81" s="1671"/>
      <c r="G81" s="1671"/>
      <c r="H81" s="1671"/>
      <c r="I81" s="1671"/>
      <c r="J81" s="1671"/>
      <c r="K81" s="1671"/>
      <c r="L81" s="1671"/>
      <c r="M81" s="1671"/>
      <c r="N81" s="1671"/>
      <c r="O81" s="1671"/>
      <c r="P81" s="1671"/>
      <c r="Q81" s="1671"/>
      <c r="R81" s="1671"/>
      <c r="S81" s="1671"/>
      <c r="T81" s="1671"/>
      <c r="U81" s="1671"/>
      <c r="V81" s="1671"/>
      <c r="W81" s="1671"/>
      <c r="X81" s="1671"/>
      <c r="Y81" s="1671"/>
      <c r="Z81" s="1671"/>
      <c r="AA81" s="1671"/>
      <c r="AB81" s="1671"/>
      <c r="AC81" s="1671"/>
      <c r="AD81" s="1671"/>
      <c r="AE81" s="1671"/>
      <c r="AF81" s="1671"/>
      <c r="AG81" s="1477"/>
      <c r="AH81" s="1477"/>
      <c r="AI81" s="1477"/>
      <c r="AJ81" s="1060">
        <f t="shared" si="12"/>
        <v>0</v>
      </c>
      <c r="AK81" s="1061">
        <f t="shared" si="13"/>
        <v>0</v>
      </c>
      <c r="AL81" s="1060">
        <f t="shared" si="14"/>
        <v>0</v>
      </c>
      <c r="AM81" s="1060">
        <f t="shared" si="15"/>
        <v>0</v>
      </c>
      <c r="AN81" s="1060">
        <f t="shared" si="16"/>
        <v>0</v>
      </c>
      <c r="AO81" s="1061">
        <f t="shared" si="17"/>
        <v>0</v>
      </c>
      <c r="AP81" s="1062">
        <f t="shared" si="18"/>
        <v>0</v>
      </c>
      <c r="AQ81" s="888"/>
      <c r="AR81" s="231"/>
      <c r="AS81" s="229" t="str">
        <f>VLOOKUP(C82,'[1]NT 2'!$C$2:$J$259,8,0)</f>
        <v>02732</v>
      </c>
      <c r="AT81" s="953">
        <f t="shared" si="11"/>
        <v>0</v>
      </c>
    </row>
    <row r="82" spans="1:46" ht="24.75" customHeight="1">
      <c r="A82" s="1700">
        <v>72</v>
      </c>
      <c r="B82" s="1703">
        <v>72</v>
      </c>
      <c r="C82" s="833" t="s">
        <v>340</v>
      </c>
      <c r="D82" s="13" t="str">
        <f>VLOOKUP(C82,'[1]NT 2'!$C$2:$J$259,8,0)</f>
        <v>02732</v>
      </c>
      <c r="E82" s="1671"/>
      <c r="F82" s="1671"/>
      <c r="G82" s="1671"/>
      <c r="H82" s="1671"/>
      <c r="I82" s="1671"/>
      <c r="J82" s="1671"/>
      <c r="K82" s="1671"/>
      <c r="L82" s="1671"/>
      <c r="M82" s="1671"/>
      <c r="N82" s="1671"/>
      <c r="O82" s="1671"/>
      <c r="P82" s="1671"/>
      <c r="Q82" s="1671"/>
      <c r="R82" s="1671"/>
      <c r="S82" s="1671"/>
      <c r="T82" s="1671"/>
      <c r="U82" s="1671"/>
      <c r="V82" s="1671"/>
      <c r="W82" s="1671"/>
      <c r="X82" s="1671"/>
      <c r="Y82" s="1671"/>
      <c r="Z82" s="1671"/>
      <c r="AA82" s="1671"/>
      <c r="AB82" s="1671"/>
      <c r="AC82" s="1671"/>
      <c r="AD82" s="1671"/>
      <c r="AE82" s="1671"/>
      <c r="AF82" s="1671"/>
      <c r="AG82" s="1477"/>
      <c r="AH82" s="1477"/>
      <c r="AI82" s="1477"/>
      <c r="AJ82" s="1060">
        <f t="shared" si="12"/>
        <v>0</v>
      </c>
      <c r="AK82" s="1061">
        <f t="shared" si="13"/>
        <v>0</v>
      </c>
      <c r="AL82" s="1060">
        <f t="shared" si="14"/>
        <v>0</v>
      </c>
      <c r="AM82" s="1060">
        <f t="shared" si="15"/>
        <v>0</v>
      </c>
      <c r="AN82" s="1060">
        <f t="shared" si="16"/>
        <v>0</v>
      </c>
      <c r="AO82" s="1061">
        <f t="shared" si="17"/>
        <v>0</v>
      </c>
      <c r="AP82" s="1062">
        <f t="shared" si="18"/>
        <v>0</v>
      </c>
      <c r="AQ82" s="888"/>
      <c r="AR82" s="231"/>
      <c r="AS82" s="229" t="str">
        <f>VLOOKUP(C83,'[1]NT 2'!$C$2:$J$259,8,0)</f>
        <v>02733</v>
      </c>
      <c r="AT82" s="953">
        <f t="shared" si="11"/>
        <v>0</v>
      </c>
    </row>
    <row r="83" spans="1:46" ht="24.75" customHeight="1">
      <c r="A83" s="1700">
        <v>73</v>
      </c>
      <c r="B83" s="1703">
        <v>73</v>
      </c>
      <c r="C83" s="833" t="s">
        <v>341</v>
      </c>
      <c r="D83" s="13" t="str">
        <f>VLOOKUP(C83,'[1]NT 2'!$C$2:$J$259,8,0)</f>
        <v>02733</v>
      </c>
      <c r="E83" s="1671"/>
      <c r="F83" s="1671"/>
      <c r="G83" s="1671"/>
      <c r="H83" s="1671"/>
      <c r="I83" s="1671"/>
      <c r="J83" s="1671"/>
      <c r="K83" s="1671"/>
      <c r="L83" s="1671"/>
      <c r="M83" s="1671"/>
      <c r="N83" s="1671"/>
      <c r="O83" s="1671"/>
      <c r="P83" s="1671"/>
      <c r="Q83" s="1671"/>
      <c r="R83" s="1671"/>
      <c r="S83" s="1671"/>
      <c r="T83" s="1671"/>
      <c r="U83" s="1671"/>
      <c r="V83" s="1671"/>
      <c r="W83" s="1671"/>
      <c r="X83" s="1671"/>
      <c r="Y83" s="1671"/>
      <c r="Z83" s="1671"/>
      <c r="AA83" s="1671"/>
      <c r="AB83" s="1671"/>
      <c r="AC83" s="1671"/>
      <c r="AD83" s="1671"/>
      <c r="AE83" s="1671"/>
      <c r="AF83" s="1671"/>
      <c r="AG83" s="1477"/>
      <c r="AH83" s="1477"/>
      <c r="AI83" s="1477"/>
      <c r="AJ83" s="1060">
        <f t="shared" si="12"/>
        <v>0</v>
      </c>
      <c r="AK83" s="1061">
        <f t="shared" si="13"/>
        <v>0</v>
      </c>
      <c r="AL83" s="1060">
        <f t="shared" si="14"/>
        <v>0</v>
      </c>
      <c r="AM83" s="1060">
        <f t="shared" si="15"/>
        <v>0</v>
      </c>
      <c r="AN83" s="1060">
        <f t="shared" si="16"/>
        <v>0</v>
      </c>
      <c r="AO83" s="1061">
        <f t="shared" si="17"/>
        <v>0</v>
      </c>
      <c r="AP83" s="1062">
        <f t="shared" si="18"/>
        <v>0</v>
      </c>
      <c r="AQ83" s="888"/>
      <c r="AR83" s="231"/>
      <c r="AS83" s="229" t="e">
        <f>VLOOKUP(C84,'[1]NT 2'!$C$2:$J$259,8,0)</f>
        <v>#N/A</v>
      </c>
      <c r="AT83" s="953" t="e">
        <f t="shared" si="11"/>
        <v>#N/A</v>
      </c>
    </row>
    <row r="84" spans="1:46" ht="24.75" customHeight="1">
      <c r="A84" s="1700">
        <v>74</v>
      </c>
      <c r="B84" s="1703">
        <v>74</v>
      </c>
      <c r="C84" s="833" t="s">
        <v>728</v>
      </c>
      <c r="E84" s="1671"/>
      <c r="F84" s="1671"/>
      <c r="G84" s="1671"/>
      <c r="H84" s="1671"/>
      <c r="I84" s="1671"/>
      <c r="J84" s="1671"/>
      <c r="K84" s="1671"/>
      <c r="L84" s="1671"/>
      <c r="M84" s="1671"/>
      <c r="N84" s="1671"/>
      <c r="O84" s="1671"/>
      <c r="P84" s="1671"/>
      <c r="Q84" s="1671"/>
      <c r="R84" s="1671"/>
      <c r="S84" s="1671"/>
      <c r="T84" s="1671"/>
      <c r="U84" s="1671"/>
      <c r="V84" s="1671"/>
      <c r="W84" s="1671"/>
      <c r="X84" s="1671"/>
      <c r="Y84" s="1671"/>
      <c r="Z84" s="1671"/>
      <c r="AA84" s="1671"/>
      <c r="AB84" s="1671"/>
      <c r="AC84" s="1671"/>
      <c r="AD84" s="1671"/>
      <c r="AE84" s="1671"/>
      <c r="AF84" s="1671"/>
      <c r="AG84" s="1477"/>
      <c r="AH84" s="1477"/>
      <c r="AI84" s="1477"/>
      <c r="AJ84" s="1060">
        <f t="shared" si="12"/>
        <v>0</v>
      </c>
      <c r="AK84" s="1061">
        <f t="shared" si="13"/>
        <v>0</v>
      </c>
      <c r="AL84" s="1060">
        <f t="shared" si="14"/>
        <v>0</v>
      </c>
      <c r="AM84" s="1060">
        <f t="shared" si="15"/>
        <v>0</v>
      </c>
      <c r="AN84" s="1060">
        <f t="shared" si="16"/>
        <v>0</v>
      </c>
      <c r="AO84" s="1061">
        <f t="shared" si="17"/>
        <v>0</v>
      </c>
      <c r="AP84" s="1062">
        <f t="shared" si="18"/>
        <v>0</v>
      </c>
      <c r="AQ84" s="888"/>
      <c r="AR84" s="231"/>
      <c r="AT84" s="953">
        <f t="shared" si="11"/>
        <v>0</v>
      </c>
    </row>
    <row r="85" spans="1:46" ht="24.75" customHeight="1">
      <c r="A85" s="1700">
        <v>75</v>
      </c>
      <c r="B85" s="1703">
        <v>75</v>
      </c>
      <c r="C85" s="833" t="s">
        <v>729</v>
      </c>
      <c r="E85" s="1477"/>
      <c r="F85" s="1477"/>
      <c r="G85" s="1477"/>
      <c r="H85" s="1477"/>
      <c r="I85" s="1477"/>
      <c r="J85" s="1477"/>
      <c r="K85" s="1477"/>
      <c r="L85" s="1477"/>
      <c r="M85" s="1477"/>
      <c r="N85" s="1477"/>
      <c r="O85" s="1477"/>
      <c r="P85" s="1477"/>
      <c r="Q85" s="1477"/>
      <c r="R85" s="1477"/>
      <c r="S85" s="1477"/>
      <c r="T85" s="1477"/>
      <c r="U85" s="1477"/>
      <c r="V85" s="1477"/>
      <c r="W85" s="1477"/>
      <c r="X85" s="1477"/>
      <c r="Y85" s="1477"/>
      <c r="Z85" s="1477"/>
      <c r="AA85" s="1477"/>
      <c r="AB85" s="1477"/>
      <c r="AC85" s="1477"/>
      <c r="AD85" s="1477"/>
      <c r="AE85" s="1477"/>
      <c r="AF85" s="1477"/>
      <c r="AG85" s="1477"/>
      <c r="AH85" s="1477"/>
      <c r="AI85" s="1477"/>
      <c r="AJ85" s="1060">
        <f t="shared" si="12"/>
        <v>0</v>
      </c>
      <c r="AK85" s="1061">
        <f t="shared" si="13"/>
        <v>0</v>
      </c>
      <c r="AL85" s="1060">
        <f t="shared" si="14"/>
        <v>0</v>
      </c>
      <c r="AM85" s="1060">
        <f t="shared" si="15"/>
        <v>0</v>
      </c>
      <c r="AN85" s="1060">
        <f t="shared" si="16"/>
        <v>0</v>
      </c>
      <c r="AO85" s="1061">
        <f t="shared" si="17"/>
        <v>0</v>
      </c>
      <c r="AP85" s="1062">
        <f t="shared" si="18"/>
        <v>0</v>
      </c>
      <c r="AQ85" s="888"/>
      <c r="AR85" s="231"/>
      <c r="AT85" s="953">
        <f t="shared" si="11"/>
        <v>0</v>
      </c>
    </row>
    <row r="86" spans="1:46" ht="24.75" customHeight="1">
      <c r="A86" s="1700">
        <v>76</v>
      </c>
      <c r="B86" s="1703">
        <v>76</v>
      </c>
      <c r="C86" s="833" t="s">
        <v>730</v>
      </c>
      <c r="E86" s="1477"/>
      <c r="F86" s="1477"/>
      <c r="G86" s="1477"/>
      <c r="H86" s="1477"/>
      <c r="I86" s="1477"/>
      <c r="J86" s="1477"/>
      <c r="K86" s="1477"/>
      <c r="L86" s="1477"/>
      <c r="M86" s="1477"/>
      <c r="N86" s="1477"/>
      <c r="O86" s="1477"/>
      <c r="P86" s="1477"/>
      <c r="Q86" s="1477"/>
      <c r="R86" s="1477"/>
      <c r="S86" s="1477"/>
      <c r="T86" s="1477"/>
      <c r="U86" s="1477"/>
      <c r="V86" s="1477"/>
      <c r="W86" s="1477"/>
      <c r="X86" s="1477"/>
      <c r="Y86" s="1477"/>
      <c r="Z86" s="1477"/>
      <c r="AA86" s="1477"/>
      <c r="AB86" s="1477"/>
      <c r="AC86" s="1477"/>
      <c r="AD86" s="1477"/>
      <c r="AE86" s="1477"/>
      <c r="AF86" s="1477"/>
      <c r="AG86" s="1477"/>
      <c r="AH86" s="1477"/>
      <c r="AI86" s="1477"/>
      <c r="AJ86" s="1060">
        <f t="shared" si="12"/>
        <v>0</v>
      </c>
      <c r="AK86" s="1061">
        <f t="shared" si="13"/>
        <v>0</v>
      </c>
      <c r="AL86" s="1060">
        <f t="shared" si="14"/>
        <v>0</v>
      </c>
      <c r="AM86" s="1060">
        <f t="shared" si="15"/>
        <v>0</v>
      </c>
      <c r="AN86" s="1060">
        <f t="shared" si="16"/>
        <v>0</v>
      </c>
      <c r="AO86" s="1061">
        <f t="shared" si="17"/>
        <v>0</v>
      </c>
      <c r="AP86" s="1062">
        <f t="shared" si="18"/>
        <v>0</v>
      </c>
      <c r="AQ86" s="888"/>
      <c r="AR86" s="231"/>
      <c r="AT86" s="953" t="e">
        <f>#REF!-AS86</f>
        <v>#REF!</v>
      </c>
    </row>
    <row r="87" spans="1:46" ht="24.75" customHeight="1">
      <c r="A87" s="1700">
        <v>77</v>
      </c>
      <c r="B87" s="1703">
        <v>77</v>
      </c>
      <c r="C87" s="1523" t="s">
        <v>891</v>
      </c>
      <c r="E87" s="1477"/>
      <c r="F87" s="1477"/>
      <c r="G87" s="1477"/>
      <c r="H87" s="1477"/>
      <c r="I87" s="1477"/>
      <c r="J87" s="1477"/>
      <c r="K87" s="1477"/>
      <c r="L87" s="1477"/>
      <c r="M87" s="1477"/>
      <c r="N87" s="1477"/>
      <c r="O87" s="1477"/>
      <c r="P87" s="1477"/>
      <c r="Q87" s="1477"/>
      <c r="R87" s="1477"/>
      <c r="S87" s="1477"/>
      <c r="T87" s="1477"/>
      <c r="U87" s="1477"/>
      <c r="V87" s="1477"/>
      <c r="W87" s="1477"/>
      <c r="X87" s="1477"/>
      <c r="Y87" s="1477"/>
      <c r="Z87" s="1477"/>
      <c r="AA87" s="1477"/>
      <c r="AB87" s="1477"/>
      <c r="AC87" s="1477"/>
      <c r="AD87" s="1477"/>
      <c r="AE87" s="1477"/>
      <c r="AF87" s="1477"/>
      <c r="AG87" s="1477"/>
      <c r="AH87" s="1477"/>
      <c r="AI87" s="1477"/>
      <c r="AJ87" s="1060">
        <f t="shared" si="12"/>
        <v>0</v>
      </c>
      <c r="AK87" s="1061">
        <f t="shared" si="13"/>
        <v>0</v>
      </c>
      <c r="AL87" s="1060">
        <f t="shared" si="14"/>
        <v>0</v>
      </c>
      <c r="AM87" s="1060">
        <f t="shared" si="15"/>
        <v>0</v>
      </c>
      <c r="AN87" s="1060">
        <f t="shared" si="16"/>
        <v>0</v>
      </c>
      <c r="AO87" s="1061">
        <f t="shared" si="17"/>
        <v>0</v>
      </c>
      <c r="AP87" s="1062">
        <f t="shared" si="18"/>
        <v>0</v>
      </c>
      <c r="AQ87" s="888"/>
      <c r="AR87" s="231"/>
    </row>
    <row r="88" spans="1:46" ht="24.75" customHeight="1">
      <c r="A88" s="1700">
        <v>78</v>
      </c>
      <c r="B88" s="1703">
        <v>78</v>
      </c>
      <c r="C88" s="1524" t="s">
        <v>892</v>
      </c>
      <c r="E88" s="1477"/>
      <c r="F88" s="1477"/>
      <c r="G88" s="1477"/>
      <c r="H88" s="1477"/>
      <c r="I88" s="1477"/>
      <c r="J88" s="1477"/>
      <c r="K88" s="1477"/>
      <c r="L88" s="1477"/>
      <c r="M88" s="1477"/>
      <c r="N88" s="1477"/>
      <c r="O88" s="1477"/>
      <c r="P88" s="1477"/>
      <c r="Q88" s="1477"/>
      <c r="R88" s="1477"/>
      <c r="S88" s="1477"/>
      <c r="T88" s="1477"/>
      <c r="U88" s="1477"/>
      <c r="V88" s="1477"/>
      <c r="W88" s="1477"/>
      <c r="X88" s="1477"/>
      <c r="Y88" s="1477"/>
      <c r="Z88" s="1477"/>
      <c r="AA88" s="1477"/>
      <c r="AB88" s="1477"/>
      <c r="AC88" s="1477"/>
      <c r="AD88" s="1477"/>
      <c r="AE88" s="1477"/>
      <c r="AF88" s="1477"/>
      <c r="AG88" s="1477"/>
      <c r="AH88" s="1477"/>
      <c r="AI88" s="1477"/>
      <c r="AJ88" s="1060">
        <f t="shared" si="12"/>
        <v>0</v>
      </c>
      <c r="AK88" s="1061">
        <f t="shared" si="13"/>
        <v>0</v>
      </c>
      <c r="AL88" s="1060">
        <f t="shared" si="14"/>
        <v>0</v>
      </c>
      <c r="AM88" s="1060">
        <f t="shared" si="15"/>
        <v>0</v>
      </c>
      <c r="AN88" s="1060">
        <f t="shared" si="16"/>
        <v>0</v>
      </c>
      <c r="AO88" s="1061">
        <f t="shared" si="17"/>
        <v>0</v>
      </c>
      <c r="AP88" s="1062">
        <f t="shared" si="18"/>
        <v>0</v>
      </c>
      <c r="AQ88" s="888"/>
      <c r="AR88" s="231"/>
      <c r="AT88" s="953">
        <f>D89-AS88</f>
        <v>0</v>
      </c>
    </row>
    <row r="89" spans="1:46" ht="24.75" customHeight="1">
      <c r="A89" s="1700">
        <v>79</v>
      </c>
      <c r="B89" s="1703">
        <v>79</v>
      </c>
      <c r="C89" s="1524" t="s">
        <v>893</v>
      </c>
      <c r="E89" s="1477"/>
      <c r="F89" s="1477"/>
      <c r="G89" s="1477"/>
      <c r="H89" s="1477"/>
      <c r="I89" s="1477"/>
      <c r="J89" s="1477"/>
      <c r="K89" s="1477"/>
      <c r="L89" s="1477"/>
      <c r="M89" s="1477"/>
      <c r="N89" s="1477"/>
      <c r="O89" s="1477"/>
      <c r="P89" s="1477"/>
      <c r="Q89" s="1477"/>
      <c r="R89" s="1477"/>
      <c r="S89" s="1477"/>
      <c r="T89" s="1477"/>
      <c r="U89" s="1477"/>
      <c r="V89" s="1477"/>
      <c r="W89" s="1477"/>
      <c r="X89" s="1477"/>
      <c r="Y89" s="1477"/>
      <c r="Z89" s="1477"/>
      <c r="AA89" s="1477"/>
      <c r="AB89" s="1477"/>
      <c r="AC89" s="1477"/>
      <c r="AD89" s="1477"/>
      <c r="AE89" s="1477"/>
      <c r="AF89" s="1477"/>
      <c r="AG89" s="1477"/>
      <c r="AH89" s="1477"/>
      <c r="AI89" s="1477"/>
      <c r="AJ89" s="1060">
        <f t="shared" si="12"/>
        <v>0</v>
      </c>
      <c r="AK89" s="1061">
        <f t="shared" si="13"/>
        <v>0</v>
      </c>
      <c r="AL89" s="1060">
        <f t="shared" si="14"/>
        <v>0</v>
      </c>
      <c r="AM89" s="1060">
        <f t="shared" si="15"/>
        <v>0</v>
      </c>
      <c r="AN89" s="1060">
        <f t="shared" si="16"/>
        <v>0</v>
      </c>
      <c r="AO89" s="1061">
        <f t="shared" si="17"/>
        <v>0</v>
      </c>
      <c r="AP89" s="1062">
        <f t="shared" si="18"/>
        <v>0</v>
      </c>
      <c r="AQ89" s="888"/>
      <c r="AR89" s="231"/>
      <c r="AT89" s="953" t="e">
        <f>#REF!-AS89</f>
        <v>#REF!</v>
      </c>
    </row>
    <row r="90" spans="1:46" ht="24.75" customHeight="1">
      <c r="A90" s="1700">
        <v>80</v>
      </c>
      <c r="B90" s="1703">
        <v>80</v>
      </c>
      <c r="C90" s="1270" t="s">
        <v>975</v>
      </c>
      <c r="E90" s="1477"/>
      <c r="F90" s="1477"/>
      <c r="G90" s="1477"/>
      <c r="H90" s="1477"/>
      <c r="I90" s="1477"/>
      <c r="J90" s="1477"/>
      <c r="K90" s="1477"/>
      <c r="L90" s="1477"/>
      <c r="M90" s="1477"/>
      <c r="N90" s="1477"/>
      <c r="O90" s="1477"/>
      <c r="P90" s="1477"/>
      <c r="Q90" s="1477"/>
      <c r="R90" s="1477"/>
      <c r="S90" s="1477"/>
      <c r="T90" s="1477"/>
      <c r="U90" s="1477"/>
      <c r="V90" s="1477"/>
      <c r="W90" s="1477"/>
      <c r="X90" s="1477"/>
      <c r="Y90" s="1477"/>
      <c r="Z90" s="1477"/>
      <c r="AA90" s="1477"/>
      <c r="AB90" s="1477"/>
      <c r="AC90" s="1477"/>
      <c r="AD90" s="1477"/>
      <c r="AE90" s="1477"/>
      <c r="AF90" s="1477"/>
      <c r="AG90" s="1477"/>
      <c r="AH90" s="1477"/>
      <c r="AI90" s="1477"/>
      <c r="AJ90" s="1060">
        <f t="shared" ref="AJ90" si="19">SUM(COUNTIF(E90:AI90,"x"))</f>
        <v>0</v>
      </c>
      <c r="AK90" s="1061">
        <f t="shared" ref="AK90" si="20">SUM(COUNTIF(E90:AI90,"cn"))</f>
        <v>0</v>
      </c>
      <c r="AL90" s="1060">
        <f t="shared" ref="AL90" si="21">SUM(COUNTIF(E90:AI90,"đ"))</f>
        <v>0</v>
      </c>
      <c r="AM90" s="1060">
        <f t="shared" ref="AM90" si="22">SUM(COUNTIF(E90:AI90,"đc"))</f>
        <v>0</v>
      </c>
      <c r="AN90" s="1060">
        <f t="shared" ref="AN90" si="23">SUM(COUNTIF(E90:AI90,"gt"))</f>
        <v>0</v>
      </c>
      <c r="AO90" s="1061">
        <f t="shared" ref="AO90" si="24">SUM(COUNTIF(E90:AI90,"ct"))</f>
        <v>0</v>
      </c>
      <c r="AP90" s="1062">
        <f t="shared" ref="AP90" si="25">AJ90+AK90+AL90+AM90+AN90+AO90</f>
        <v>0</v>
      </c>
      <c r="AQ90" s="888"/>
      <c r="AR90" s="231"/>
    </row>
    <row r="91" spans="1:46" s="1233" customFormat="1" ht="24.75" customHeight="1">
      <c r="A91" s="1519"/>
      <c r="B91" s="1907" t="s">
        <v>111</v>
      </c>
      <c r="C91" s="1907"/>
      <c r="D91" s="1907"/>
      <c r="E91" s="1228">
        <f>SUM(COUNTIF(E92:E175,"x"))+(COUNTIF(E92:E175,"cn"))+(COUNTIF(E92:E175,"gt"))+(COUNTIF(E92:E175,"ct"))</f>
        <v>0</v>
      </c>
      <c r="F91" s="1228">
        <f t="shared" ref="F91:AI91" si="26">SUM(COUNTIF(F92:F175,"x"))+(COUNTIF(F92:F175,"cn"))+(COUNTIF(F92:F175,"gt"))+(COUNTIF(F92:F175,"ct"))</f>
        <v>0</v>
      </c>
      <c r="G91" s="1228">
        <f t="shared" si="26"/>
        <v>0</v>
      </c>
      <c r="H91" s="1228">
        <f t="shared" si="26"/>
        <v>0</v>
      </c>
      <c r="I91" s="1228">
        <f t="shared" si="26"/>
        <v>0</v>
      </c>
      <c r="J91" s="1228">
        <f t="shared" si="26"/>
        <v>0</v>
      </c>
      <c r="K91" s="1228">
        <f t="shared" si="26"/>
        <v>0</v>
      </c>
      <c r="L91" s="1228">
        <f t="shared" si="26"/>
        <v>0</v>
      </c>
      <c r="M91" s="1228">
        <f t="shared" si="26"/>
        <v>0</v>
      </c>
      <c r="N91" s="1228">
        <f t="shared" si="26"/>
        <v>0</v>
      </c>
      <c r="O91" s="1228">
        <f t="shared" si="26"/>
        <v>0</v>
      </c>
      <c r="P91" s="1228">
        <f t="shared" si="26"/>
        <v>0</v>
      </c>
      <c r="Q91" s="1228">
        <f t="shared" si="26"/>
        <v>0</v>
      </c>
      <c r="R91" s="1228">
        <f t="shared" si="26"/>
        <v>0</v>
      </c>
      <c r="S91" s="1228">
        <f t="shared" si="26"/>
        <v>0</v>
      </c>
      <c r="T91" s="1228">
        <f t="shared" si="26"/>
        <v>0</v>
      </c>
      <c r="U91" s="1228">
        <f t="shared" si="26"/>
        <v>0</v>
      </c>
      <c r="V91" s="1228">
        <f t="shared" si="26"/>
        <v>0</v>
      </c>
      <c r="W91" s="1228">
        <f t="shared" si="26"/>
        <v>0</v>
      </c>
      <c r="X91" s="1228">
        <f t="shared" si="26"/>
        <v>0</v>
      </c>
      <c r="Y91" s="1228">
        <f t="shared" si="26"/>
        <v>0</v>
      </c>
      <c r="Z91" s="1228">
        <f t="shared" si="26"/>
        <v>0</v>
      </c>
      <c r="AA91" s="1228">
        <f t="shared" si="26"/>
        <v>0</v>
      </c>
      <c r="AB91" s="1228">
        <f t="shared" si="26"/>
        <v>0</v>
      </c>
      <c r="AC91" s="1228">
        <f t="shared" si="26"/>
        <v>0</v>
      </c>
      <c r="AD91" s="1228">
        <f t="shared" si="26"/>
        <v>0</v>
      </c>
      <c r="AE91" s="1228">
        <f t="shared" si="26"/>
        <v>0</v>
      </c>
      <c r="AF91" s="1228">
        <f t="shared" si="26"/>
        <v>0</v>
      </c>
      <c r="AG91" s="1228">
        <f t="shared" si="26"/>
        <v>0</v>
      </c>
      <c r="AH91" s="1228">
        <f t="shared" si="26"/>
        <v>0</v>
      </c>
      <c r="AI91" s="1228">
        <f t="shared" si="26"/>
        <v>0</v>
      </c>
      <c r="AJ91" s="1025">
        <f>SUM(AJ92:AJ175)</f>
        <v>0</v>
      </c>
      <c r="AK91" s="1025">
        <f t="shared" ref="AK91:AP91" si="27">SUM(AK92:AK175)</f>
        <v>0</v>
      </c>
      <c r="AL91" s="1025">
        <f t="shared" si="27"/>
        <v>0</v>
      </c>
      <c r="AM91" s="1025">
        <f t="shared" si="27"/>
        <v>0</v>
      </c>
      <c r="AN91" s="1025">
        <f t="shared" si="27"/>
        <v>0</v>
      </c>
      <c r="AO91" s="1025">
        <f t="shared" si="27"/>
        <v>0</v>
      </c>
      <c r="AP91" s="1025">
        <f t="shared" si="27"/>
        <v>0</v>
      </c>
      <c r="AQ91" s="1519"/>
      <c r="AR91" s="1232"/>
      <c r="AS91" s="1233" t="e">
        <f>VLOOKUP(C92,'[1]NT 2'!$C$2:$J$259,8,0)</f>
        <v>#N/A</v>
      </c>
      <c r="AT91" s="1234" t="e">
        <f t="shared" ref="AT91:AT154" si="28">D92-AS91</f>
        <v>#N/A</v>
      </c>
    </row>
    <row r="92" spans="1:46" ht="24.75" customHeight="1">
      <c r="A92" s="1519">
        <v>81</v>
      </c>
      <c r="B92" s="1516">
        <v>1</v>
      </c>
      <c r="C92" s="1108" t="s">
        <v>823</v>
      </c>
      <c r="E92" s="1143"/>
      <c r="F92" s="1143"/>
      <c r="G92" s="1143"/>
      <c r="H92" s="1143"/>
      <c r="I92" s="1143"/>
      <c r="J92" s="1143"/>
      <c r="K92" s="1143"/>
      <c r="L92" s="1143"/>
      <c r="M92" s="1143"/>
      <c r="N92" s="1143"/>
      <c r="O92" s="1143"/>
      <c r="P92" s="1143"/>
      <c r="Q92" s="1143"/>
      <c r="R92" s="1143"/>
      <c r="S92" s="1143"/>
      <c r="T92" s="1143"/>
      <c r="U92" s="1143"/>
      <c r="V92" s="1143"/>
      <c r="W92" s="1143"/>
      <c r="X92" s="1143"/>
      <c r="Y92" s="1143"/>
      <c r="Z92" s="1143"/>
      <c r="AA92" s="1143"/>
      <c r="AB92" s="1143"/>
      <c r="AC92" s="1143"/>
      <c r="AD92" s="1143"/>
      <c r="AE92" s="1143"/>
      <c r="AF92" s="1478"/>
      <c r="AG92" s="1478"/>
      <c r="AH92" s="1478"/>
      <c r="AI92" s="1478"/>
      <c r="AJ92" s="1060">
        <f>SUM(COUNTIF(E92:AI92,"x"))</f>
        <v>0</v>
      </c>
      <c r="AK92" s="1061">
        <f>SUM(COUNTIF(E92:AI92,"cn"))</f>
        <v>0</v>
      </c>
      <c r="AL92" s="1060">
        <f t="shared" ref="AL92" si="29">SUM(COUNTIF(E92:AI92,"đ"))</f>
        <v>0</v>
      </c>
      <c r="AM92" s="1060">
        <f t="shared" ref="AM92" si="30">SUM(COUNTIF(E92:AI92,"đc"))</f>
        <v>0</v>
      </c>
      <c r="AN92" s="1060">
        <f>SUM(COUNTIF(E92:AI92,"gt"))</f>
        <v>0</v>
      </c>
      <c r="AO92" s="1061">
        <f>SUM(COUNTIF(E92:AI92,"ct"))</f>
        <v>0</v>
      </c>
      <c r="AP92" s="1062">
        <f>AJ92+AK92+AL92+AM92+AN92+AO92</f>
        <v>0</v>
      </c>
      <c r="AQ92" s="888"/>
      <c r="AR92" s="231"/>
      <c r="AS92" s="229" t="str">
        <f>VLOOKUP(C93,'[1]NT 2'!$C$2:$J$259,8,0)</f>
        <v>02735</v>
      </c>
      <c r="AT92" s="953">
        <f t="shared" si="28"/>
        <v>0</v>
      </c>
    </row>
    <row r="93" spans="1:46" ht="24.75" customHeight="1">
      <c r="A93" s="1519">
        <v>82</v>
      </c>
      <c r="B93" s="1516">
        <v>2</v>
      </c>
      <c r="C93" s="835" t="s">
        <v>378</v>
      </c>
      <c r="D93" s="13" t="str">
        <f>VLOOKUP(C93,'[1]NT 2'!$C$2:$J$259,8,0)</f>
        <v>02735</v>
      </c>
      <c r="E93" s="1143"/>
      <c r="F93" s="1143"/>
      <c r="G93" s="1143"/>
      <c r="H93" s="1143"/>
      <c r="I93" s="1143"/>
      <c r="J93" s="1143"/>
      <c r="K93" s="1143"/>
      <c r="L93" s="1143"/>
      <c r="M93" s="1143"/>
      <c r="N93" s="1143"/>
      <c r="O93" s="1143"/>
      <c r="P93" s="1143"/>
      <c r="Q93" s="1143"/>
      <c r="R93" s="1143"/>
      <c r="S93" s="1143"/>
      <c r="T93" s="1143"/>
      <c r="U93" s="1143"/>
      <c r="V93" s="1143"/>
      <c r="W93" s="1143"/>
      <c r="X93" s="1143"/>
      <c r="Y93" s="1143"/>
      <c r="Z93" s="1143"/>
      <c r="AA93" s="1143"/>
      <c r="AB93" s="1143"/>
      <c r="AC93" s="1143"/>
      <c r="AD93" s="1143"/>
      <c r="AE93" s="1143"/>
      <c r="AF93" s="1478"/>
      <c r="AG93" s="1478"/>
      <c r="AH93" s="1478"/>
      <c r="AI93" s="1478"/>
      <c r="AJ93" s="1060">
        <f t="shared" ref="AJ93:AJ156" si="31">SUM(COUNTIF(E93:AI93,"x"))</f>
        <v>0</v>
      </c>
      <c r="AK93" s="1061">
        <f t="shared" ref="AK93:AK156" si="32">SUM(COUNTIF(E93:AI93,"cn"))</f>
        <v>0</v>
      </c>
      <c r="AL93" s="1060">
        <f t="shared" ref="AL93:AL156" si="33">SUM(COUNTIF(E93:AI93,"đ"))</f>
        <v>0</v>
      </c>
      <c r="AM93" s="1060">
        <f t="shared" ref="AM93:AM156" si="34">SUM(COUNTIF(E93:AI93,"đc"))</f>
        <v>0</v>
      </c>
      <c r="AN93" s="1060">
        <f t="shared" ref="AN93:AN156" si="35">SUM(COUNTIF(E93:AI93,"gt"))</f>
        <v>0</v>
      </c>
      <c r="AO93" s="1061">
        <f t="shared" ref="AO93:AO156" si="36">SUM(COUNTIF(E93:AI93,"ct"))</f>
        <v>0</v>
      </c>
      <c r="AP93" s="1062">
        <f t="shared" ref="AP93:AP156" si="37">AJ93+AK93+AL93+AM93+AN93+AO93</f>
        <v>0</v>
      </c>
      <c r="AQ93" s="888"/>
      <c r="AR93" s="231"/>
      <c r="AS93" s="229" t="str">
        <f>VLOOKUP(C94,'[1]NT 2'!$C$2:$J$259,8,0)</f>
        <v>03518</v>
      </c>
      <c r="AT93" s="953">
        <f t="shared" si="28"/>
        <v>0</v>
      </c>
    </row>
    <row r="94" spans="1:46" ht="24.75" customHeight="1">
      <c r="A94" s="1519">
        <v>83</v>
      </c>
      <c r="B94" s="1516">
        <v>3</v>
      </c>
      <c r="C94" s="163" t="s">
        <v>389</v>
      </c>
      <c r="D94" s="13" t="str">
        <f>VLOOKUP(C94,'[1]NT 2'!$C$2:$J$259,8,0)</f>
        <v>03518</v>
      </c>
      <c r="E94" s="1143"/>
      <c r="F94" s="1143"/>
      <c r="G94" s="1143"/>
      <c r="H94" s="1143"/>
      <c r="I94" s="1143"/>
      <c r="J94" s="1143"/>
      <c r="K94" s="1143"/>
      <c r="L94" s="1143"/>
      <c r="M94" s="1143"/>
      <c r="N94" s="1143"/>
      <c r="O94" s="1143"/>
      <c r="P94" s="1143"/>
      <c r="Q94" s="1143"/>
      <c r="R94" s="1143"/>
      <c r="S94" s="1143"/>
      <c r="T94" s="1143"/>
      <c r="U94" s="1143"/>
      <c r="V94" s="1143"/>
      <c r="W94" s="1143"/>
      <c r="X94" s="1143"/>
      <c r="Y94" s="1143"/>
      <c r="Z94" s="1143"/>
      <c r="AA94" s="1143"/>
      <c r="AB94" s="1143"/>
      <c r="AC94" s="1143"/>
      <c r="AD94" s="1143"/>
      <c r="AE94" s="1143"/>
      <c r="AF94" s="1478"/>
      <c r="AG94" s="1478"/>
      <c r="AH94" s="1478"/>
      <c r="AI94" s="1478"/>
      <c r="AJ94" s="1060">
        <f t="shared" si="31"/>
        <v>0</v>
      </c>
      <c r="AK94" s="1061">
        <f t="shared" si="32"/>
        <v>0</v>
      </c>
      <c r="AL94" s="1060">
        <f t="shared" si="33"/>
        <v>0</v>
      </c>
      <c r="AM94" s="1060">
        <f t="shared" si="34"/>
        <v>0</v>
      </c>
      <c r="AN94" s="1060">
        <f t="shared" si="35"/>
        <v>0</v>
      </c>
      <c r="AO94" s="1061">
        <f t="shared" si="36"/>
        <v>0</v>
      </c>
      <c r="AP94" s="1062">
        <f t="shared" si="37"/>
        <v>0</v>
      </c>
      <c r="AQ94" s="888"/>
      <c r="AR94" s="231"/>
      <c r="AS94" s="229" t="str">
        <f>VLOOKUP(C95,'[1]NT 2'!$C$2:$J$259,8,0)</f>
        <v>03519</v>
      </c>
      <c r="AT94" s="953">
        <f t="shared" si="28"/>
        <v>0</v>
      </c>
    </row>
    <row r="95" spans="1:46" ht="24.75" customHeight="1">
      <c r="A95" s="1700">
        <v>84</v>
      </c>
      <c r="B95" s="1703">
        <v>4</v>
      </c>
      <c r="C95" s="163" t="s">
        <v>384</v>
      </c>
      <c r="D95" s="13" t="str">
        <f>VLOOKUP(C95,'[1]NT 2'!$C$2:$J$259,8,0)</f>
        <v>03519</v>
      </c>
      <c r="E95" s="1143"/>
      <c r="F95" s="1143"/>
      <c r="G95" s="1143"/>
      <c r="H95" s="1143"/>
      <c r="I95" s="1143"/>
      <c r="J95" s="1143"/>
      <c r="K95" s="1143"/>
      <c r="L95" s="1143"/>
      <c r="M95" s="1143"/>
      <c r="N95" s="1143"/>
      <c r="O95" s="1143"/>
      <c r="P95" s="1143"/>
      <c r="Q95" s="1143"/>
      <c r="R95" s="1143"/>
      <c r="S95" s="1143"/>
      <c r="T95" s="1143"/>
      <c r="U95" s="1143"/>
      <c r="V95" s="1143"/>
      <c r="W95" s="1143"/>
      <c r="X95" s="1143"/>
      <c r="Y95" s="1143"/>
      <c r="Z95" s="1143"/>
      <c r="AA95" s="1143"/>
      <c r="AB95" s="1143"/>
      <c r="AC95" s="1143"/>
      <c r="AD95" s="1143"/>
      <c r="AE95" s="1143"/>
      <c r="AF95" s="1478"/>
      <c r="AG95" s="1478"/>
      <c r="AH95" s="1478"/>
      <c r="AI95" s="1478"/>
      <c r="AJ95" s="1060">
        <f t="shared" si="31"/>
        <v>0</v>
      </c>
      <c r="AK95" s="1061">
        <f t="shared" si="32"/>
        <v>0</v>
      </c>
      <c r="AL95" s="1060">
        <f t="shared" si="33"/>
        <v>0</v>
      </c>
      <c r="AM95" s="1060">
        <f t="shared" si="34"/>
        <v>0</v>
      </c>
      <c r="AN95" s="1060">
        <f t="shared" si="35"/>
        <v>0</v>
      </c>
      <c r="AO95" s="1061">
        <f t="shared" si="36"/>
        <v>0</v>
      </c>
      <c r="AP95" s="1062">
        <f t="shared" si="37"/>
        <v>0</v>
      </c>
      <c r="AQ95" s="888"/>
      <c r="AR95" s="231"/>
      <c r="AS95" s="229" t="str">
        <f>VLOOKUP(C96,'[1]NT 2'!$C$2:$J$259,8,0)</f>
        <v>03520</v>
      </c>
      <c r="AT95" s="953">
        <f t="shared" si="28"/>
        <v>0</v>
      </c>
    </row>
    <row r="96" spans="1:46" ht="24.75" customHeight="1">
      <c r="A96" s="1700">
        <v>85</v>
      </c>
      <c r="B96" s="1703">
        <v>5</v>
      </c>
      <c r="C96" s="163" t="s">
        <v>457</v>
      </c>
      <c r="D96" s="13" t="str">
        <f>VLOOKUP(C96,'[1]NT 2'!$C$2:$J$259,8,0)</f>
        <v>03520</v>
      </c>
      <c r="E96" s="1143"/>
      <c r="F96" s="1143"/>
      <c r="G96" s="1143"/>
      <c r="H96" s="1143"/>
      <c r="I96" s="1143"/>
      <c r="J96" s="1143"/>
      <c r="K96" s="1143"/>
      <c r="L96" s="1143"/>
      <c r="M96" s="1143"/>
      <c r="N96" s="1143"/>
      <c r="O96" s="1143"/>
      <c r="P96" s="1143"/>
      <c r="Q96" s="1143"/>
      <c r="R96" s="1143"/>
      <c r="S96" s="1143"/>
      <c r="T96" s="1143"/>
      <c r="U96" s="1143"/>
      <c r="V96" s="1143"/>
      <c r="W96" s="1143"/>
      <c r="X96" s="1143"/>
      <c r="Y96" s="1143"/>
      <c r="Z96" s="1143"/>
      <c r="AA96" s="1143"/>
      <c r="AB96" s="1143"/>
      <c r="AC96" s="1143"/>
      <c r="AD96" s="1143"/>
      <c r="AE96" s="1143"/>
      <c r="AF96" s="1478"/>
      <c r="AG96" s="1478"/>
      <c r="AH96" s="1478"/>
      <c r="AI96" s="1478"/>
      <c r="AJ96" s="1060">
        <f t="shared" si="31"/>
        <v>0</v>
      </c>
      <c r="AK96" s="1061">
        <f t="shared" si="32"/>
        <v>0</v>
      </c>
      <c r="AL96" s="1060">
        <f t="shared" si="33"/>
        <v>0</v>
      </c>
      <c r="AM96" s="1060">
        <f t="shared" si="34"/>
        <v>0</v>
      </c>
      <c r="AN96" s="1060">
        <f t="shared" si="35"/>
        <v>0</v>
      </c>
      <c r="AO96" s="1061">
        <f t="shared" si="36"/>
        <v>0</v>
      </c>
      <c r="AP96" s="1062">
        <f t="shared" si="37"/>
        <v>0</v>
      </c>
      <c r="AQ96" s="888"/>
      <c r="AR96" s="231"/>
      <c r="AS96" s="229" t="str">
        <f>VLOOKUP(C97,'[1]NT 2'!$C$2:$J$259,8,0)</f>
        <v>03521</v>
      </c>
      <c r="AT96" s="953">
        <f t="shared" si="28"/>
        <v>0</v>
      </c>
    </row>
    <row r="97" spans="1:46" ht="24.75" customHeight="1">
      <c r="A97" s="1700">
        <v>86</v>
      </c>
      <c r="B97" s="1703">
        <v>6</v>
      </c>
      <c r="C97" s="178" t="s">
        <v>387</v>
      </c>
      <c r="D97" s="13" t="str">
        <f>VLOOKUP(C97,'[1]NT 2'!$C$2:$J$259,8,0)</f>
        <v>03521</v>
      </c>
      <c r="E97" s="1143"/>
      <c r="F97" s="1143"/>
      <c r="G97" s="1143"/>
      <c r="H97" s="1143"/>
      <c r="I97" s="1143"/>
      <c r="J97" s="1143"/>
      <c r="K97" s="1143"/>
      <c r="L97" s="1143"/>
      <c r="M97" s="1143"/>
      <c r="N97" s="1143"/>
      <c r="O97" s="1143"/>
      <c r="P97" s="1143"/>
      <c r="Q97" s="1143"/>
      <c r="R97" s="1143"/>
      <c r="S97" s="1143"/>
      <c r="T97" s="1143"/>
      <c r="U97" s="1143"/>
      <c r="V97" s="1143"/>
      <c r="W97" s="1143"/>
      <c r="X97" s="1143"/>
      <c r="Y97" s="1143"/>
      <c r="Z97" s="1143"/>
      <c r="AA97" s="1143"/>
      <c r="AB97" s="1143"/>
      <c r="AC97" s="1143"/>
      <c r="AD97" s="1143"/>
      <c r="AE97" s="1143"/>
      <c r="AF97" s="1478"/>
      <c r="AG97" s="1478"/>
      <c r="AH97" s="1478"/>
      <c r="AI97" s="1478"/>
      <c r="AJ97" s="1060">
        <f t="shared" si="31"/>
        <v>0</v>
      </c>
      <c r="AK97" s="1061">
        <f t="shared" si="32"/>
        <v>0</v>
      </c>
      <c r="AL97" s="1060">
        <f t="shared" si="33"/>
        <v>0</v>
      </c>
      <c r="AM97" s="1060">
        <f t="shared" si="34"/>
        <v>0</v>
      </c>
      <c r="AN97" s="1060">
        <f t="shared" si="35"/>
        <v>0</v>
      </c>
      <c r="AO97" s="1061">
        <f t="shared" si="36"/>
        <v>0</v>
      </c>
      <c r="AP97" s="1062">
        <f t="shared" si="37"/>
        <v>0</v>
      </c>
      <c r="AQ97" s="888"/>
      <c r="AR97" s="231"/>
      <c r="AS97" s="229" t="str">
        <f>VLOOKUP(C98,'[1]NT 2'!$C$2:$J$259,8,0)</f>
        <v>03522</v>
      </c>
      <c r="AT97" s="953">
        <f t="shared" si="28"/>
        <v>0</v>
      </c>
    </row>
    <row r="98" spans="1:46" ht="24.75" customHeight="1">
      <c r="A98" s="1700">
        <v>87</v>
      </c>
      <c r="B98" s="1703">
        <v>7</v>
      </c>
      <c r="C98" s="178" t="s">
        <v>478</v>
      </c>
      <c r="D98" s="13" t="str">
        <f>VLOOKUP(C98,'[1]NT 2'!$C$2:$J$259,8,0)</f>
        <v>03522</v>
      </c>
      <c r="E98" s="1143"/>
      <c r="F98" s="1143"/>
      <c r="G98" s="1143"/>
      <c r="H98" s="1143"/>
      <c r="I98" s="1143"/>
      <c r="J98" s="1143"/>
      <c r="K98" s="1143"/>
      <c r="L98" s="1143"/>
      <c r="M98" s="1143"/>
      <c r="N98" s="1143"/>
      <c r="O98" s="1143"/>
      <c r="P98" s="1143"/>
      <c r="Q98" s="1143"/>
      <c r="R98" s="1143"/>
      <c r="S98" s="1143"/>
      <c r="T98" s="1143"/>
      <c r="U98" s="1143"/>
      <c r="V98" s="1143"/>
      <c r="W98" s="1143"/>
      <c r="X98" s="1143"/>
      <c r="Y98" s="1143"/>
      <c r="Z98" s="1143"/>
      <c r="AA98" s="1143"/>
      <c r="AB98" s="1143"/>
      <c r="AC98" s="1143"/>
      <c r="AD98" s="1143"/>
      <c r="AE98" s="1143"/>
      <c r="AF98" s="1478"/>
      <c r="AG98" s="1478"/>
      <c r="AH98" s="1478"/>
      <c r="AI98" s="1478"/>
      <c r="AJ98" s="1060">
        <f t="shared" si="31"/>
        <v>0</v>
      </c>
      <c r="AK98" s="1061">
        <f t="shared" si="32"/>
        <v>0</v>
      </c>
      <c r="AL98" s="1060">
        <f t="shared" si="33"/>
        <v>0</v>
      </c>
      <c r="AM98" s="1060">
        <f t="shared" si="34"/>
        <v>0</v>
      </c>
      <c r="AN98" s="1060">
        <f t="shared" si="35"/>
        <v>0</v>
      </c>
      <c r="AO98" s="1061">
        <f t="shared" si="36"/>
        <v>0</v>
      </c>
      <c r="AP98" s="1062">
        <f t="shared" si="37"/>
        <v>0</v>
      </c>
      <c r="AQ98" s="888"/>
      <c r="AR98" s="231"/>
      <c r="AS98" s="229" t="str">
        <f>VLOOKUP(C99,'[1]NT 2'!$C$2:$J$259,8,0)</f>
        <v>03523</v>
      </c>
      <c r="AT98" s="953">
        <f t="shared" si="28"/>
        <v>0</v>
      </c>
    </row>
    <row r="99" spans="1:46" ht="24.75" customHeight="1">
      <c r="A99" s="1700">
        <v>88</v>
      </c>
      <c r="B99" s="1703">
        <v>8</v>
      </c>
      <c r="C99" s="365" t="s">
        <v>432</v>
      </c>
      <c r="D99" s="13" t="str">
        <f>VLOOKUP(C99,'[1]NT 2'!$C$2:$J$259,8,0)</f>
        <v>03523</v>
      </c>
      <c r="E99" s="1143"/>
      <c r="F99" s="1143"/>
      <c r="G99" s="1143"/>
      <c r="H99" s="1143"/>
      <c r="I99" s="1143"/>
      <c r="J99" s="1143"/>
      <c r="K99" s="1143"/>
      <c r="L99" s="1143"/>
      <c r="M99" s="1143"/>
      <c r="N99" s="1143"/>
      <c r="O99" s="1143"/>
      <c r="P99" s="1143"/>
      <c r="Q99" s="1143"/>
      <c r="R99" s="1143"/>
      <c r="S99" s="1143"/>
      <c r="T99" s="1143"/>
      <c r="U99" s="1143"/>
      <c r="V99" s="1143"/>
      <c r="W99" s="1143"/>
      <c r="X99" s="1143"/>
      <c r="Y99" s="1143"/>
      <c r="Z99" s="1143"/>
      <c r="AA99" s="1143"/>
      <c r="AB99" s="1143"/>
      <c r="AC99" s="1143"/>
      <c r="AD99" s="1143"/>
      <c r="AE99" s="1143"/>
      <c r="AF99" s="1478"/>
      <c r="AG99" s="1478"/>
      <c r="AH99" s="1478"/>
      <c r="AI99" s="1478"/>
      <c r="AJ99" s="1060">
        <f t="shared" si="31"/>
        <v>0</v>
      </c>
      <c r="AK99" s="1061">
        <f t="shared" si="32"/>
        <v>0</v>
      </c>
      <c r="AL99" s="1060">
        <f t="shared" si="33"/>
        <v>0</v>
      </c>
      <c r="AM99" s="1060">
        <f t="shared" si="34"/>
        <v>0</v>
      </c>
      <c r="AN99" s="1060">
        <f t="shared" si="35"/>
        <v>0</v>
      </c>
      <c r="AO99" s="1061">
        <f t="shared" si="36"/>
        <v>0</v>
      </c>
      <c r="AP99" s="1062">
        <f t="shared" si="37"/>
        <v>0</v>
      </c>
      <c r="AQ99" s="888"/>
      <c r="AR99" s="231"/>
      <c r="AS99" s="229" t="str">
        <f>VLOOKUP(C100,'[1]NT 2'!$C$2:$J$259,8,0)</f>
        <v>02739</v>
      </c>
      <c r="AT99" s="953">
        <f t="shared" si="28"/>
        <v>0</v>
      </c>
    </row>
    <row r="100" spans="1:46" ht="24.75" customHeight="1">
      <c r="A100" s="1700">
        <v>89</v>
      </c>
      <c r="B100" s="1703">
        <v>9</v>
      </c>
      <c r="C100" s="365" t="s">
        <v>335</v>
      </c>
      <c r="D100" s="13" t="str">
        <f>VLOOKUP(C100,'[1]NT 2'!$C$2:$J$259,8,0)</f>
        <v>02739</v>
      </c>
      <c r="E100" s="1143"/>
      <c r="F100" s="1143"/>
      <c r="G100" s="1143"/>
      <c r="H100" s="1143"/>
      <c r="I100" s="1143"/>
      <c r="J100" s="1143"/>
      <c r="K100" s="1143"/>
      <c r="L100" s="1143"/>
      <c r="M100" s="1143"/>
      <c r="N100" s="1143"/>
      <c r="O100" s="1143"/>
      <c r="P100" s="1143"/>
      <c r="Q100" s="1143"/>
      <c r="R100" s="1143"/>
      <c r="S100" s="1143"/>
      <c r="T100" s="1143"/>
      <c r="U100" s="1143"/>
      <c r="V100" s="1143"/>
      <c r="W100" s="1143"/>
      <c r="X100" s="1143"/>
      <c r="Y100" s="1143"/>
      <c r="Z100" s="1143"/>
      <c r="AA100" s="1143"/>
      <c r="AB100" s="1143"/>
      <c r="AC100" s="1143"/>
      <c r="AD100" s="1143"/>
      <c r="AE100" s="1143"/>
      <c r="AF100" s="1478"/>
      <c r="AG100" s="1478"/>
      <c r="AH100" s="1478"/>
      <c r="AI100" s="1478"/>
      <c r="AJ100" s="1060">
        <f t="shared" si="31"/>
        <v>0</v>
      </c>
      <c r="AK100" s="1061">
        <f t="shared" si="32"/>
        <v>0</v>
      </c>
      <c r="AL100" s="1060">
        <f t="shared" si="33"/>
        <v>0</v>
      </c>
      <c r="AM100" s="1060">
        <f t="shared" si="34"/>
        <v>0</v>
      </c>
      <c r="AN100" s="1060">
        <f t="shared" si="35"/>
        <v>0</v>
      </c>
      <c r="AO100" s="1061">
        <f t="shared" si="36"/>
        <v>0</v>
      </c>
      <c r="AP100" s="1062">
        <f t="shared" si="37"/>
        <v>0</v>
      </c>
      <c r="AQ100" s="888"/>
      <c r="AR100" s="231"/>
      <c r="AS100" s="229" t="str">
        <f>VLOOKUP(C101,'[1]NT 2'!$C$2:$J$259,8,0)</f>
        <v>03524</v>
      </c>
      <c r="AT100" s="953">
        <f t="shared" si="28"/>
        <v>0</v>
      </c>
    </row>
    <row r="101" spans="1:46" ht="24.75" customHeight="1">
      <c r="A101" s="1700">
        <v>90</v>
      </c>
      <c r="B101" s="1703">
        <v>10</v>
      </c>
      <c r="C101" s="163" t="s">
        <v>661</v>
      </c>
      <c r="D101" s="13" t="str">
        <f>VLOOKUP(C101,'[1]NT 2'!$C$2:$J$259,8,0)</f>
        <v>03524</v>
      </c>
      <c r="E101" s="1143"/>
      <c r="F101" s="1143"/>
      <c r="G101" s="1143"/>
      <c r="H101" s="1143"/>
      <c r="I101" s="1143"/>
      <c r="J101" s="1143"/>
      <c r="K101" s="1143"/>
      <c r="L101" s="1143"/>
      <c r="M101" s="1143"/>
      <c r="N101" s="1143"/>
      <c r="O101" s="1143"/>
      <c r="P101" s="1143"/>
      <c r="Q101" s="1143"/>
      <c r="R101" s="1143"/>
      <c r="S101" s="1143"/>
      <c r="T101" s="1143"/>
      <c r="U101" s="1143"/>
      <c r="V101" s="1143"/>
      <c r="W101" s="1143"/>
      <c r="X101" s="1143"/>
      <c r="Y101" s="1143"/>
      <c r="Z101" s="1143"/>
      <c r="AA101" s="1143"/>
      <c r="AB101" s="1143"/>
      <c r="AC101" s="1143"/>
      <c r="AD101" s="1143"/>
      <c r="AE101" s="1143"/>
      <c r="AF101" s="1478"/>
      <c r="AG101" s="1478"/>
      <c r="AH101" s="1478"/>
      <c r="AI101" s="1478"/>
      <c r="AJ101" s="1060">
        <f t="shared" si="31"/>
        <v>0</v>
      </c>
      <c r="AK101" s="1061">
        <f t="shared" si="32"/>
        <v>0</v>
      </c>
      <c r="AL101" s="1060">
        <f t="shared" si="33"/>
        <v>0</v>
      </c>
      <c r="AM101" s="1060">
        <f t="shared" si="34"/>
        <v>0</v>
      </c>
      <c r="AN101" s="1060">
        <f t="shared" si="35"/>
        <v>0</v>
      </c>
      <c r="AO101" s="1061">
        <f t="shared" si="36"/>
        <v>0</v>
      </c>
      <c r="AP101" s="1062">
        <f t="shared" si="37"/>
        <v>0</v>
      </c>
      <c r="AQ101" s="888"/>
      <c r="AR101" s="231"/>
      <c r="AS101" s="229" t="str">
        <f>VLOOKUP(C102,'[1]NT 2'!$C$2:$J$259,8,0)</f>
        <v>03525</v>
      </c>
      <c r="AT101" s="953">
        <f t="shared" si="28"/>
        <v>0</v>
      </c>
    </row>
    <row r="102" spans="1:46" ht="24.75" customHeight="1">
      <c r="A102" s="1700">
        <v>91</v>
      </c>
      <c r="B102" s="1703">
        <v>11</v>
      </c>
      <c r="C102" s="163" t="s">
        <v>466</v>
      </c>
      <c r="D102" s="13" t="str">
        <f>VLOOKUP(C102,'[1]NT 2'!$C$2:$J$259,8,0)</f>
        <v>03525</v>
      </c>
      <c r="E102" s="1143"/>
      <c r="F102" s="1143"/>
      <c r="G102" s="1143"/>
      <c r="H102" s="1143"/>
      <c r="I102" s="1143"/>
      <c r="J102" s="1143"/>
      <c r="K102" s="1143"/>
      <c r="L102" s="1143"/>
      <c r="M102" s="1143"/>
      <c r="N102" s="1143"/>
      <c r="O102" s="1143"/>
      <c r="P102" s="1143"/>
      <c r="Q102" s="1143"/>
      <c r="R102" s="1143"/>
      <c r="S102" s="1143"/>
      <c r="T102" s="1143"/>
      <c r="U102" s="1143"/>
      <c r="V102" s="1143"/>
      <c r="W102" s="1143"/>
      <c r="X102" s="1143"/>
      <c r="Y102" s="1143"/>
      <c r="Z102" s="1143"/>
      <c r="AA102" s="1143"/>
      <c r="AB102" s="1143"/>
      <c r="AC102" s="1143"/>
      <c r="AD102" s="1143"/>
      <c r="AE102" s="1143"/>
      <c r="AF102" s="1478"/>
      <c r="AG102" s="1478"/>
      <c r="AH102" s="1478"/>
      <c r="AI102" s="1478"/>
      <c r="AJ102" s="1060">
        <f t="shared" si="31"/>
        <v>0</v>
      </c>
      <c r="AK102" s="1061">
        <f t="shared" si="32"/>
        <v>0</v>
      </c>
      <c r="AL102" s="1060">
        <f t="shared" si="33"/>
        <v>0</v>
      </c>
      <c r="AM102" s="1060">
        <f t="shared" si="34"/>
        <v>0</v>
      </c>
      <c r="AN102" s="1060">
        <f t="shared" si="35"/>
        <v>0</v>
      </c>
      <c r="AO102" s="1061">
        <f t="shared" si="36"/>
        <v>0</v>
      </c>
      <c r="AP102" s="1062">
        <f t="shared" si="37"/>
        <v>0</v>
      </c>
      <c r="AQ102" s="888"/>
      <c r="AR102" s="231"/>
      <c r="AS102" s="229" t="str">
        <f>VLOOKUP(C103,'[1]NT 2'!$C$2:$J$259,8,0)</f>
        <v>03526</v>
      </c>
      <c r="AT102" s="953">
        <f t="shared" si="28"/>
        <v>0</v>
      </c>
    </row>
    <row r="103" spans="1:46" ht="24.75" customHeight="1">
      <c r="A103" s="1700">
        <v>92</v>
      </c>
      <c r="B103" s="1703">
        <v>12</v>
      </c>
      <c r="C103" s="163" t="s">
        <v>662</v>
      </c>
      <c r="D103" s="13" t="str">
        <f>VLOOKUP(C103,'[1]NT 2'!$C$2:$J$259,8,0)</f>
        <v>03526</v>
      </c>
      <c r="E103" s="1143"/>
      <c r="F103" s="1143"/>
      <c r="G103" s="1143"/>
      <c r="H103" s="1143"/>
      <c r="I103" s="1143"/>
      <c r="J103" s="1143"/>
      <c r="K103" s="1143"/>
      <c r="L103" s="1143"/>
      <c r="M103" s="1143"/>
      <c r="N103" s="1143"/>
      <c r="O103" s="1143"/>
      <c r="P103" s="1143"/>
      <c r="Q103" s="1143"/>
      <c r="R103" s="1143"/>
      <c r="S103" s="1143"/>
      <c r="T103" s="1143"/>
      <c r="U103" s="1143"/>
      <c r="V103" s="1143"/>
      <c r="W103" s="1143"/>
      <c r="X103" s="1143"/>
      <c r="Y103" s="1143"/>
      <c r="Z103" s="1143"/>
      <c r="AA103" s="1143"/>
      <c r="AB103" s="1143"/>
      <c r="AC103" s="1143"/>
      <c r="AD103" s="1143"/>
      <c r="AE103" s="1143"/>
      <c r="AF103" s="1478"/>
      <c r="AG103" s="1478"/>
      <c r="AH103" s="1478"/>
      <c r="AI103" s="1478"/>
      <c r="AJ103" s="1060">
        <f t="shared" si="31"/>
        <v>0</v>
      </c>
      <c r="AK103" s="1061">
        <f t="shared" si="32"/>
        <v>0</v>
      </c>
      <c r="AL103" s="1060">
        <f t="shared" si="33"/>
        <v>0</v>
      </c>
      <c r="AM103" s="1060">
        <f t="shared" si="34"/>
        <v>0</v>
      </c>
      <c r="AN103" s="1060">
        <f t="shared" si="35"/>
        <v>0</v>
      </c>
      <c r="AO103" s="1061">
        <f t="shared" si="36"/>
        <v>0</v>
      </c>
      <c r="AP103" s="1062">
        <f t="shared" si="37"/>
        <v>0</v>
      </c>
      <c r="AQ103" s="888"/>
      <c r="AR103" s="231"/>
      <c r="AS103" s="229" t="str">
        <f>VLOOKUP(C104,'[1]NT 2'!$C$2:$J$259,8,0)</f>
        <v>03527</v>
      </c>
      <c r="AT103" s="953">
        <f t="shared" si="28"/>
        <v>0</v>
      </c>
    </row>
    <row r="104" spans="1:46" ht="24.75" customHeight="1">
      <c r="A104" s="1700">
        <v>93</v>
      </c>
      <c r="B104" s="1703">
        <v>13</v>
      </c>
      <c r="C104" s="163" t="s">
        <v>433</v>
      </c>
      <c r="D104" s="13" t="str">
        <f>VLOOKUP(C104,'[1]NT 2'!$C$2:$J$259,8,0)</f>
        <v>03527</v>
      </c>
      <c r="E104" s="1143"/>
      <c r="F104" s="1143"/>
      <c r="G104" s="1143"/>
      <c r="H104" s="1143"/>
      <c r="I104" s="1143"/>
      <c r="J104" s="1143"/>
      <c r="K104" s="1143"/>
      <c r="L104" s="1143"/>
      <c r="M104" s="1143"/>
      <c r="N104" s="1143"/>
      <c r="O104" s="1143"/>
      <c r="P104" s="1143"/>
      <c r="Q104" s="1143"/>
      <c r="R104" s="1143"/>
      <c r="S104" s="1143"/>
      <c r="T104" s="1143"/>
      <c r="U104" s="1143"/>
      <c r="V104" s="1143"/>
      <c r="W104" s="1143"/>
      <c r="X104" s="1143"/>
      <c r="Y104" s="1143"/>
      <c r="Z104" s="1143"/>
      <c r="AA104" s="1143"/>
      <c r="AB104" s="1143"/>
      <c r="AC104" s="1143"/>
      <c r="AD104" s="1143"/>
      <c r="AE104" s="1143"/>
      <c r="AF104" s="1478"/>
      <c r="AG104" s="1478"/>
      <c r="AH104" s="1478"/>
      <c r="AI104" s="1478"/>
      <c r="AJ104" s="1060">
        <f t="shared" si="31"/>
        <v>0</v>
      </c>
      <c r="AK104" s="1061">
        <f t="shared" si="32"/>
        <v>0</v>
      </c>
      <c r="AL104" s="1060">
        <f t="shared" si="33"/>
        <v>0</v>
      </c>
      <c r="AM104" s="1060">
        <f t="shared" si="34"/>
        <v>0</v>
      </c>
      <c r="AN104" s="1060">
        <f t="shared" si="35"/>
        <v>0</v>
      </c>
      <c r="AO104" s="1061">
        <f t="shared" si="36"/>
        <v>0</v>
      </c>
      <c r="AP104" s="1062">
        <f t="shared" si="37"/>
        <v>0</v>
      </c>
      <c r="AQ104" s="888"/>
      <c r="AR104" s="231"/>
      <c r="AS104" s="229" t="str">
        <f>VLOOKUP(C105,'[1]NT 2'!$C$2:$J$259,8,0)</f>
        <v>03528</v>
      </c>
      <c r="AT104" s="953">
        <f t="shared" si="28"/>
        <v>0</v>
      </c>
    </row>
    <row r="105" spans="1:46" ht="24.75" customHeight="1">
      <c r="A105" s="1700">
        <v>94</v>
      </c>
      <c r="B105" s="1703">
        <v>14</v>
      </c>
      <c r="C105" s="836" t="s">
        <v>481</v>
      </c>
      <c r="D105" s="13" t="str">
        <f>VLOOKUP(C105,'[1]NT 2'!$C$2:$J$259,8,0)</f>
        <v>03528</v>
      </c>
      <c r="E105" s="1143"/>
      <c r="F105" s="1143"/>
      <c r="G105" s="1143"/>
      <c r="H105" s="1143"/>
      <c r="I105" s="1143"/>
      <c r="J105" s="1143"/>
      <c r="K105" s="1143"/>
      <c r="L105" s="1143"/>
      <c r="M105" s="1143"/>
      <c r="N105" s="1143"/>
      <c r="O105" s="1143"/>
      <c r="P105" s="1143"/>
      <c r="Q105" s="1143"/>
      <c r="R105" s="1143"/>
      <c r="S105" s="1143"/>
      <c r="T105" s="1143"/>
      <c r="U105" s="1143"/>
      <c r="V105" s="1143"/>
      <c r="W105" s="1143"/>
      <c r="X105" s="1143"/>
      <c r="Y105" s="1143"/>
      <c r="Z105" s="1143"/>
      <c r="AA105" s="1143"/>
      <c r="AB105" s="1143"/>
      <c r="AC105" s="1143"/>
      <c r="AD105" s="1143"/>
      <c r="AE105" s="1143"/>
      <c r="AF105" s="1478"/>
      <c r="AG105" s="1478"/>
      <c r="AH105" s="1478"/>
      <c r="AI105" s="1478"/>
      <c r="AJ105" s="1060">
        <f t="shared" si="31"/>
        <v>0</v>
      </c>
      <c r="AK105" s="1061">
        <f t="shared" si="32"/>
        <v>0</v>
      </c>
      <c r="AL105" s="1060">
        <f t="shared" si="33"/>
        <v>0</v>
      </c>
      <c r="AM105" s="1060">
        <f t="shared" si="34"/>
        <v>0</v>
      </c>
      <c r="AN105" s="1060">
        <f t="shared" si="35"/>
        <v>0</v>
      </c>
      <c r="AO105" s="1061">
        <f t="shared" si="36"/>
        <v>0</v>
      </c>
      <c r="AP105" s="1062">
        <f t="shared" si="37"/>
        <v>0</v>
      </c>
      <c r="AQ105" s="888"/>
      <c r="AR105" s="231"/>
      <c r="AS105" s="229" t="str">
        <f>VLOOKUP(C106,'[1]NT 2'!$C$2:$J$259,8,0)</f>
        <v>03529</v>
      </c>
      <c r="AT105" s="953">
        <f t="shared" si="28"/>
        <v>0</v>
      </c>
    </row>
    <row r="106" spans="1:46" ht="24.75" customHeight="1">
      <c r="A106" s="1700">
        <v>95</v>
      </c>
      <c r="B106" s="1703">
        <v>15</v>
      </c>
      <c r="C106" s="163" t="s">
        <v>663</v>
      </c>
      <c r="D106" s="13" t="str">
        <f>VLOOKUP(C106,'[1]NT 2'!$C$2:$J$259,8,0)</f>
        <v>03529</v>
      </c>
      <c r="E106" s="1143"/>
      <c r="F106" s="1143"/>
      <c r="G106" s="1143"/>
      <c r="H106" s="1143"/>
      <c r="I106" s="1143"/>
      <c r="J106" s="1143"/>
      <c r="K106" s="1143"/>
      <c r="L106" s="1143"/>
      <c r="M106" s="1143"/>
      <c r="N106" s="1143"/>
      <c r="O106" s="1143"/>
      <c r="P106" s="1143"/>
      <c r="Q106" s="1143"/>
      <c r="R106" s="1143"/>
      <c r="S106" s="1143"/>
      <c r="T106" s="1143"/>
      <c r="U106" s="1143"/>
      <c r="V106" s="1143"/>
      <c r="W106" s="1143"/>
      <c r="X106" s="1143"/>
      <c r="Y106" s="1143"/>
      <c r="Z106" s="1143"/>
      <c r="AA106" s="1143"/>
      <c r="AB106" s="1143"/>
      <c r="AC106" s="1143"/>
      <c r="AD106" s="1143"/>
      <c r="AE106" s="1143"/>
      <c r="AF106" s="1478"/>
      <c r="AG106" s="1478"/>
      <c r="AH106" s="1478"/>
      <c r="AI106" s="1478"/>
      <c r="AJ106" s="1060">
        <f t="shared" si="31"/>
        <v>0</v>
      </c>
      <c r="AK106" s="1061">
        <f t="shared" si="32"/>
        <v>0</v>
      </c>
      <c r="AL106" s="1060">
        <f t="shared" si="33"/>
        <v>0</v>
      </c>
      <c r="AM106" s="1060">
        <f t="shared" si="34"/>
        <v>0</v>
      </c>
      <c r="AN106" s="1060">
        <f t="shared" si="35"/>
        <v>0</v>
      </c>
      <c r="AO106" s="1061">
        <f t="shared" si="36"/>
        <v>0</v>
      </c>
      <c r="AP106" s="1062">
        <f t="shared" si="37"/>
        <v>0</v>
      </c>
      <c r="AQ106" s="888"/>
      <c r="AR106" s="231"/>
      <c r="AS106" s="229" t="str">
        <f>VLOOKUP(C107,'[1]NT 2'!$C$2:$J$259,8,0)</f>
        <v>03530</v>
      </c>
      <c r="AT106" s="953">
        <f t="shared" si="28"/>
        <v>0</v>
      </c>
    </row>
    <row r="107" spans="1:46" ht="24.75" customHeight="1">
      <c r="A107" s="1700">
        <v>96</v>
      </c>
      <c r="B107" s="1703">
        <v>16</v>
      </c>
      <c r="C107" s="163" t="s">
        <v>448</v>
      </c>
      <c r="D107" s="13" t="str">
        <f>VLOOKUP(C107,'[1]NT 2'!$C$2:$J$259,8,0)</f>
        <v>03530</v>
      </c>
      <c r="E107" s="1143"/>
      <c r="F107" s="1143"/>
      <c r="G107" s="1143"/>
      <c r="H107" s="1143"/>
      <c r="I107" s="1143"/>
      <c r="J107" s="1143"/>
      <c r="K107" s="1143"/>
      <c r="L107" s="1143"/>
      <c r="M107" s="1143"/>
      <c r="N107" s="1143"/>
      <c r="O107" s="1143"/>
      <c r="P107" s="1143"/>
      <c r="Q107" s="1143"/>
      <c r="R107" s="1143"/>
      <c r="S107" s="1143"/>
      <c r="T107" s="1143"/>
      <c r="U107" s="1143"/>
      <c r="V107" s="1143"/>
      <c r="W107" s="1143"/>
      <c r="X107" s="1143"/>
      <c r="Y107" s="1143"/>
      <c r="Z107" s="1143"/>
      <c r="AA107" s="1143"/>
      <c r="AB107" s="1143"/>
      <c r="AC107" s="1143"/>
      <c r="AD107" s="1143"/>
      <c r="AE107" s="1143"/>
      <c r="AF107" s="1478"/>
      <c r="AG107" s="1478"/>
      <c r="AH107" s="1478"/>
      <c r="AI107" s="1478"/>
      <c r="AJ107" s="1060">
        <f t="shared" si="31"/>
        <v>0</v>
      </c>
      <c r="AK107" s="1061">
        <f t="shared" si="32"/>
        <v>0</v>
      </c>
      <c r="AL107" s="1060">
        <f t="shared" si="33"/>
        <v>0</v>
      </c>
      <c r="AM107" s="1060">
        <f t="shared" si="34"/>
        <v>0</v>
      </c>
      <c r="AN107" s="1060">
        <f t="shared" si="35"/>
        <v>0</v>
      </c>
      <c r="AO107" s="1061">
        <f t="shared" si="36"/>
        <v>0</v>
      </c>
      <c r="AP107" s="1062">
        <f t="shared" si="37"/>
        <v>0</v>
      </c>
      <c r="AQ107" s="888"/>
      <c r="AR107" s="231"/>
      <c r="AS107" s="229" t="str">
        <f>VLOOKUP(C108,'[1]NT 2'!$C$2:$J$259,8,0)</f>
        <v>03531</v>
      </c>
      <c r="AT107" s="953">
        <f t="shared" si="28"/>
        <v>0</v>
      </c>
    </row>
    <row r="108" spans="1:46" ht="24.75" customHeight="1">
      <c r="A108" s="1700">
        <v>97</v>
      </c>
      <c r="B108" s="1703">
        <v>17</v>
      </c>
      <c r="C108" s="163" t="s">
        <v>390</v>
      </c>
      <c r="D108" s="13" t="str">
        <f>VLOOKUP(C108,'[1]NT 2'!$C$2:$J$259,8,0)</f>
        <v>03531</v>
      </c>
      <c r="E108" s="1143"/>
      <c r="F108" s="1143"/>
      <c r="G108" s="1143"/>
      <c r="H108" s="1143"/>
      <c r="I108" s="1143"/>
      <c r="J108" s="1143"/>
      <c r="K108" s="1143"/>
      <c r="L108" s="1143"/>
      <c r="M108" s="1143"/>
      <c r="N108" s="1143"/>
      <c r="O108" s="1143"/>
      <c r="P108" s="1143"/>
      <c r="Q108" s="1143"/>
      <c r="R108" s="1143"/>
      <c r="S108" s="1143"/>
      <c r="T108" s="1143"/>
      <c r="U108" s="1143"/>
      <c r="V108" s="1143"/>
      <c r="W108" s="1143"/>
      <c r="X108" s="1143"/>
      <c r="Y108" s="1143"/>
      <c r="Z108" s="1143"/>
      <c r="AA108" s="1143"/>
      <c r="AB108" s="1143"/>
      <c r="AC108" s="1143"/>
      <c r="AD108" s="1143"/>
      <c r="AE108" s="1143"/>
      <c r="AF108" s="1478"/>
      <c r="AG108" s="1478"/>
      <c r="AH108" s="1478"/>
      <c r="AI108" s="1478"/>
      <c r="AJ108" s="1060">
        <f t="shared" si="31"/>
        <v>0</v>
      </c>
      <c r="AK108" s="1061">
        <f t="shared" si="32"/>
        <v>0</v>
      </c>
      <c r="AL108" s="1060">
        <f t="shared" si="33"/>
        <v>0</v>
      </c>
      <c r="AM108" s="1060">
        <f t="shared" si="34"/>
        <v>0</v>
      </c>
      <c r="AN108" s="1060">
        <f t="shared" si="35"/>
        <v>0</v>
      </c>
      <c r="AO108" s="1061">
        <f t="shared" si="36"/>
        <v>0</v>
      </c>
      <c r="AP108" s="1062">
        <f t="shared" si="37"/>
        <v>0</v>
      </c>
      <c r="AQ108" s="888"/>
      <c r="AR108" s="231"/>
      <c r="AS108" s="229" t="str">
        <f>VLOOKUP(C109,'[1]NT 2'!$C$2:$J$259,8,0)</f>
        <v>03532</v>
      </c>
      <c r="AT108" s="953">
        <f t="shared" si="28"/>
        <v>0</v>
      </c>
    </row>
    <row r="109" spans="1:46" ht="24.75" customHeight="1">
      <c r="A109" s="1700">
        <v>98</v>
      </c>
      <c r="B109" s="1703">
        <v>18</v>
      </c>
      <c r="C109" s="833" t="s">
        <v>664</v>
      </c>
      <c r="D109" s="13" t="str">
        <f>VLOOKUP(C109,'[1]NT 2'!$C$2:$J$259,8,0)</f>
        <v>03532</v>
      </c>
      <c r="E109" s="1143"/>
      <c r="F109" s="1143"/>
      <c r="G109" s="1143"/>
      <c r="H109" s="1143"/>
      <c r="I109" s="1143"/>
      <c r="J109" s="1143"/>
      <c r="K109" s="1143"/>
      <c r="L109" s="1143"/>
      <c r="M109" s="1143"/>
      <c r="N109" s="1143"/>
      <c r="O109" s="1143"/>
      <c r="P109" s="1143"/>
      <c r="Q109" s="1143"/>
      <c r="R109" s="1143"/>
      <c r="S109" s="1143"/>
      <c r="T109" s="1143"/>
      <c r="U109" s="1143"/>
      <c r="V109" s="1143"/>
      <c r="W109" s="1143"/>
      <c r="X109" s="1143"/>
      <c r="Y109" s="1143"/>
      <c r="Z109" s="1143"/>
      <c r="AA109" s="1143"/>
      <c r="AB109" s="1143"/>
      <c r="AC109" s="1143"/>
      <c r="AD109" s="1143"/>
      <c r="AE109" s="1143"/>
      <c r="AF109" s="1478"/>
      <c r="AG109" s="1478"/>
      <c r="AH109" s="1478"/>
      <c r="AI109" s="1478"/>
      <c r="AJ109" s="1060">
        <f t="shared" si="31"/>
        <v>0</v>
      </c>
      <c r="AK109" s="1061">
        <f t="shared" si="32"/>
        <v>0</v>
      </c>
      <c r="AL109" s="1060">
        <f t="shared" si="33"/>
        <v>0</v>
      </c>
      <c r="AM109" s="1060">
        <f t="shared" si="34"/>
        <v>0</v>
      </c>
      <c r="AN109" s="1060">
        <f t="shared" si="35"/>
        <v>0</v>
      </c>
      <c r="AO109" s="1061">
        <f t="shared" si="36"/>
        <v>0</v>
      </c>
      <c r="AP109" s="1062">
        <f t="shared" si="37"/>
        <v>0</v>
      </c>
      <c r="AQ109" s="888"/>
      <c r="AR109" s="231"/>
      <c r="AS109" s="229" t="str">
        <f>VLOOKUP(C110,'[1]NT 2'!$C$2:$J$259,8,0)</f>
        <v xml:space="preserve">02709 </v>
      </c>
      <c r="AT109" s="953">
        <f t="shared" si="28"/>
        <v>0</v>
      </c>
    </row>
    <row r="110" spans="1:46" ht="24.75" customHeight="1">
      <c r="A110" s="1700">
        <v>99</v>
      </c>
      <c r="B110" s="1703">
        <v>19</v>
      </c>
      <c r="C110" s="163" t="s">
        <v>665</v>
      </c>
      <c r="D110" s="13" t="str">
        <f>VLOOKUP(C110,'[1]NT 2'!$C$2:$J$259,8,0)</f>
        <v xml:space="preserve">02709 </v>
      </c>
      <c r="E110" s="1143"/>
      <c r="F110" s="1143"/>
      <c r="G110" s="1143"/>
      <c r="H110" s="1143"/>
      <c r="I110" s="1143"/>
      <c r="J110" s="1143"/>
      <c r="K110" s="1143"/>
      <c r="L110" s="1143"/>
      <c r="M110" s="1143"/>
      <c r="N110" s="1143"/>
      <c r="O110" s="1143"/>
      <c r="P110" s="1143"/>
      <c r="Q110" s="1143"/>
      <c r="R110" s="1143"/>
      <c r="S110" s="1143"/>
      <c r="T110" s="1143"/>
      <c r="U110" s="1143"/>
      <c r="V110" s="1143"/>
      <c r="W110" s="1143"/>
      <c r="X110" s="1143"/>
      <c r="Y110" s="1143"/>
      <c r="Z110" s="1143"/>
      <c r="AA110" s="1143"/>
      <c r="AB110" s="1143"/>
      <c r="AC110" s="1143"/>
      <c r="AD110" s="1143"/>
      <c r="AE110" s="1143"/>
      <c r="AF110" s="1478"/>
      <c r="AG110" s="1478"/>
      <c r="AH110" s="1478"/>
      <c r="AI110" s="1478"/>
      <c r="AJ110" s="1060">
        <f t="shared" si="31"/>
        <v>0</v>
      </c>
      <c r="AK110" s="1061">
        <f t="shared" si="32"/>
        <v>0</v>
      </c>
      <c r="AL110" s="1060">
        <f t="shared" si="33"/>
        <v>0</v>
      </c>
      <c r="AM110" s="1060">
        <f t="shared" si="34"/>
        <v>0</v>
      </c>
      <c r="AN110" s="1060">
        <f t="shared" si="35"/>
        <v>0</v>
      </c>
      <c r="AO110" s="1061">
        <f t="shared" si="36"/>
        <v>0</v>
      </c>
      <c r="AP110" s="1062">
        <f t="shared" si="37"/>
        <v>0</v>
      </c>
      <c r="AQ110" s="888"/>
      <c r="AR110" s="231"/>
      <c r="AS110" s="229" t="str">
        <f>VLOOKUP(C111,'[1]NT 2'!$C$2:$J$259,8,0)</f>
        <v>03533</v>
      </c>
      <c r="AT110" s="953">
        <f t="shared" si="28"/>
        <v>0</v>
      </c>
    </row>
    <row r="111" spans="1:46" ht="24.75" customHeight="1">
      <c r="A111" s="1700">
        <v>100</v>
      </c>
      <c r="B111" s="1703">
        <v>20</v>
      </c>
      <c r="C111" s="163" t="s">
        <v>288</v>
      </c>
      <c r="D111" s="13" t="str">
        <f>VLOOKUP(C111,'[1]NT 2'!$C$2:$J$259,8,0)</f>
        <v>03533</v>
      </c>
      <c r="E111" s="1143"/>
      <c r="F111" s="1143"/>
      <c r="G111" s="1143"/>
      <c r="H111" s="1143"/>
      <c r="I111" s="1143"/>
      <c r="J111" s="1143"/>
      <c r="K111" s="1143"/>
      <c r="L111" s="1143"/>
      <c r="M111" s="1143"/>
      <c r="N111" s="1143"/>
      <c r="O111" s="1143"/>
      <c r="P111" s="1143"/>
      <c r="Q111" s="1143"/>
      <c r="R111" s="1143"/>
      <c r="S111" s="1143"/>
      <c r="T111" s="1143"/>
      <c r="U111" s="1143"/>
      <c r="V111" s="1143"/>
      <c r="W111" s="1143"/>
      <c r="X111" s="1143"/>
      <c r="Y111" s="1143"/>
      <c r="Z111" s="1143"/>
      <c r="AA111" s="1143"/>
      <c r="AB111" s="1143"/>
      <c r="AC111" s="1143"/>
      <c r="AD111" s="1143"/>
      <c r="AE111" s="1143"/>
      <c r="AF111" s="1478"/>
      <c r="AG111" s="1478"/>
      <c r="AH111" s="1478"/>
      <c r="AI111" s="1478"/>
      <c r="AJ111" s="1060">
        <f t="shared" si="31"/>
        <v>0</v>
      </c>
      <c r="AK111" s="1061">
        <f t="shared" si="32"/>
        <v>0</v>
      </c>
      <c r="AL111" s="1060">
        <f t="shared" si="33"/>
        <v>0</v>
      </c>
      <c r="AM111" s="1060">
        <f t="shared" si="34"/>
        <v>0</v>
      </c>
      <c r="AN111" s="1060">
        <f t="shared" si="35"/>
        <v>0</v>
      </c>
      <c r="AO111" s="1061">
        <f t="shared" si="36"/>
        <v>0</v>
      </c>
      <c r="AP111" s="1062">
        <f t="shared" si="37"/>
        <v>0</v>
      </c>
      <c r="AQ111" s="888"/>
      <c r="AR111" s="231"/>
      <c r="AS111" s="229" t="str">
        <f>VLOOKUP(C112,'[1]NT 2'!$C$2:$J$259,8,0)</f>
        <v>03534</v>
      </c>
      <c r="AT111" s="953">
        <f t="shared" si="28"/>
        <v>0</v>
      </c>
    </row>
    <row r="112" spans="1:46" ht="24.75" customHeight="1">
      <c r="A112" s="1700">
        <v>101</v>
      </c>
      <c r="B112" s="1703">
        <v>21</v>
      </c>
      <c r="C112" s="365" t="s">
        <v>666</v>
      </c>
      <c r="D112" s="13" t="str">
        <f>VLOOKUP(C112,'[1]NT 2'!$C$2:$J$259,8,0)</f>
        <v>03534</v>
      </c>
      <c r="E112" s="1143"/>
      <c r="F112" s="1143"/>
      <c r="G112" s="1143"/>
      <c r="H112" s="1143"/>
      <c r="I112" s="1143"/>
      <c r="J112" s="1143"/>
      <c r="K112" s="1143"/>
      <c r="L112" s="1143"/>
      <c r="M112" s="1143"/>
      <c r="N112" s="1143"/>
      <c r="O112" s="1143"/>
      <c r="P112" s="1143"/>
      <c r="Q112" s="1143"/>
      <c r="R112" s="1143"/>
      <c r="S112" s="1143"/>
      <c r="T112" s="1143"/>
      <c r="U112" s="1143"/>
      <c r="V112" s="1143"/>
      <c r="W112" s="1143"/>
      <c r="X112" s="1143"/>
      <c r="Y112" s="1143"/>
      <c r="Z112" s="1143"/>
      <c r="AA112" s="1143"/>
      <c r="AB112" s="1143"/>
      <c r="AC112" s="1143"/>
      <c r="AD112" s="1143"/>
      <c r="AE112" s="1143"/>
      <c r="AF112" s="1478"/>
      <c r="AG112" s="1478"/>
      <c r="AH112" s="1478"/>
      <c r="AI112" s="1478"/>
      <c r="AJ112" s="1060">
        <f t="shared" si="31"/>
        <v>0</v>
      </c>
      <c r="AK112" s="1061">
        <f t="shared" si="32"/>
        <v>0</v>
      </c>
      <c r="AL112" s="1060">
        <f t="shared" si="33"/>
        <v>0</v>
      </c>
      <c r="AM112" s="1060">
        <f t="shared" si="34"/>
        <v>0</v>
      </c>
      <c r="AN112" s="1060">
        <f t="shared" si="35"/>
        <v>0</v>
      </c>
      <c r="AO112" s="1061">
        <f t="shared" si="36"/>
        <v>0</v>
      </c>
      <c r="AP112" s="1062">
        <f t="shared" si="37"/>
        <v>0</v>
      </c>
      <c r="AQ112" s="888"/>
      <c r="AR112" s="231"/>
      <c r="AS112" s="229" t="str">
        <f>VLOOKUP(C113,'[1]NT 2'!$C$2:$J$259,8,0)</f>
        <v>03535</v>
      </c>
      <c r="AT112" s="953">
        <f t="shared" si="28"/>
        <v>0</v>
      </c>
    </row>
    <row r="113" spans="1:46" ht="24.75" customHeight="1">
      <c r="A113" s="1700">
        <v>102</v>
      </c>
      <c r="B113" s="1703">
        <v>22</v>
      </c>
      <c r="C113" s="163" t="s">
        <v>667</v>
      </c>
      <c r="D113" s="13" t="str">
        <f>VLOOKUP(C113,'[1]NT 2'!$C$2:$J$259,8,0)</f>
        <v>03535</v>
      </c>
      <c r="E113" s="1143"/>
      <c r="F113" s="1143"/>
      <c r="G113" s="1143"/>
      <c r="H113" s="1143"/>
      <c r="I113" s="1143"/>
      <c r="J113" s="1143"/>
      <c r="K113" s="1143"/>
      <c r="L113" s="1143"/>
      <c r="M113" s="1143"/>
      <c r="N113" s="1143"/>
      <c r="O113" s="1143"/>
      <c r="P113" s="1143"/>
      <c r="Q113" s="1143"/>
      <c r="R113" s="1143"/>
      <c r="S113" s="1143"/>
      <c r="T113" s="1143"/>
      <c r="U113" s="1143"/>
      <c r="V113" s="1143"/>
      <c r="W113" s="1143"/>
      <c r="X113" s="1143"/>
      <c r="Y113" s="1143"/>
      <c r="Z113" s="1143"/>
      <c r="AA113" s="1143"/>
      <c r="AB113" s="1143"/>
      <c r="AC113" s="1143"/>
      <c r="AD113" s="1143"/>
      <c r="AE113" s="1143"/>
      <c r="AF113" s="1478"/>
      <c r="AG113" s="1478"/>
      <c r="AH113" s="1478"/>
      <c r="AI113" s="1478"/>
      <c r="AJ113" s="1060">
        <f t="shared" si="31"/>
        <v>0</v>
      </c>
      <c r="AK113" s="1061">
        <f t="shared" si="32"/>
        <v>0</v>
      </c>
      <c r="AL113" s="1060">
        <f t="shared" si="33"/>
        <v>0</v>
      </c>
      <c r="AM113" s="1060">
        <f t="shared" si="34"/>
        <v>0</v>
      </c>
      <c r="AN113" s="1060">
        <f t="shared" si="35"/>
        <v>0</v>
      </c>
      <c r="AO113" s="1061">
        <f t="shared" si="36"/>
        <v>0</v>
      </c>
      <c r="AP113" s="1062">
        <f t="shared" si="37"/>
        <v>0</v>
      </c>
      <c r="AQ113" s="888"/>
      <c r="AR113" s="231"/>
      <c r="AS113" s="229" t="str">
        <f>VLOOKUP(C114,'[1]NT 2'!$C$2:$J$259,8,0)</f>
        <v>03507</v>
      </c>
      <c r="AT113" s="953">
        <f t="shared" si="28"/>
        <v>-3507</v>
      </c>
    </row>
    <row r="114" spans="1:46" ht="24.75" customHeight="1">
      <c r="A114" s="1700">
        <v>103</v>
      </c>
      <c r="B114" s="1703">
        <v>23</v>
      </c>
      <c r="C114" s="163" t="s">
        <v>430</v>
      </c>
      <c r="E114" s="1143"/>
      <c r="F114" s="1143"/>
      <c r="G114" s="1143"/>
      <c r="H114" s="1143"/>
      <c r="I114" s="1143"/>
      <c r="J114" s="1143"/>
      <c r="K114" s="1143"/>
      <c r="L114" s="1143"/>
      <c r="M114" s="1143"/>
      <c r="N114" s="1143"/>
      <c r="O114" s="1143"/>
      <c r="P114" s="1143"/>
      <c r="Q114" s="1143"/>
      <c r="R114" s="1143"/>
      <c r="S114" s="1143"/>
      <c r="T114" s="1143"/>
      <c r="U114" s="1143"/>
      <c r="V114" s="1143"/>
      <c r="W114" s="1143"/>
      <c r="X114" s="1143"/>
      <c r="Y114" s="1143"/>
      <c r="Z114" s="1143"/>
      <c r="AA114" s="1143"/>
      <c r="AB114" s="1143"/>
      <c r="AC114" s="1143"/>
      <c r="AD114" s="1143"/>
      <c r="AE114" s="1143"/>
      <c r="AF114" s="1478"/>
      <c r="AG114" s="1478"/>
      <c r="AH114" s="1478"/>
      <c r="AI114" s="1478"/>
      <c r="AJ114" s="1060">
        <f t="shared" si="31"/>
        <v>0</v>
      </c>
      <c r="AK114" s="1061">
        <f t="shared" si="32"/>
        <v>0</v>
      </c>
      <c r="AL114" s="1060">
        <f t="shared" si="33"/>
        <v>0</v>
      </c>
      <c r="AM114" s="1060">
        <f t="shared" si="34"/>
        <v>0</v>
      </c>
      <c r="AN114" s="1060">
        <f t="shared" si="35"/>
        <v>0</v>
      </c>
      <c r="AO114" s="1061">
        <f t="shared" si="36"/>
        <v>0</v>
      </c>
      <c r="AP114" s="1062">
        <f t="shared" si="37"/>
        <v>0</v>
      </c>
      <c r="AQ114" s="888"/>
      <c r="AR114" s="231"/>
      <c r="AS114" s="229" t="str">
        <f>VLOOKUP(C115,'[1]NT 2'!$C$2:$J$259,8,0)</f>
        <v>03537</v>
      </c>
      <c r="AT114" s="953">
        <f t="shared" si="28"/>
        <v>0</v>
      </c>
    </row>
    <row r="115" spans="1:46" ht="24.75" customHeight="1">
      <c r="A115" s="1700">
        <v>104</v>
      </c>
      <c r="B115" s="1703">
        <v>24</v>
      </c>
      <c r="C115" s="163" t="s">
        <v>467</v>
      </c>
      <c r="D115" s="13" t="str">
        <f>VLOOKUP(C115,'[1]NT 2'!$C$2:$J$259,8,0)</f>
        <v>03537</v>
      </c>
      <c r="E115" s="1143"/>
      <c r="F115" s="1143"/>
      <c r="G115" s="1143"/>
      <c r="H115" s="1143"/>
      <c r="I115" s="1143"/>
      <c r="J115" s="1143"/>
      <c r="K115" s="1143"/>
      <c r="L115" s="1143"/>
      <c r="M115" s="1143"/>
      <c r="N115" s="1143"/>
      <c r="O115" s="1143"/>
      <c r="P115" s="1143"/>
      <c r="Q115" s="1143"/>
      <c r="R115" s="1143"/>
      <c r="S115" s="1143"/>
      <c r="T115" s="1143"/>
      <c r="U115" s="1143"/>
      <c r="V115" s="1143"/>
      <c r="W115" s="1143"/>
      <c r="X115" s="1143"/>
      <c r="Y115" s="1143"/>
      <c r="Z115" s="1143"/>
      <c r="AA115" s="1143"/>
      <c r="AB115" s="1143"/>
      <c r="AC115" s="1143"/>
      <c r="AD115" s="1143"/>
      <c r="AE115" s="1143"/>
      <c r="AF115" s="1478"/>
      <c r="AG115" s="1478"/>
      <c r="AH115" s="1478"/>
      <c r="AI115" s="1478"/>
      <c r="AJ115" s="1060">
        <f t="shared" si="31"/>
        <v>0</v>
      </c>
      <c r="AK115" s="1061">
        <f t="shared" si="32"/>
        <v>0</v>
      </c>
      <c r="AL115" s="1060">
        <f t="shared" si="33"/>
        <v>0</v>
      </c>
      <c r="AM115" s="1060">
        <f t="shared" si="34"/>
        <v>0</v>
      </c>
      <c r="AN115" s="1060">
        <f t="shared" si="35"/>
        <v>0</v>
      </c>
      <c r="AO115" s="1061">
        <f t="shared" si="36"/>
        <v>0</v>
      </c>
      <c r="AP115" s="1062">
        <f t="shared" si="37"/>
        <v>0</v>
      </c>
      <c r="AQ115" s="888"/>
      <c r="AR115" s="231"/>
      <c r="AS115" s="229" t="str">
        <f>VLOOKUP(C116,'[1]NT 2'!$C$2:$J$259,8,0)</f>
        <v>03538</v>
      </c>
      <c r="AT115" s="953">
        <f t="shared" si="28"/>
        <v>0</v>
      </c>
    </row>
    <row r="116" spans="1:46" ht="24.75" customHeight="1">
      <c r="A116" s="1700">
        <v>105</v>
      </c>
      <c r="B116" s="1703">
        <v>25</v>
      </c>
      <c r="C116" s="836" t="s">
        <v>449</v>
      </c>
      <c r="D116" s="13" t="str">
        <f>VLOOKUP(C116,'[1]NT 2'!$C$2:$J$259,8,0)</f>
        <v>03538</v>
      </c>
      <c r="E116" s="1143"/>
      <c r="F116" s="1143"/>
      <c r="G116" s="1143"/>
      <c r="H116" s="1143"/>
      <c r="I116" s="1143"/>
      <c r="J116" s="1143"/>
      <c r="K116" s="1143"/>
      <c r="L116" s="1143"/>
      <c r="M116" s="1143"/>
      <c r="N116" s="1143"/>
      <c r="O116" s="1143"/>
      <c r="P116" s="1143"/>
      <c r="Q116" s="1143"/>
      <c r="R116" s="1143"/>
      <c r="S116" s="1143"/>
      <c r="T116" s="1143"/>
      <c r="U116" s="1143"/>
      <c r="V116" s="1143"/>
      <c r="W116" s="1143"/>
      <c r="X116" s="1143"/>
      <c r="Y116" s="1143"/>
      <c r="Z116" s="1143"/>
      <c r="AA116" s="1143"/>
      <c r="AB116" s="1143"/>
      <c r="AC116" s="1143"/>
      <c r="AD116" s="1143"/>
      <c r="AE116" s="1143"/>
      <c r="AF116" s="1478"/>
      <c r="AG116" s="1478"/>
      <c r="AH116" s="1478"/>
      <c r="AI116" s="1478"/>
      <c r="AJ116" s="1060">
        <f t="shared" si="31"/>
        <v>0</v>
      </c>
      <c r="AK116" s="1061">
        <f t="shared" si="32"/>
        <v>0</v>
      </c>
      <c r="AL116" s="1060">
        <f t="shared" si="33"/>
        <v>0</v>
      </c>
      <c r="AM116" s="1060">
        <f t="shared" si="34"/>
        <v>0</v>
      </c>
      <c r="AN116" s="1060">
        <f t="shared" si="35"/>
        <v>0</v>
      </c>
      <c r="AO116" s="1061">
        <f t="shared" si="36"/>
        <v>0</v>
      </c>
      <c r="AP116" s="1062">
        <f t="shared" si="37"/>
        <v>0</v>
      </c>
      <c r="AQ116" s="888"/>
      <c r="AR116" s="231"/>
      <c r="AS116" s="229" t="e">
        <f>VLOOKUP(C117,'[1]NT 2'!$C$2:$J$259,8,0)</f>
        <v>#N/A</v>
      </c>
      <c r="AT116" s="953" t="e">
        <f t="shared" si="28"/>
        <v>#N/A</v>
      </c>
    </row>
    <row r="117" spans="1:46" ht="24.75" customHeight="1">
      <c r="A117" s="1700">
        <v>106</v>
      </c>
      <c r="B117" s="1703">
        <v>26</v>
      </c>
      <c r="C117" s="1151" t="s">
        <v>1170</v>
      </c>
      <c r="E117" s="1143"/>
      <c r="F117" s="1143"/>
      <c r="G117" s="1143"/>
      <c r="H117" s="1143"/>
      <c r="I117" s="1143"/>
      <c r="J117" s="1143"/>
      <c r="K117" s="1143"/>
      <c r="L117" s="1143"/>
      <c r="M117" s="1143"/>
      <c r="N117" s="1143"/>
      <c r="O117" s="1143"/>
      <c r="P117" s="1143"/>
      <c r="Q117" s="1143"/>
      <c r="R117" s="1143"/>
      <c r="S117" s="1143"/>
      <c r="T117" s="1143"/>
      <c r="U117" s="1143"/>
      <c r="V117" s="1143"/>
      <c r="W117" s="1143"/>
      <c r="X117" s="1143"/>
      <c r="Y117" s="1143"/>
      <c r="Z117" s="1143"/>
      <c r="AA117" s="1143"/>
      <c r="AB117" s="1143"/>
      <c r="AC117" s="1143"/>
      <c r="AD117" s="1143"/>
      <c r="AE117" s="1143"/>
      <c r="AF117" s="1478"/>
      <c r="AG117" s="1478"/>
      <c r="AH117" s="1478"/>
      <c r="AI117" s="1478"/>
      <c r="AJ117" s="1060">
        <f t="shared" si="31"/>
        <v>0</v>
      </c>
      <c r="AK117" s="1061">
        <f t="shared" si="32"/>
        <v>0</v>
      </c>
      <c r="AL117" s="1060">
        <f t="shared" si="33"/>
        <v>0</v>
      </c>
      <c r="AM117" s="1060">
        <f t="shared" si="34"/>
        <v>0</v>
      </c>
      <c r="AN117" s="1060">
        <f t="shared" si="35"/>
        <v>0</v>
      </c>
      <c r="AO117" s="1061">
        <f t="shared" si="36"/>
        <v>0</v>
      </c>
      <c r="AP117" s="1062">
        <f t="shared" si="37"/>
        <v>0</v>
      </c>
      <c r="AQ117" s="888"/>
      <c r="AR117" s="231"/>
      <c r="AS117" s="229" t="str">
        <f>VLOOKUP(C118,'[1]NT 2'!$C$2:$J$259,8,0)</f>
        <v>03540</v>
      </c>
      <c r="AT117" s="953">
        <f t="shared" si="28"/>
        <v>0</v>
      </c>
    </row>
    <row r="118" spans="1:46" ht="24.75" customHeight="1">
      <c r="A118" s="1700">
        <v>107</v>
      </c>
      <c r="B118" s="1703">
        <v>27</v>
      </c>
      <c r="C118" s="836" t="s">
        <v>668</v>
      </c>
      <c r="D118" s="13" t="str">
        <f>VLOOKUP(C118,'[1]NT 2'!$C$2:$J$259,8,0)</f>
        <v>03540</v>
      </c>
      <c r="E118" s="1143"/>
      <c r="F118" s="1143"/>
      <c r="G118" s="1143"/>
      <c r="H118" s="1143"/>
      <c r="I118" s="1143"/>
      <c r="J118" s="1143"/>
      <c r="K118" s="1143"/>
      <c r="L118" s="1143"/>
      <c r="M118" s="1143"/>
      <c r="N118" s="1143"/>
      <c r="O118" s="1143"/>
      <c r="P118" s="1143"/>
      <c r="Q118" s="1143"/>
      <c r="R118" s="1143"/>
      <c r="S118" s="1143"/>
      <c r="T118" s="1143"/>
      <c r="U118" s="1143"/>
      <c r="V118" s="1143"/>
      <c r="W118" s="1143"/>
      <c r="X118" s="1143"/>
      <c r="Y118" s="1143"/>
      <c r="Z118" s="1143"/>
      <c r="AA118" s="1143"/>
      <c r="AB118" s="1143"/>
      <c r="AC118" s="1143"/>
      <c r="AD118" s="1143"/>
      <c r="AE118" s="1143"/>
      <c r="AF118" s="1478"/>
      <c r="AG118" s="1478"/>
      <c r="AH118" s="1478"/>
      <c r="AI118" s="1478"/>
      <c r="AJ118" s="1060">
        <f t="shared" si="31"/>
        <v>0</v>
      </c>
      <c r="AK118" s="1061">
        <f t="shared" si="32"/>
        <v>0</v>
      </c>
      <c r="AL118" s="1060">
        <f t="shared" si="33"/>
        <v>0</v>
      </c>
      <c r="AM118" s="1060">
        <f t="shared" si="34"/>
        <v>0</v>
      </c>
      <c r="AN118" s="1060">
        <f t="shared" si="35"/>
        <v>0</v>
      </c>
      <c r="AO118" s="1061">
        <f t="shared" si="36"/>
        <v>0</v>
      </c>
      <c r="AP118" s="1062">
        <f t="shared" si="37"/>
        <v>0</v>
      </c>
      <c r="AQ118" s="888"/>
      <c r="AR118" s="231"/>
      <c r="AS118" s="229" t="str">
        <f>VLOOKUP(C119,'[1]NT 2'!$C$2:$J$259,8,0)</f>
        <v>03541</v>
      </c>
      <c r="AT118" s="953">
        <f t="shared" si="28"/>
        <v>0</v>
      </c>
    </row>
    <row r="119" spans="1:46" ht="24.75" customHeight="1">
      <c r="A119" s="1700">
        <v>108</v>
      </c>
      <c r="B119" s="1703">
        <v>28</v>
      </c>
      <c r="C119" s="836" t="s">
        <v>401</v>
      </c>
      <c r="D119" s="13" t="str">
        <f>VLOOKUP(C119,'[1]NT 2'!$C$2:$J$259,8,0)</f>
        <v>03541</v>
      </c>
      <c r="E119" s="1143"/>
      <c r="F119" s="1143"/>
      <c r="G119" s="1143"/>
      <c r="H119" s="1143"/>
      <c r="I119" s="1143"/>
      <c r="J119" s="1143"/>
      <c r="K119" s="1143"/>
      <c r="L119" s="1143"/>
      <c r="M119" s="1143"/>
      <c r="N119" s="1143"/>
      <c r="O119" s="1143"/>
      <c r="P119" s="1143"/>
      <c r="Q119" s="1143"/>
      <c r="R119" s="1143"/>
      <c r="S119" s="1143"/>
      <c r="T119" s="1143"/>
      <c r="U119" s="1143"/>
      <c r="V119" s="1143"/>
      <c r="W119" s="1143"/>
      <c r="X119" s="1143"/>
      <c r="Y119" s="1143"/>
      <c r="Z119" s="1143"/>
      <c r="AA119" s="1143"/>
      <c r="AB119" s="1143"/>
      <c r="AC119" s="1143"/>
      <c r="AD119" s="1143"/>
      <c r="AE119" s="1143"/>
      <c r="AF119" s="1478"/>
      <c r="AG119" s="1478"/>
      <c r="AH119" s="1478"/>
      <c r="AI119" s="1478"/>
      <c r="AJ119" s="1060">
        <f t="shared" si="31"/>
        <v>0</v>
      </c>
      <c r="AK119" s="1061">
        <f t="shared" si="32"/>
        <v>0</v>
      </c>
      <c r="AL119" s="1060">
        <f t="shared" si="33"/>
        <v>0</v>
      </c>
      <c r="AM119" s="1060">
        <f t="shared" si="34"/>
        <v>0</v>
      </c>
      <c r="AN119" s="1060">
        <f t="shared" si="35"/>
        <v>0</v>
      </c>
      <c r="AO119" s="1061">
        <f t="shared" si="36"/>
        <v>0</v>
      </c>
      <c r="AP119" s="1062">
        <f t="shared" si="37"/>
        <v>0</v>
      </c>
      <c r="AQ119" s="888"/>
      <c r="AR119" s="231"/>
      <c r="AS119" s="229" t="str">
        <f>VLOOKUP(C120,'[1]NT 2'!$C$2:$J$259,8,0)</f>
        <v>03542</v>
      </c>
      <c r="AT119" s="953">
        <f t="shared" si="28"/>
        <v>0</v>
      </c>
    </row>
    <row r="120" spans="1:46" ht="24.75" customHeight="1">
      <c r="A120" s="1700">
        <v>109</v>
      </c>
      <c r="B120" s="1703">
        <v>29</v>
      </c>
      <c r="C120" s="836" t="s">
        <v>669</v>
      </c>
      <c r="D120" s="13" t="str">
        <f>VLOOKUP(C120,'[1]NT 2'!$C$2:$J$259,8,0)</f>
        <v>03542</v>
      </c>
      <c r="E120" s="1143"/>
      <c r="F120" s="1143"/>
      <c r="G120" s="1143"/>
      <c r="H120" s="1143"/>
      <c r="I120" s="1143"/>
      <c r="J120" s="1143"/>
      <c r="K120" s="1143"/>
      <c r="L120" s="1143"/>
      <c r="M120" s="1143"/>
      <c r="N120" s="1143"/>
      <c r="O120" s="1143"/>
      <c r="P120" s="1143"/>
      <c r="Q120" s="1143"/>
      <c r="R120" s="1143"/>
      <c r="S120" s="1143"/>
      <c r="T120" s="1143"/>
      <c r="U120" s="1143"/>
      <c r="V120" s="1143"/>
      <c r="W120" s="1143"/>
      <c r="X120" s="1143"/>
      <c r="Y120" s="1143"/>
      <c r="Z120" s="1143"/>
      <c r="AA120" s="1143"/>
      <c r="AB120" s="1143"/>
      <c r="AC120" s="1143"/>
      <c r="AD120" s="1143"/>
      <c r="AE120" s="1143"/>
      <c r="AF120" s="1478"/>
      <c r="AG120" s="1478"/>
      <c r="AH120" s="1478"/>
      <c r="AI120" s="1478"/>
      <c r="AJ120" s="1060">
        <f t="shared" si="31"/>
        <v>0</v>
      </c>
      <c r="AK120" s="1061">
        <f t="shared" si="32"/>
        <v>0</v>
      </c>
      <c r="AL120" s="1060">
        <f t="shared" si="33"/>
        <v>0</v>
      </c>
      <c r="AM120" s="1060">
        <f t="shared" si="34"/>
        <v>0</v>
      </c>
      <c r="AN120" s="1060">
        <f t="shared" si="35"/>
        <v>0</v>
      </c>
      <c r="AO120" s="1061">
        <f t="shared" si="36"/>
        <v>0</v>
      </c>
      <c r="AP120" s="1062">
        <f t="shared" si="37"/>
        <v>0</v>
      </c>
      <c r="AQ120" s="888"/>
      <c r="AR120" s="231"/>
      <c r="AS120" s="229" t="str">
        <f>VLOOKUP(C121,'[1]NT 2'!$C$2:$J$259,8,0)</f>
        <v>03543</v>
      </c>
      <c r="AT120" s="953">
        <f t="shared" si="28"/>
        <v>0</v>
      </c>
    </row>
    <row r="121" spans="1:46" ht="24.75" customHeight="1">
      <c r="A121" s="1700">
        <v>110</v>
      </c>
      <c r="B121" s="1703">
        <v>30</v>
      </c>
      <c r="C121" s="163" t="s">
        <v>670</v>
      </c>
      <c r="D121" s="13" t="str">
        <f>VLOOKUP(C121,'[1]NT 2'!$C$2:$J$259,8,0)</f>
        <v>03543</v>
      </c>
      <c r="E121" s="1143"/>
      <c r="F121" s="1143"/>
      <c r="G121" s="1143"/>
      <c r="H121" s="1143"/>
      <c r="I121" s="1143"/>
      <c r="J121" s="1143"/>
      <c r="K121" s="1143"/>
      <c r="L121" s="1143"/>
      <c r="M121" s="1143"/>
      <c r="N121" s="1143"/>
      <c r="O121" s="1143"/>
      <c r="P121" s="1143"/>
      <c r="Q121" s="1143"/>
      <c r="R121" s="1143"/>
      <c r="S121" s="1143"/>
      <c r="T121" s="1143"/>
      <c r="U121" s="1143"/>
      <c r="V121" s="1143"/>
      <c r="W121" s="1143"/>
      <c r="X121" s="1143"/>
      <c r="Y121" s="1143"/>
      <c r="Z121" s="1143"/>
      <c r="AA121" s="1143"/>
      <c r="AB121" s="1143"/>
      <c r="AC121" s="1143"/>
      <c r="AD121" s="1143"/>
      <c r="AE121" s="1143"/>
      <c r="AF121" s="1478"/>
      <c r="AG121" s="1478"/>
      <c r="AH121" s="1478"/>
      <c r="AI121" s="1478"/>
      <c r="AJ121" s="1060">
        <f t="shared" si="31"/>
        <v>0</v>
      </c>
      <c r="AK121" s="1061">
        <f t="shared" si="32"/>
        <v>0</v>
      </c>
      <c r="AL121" s="1060">
        <f t="shared" si="33"/>
        <v>0</v>
      </c>
      <c r="AM121" s="1060">
        <f t="shared" si="34"/>
        <v>0</v>
      </c>
      <c r="AN121" s="1060">
        <f t="shared" si="35"/>
        <v>0</v>
      </c>
      <c r="AO121" s="1061">
        <f t="shared" si="36"/>
        <v>0</v>
      </c>
      <c r="AP121" s="1062">
        <f t="shared" si="37"/>
        <v>0</v>
      </c>
      <c r="AQ121" s="888"/>
      <c r="AR121" s="231"/>
      <c r="AS121" s="229" t="str">
        <f>VLOOKUP(C122,'[1]NT 2'!$C$2:$J$259,8,0)</f>
        <v>03544</v>
      </c>
      <c r="AT121" s="953">
        <f t="shared" si="28"/>
        <v>0</v>
      </c>
    </row>
    <row r="122" spans="1:46" ht="24.75" customHeight="1">
      <c r="A122" s="1700">
        <v>111</v>
      </c>
      <c r="B122" s="1703">
        <v>31</v>
      </c>
      <c r="C122" s="163" t="s">
        <v>476</v>
      </c>
      <c r="D122" s="13" t="str">
        <f>VLOOKUP(C122,'[1]NT 2'!$C$2:$J$259,8,0)</f>
        <v>03544</v>
      </c>
      <c r="E122" s="1143"/>
      <c r="F122" s="1143"/>
      <c r="G122" s="1143"/>
      <c r="H122" s="1143"/>
      <c r="I122" s="1143"/>
      <c r="J122" s="1143"/>
      <c r="K122" s="1143"/>
      <c r="L122" s="1143"/>
      <c r="M122" s="1143"/>
      <c r="N122" s="1143"/>
      <c r="O122" s="1143"/>
      <c r="P122" s="1143"/>
      <c r="Q122" s="1143"/>
      <c r="R122" s="1143"/>
      <c r="S122" s="1143"/>
      <c r="T122" s="1143"/>
      <c r="U122" s="1143"/>
      <c r="V122" s="1143"/>
      <c r="W122" s="1143"/>
      <c r="X122" s="1143"/>
      <c r="Y122" s="1143"/>
      <c r="Z122" s="1143"/>
      <c r="AA122" s="1143"/>
      <c r="AB122" s="1143"/>
      <c r="AC122" s="1143"/>
      <c r="AD122" s="1143"/>
      <c r="AE122" s="1143"/>
      <c r="AF122" s="1478"/>
      <c r="AG122" s="1478"/>
      <c r="AH122" s="1478"/>
      <c r="AI122" s="1478"/>
      <c r="AJ122" s="1060">
        <f t="shared" si="31"/>
        <v>0</v>
      </c>
      <c r="AK122" s="1061">
        <f t="shared" si="32"/>
        <v>0</v>
      </c>
      <c r="AL122" s="1060">
        <f t="shared" si="33"/>
        <v>0</v>
      </c>
      <c r="AM122" s="1060">
        <f t="shared" si="34"/>
        <v>0</v>
      </c>
      <c r="AN122" s="1060">
        <f t="shared" si="35"/>
        <v>0</v>
      </c>
      <c r="AO122" s="1061">
        <f t="shared" si="36"/>
        <v>0</v>
      </c>
      <c r="AP122" s="1062">
        <f t="shared" si="37"/>
        <v>0</v>
      </c>
      <c r="AQ122" s="888"/>
      <c r="AR122" s="231"/>
      <c r="AS122" s="229" t="str">
        <f>VLOOKUP(C123,'[1]NT 2'!$C$2:$J$259,8,0)</f>
        <v>03545</v>
      </c>
      <c r="AT122" s="953">
        <f t="shared" si="28"/>
        <v>0</v>
      </c>
    </row>
    <row r="123" spans="1:46" ht="24.75" customHeight="1">
      <c r="A123" s="1700">
        <v>112</v>
      </c>
      <c r="B123" s="1703">
        <v>32</v>
      </c>
      <c r="C123" s="163" t="s">
        <v>671</v>
      </c>
      <c r="D123" s="13" t="str">
        <f>VLOOKUP(C123,'[1]NT 2'!$C$2:$J$259,8,0)</f>
        <v>03545</v>
      </c>
      <c r="E123" s="1143"/>
      <c r="F123" s="1143"/>
      <c r="G123" s="1143"/>
      <c r="H123" s="1143"/>
      <c r="I123" s="1143"/>
      <c r="J123" s="1143"/>
      <c r="K123" s="1143"/>
      <c r="L123" s="1143"/>
      <c r="M123" s="1143"/>
      <c r="N123" s="1143"/>
      <c r="O123" s="1143"/>
      <c r="P123" s="1143"/>
      <c r="Q123" s="1143"/>
      <c r="R123" s="1143"/>
      <c r="S123" s="1143"/>
      <c r="T123" s="1143"/>
      <c r="U123" s="1143"/>
      <c r="V123" s="1143"/>
      <c r="W123" s="1143"/>
      <c r="X123" s="1143"/>
      <c r="Y123" s="1143"/>
      <c r="Z123" s="1143"/>
      <c r="AA123" s="1143"/>
      <c r="AB123" s="1143"/>
      <c r="AC123" s="1143"/>
      <c r="AD123" s="1143"/>
      <c r="AE123" s="1143"/>
      <c r="AF123" s="1478"/>
      <c r="AG123" s="1478"/>
      <c r="AH123" s="1478"/>
      <c r="AI123" s="1478"/>
      <c r="AJ123" s="1060">
        <f t="shared" si="31"/>
        <v>0</v>
      </c>
      <c r="AK123" s="1061">
        <f t="shared" si="32"/>
        <v>0</v>
      </c>
      <c r="AL123" s="1060">
        <f t="shared" si="33"/>
        <v>0</v>
      </c>
      <c r="AM123" s="1060">
        <f t="shared" si="34"/>
        <v>0</v>
      </c>
      <c r="AN123" s="1060">
        <f t="shared" si="35"/>
        <v>0</v>
      </c>
      <c r="AO123" s="1061">
        <f t="shared" si="36"/>
        <v>0</v>
      </c>
      <c r="AP123" s="1062">
        <f t="shared" si="37"/>
        <v>0</v>
      </c>
      <c r="AQ123" s="888"/>
      <c r="AR123" s="231"/>
      <c r="AS123" s="229" t="str">
        <f>VLOOKUP(C124,'[1]NT 2'!$C$2:$J$259,8,0)</f>
        <v>03546</v>
      </c>
      <c r="AT123" s="953">
        <f t="shared" si="28"/>
        <v>0</v>
      </c>
    </row>
    <row r="124" spans="1:46" ht="24.75" customHeight="1">
      <c r="A124" s="1700">
        <v>113</v>
      </c>
      <c r="B124" s="1703">
        <v>33</v>
      </c>
      <c r="C124" s="163" t="s">
        <v>372</v>
      </c>
      <c r="D124" s="13" t="str">
        <f>VLOOKUP(C124,'[1]NT 2'!$C$2:$J$259,8,0)</f>
        <v>03546</v>
      </c>
      <c r="E124" s="1143"/>
      <c r="F124" s="1143"/>
      <c r="G124" s="1143"/>
      <c r="H124" s="1143"/>
      <c r="I124" s="1143"/>
      <c r="J124" s="1143"/>
      <c r="K124" s="1143"/>
      <c r="L124" s="1143"/>
      <c r="M124" s="1143"/>
      <c r="N124" s="1143"/>
      <c r="O124" s="1143"/>
      <c r="P124" s="1143"/>
      <c r="Q124" s="1143"/>
      <c r="R124" s="1143"/>
      <c r="S124" s="1143"/>
      <c r="T124" s="1143"/>
      <c r="U124" s="1143"/>
      <c r="V124" s="1143"/>
      <c r="W124" s="1143"/>
      <c r="X124" s="1143"/>
      <c r="Y124" s="1143"/>
      <c r="Z124" s="1143"/>
      <c r="AA124" s="1143"/>
      <c r="AB124" s="1143"/>
      <c r="AC124" s="1143"/>
      <c r="AD124" s="1143"/>
      <c r="AE124" s="1143"/>
      <c r="AF124" s="1478"/>
      <c r="AG124" s="1478"/>
      <c r="AH124" s="1478"/>
      <c r="AI124" s="1478"/>
      <c r="AJ124" s="1060">
        <f t="shared" si="31"/>
        <v>0</v>
      </c>
      <c r="AK124" s="1061">
        <f t="shared" si="32"/>
        <v>0</v>
      </c>
      <c r="AL124" s="1060">
        <f t="shared" si="33"/>
        <v>0</v>
      </c>
      <c r="AM124" s="1060">
        <f t="shared" si="34"/>
        <v>0</v>
      </c>
      <c r="AN124" s="1060">
        <f t="shared" si="35"/>
        <v>0</v>
      </c>
      <c r="AO124" s="1061">
        <f t="shared" si="36"/>
        <v>0</v>
      </c>
      <c r="AP124" s="1062">
        <f t="shared" si="37"/>
        <v>0</v>
      </c>
      <c r="AQ124" s="888"/>
      <c r="AR124" s="231"/>
      <c r="AS124" s="229" t="str">
        <f>VLOOKUP(C125,'[1]NT 2'!$C$2:$J$259,8,0)</f>
        <v>03547</v>
      </c>
      <c r="AT124" s="953">
        <f t="shared" si="28"/>
        <v>0</v>
      </c>
    </row>
    <row r="125" spans="1:46" ht="24.75" customHeight="1">
      <c r="A125" s="1700">
        <v>114</v>
      </c>
      <c r="B125" s="1703">
        <v>34</v>
      </c>
      <c r="C125" s="365" t="s">
        <v>672</v>
      </c>
      <c r="D125" s="13" t="str">
        <f>VLOOKUP(C125,'[1]NT 2'!$C$2:$J$259,8,0)</f>
        <v>03547</v>
      </c>
      <c r="E125" s="1143"/>
      <c r="F125" s="1143"/>
      <c r="G125" s="1143"/>
      <c r="H125" s="1143"/>
      <c r="I125" s="1143"/>
      <c r="J125" s="1143"/>
      <c r="K125" s="1143"/>
      <c r="L125" s="1143"/>
      <c r="M125" s="1143"/>
      <c r="N125" s="1143"/>
      <c r="O125" s="1143"/>
      <c r="P125" s="1143"/>
      <c r="Q125" s="1143"/>
      <c r="R125" s="1143"/>
      <c r="S125" s="1143"/>
      <c r="T125" s="1143"/>
      <c r="U125" s="1143"/>
      <c r="V125" s="1143"/>
      <c r="W125" s="1143"/>
      <c r="X125" s="1143"/>
      <c r="Y125" s="1143"/>
      <c r="Z125" s="1143"/>
      <c r="AA125" s="1143"/>
      <c r="AB125" s="1143"/>
      <c r="AC125" s="1143"/>
      <c r="AD125" s="1143"/>
      <c r="AE125" s="1143"/>
      <c r="AF125" s="1478"/>
      <c r="AG125" s="1478"/>
      <c r="AH125" s="1478"/>
      <c r="AI125" s="1478"/>
      <c r="AJ125" s="1060">
        <f t="shared" si="31"/>
        <v>0</v>
      </c>
      <c r="AK125" s="1061">
        <f t="shared" si="32"/>
        <v>0</v>
      </c>
      <c r="AL125" s="1060">
        <f t="shared" si="33"/>
        <v>0</v>
      </c>
      <c r="AM125" s="1060">
        <f t="shared" si="34"/>
        <v>0</v>
      </c>
      <c r="AN125" s="1060">
        <f t="shared" si="35"/>
        <v>0</v>
      </c>
      <c r="AO125" s="1061">
        <f t="shared" si="36"/>
        <v>0</v>
      </c>
      <c r="AP125" s="1062">
        <f t="shared" si="37"/>
        <v>0</v>
      </c>
      <c r="AQ125" s="888"/>
      <c r="AR125" s="231"/>
      <c r="AS125" s="229" t="e">
        <f>VLOOKUP(C126,'[1]NT 2'!$C$2:$J$259,8,0)</f>
        <v>#N/A</v>
      </c>
      <c r="AT125" s="953" t="e">
        <f t="shared" si="28"/>
        <v>#N/A</v>
      </c>
    </row>
    <row r="126" spans="1:46" ht="24.75" customHeight="1">
      <c r="A126" s="1700">
        <v>115</v>
      </c>
      <c r="B126" s="1703">
        <v>35</v>
      </c>
      <c r="C126" s="163" t="s">
        <v>717</v>
      </c>
      <c r="E126" s="1143"/>
      <c r="F126" s="1143"/>
      <c r="G126" s="1143"/>
      <c r="H126" s="1143"/>
      <c r="I126" s="1143"/>
      <c r="J126" s="1143"/>
      <c r="K126" s="1143"/>
      <c r="L126" s="1143"/>
      <c r="M126" s="1143"/>
      <c r="N126" s="1143"/>
      <c r="O126" s="1143"/>
      <c r="P126" s="1143"/>
      <c r="Q126" s="1143"/>
      <c r="R126" s="1143"/>
      <c r="S126" s="1143"/>
      <c r="T126" s="1143"/>
      <c r="U126" s="1143"/>
      <c r="V126" s="1143"/>
      <c r="W126" s="1143"/>
      <c r="X126" s="1143"/>
      <c r="Y126" s="1143"/>
      <c r="Z126" s="1143"/>
      <c r="AA126" s="1143"/>
      <c r="AB126" s="1143"/>
      <c r="AC126" s="1143"/>
      <c r="AD126" s="1143"/>
      <c r="AE126" s="1143"/>
      <c r="AF126" s="1478"/>
      <c r="AG126" s="1478"/>
      <c r="AH126" s="1478"/>
      <c r="AI126" s="1478"/>
      <c r="AJ126" s="1060">
        <f t="shared" si="31"/>
        <v>0</v>
      </c>
      <c r="AK126" s="1061">
        <f t="shared" si="32"/>
        <v>0</v>
      </c>
      <c r="AL126" s="1060">
        <f t="shared" si="33"/>
        <v>0</v>
      </c>
      <c r="AM126" s="1060">
        <f t="shared" si="34"/>
        <v>0</v>
      </c>
      <c r="AN126" s="1060">
        <f t="shared" si="35"/>
        <v>0</v>
      </c>
      <c r="AO126" s="1061">
        <f t="shared" si="36"/>
        <v>0</v>
      </c>
      <c r="AP126" s="1062">
        <f t="shared" si="37"/>
        <v>0</v>
      </c>
      <c r="AQ126" s="888"/>
      <c r="AR126" s="231"/>
      <c r="AS126" s="229" t="str">
        <f>VLOOKUP(C127,'[1]NT 2'!$C$2:$J$259,8,0)</f>
        <v>03549</v>
      </c>
      <c r="AT126" s="953">
        <f t="shared" si="28"/>
        <v>0</v>
      </c>
    </row>
    <row r="127" spans="1:46" ht="24.75" customHeight="1">
      <c r="A127" s="1700">
        <v>116</v>
      </c>
      <c r="B127" s="1703">
        <v>36</v>
      </c>
      <c r="C127" s="836" t="s">
        <v>673</v>
      </c>
      <c r="D127" s="13" t="str">
        <f>VLOOKUP(C127,'[1]NT 2'!$C$2:$J$259,8,0)</f>
        <v>03549</v>
      </c>
      <c r="E127" s="1143"/>
      <c r="F127" s="1143"/>
      <c r="G127" s="1143"/>
      <c r="H127" s="1143"/>
      <c r="I127" s="1143"/>
      <c r="J127" s="1143"/>
      <c r="K127" s="1143"/>
      <c r="L127" s="1143"/>
      <c r="M127" s="1143"/>
      <c r="N127" s="1143"/>
      <c r="O127" s="1143"/>
      <c r="P127" s="1143"/>
      <c r="Q127" s="1143"/>
      <c r="R127" s="1143"/>
      <c r="S127" s="1143"/>
      <c r="T127" s="1143"/>
      <c r="U127" s="1143"/>
      <c r="V127" s="1143"/>
      <c r="W127" s="1143"/>
      <c r="X127" s="1143"/>
      <c r="Y127" s="1143"/>
      <c r="Z127" s="1143"/>
      <c r="AA127" s="1143"/>
      <c r="AB127" s="1143"/>
      <c r="AC127" s="1143"/>
      <c r="AD127" s="1143"/>
      <c r="AE127" s="1143"/>
      <c r="AF127" s="1478"/>
      <c r="AG127" s="1478"/>
      <c r="AH127" s="1478"/>
      <c r="AI127" s="1478"/>
      <c r="AJ127" s="1060">
        <f t="shared" si="31"/>
        <v>0</v>
      </c>
      <c r="AK127" s="1061">
        <f t="shared" si="32"/>
        <v>0</v>
      </c>
      <c r="AL127" s="1060">
        <f t="shared" si="33"/>
        <v>0</v>
      </c>
      <c r="AM127" s="1060">
        <f t="shared" si="34"/>
        <v>0</v>
      </c>
      <c r="AN127" s="1060">
        <f t="shared" si="35"/>
        <v>0</v>
      </c>
      <c r="AO127" s="1061">
        <f t="shared" si="36"/>
        <v>0</v>
      </c>
      <c r="AP127" s="1062">
        <f t="shared" si="37"/>
        <v>0</v>
      </c>
      <c r="AQ127" s="888"/>
      <c r="AR127" s="231"/>
      <c r="AS127" s="229" t="str">
        <f>VLOOKUP(C128,'[1]NT 2'!$C$2:$J$259,8,0)</f>
        <v>03550</v>
      </c>
      <c r="AT127" s="953">
        <f t="shared" si="28"/>
        <v>0</v>
      </c>
    </row>
    <row r="128" spans="1:46" ht="24.75" customHeight="1">
      <c r="A128" s="1700">
        <v>117</v>
      </c>
      <c r="B128" s="1703">
        <v>37</v>
      </c>
      <c r="C128" s="836" t="s">
        <v>614</v>
      </c>
      <c r="D128" s="13" t="str">
        <f>VLOOKUP(C128,'[1]NT 2'!$C$2:$J$259,8,0)</f>
        <v>03550</v>
      </c>
      <c r="E128" s="1143"/>
      <c r="F128" s="1143"/>
      <c r="G128" s="1143"/>
      <c r="H128" s="1143"/>
      <c r="I128" s="1143"/>
      <c r="J128" s="1143"/>
      <c r="K128" s="1143"/>
      <c r="L128" s="1143"/>
      <c r="M128" s="1143"/>
      <c r="N128" s="1143"/>
      <c r="O128" s="1143"/>
      <c r="P128" s="1143"/>
      <c r="Q128" s="1143"/>
      <c r="R128" s="1143"/>
      <c r="S128" s="1143"/>
      <c r="T128" s="1143"/>
      <c r="U128" s="1143"/>
      <c r="V128" s="1143"/>
      <c r="W128" s="1143"/>
      <c r="X128" s="1143"/>
      <c r="Y128" s="1143"/>
      <c r="Z128" s="1143"/>
      <c r="AA128" s="1143"/>
      <c r="AB128" s="1143"/>
      <c r="AC128" s="1143"/>
      <c r="AD128" s="1143"/>
      <c r="AE128" s="1143"/>
      <c r="AF128" s="1478"/>
      <c r="AG128" s="1478"/>
      <c r="AH128" s="1478"/>
      <c r="AI128" s="1478"/>
      <c r="AJ128" s="1060">
        <f t="shared" si="31"/>
        <v>0</v>
      </c>
      <c r="AK128" s="1061">
        <f t="shared" si="32"/>
        <v>0</v>
      </c>
      <c r="AL128" s="1060">
        <f t="shared" si="33"/>
        <v>0</v>
      </c>
      <c r="AM128" s="1060">
        <f t="shared" si="34"/>
        <v>0</v>
      </c>
      <c r="AN128" s="1060">
        <f t="shared" si="35"/>
        <v>0</v>
      </c>
      <c r="AO128" s="1061">
        <f t="shared" si="36"/>
        <v>0</v>
      </c>
      <c r="AP128" s="1062">
        <f t="shared" si="37"/>
        <v>0</v>
      </c>
      <c r="AQ128" s="888"/>
      <c r="AR128" s="231"/>
      <c r="AS128" s="229" t="str">
        <f>VLOOKUP(C129,'[1]NT 2'!$C$2:$J$259,8,0)</f>
        <v>03551</v>
      </c>
      <c r="AT128" s="953">
        <f t="shared" si="28"/>
        <v>0</v>
      </c>
    </row>
    <row r="129" spans="1:46" ht="24.75" customHeight="1">
      <c r="A129" s="1700">
        <v>118</v>
      </c>
      <c r="B129" s="1703">
        <v>38</v>
      </c>
      <c r="C129" s="365" t="s">
        <v>674</v>
      </c>
      <c r="D129" s="13" t="str">
        <f>VLOOKUP(C129,'[1]NT 2'!$C$2:$J$259,8,0)</f>
        <v>03551</v>
      </c>
      <c r="E129" s="1143"/>
      <c r="F129" s="1143"/>
      <c r="G129" s="1143"/>
      <c r="H129" s="1143"/>
      <c r="I129" s="1143"/>
      <c r="J129" s="1143"/>
      <c r="K129" s="1143"/>
      <c r="L129" s="1143"/>
      <c r="M129" s="1143"/>
      <c r="N129" s="1143"/>
      <c r="O129" s="1143"/>
      <c r="P129" s="1143"/>
      <c r="Q129" s="1143"/>
      <c r="R129" s="1143"/>
      <c r="S129" s="1143"/>
      <c r="T129" s="1143"/>
      <c r="U129" s="1143"/>
      <c r="V129" s="1143"/>
      <c r="W129" s="1143"/>
      <c r="X129" s="1143"/>
      <c r="Y129" s="1143"/>
      <c r="Z129" s="1143"/>
      <c r="AA129" s="1143"/>
      <c r="AB129" s="1143"/>
      <c r="AC129" s="1143"/>
      <c r="AD129" s="1143"/>
      <c r="AE129" s="1143"/>
      <c r="AF129" s="1478"/>
      <c r="AG129" s="1478"/>
      <c r="AH129" s="1478"/>
      <c r="AI129" s="1478"/>
      <c r="AJ129" s="1060">
        <f t="shared" si="31"/>
        <v>0</v>
      </c>
      <c r="AK129" s="1061">
        <f t="shared" si="32"/>
        <v>0</v>
      </c>
      <c r="AL129" s="1060">
        <f t="shared" si="33"/>
        <v>0</v>
      </c>
      <c r="AM129" s="1060">
        <f t="shared" si="34"/>
        <v>0</v>
      </c>
      <c r="AN129" s="1060">
        <f t="shared" si="35"/>
        <v>0</v>
      </c>
      <c r="AO129" s="1061">
        <f t="shared" si="36"/>
        <v>0</v>
      </c>
      <c r="AP129" s="1062">
        <f t="shared" si="37"/>
        <v>0</v>
      </c>
      <c r="AQ129" s="888"/>
      <c r="AR129" s="231"/>
      <c r="AS129" s="229" t="e">
        <f>VLOOKUP(C130,'[1]NT 2'!$C$2:$J$259,8,0)</f>
        <v>#N/A</v>
      </c>
      <c r="AT129" s="953" t="e">
        <f t="shared" si="28"/>
        <v>#N/A</v>
      </c>
    </row>
    <row r="130" spans="1:46" ht="24.75" customHeight="1">
      <c r="A130" s="1700">
        <v>119</v>
      </c>
      <c r="B130" s="1703">
        <v>39</v>
      </c>
      <c r="C130" s="365" t="s">
        <v>718</v>
      </c>
      <c r="E130" s="1143"/>
      <c r="F130" s="1143"/>
      <c r="G130" s="1143"/>
      <c r="H130" s="1143"/>
      <c r="I130" s="1143"/>
      <c r="J130" s="1143"/>
      <c r="K130" s="1143"/>
      <c r="L130" s="1143"/>
      <c r="M130" s="1143"/>
      <c r="N130" s="1143"/>
      <c r="O130" s="1143"/>
      <c r="P130" s="1143"/>
      <c r="Q130" s="1143"/>
      <c r="R130" s="1143"/>
      <c r="S130" s="1143"/>
      <c r="T130" s="1143"/>
      <c r="U130" s="1143"/>
      <c r="V130" s="1143"/>
      <c r="W130" s="1143"/>
      <c r="X130" s="1143"/>
      <c r="Y130" s="1143"/>
      <c r="Z130" s="1143"/>
      <c r="AA130" s="1143"/>
      <c r="AB130" s="1143"/>
      <c r="AC130" s="1143"/>
      <c r="AD130" s="1143"/>
      <c r="AE130" s="1143"/>
      <c r="AF130" s="1478"/>
      <c r="AG130" s="1478"/>
      <c r="AH130" s="1478"/>
      <c r="AI130" s="1478"/>
      <c r="AJ130" s="1060">
        <f t="shared" si="31"/>
        <v>0</v>
      </c>
      <c r="AK130" s="1061">
        <f t="shared" si="32"/>
        <v>0</v>
      </c>
      <c r="AL130" s="1060">
        <f t="shared" si="33"/>
        <v>0</v>
      </c>
      <c r="AM130" s="1060">
        <f t="shared" si="34"/>
        <v>0</v>
      </c>
      <c r="AN130" s="1060">
        <f t="shared" si="35"/>
        <v>0</v>
      </c>
      <c r="AO130" s="1061">
        <f t="shared" si="36"/>
        <v>0</v>
      </c>
      <c r="AP130" s="1062">
        <f t="shared" si="37"/>
        <v>0</v>
      </c>
      <c r="AQ130" s="888"/>
      <c r="AR130" s="231"/>
      <c r="AS130" s="229" t="str">
        <f>VLOOKUP(C131,'[1]NT 2'!$C$2:$J$259,8,0)</f>
        <v>03488</v>
      </c>
      <c r="AT130" s="953">
        <f t="shared" si="28"/>
        <v>0</v>
      </c>
    </row>
    <row r="131" spans="1:46" ht="24.75" customHeight="1">
      <c r="A131" s="1700">
        <v>120</v>
      </c>
      <c r="B131" s="1703">
        <v>40</v>
      </c>
      <c r="C131" s="1151" t="s">
        <v>398</v>
      </c>
      <c r="D131" s="13" t="str">
        <f>VLOOKUP(C131,'[1]NT 2'!$C$2:$J$259,8,0)</f>
        <v>03488</v>
      </c>
      <c r="E131" s="1143"/>
      <c r="F131" s="1143"/>
      <c r="G131" s="1143"/>
      <c r="H131" s="1143"/>
      <c r="I131" s="1143"/>
      <c r="J131" s="1143"/>
      <c r="K131" s="1143"/>
      <c r="L131" s="1143"/>
      <c r="M131" s="1143"/>
      <c r="N131" s="1143"/>
      <c r="O131" s="1143"/>
      <c r="P131" s="1143"/>
      <c r="Q131" s="1143"/>
      <c r="R131" s="1143"/>
      <c r="S131" s="1143"/>
      <c r="T131" s="1143"/>
      <c r="U131" s="1143"/>
      <c r="V131" s="1143"/>
      <c r="W131" s="1143"/>
      <c r="X131" s="1143"/>
      <c r="Y131" s="1143"/>
      <c r="Z131" s="1143"/>
      <c r="AA131" s="1143"/>
      <c r="AB131" s="1143"/>
      <c r="AC131" s="1143"/>
      <c r="AD131" s="1143"/>
      <c r="AE131" s="1143"/>
      <c r="AF131" s="1478"/>
      <c r="AG131" s="1478"/>
      <c r="AH131" s="1478"/>
      <c r="AI131" s="1478"/>
      <c r="AJ131" s="1060">
        <f t="shared" si="31"/>
        <v>0</v>
      </c>
      <c r="AK131" s="1061">
        <f t="shared" si="32"/>
        <v>0</v>
      </c>
      <c r="AL131" s="1060">
        <f t="shared" si="33"/>
        <v>0</v>
      </c>
      <c r="AM131" s="1060">
        <f t="shared" si="34"/>
        <v>0</v>
      </c>
      <c r="AN131" s="1060">
        <f t="shared" si="35"/>
        <v>0</v>
      </c>
      <c r="AO131" s="1061">
        <f t="shared" si="36"/>
        <v>0</v>
      </c>
      <c r="AP131" s="1062">
        <f t="shared" si="37"/>
        <v>0</v>
      </c>
      <c r="AQ131" s="888"/>
      <c r="AR131" s="231"/>
      <c r="AS131" s="229" t="e">
        <f>VLOOKUP(C132,'[1]NT 2'!$C$2:$J$259,8,0)</f>
        <v>#N/A</v>
      </c>
      <c r="AT131" s="953" t="e">
        <f t="shared" si="28"/>
        <v>#N/A</v>
      </c>
    </row>
    <row r="132" spans="1:46" ht="24.75" customHeight="1">
      <c r="A132" s="1700">
        <v>121</v>
      </c>
      <c r="B132" s="1703">
        <v>41</v>
      </c>
      <c r="C132" s="178" t="s">
        <v>705</v>
      </c>
      <c r="E132" s="1143"/>
      <c r="F132" s="1143"/>
      <c r="G132" s="1143"/>
      <c r="H132" s="1143"/>
      <c r="I132" s="1143"/>
      <c r="J132" s="1143"/>
      <c r="K132" s="1143"/>
      <c r="L132" s="1143"/>
      <c r="M132" s="1143"/>
      <c r="N132" s="1143"/>
      <c r="O132" s="1143"/>
      <c r="P132" s="1143"/>
      <c r="Q132" s="1143"/>
      <c r="R132" s="1143"/>
      <c r="S132" s="1143"/>
      <c r="T132" s="1143"/>
      <c r="U132" s="1143"/>
      <c r="V132" s="1143"/>
      <c r="W132" s="1143"/>
      <c r="X132" s="1143"/>
      <c r="Y132" s="1143"/>
      <c r="Z132" s="1143"/>
      <c r="AA132" s="1143"/>
      <c r="AB132" s="1143"/>
      <c r="AC132" s="1143"/>
      <c r="AD132" s="1143"/>
      <c r="AE132" s="1143"/>
      <c r="AF132" s="1478"/>
      <c r="AG132" s="1478"/>
      <c r="AH132" s="1478"/>
      <c r="AI132" s="1478"/>
      <c r="AJ132" s="1060">
        <f t="shared" si="31"/>
        <v>0</v>
      </c>
      <c r="AK132" s="1061">
        <f t="shared" si="32"/>
        <v>0</v>
      </c>
      <c r="AL132" s="1060">
        <f t="shared" si="33"/>
        <v>0</v>
      </c>
      <c r="AM132" s="1060">
        <f t="shared" si="34"/>
        <v>0</v>
      </c>
      <c r="AN132" s="1060">
        <f t="shared" si="35"/>
        <v>0</v>
      </c>
      <c r="AO132" s="1061">
        <f t="shared" si="36"/>
        <v>0</v>
      </c>
      <c r="AP132" s="1062">
        <f t="shared" si="37"/>
        <v>0</v>
      </c>
      <c r="AQ132" s="888"/>
      <c r="AR132" s="231"/>
      <c r="AS132" s="229" t="str">
        <f>VLOOKUP(C133,'[1]NT 2'!$C$2:$J$259,8,0)</f>
        <v>03555</v>
      </c>
      <c r="AT132" s="953">
        <f t="shared" si="28"/>
        <v>0</v>
      </c>
    </row>
    <row r="133" spans="1:46" ht="24.75" customHeight="1">
      <c r="A133" s="1700">
        <v>122</v>
      </c>
      <c r="B133" s="1703">
        <v>42</v>
      </c>
      <c r="C133" s="365" t="s">
        <v>675</v>
      </c>
      <c r="D133" s="13" t="str">
        <f>VLOOKUP(C133,'[1]NT 2'!$C$2:$J$259,8,0)</f>
        <v>03555</v>
      </c>
      <c r="E133" s="1143"/>
      <c r="F133" s="1143"/>
      <c r="G133" s="1143"/>
      <c r="H133" s="1143"/>
      <c r="I133" s="1143"/>
      <c r="J133" s="1143"/>
      <c r="K133" s="1143"/>
      <c r="L133" s="1143"/>
      <c r="M133" s="1143"/>
      <c r="N133" s="1143"/>
      <c r="O133" s="1143"/>
      <c r="P133" s="1143"/>
      <c r="Q133" s="1143"/>
      <c r="R133" s="1143"/>
      <c r="S133" s="1143"/>
      <c r="T133" s="1143"/>
      <c r="U133" s="1143"/>
      <c r="V133" s="1143"/>
      <c r="W133" s="1143"/>
      <c r="X133" s="1143"/>
      <c r="Y133" s="1143"/>
      <c r="Z133" s="1143"/>
      <c r="AA133" s="1143"/>
      <c r="AB133" s="1143"/>
      <c r="AC133" s="1143"/>
      <c r="AD133" s="1143"/>
      <c r="AE133" s="1143"/>
      <c r="AF133" s="1478"/>
      <c r="AG133" s="1478"/>
      <c r="AH133" s="1478"/>
      <c r="AI133" s="1478"/>
      <c r="AJ133" s="1060">
        <f t="shared" si="31"/>
        <v>0</v>
      </c>
      <c r="AK133" s="1061">
        <f t="shared" si="32"/>
        <v>0</v>
      </c>
      <c r="AL133" s="1060">
        <f t="shared" si="33"/>
        <v>0</v>
      </c>
      <c r="AM133" s="1060">
        <f t="shared" si="34"/>
        <v>0</v>
      </c>
      <c r="AN133" s="1060">
        <f t="shared" si="35"/>
        <v>0</v>
      </c>
      <c r="AO133" s="1061">
        <f t="shared" si="36"/>
        <v>0</v>
      </c>
      <c r="AP133" s="1062">
        <f t="shared" si="37"/>
        <v>0</v>
      </c>
      <c r="AQ133" s="888"/>
      <c r="AR133" s="231"/>
      <c r="AS133" s="229" t="e">
        <f>VLOOKUP(C134,'[1]NT 2'!$C$2:$J$259,8,0)</f>
        <v>#N/A</v>
      </c>
      <c r="AT133" s="953" t="e">
        <f t="shared" si="28"/>
        <v>#N/A</v>
      </c>
    </row>
    <row r="134" spans="1:46" ht="24.75" customHeight="1">
      <c r="A134" s="1700">
        <v>123</v>
      </c>
      <c r="B134" s="1703">
        <v>43</v>
      </c>
      <c r="C134" s="838" t="s">
        <v>894</v>
      </c>
      <c r="E134" s="1143"/>
      <c r="F134" s="1143"/>
      <c r="G134" s="1143"/>
      <c r="H134" s="1143"/>
      <c r="I134" s="1143"/>
      <c r="J134" s="1143"/>
      <c r="K134" s="1143"/>
      <c r="L134" s="1143"/>
      <c r="M134" s="1143"/>
      <c r="N134" s="1143"/>
      <c r="O134" s="1143"/>
      <c r="P134" s="1143"/>
      <c r="Q134" s="1143"/>
      <c r="R134" s="1143"/>
      <c r="S134" s="1143"/>
      <c r="T134" s="1143"/>
      <c r="U134" s="1143"/>
      <c r="V134" s="1143"/>
      <c r="W134" s="1143"/>
      <c r="X134" s="1143"/>
      <c r="Y134" s="1143"/>
      <c r="Z134" s="1143"/>
      <c r="AA134" s="1143"/>
      <c r="AB134" s="1143"/>
      <c r="AC134" s="1143"/>
      <c r="AD134" s="1143"/>
      <c r="AE134" s="1143"/>
      <c r="AF134" s="1478"/>
      <c r="AG134" s="1478"/>
      <c r="AH134" s="1478"/>
      <c r="AI134" s="1478"/>
      <c r="AJ134" s="1060">
        <f t="shared" si="31"/>
        <v>0</v>
      </c>
      <c r="AK134" s="1061">
        <f t="shared" si="32"/>
        <v>0</v>
      </c>
      <c r="AL134" s="1060">
        <f t="shared" si="33"/>
        <v>0</v>
      </c>
      <c r="AM134" s="1060">
        <f t="shared" si="34"/>
        <v>0</v>
      </c>
      <c r="AN134" s="1060">
        <f t="shared" si="35"/>
        <v>0</v>
      </c>
      <c r="AO134" s="1061">
        <f t="shared" si="36"/>
        <v>0</v>
      </c>
      <c r="AP134" s="1062">
        <f t="shared" si="37"/>
        <v>0</v>
      </c>
      <c r="AQ134" s="888"/>
      <c r="AR134" s="231"/>
      <c r="AS134" s="229" t="e">
        <f>VLOOKUP(C135,'[1]NT 2'!$C$2:$J$259,8,0)</f>
        <v>#N/A</v>
      </c>
      <c r="AT134" s="953" t="e">
        <f t="shared" si="28"/>
        <v>#N/A</v>
      </c>
    </row>
    <row r="135" spans="1:46" ht="24.75" customHeight="1">
      <c r="A135" s="1700">
        <v>124</v>
      </c>
      <c r="B135" s="1703">
        <v>44</v>
      </c>
      <c r="C135" s="836" t="s">
        <v>719</v>
      </c>
      <c r="E135" s="1143"/>
      <c r="F135" s="1143"/>
      <c r="G135" s="1143"/>
      <c r="H135" s="1143"/>
      <c r="I135" s="1143"/>
      <c r="J135" s="1143"/>
      <c r="K135" s="1143"/>
      <c r="L135" s="1143"/>
      <c r="M135" s="1143"/>
      <c r="N135" s="1143"/>
      <c r="O135" s="1143"/>
      <c r="P135" s="1143"/>
      <c r="Q135" s="1143"/>
      <c r="R135" s="1143"/>
      <c r="S135" s="1143"/>
      <c r="T135" s="1143"/>
      <c r="U135" s="1143"/>
      <c r="V135" s="1143"/>
      <c r="W135" s="1143"/>
      <c r="X135" s="1143"/>
      <c r="Y135" s="1143"/>
      <c r="Z135" s="1143"/>
      <c r="AA135" s="1143"/>
      <c r="AB135" s="1143"/>
      <c r="AC135" s="1143"/>
      <c r="AD135" s="1143"/>
      <c r="AE135" s="1143"/>
      <c r="AF135" s="1478"/>
      <c r="AG135" s="1478"/>
      <c r="AH135" s="1478"/>
      <c r="AI135" s="1478"/>
      <c r="AJ135" s="1060">
        <f t="shared" si="31"/>
        <v>0</v>
      </c>
      <c r="AK135" s="1061">
        <f t="shared" si="32"/>
        <v>0</v>
      </c>
      <c r="AL135" s="1060">
        <f t="shared" si="33"/>
        <v>0</v>
      </c>
      <c r="AM135" s="1060">
        <f t="shared" si="34"/>
        <v>0</v>
      </c>
      <c r="AN135" s="1060">
        <f t="shared" si="35"/>
        <v>0</v>
      </c>
      <c r="AO135" s="1061">
        <f t="shared" si="36"/>
        <v>0</v>
      </c>
      <c r="AP135" s="1062">
        <f t="shared" si="37"/>
        <v>0</v>
      </c>
      <c r="AQ135" s="888"/>
      <c r="AR135" s="231"/>
      <c r="AS135" s="229" t="e">
        <f>VLOOKUP(C136,'[1]NT 2'!$C$2:$J$259,8,0)</f>
        <v>#N/A</v>
      </c>
      <c r="AT135" s="953" t="e">
        <f t="shared" si="28"/>
        <v>#N/A</v>
      </c>
    </row>
    <row r="136" spans="1:46" ht="24.75" customHeight="1">
      <c r="A136" s="1700">
        <v>125</v>
      </c>
      <c r="B136" s="1703">
        <v>45</v>
      </c>
      <c r="C136" s="163" t="s">
        <v>720</v>
      </c>
      <c r="E136" s="1143"/>
      <c r="F136" s="1143"/>
      <c r="G136" s="1143"/>
      <c r="H136" s="1143"/>
      <c r="I136" s="1143"/>
      <c r="J136" s="1143"/>
      <c r="K136" s="1143"/>
      <c r="L136" s="1143"/>
      <c r="M136" s="1143"/>
      <c r="N136" s="1143"/>
      <c r="O136" s="1143"/>
      <c r="P136" s="1143"/>
      <c r="Q136" s="1143"/>
      <c r="R136" s="1143"/>
      <c r="S136" s="1143"/>
      <c r="T136" s="1143"/>
      <c r="U136" s="1143"/>
      <c r="V136" s="1143"/>
      <c r="W136" s="1143"/>
      <c r="X136" s="1143"/>
      <c r="Y136" s="1143"/>
      <c r="Z136" s="1143"/>
      <c r="AA136" s="1143"/>
      <c r="AB136" s="1143"/>
      <c r="AC136" s="1143"/>
      <c r="AD136" s="1143"/>
      <c r="AE136" s="1143"/>
      <c r="AF136" s="1478"/>
      <c r="AG136" s="1478"/>
      <c r="AH136" s="1478"/>
      <c r="AI136" s="1478"/>
      <c r="AJ136" s="1060">
        <f t="shared" si="31"/>
        <v>0</v>
      </c>
      <c r="AK136" s="1061">
        <f t="shared" si="32"/>
        <v>0</v>
      </c>
      <c r="AL136" s="1060">
        <f t="shared" si="33"/>
        <v>0</v>
      </c>
      <c r="AM136" s="1060">
        <f t="shared" si="34"/>
        <v>0</v>
      </c>
      <c r="AN136" s="1060">
        <f t="shared" si="35"/>
        <v>0</v>
      </c>
      <c r="AO136" s="1061">
        <f t="shared" si="36"/>
        <v>0</v>
      </c>
      <c r="AP136" s="1062">
        <f t="shared" si="37"/>
        <v>0</v>
      </c>
      <c r="AQ136" s="888"/>
      <c r="AR136" s="231"/>
      <c r="AS136" s="229" t="str">
        <f>VLOOKUP(C137,'[1]NT 2'!$C$2:$J$259,8,0)</f>
        <v>03559</v>
      </c>
      <c r="AT136" s="953">
        <f t="shared" si="28"/>
        <v>0</v>
      </c>
    </row>
    <row r="137" spans="1:46" ht="24.75" customHeight="1">
      <c r="A137" s="1700">
        <v>126</v>
      </c>
      <c r="B137" s="1703">
        <v>46</v>
      </c>
      <c r="C137" s="163" t="s">
        <v>295</v>
      </c>
      <c r="D137" s="13" t="str">
        <f>VLOOKUP(C137,'[1]NT 2'!$C$2:$J$259,8,0)</f>
        <v>03559</v>
      </c>
      <c r="E137" s="1143"/>
      <c r="F137" s="1143"/>
      <c r="G137" s="1143"/>
      <c r="H137" s="1143"/>
      <c r="I137" s="1143"/>
      <c r="J137" s="1143"/>
      <c r="K137" s="1143"/>
      <c r="L137" s="1143"/>
      <c r="M137" s="1143"/>
      <c r="N137" s="1143"/>
      <c r="O137" s="1143"/>
      <c r="P137" s="1143"/>
      <c r="Q137" s="1143"/>
      <c r="R137" s="1143"/>
      <c r="S137" s="1143"/>
      <c r="T137" s="1143"/>
      <c r="U137" s="1143"/>
      <c r="V137" s="1143"/>
      <c r="W137" s="1143"/>
      <c r="X137" s="1143"/>
      <c r="Y137" s="1143"/>
      <c r="Z137" s="1143"/>
      <c r="AA137" s="1143"/>
      <c r="AB137" s="1143"/>
      <c r="AC137" s="1143"/>
      <c r="AD137" s="1143"/>
      <c r="AE137" s="1143"/>
      <c r="AF137" s="1478"/>
      <c r="AG137" s="1478"/>
      <c r="AH137" s="1478"/>
      <c r="AI137" s="1478"/>
      <c r="AJ137" s="1060">
        <f t="shared" si="31"/>
        <v>0</v>
      </c>
      <c r="AK137" s="1061">
        <f t="shared" si="32"/>
        <v>0</v>
      </c>
      <c r="AL137" s="1060">
        <f t="shared" si="33"/>
        <v>0</v>
      </c>
      <c r="AM137" s="1060">
        <f t="shared" si="34"/>
        <v>0</v>
      </c>
      <c r="AN137" s="1060">
        <f t="shared" si="35"/>
        <v>0</v>
      </c>
      <c r="AO137" s="1061">
        <f t="shared" si="36"/>
        <v>0</v>
      </c>
      <c r="AP137" s="1062">
        <f t="shared" si="37"/>
        <v>0</v>
      </c>
      <c r="AQ137" s="888"/>
      <c r="AR137" s="231"/>
      <c r="AS137" s="229" t="str">
        <f>VLOOKUP(C138,'[1]NT 2'!$C$2:$J$259,8,0)</f>
        <v>03560</v>
      </c>
      <c r="AT137" s="953">
        <f t="shared" si="28"/>
        <v>0</v>
      </c>
    </row>
    <row r="138" spans="1:46" ht="24.75" customHeight="1">
      <c r="A138" s="1700">
        <v>127</v>
      </c>
      <c r="B138" s="1703">
        <v>47</v>
      </c>
      <c r="C138" s="163" t="s">
        <v>342</v>
      </c>
      <c r="D138" s="13" t="str">
        <f>VLOOKUP(C138,'[1]NT 2'!$C$2:$J$259,8,0)</f>
        <v>03560</v>
      </c>
      <c r="E138" s="1143"/>
      <c r="F138" s="1143"/>
      <c r="G138" s="1143"/>
      <c r="H138" s="1143"/>
      <c r="I138" s="1143"/>
      <c r="J138" s="1143"/>
      <c r="K138" s="1143"/>
      <c r="L138" s="1143"/>
      <c r="M138" s="1143"/>
      <c r="N138" s="1143"/>
      <c r="O138" s="1143"/>
      <c r="P138" s="1143"/>
      <c r="Q138" s="1143"/>
      <c r="R138" s="1143"/>
      <c r="S138" s="1143"/>
      <c r="T138" s="1143"/>
      <c r="U138" s="1143"/>
      <c r="V138" s="1143"/>
      <c r="W138" s="1143"/>
      <c r="X138" s="1143"/>
      <c r="Y138" s="1143"/>
      <c r="Z138" s="1143"/>
      <c r="AA138" s="1143"/>
      <c r="AB138" s="1143"/>
      <c r="AC138" s="1143"/>
      <c r="AD138" s="1143"/>
      <c r="AE138" s="1143"/>
      <c r="AF138" s="1478"/>
      <c r="AG138" s="1478"/>
      <c r="AH138" s="1478"/>
      <c r="AI138" s="1478"/>
      <c r="AJ138" s="1060">
        <f t="shared" si="31"/>
        <v>0</v>
      </c>
      <c r="AK138" s="1061">
        <f t="shared" si="32"/>
        <v>0</v>
      </c>
      <c r="AL138" s="1060">
        <f t="shared" si="33"/>
        <v>0</v>
      </c>
      <c r="AM138" s="1060">
        <f t="shared" si="34"/>
        <v>0</v>
      </c>
      <c r="AN138" s="1060">
        <f t="shared" si="35"/>
        <v>0</v>
      </c>
      <c r="AO138" s="1061">
        <f t="shared" si="36"/>
        <v>0</v>
      </c>
      <c r="AP138" s="1062">
        <f t="shared" si="37"/>
        <v>0</v>
      </c>
      <c r="AQ138" s="888"/>
      <c r="AR138" s="231"/>
      <c r="AS138" s="229" t="str">
        <f>VLOOKUP(C139,'[1]NT 2'!$C$2:$J$259,8,0)</f>
        <v>03561</v>
      </c>
      <c r="AT138" s="953">
        <f t="shared" si="28"/>
        <v>0</v>
      </c>
    </row>
    <row r="139" spans="1:46" ht="24.75" customHeight="1">
      <c r="A139" s="1700">
        <v>128</v>
      </c>
      <c r="B139" s="1703">
        <v>48</v>
      </c>
      <c r="C139" s="163" t="s">
        <v>381</v>
      </c>
      <c r="D139" s="13" t="str">
        <f>VLOOKUP(C139,'[1]NT 2'!$C$2:$J$259,8,0)</f>
        <v>03561</v>
      </c>
      <c r="E139" s="1143"/>
      <c r="F139" s="1143"/>
      <c r="G139" s="1143"/>
      <c r="H139" s="1143"/>
      <c r="I139" s="1143"/>
      <c r="J139" s="1143"/>
      <c r="K139" s="1143"/>
      <c r="L139" s="1143"/>
      <c r="M139" s="1143"/>
      <c r="N139" s="1143"/>
      <c r="O139" s="1143"/>
      <c r="P139" s="1143"/>
      <c r="Q139" s="1143"/>
      <c r="R139" s="1143"/>
      <c r="S139" s="1143"/>
      <c r="T139" s="1143"/>
      <c r="U139" s="1143"/>
      <c r="V139" s="1143"/>
      <c r="W139" s="1143"/>
      <c r="X139" s="1143"/>
      <c r="Y139" s="1143"/>
      <c r="Z139" s="1143"/>
      <c r="AA139" s="1143"/>
      <c r="AB139" s="1143"/>
      <c r="AC139" s="1143"/>
      <c r="AD139" s="1143"/>
      <c r="AE139" s="1143"/>
      <c r="AF139" s="1478"/>
      <c r="AG139" s="1478"/>
      <c r="AH139" s="1478"/>
      <c r="AI139" s="1478"/>
      <c r="AJ139" s="1060">
        <f t="shared" si="31"/>
        <v>0</v>
      </c>
      <c r="AK139" s="1061">
        <f t="shared" si="32"/>
        <v>0</v>
      </c>
      <c r="AL139" s="1060">
        <f t="shared" si="33"/>
        <v>0</v>
      </c>
      <c r="AM139" s="1060">
        <f t="shared" si="34"/>
        <v>0</v>
      </c>
      <c r="AN139" s="1060">
        <f t="shared" si="35"/>
        <v>0</v>
      </c>
      <c r="AO139" s="1061">
        <f t="shared" si="36"/>
        <v>0</v>
      </c>
      <c r="AP139" s="1062">
        <f t="shared" si="37"/>
        <v>0</v>
      </c>
      <c r="AQ139" s="888"/>
      <c r="AR139" s="231"/>
      <c r="AS139" s="229" t="str">
        <f>VLOOKUP(C140,'[1]NT 2'!$C$2:$J$259,8,0)</f>
        <v>03562</v>
      </c>
      <c r="AT139" s="953">
        <f t="shared" si="28"/>
        <v>0</v>
      </c>
    </row>
    <row r="140" spans="1:46" ht="24.75" customHeight="1">
      <c r="A140" s="1700">
        <v>129</v>
      </c>
      <c r="B140" s="1703">
        <v>49</v>
      </c>
      <c r="C140" s="163" t="s">
        <v>676</v>
      </c>
      <c r="D140" s="13" t="str">
        <f>VLOOKUP(C140,'[1]NT 2'!$C$2:$J$259,8,0)</f>
        <v>03562</v>
      </c>
      <c r="E140" s="1143"/>
      <c r="F140" s="1143"/>
      <c r="G140" s="1143"/>
      <c r="H140" s="1143"/>
      <c r="I140" s="1143"/>
      <c r="J140" s="1143"/>
      <c r="K140" s="1143"/>
      <c r="L140" s="1143"/>
      <c r="M140" s="1143"/>
      <c r="N140" s="1143"/>
      <c r="O140" s="1143"/>
      <c r="P140" s="1143"/>
      <c r="Q140" s="1143"/>
      <c r="R140" s="1143"/>
      <c r="S140" s="1143"/>
      <c r="T140" s="1143"/>
      <c r="U140" s="1143"/>
      <c r="V140" s="1143"/>
      <c r="W140" s="1143"/>
      <c r="X140" s="1143"/>
      <c r="Y140" s="1143"/>
      <c r="Z140" s="1143"/>
      <c r="AA140" s="1143"/>
      <c r="AB140" s="1143"/>
      <c r="AC140" s="1143"/>
      <c r="AD140" s="1143"/>
      <c r="AE140" s="1143"/>
      <c r="AF140" s="1478"/>
      <c r="AG140" s="1478"/>
      <c r="AH140" s="1478"/>
      <c r="AI140" s="1478"/>
      <c r="AJ140" s="1060">
        <f t="shared" si="31"/>
        <v>0</v>
      </c>
      <c r="AK140" s="1061">
        <f t="shared" si="32"/>
        <v>0</v>
      </c>
      <c r="AL140" s="1060">
        <f t="shared" si="33"/>
        <v>0</v>
      </c>
      <c r="AM140" s="1060">
        <f t="shared" si="34"/>
        <v>0</v>
      </c>
      <c r="AN140" s="1060">
        <f t="shared" si="35"/>
        <v>0</v>
      </c>
      <c r="AO140" s="1061">
        <f t="shared" si="36"/>
        <v>0</v>
      </c>
      <c r="AP140" s="1062">
        <f t="shared" si="37"/>
        <v>0</v>
      </c>
      <c r="AQ140" s="888"/>
      <c r="AR140" s="231"/>
      <c r="AS140" s="229" t="str">
        <f>VLOOKUP(C141,'[1]NT 2'!$C$2:$J$259,8,0)</f>
        <v>03563</v>
      </c>
      <c r="AT140" s="953">
        <f t="shared" si="28"/>
        <v>0</v>
      </c>
    </row>
    <row r="141" spans="1:46" ht="24.75" customHeight="1">
      <c r="A141" s="1700">
        <v>130</v>
      </c>
      <c r="B141" s="1703">
        <v>50</v>
      </c>
      <c r="C141" s="163" t="s">
        <v>677</v>
      </c>
      <c r="D141" s="13" t="str">
        <f>VLOOKUP(C141,'[1]NT 2'!$C$2:$J$259,8,0)</f>
        <v>03563</v>
      </c>
      <c r="E141" s="1143"/>
      <c r="F141" s="1143"/>
      <c r="G141" s="1143"/>
      <c r="H141" s="1143"/>
      <c r="I141" s="1143"/>
      <c r="J141" s="1143"/>
      <c r="K141" s="1143"/>
      <c r="L141" s="1143"/>
      <c r="M141" s="1143"/>
      <c r="N141" s="1143"/>
      <c r="O141" s="1143"/>
      <c r="P141" s="1143"/>
      <c r="Q141" s="1143"/>
      <c r="R141" s="1143"/>
      <c r="S141" s="1143"/>
      <c r="T141" s="1143"/>
      <c r="U141" s="1143"/>
      <c r="V141" s="1143"/>
      <c r="W141" s="1143"/>
      <c r="X141" s="1143"/>
      <c r="Y141" s="1143"/>
      <c r="Z141" s="1143"/>
      <c r="AA141" s="1143"/>
      <c r="AB141" s="1143"/>
      <c r="AC141" s="1143"/>
      <c r="AD141" s="1143"/>
      <c r="AE141" s="1143"/>
      <c r="AF141" s="1478"/>
      <c r="AG141" s="1478"/>
      <c r="AH141" s="1478"/>
      <c r="AI141" s="1478"/>
      <c r="AJ141" s="1060">
        <f t="shared" si="31"/>
        <v>0</v>
      </c>
      <c r="AK141" s="1061">
        <f t="shared" si="32"/>
        <v>0</v>
      </c>
      <c r="AL141" s="1060">
        <f t="shared" si="33"/>
        <v>0</v>
      </c>
      <c r="AM141" s="1060">
        <f t="shared" si="34"/>
        <v>0</v>
      </c>
      <c r="AN141" s="1060">
        <f t="shared" si="35"/>
        <v>0</v>
      </c>
      <c r="AO141" s="1061">
        <f t="shared" si="36"/>
        <v>0</v>
      </c>
      <c r="AP141" s="1062">
        <f t="shared" si="37"/>
        <v>0</v>
      </c>
      <c r="AQ141" s="888"/>
      <c r="AR141" s="231"/>
      <c r="AS141" s="229" t="str">
        <f>VLOOKUP(C142,'[1]NT 2'!$C$2:$J$259,8,0)</f>
        <v>03564</v>
      </c>
      <c r="AT141" s="953">
        <f t="shared" si="28"/>
        <v>0</v>
      </c>
    </row>
    <row r="142" spans="1:46" ht="24.75" customHeight="1">
      <c r="A142" s="1700">
        <v>131</v>
      </c>
      <c r="B142" s="1703">
        <v>51</v>
      </c>
      <c r="C142" s="163" t="s">
        <v>283</v>
      </c>
      <c r="D142" s="13" t="str">
        <f>VLOOKUP(C142,'[1]NT 2'!$C$2:$J$259,8,0)</f>
        <v>03564</v>
      </c>
      <c r="E142" s="1143"/>
      <c r="F142" s="1143"/>
      <c r="G142" s="1143"/>
      <c r="H142" s="1143"/>
      <c r="I142" s="1143"/>
      <c r="J142" s="1143"/>
      <c r="K142" s="1143"/>
      <c r="L142" s="1143"/>
      <c r="M142" s="1143"/>
      <c r="N142" s="1143"/>
      <c r="O142" s="1143"/>
      <c r="P142" s="1143"/>
      <c r="Q142" s="1143"/>
      <c r="R142" s="1143"/>
      <c r="S142" s="1143"/>
      <c r="T142" s="1143"/>
      <c r="U142" s="1143"/>
      <c r="V142" s="1143"/>
      <c r="W142" s="1143"/>
      <c r="X142" s="1143"/>
      <c r="Y142" s="1143"/>
      <c r="Z142" s="1143"/>
      <c r="AA142" s="1143"/>
      <c r="AB142" s="1143"/>
      <c r="AC142" s="1143"/>
      <c r="AD142" s="1143"/>
      <c r="AE142" s="1143"/>
      <c r="AF142" s="1478"/>
      <c r="AG142" s="1478"/>
      <c r="AH142" s="1478"/>
      <c r="AI142" s="1478"/>
      <c r="AJ142" s="1060">
        <f t="shared" si="31"/>
        <v>0</v>
      </c>
      <c r="AK142" s="1061">
        <f t="shared" si="32"/>
        <v>0</v>
      </c>
      <c r="AL142" s="1060">
        <f t="shared" si="33"/>
        <v>0</v>
      </c>
      <c r="AM142" s="1060">
        <f t="shared" si="34"/>
        <v>0</v>
      </c>
      <c r="AN142" s="1060">
        <f t="shared" si="35"/>
        <v>0</v>
      </c>
      <c r="AO142" s="1061">
        <f t="shared" si="36"/>
        <v>0</v>
      </c>
      <c r="AP142" s="1062">
        <f t="shared" si="37"/>
        <v>0</v>
      </c>
      <c r="AQ142" s="888"/>
      <c r="AR142" s="231"/>
      <c r="AS142" s="229" t="e">
        <f>VLOOKUP(C143,'[1]NT 2'!$C$2:$J$259,8,0)</f>
        <v>#N/A</v>
      </c>
      <c r="AT142" s="953" t="e">
        <f t="shared" si="28"/>
        <v>#N/A</v>
      </c>
    </row>
    <row r="143" spans="1:46" ht="24.75" customHeight="1">
      <c r="A143" s="1700">
        <v>132</v>
      </c>
      <c r="B143" s="1703">
        <v>52</v>
      </c>
      <c r="C143" s="365" t="s">
        <v>721</v>
      </c>
      <c r="D143" s="13" t="e">
        <f>VLOOKUP(C143,'[1]NT 2'!$C$2:$J$259,8,0)</f>
        <v>#N/A</v>
      </c>
      <c r="E143" s="1143"/>
      <c r="F143" s="1143"/>
      <c r="G143" s="1143"/>
      <c r="H143" s="1143"/>
      <c r="I143" s="1143"/>
      <c r="J143" s="1143"/>
      <c r="K143" s="1143"/>
      <c r="L143" s="1143"/>
      <c r="M143" s="1143"/>
      <c r="N143" s="1143"/>
      <c r="O143" s="1143"/>
      <c r="P143" s="1143"/>
      <c r="Q143" s="1143"/>
      <c r="R143" s="1143"/>
      <c r="S143" s="1143"/>
      <c r="T143" s="1143"/>
      <c r="U143" s="1143"/>
      <c r="V143" s="1143"/>
      <c r="W143" s="1143"/>
      <c r="X143" s="1143"/>
      <c r="Y143" s="1143"/>
      <c r="Z143" s="1143"/>
      <c r="AA143" s="1143"/>
      <c r="AB143" s="1143"/>
      <c r="AC143" s="1143"/>
      <c r="AD143" s="1143"/>
      <c r="AE143" s="1143"/>
      <c r="AF143" s="1478"/>
      <c r="AG143" s="1478"/>
      <c r="AH143" s="1478"/>
      <c r="AI143" s="1478"/>
      <c r="AJ143" s="1060">
        <f t="shared" si="31"/>
        <v>0</v>
      </c>
      <c r="AK143" s="1061">
        <f t="shared" si="32"/>
        <v>0</v>
      </c>
      <c r="AL143" s="1060">
        <f t="shared" si="33"/>
        <v>0</v>
      </c>
      <c r="AM143" s="1060">
        <f t="shared" si="34"/>
        <v>0</v>
      </c>
      <c r="AN143" s="1060">
        <f t="shared" si="35"/>
        <v>0</v>
      </c>
      <c r="AO143" s="1061">
        <f t="shared" si="36"/>
        <v>0</v>
      </c>
      <c r="AP143" s="1062">
        <f t="shared" si="37"/>
        <v>0</v>
      </c>
      <c r="AQ143" s="888"/>
      <c r="AR143" s="231"/>
      <c r="AS143" s="229" t="e">
        <f>VLOOKUP(C144,'[1]NT 2'!$C$2:$J$259,8,0)</f>
        <v>#N/A</v>
      </c>
      <c r="AT143" s="953" t="e">
        <f t="shared" si="28"/>
        <v>#N/A</v>
      </c>
    </row>
    <row r="144" spans="1:46" ht="24.75" customHeight="1">
      <c r="A144" s="1700">
        <v>133</v>
      </c>
      <c r="B144" s="1703">
        <v>53</v>
      </c>
      <c r="C144" s="1274" t="s">
        <v>1000</v>
      </c>
      <c r="D144" s="13" t="e">
        <f>VLOOKUP(C144,'[1]NT 2'!$C$2:$J$259,8,0)</f>
        <v>#N/A</v>
      </c>
      <c r="E144" s="1143"/>
      <c r="F144" s="1143"/>
      <c r="G144" s="1143"/>
      <c r="H144" s="1143"/>
      <c r="I144" s="1143"/>
      <c r="J144" s="1143"/>
      <c r="K144" s="1143"/>
      <c r="L144" s="1143"/>
      <c r="M144" s="1143"/>
      <c r="N144" s="1143"/>
      <c r="O144" s="1143"/>
      <c r="P144" s="1143"/>
      <c r="Q144" s="1143"/>
      <c r="R144" s="1143"/>
      <c r="S144" s="1143"/>
      <c r="T144" s="1143"/>
      <c r="U144" s="1143"/>
      <c r="V144" s="1143"/>
      <c r="W144" s="1143"/>
      <c r="X144" s="1143"/>
      <c r="Y144" s="1143"/>
      <c r="Z144" s="1143"/>
      <c r="AA144" s="1143"/>
      <c r="AB144" s="1143"/>
      <c r="AC144" s="1143"/>
      <c r="AD144" s="1143"/>
      <c r="AE144" s="1143"/>
      <c r="AF144" s="1478"/>
      <c r="AG144" s="1478"/>
      <c r="AH144" s="1478"/>
      <c r="AI144" s="1478"/>
      <c r="AJ144" s="1060">
        <f t="shared" si="31"/>
        <v>0</v>
      </c>
      <c r="AK144" s="1061">
        <f t="shared" si="32"/>
        <v>0</v>
      </c>
      <c r="AL144" s="1060">
        <f t="shared" si="33"/>
        <v>0</v>
      </c>
      <c r="AM144" s="1060">
        <f t="shared" si="34"/>
        <v>0</v>
      </c>
      <c r="AN144" s="1060">
        <f t="shared" si="35"/>
        <v>0</v>
      </c>
      <c r="AO144" s="1061">
        <f t="shared" si="36"/>
        <v>0</v>
      </c>
      <c r="AP144" s="1062">
        <f t="shared" si="37"/>
        <v>0</v>
      </c>
      <c r="AQ144" s="888"/>
      <c r="AR144" s="231"/>
      <c r="AS144" s="229" t="str">
        <f>VLOOKUP(C145,'[1]NT 2'!$C$2:$J$259,8,0)</f>
        <v>03567</v>
      </c>
      <c r="AT144" s="953">
        <f t="shared" si="28"/>
        <v>0</v>
      </c>
    </row>
    <row r="145" spans="1:47" ht="24.75" customHeight="1">
      <c r="A145" s="1700">
        <v>134</v>
      </c>
      <c r="B145" s="1703">
        <v>54</v>
      </c>
      <c r="C145" s="163" t="s">
        <v>343</v>
      </c>
      <c r="D145" s="13" t="str">
        <f>VLOOKUP(C145,'[1]NT 2'!$C$2:$J$259,8,0)</f>
        <v>03567</v>
      </c>
      <c r="E145" s="1143"/>
      <c r="F145" s="1143"/>
      <c r="G145" s="1143"/>
      <c r="H145" s="1143"/>
      <c r="I145" s="1143"/>
      <c r="J145" s="1143"/>
      <c r="K145" s="1143"/>
      <c r="L145" s="1143"/>
      <c r="M145" s="1143"/>
      <c r="N145" s="1143"/>
      <c r="O145" s="1143"/>
      <c r="P145" s="1143"/>
      <c r="Q145" s="1143"/>
      <c r="R145" s="1143"/>
      <c r="S145" s="1143"/>
      <c r="T145" s="1143"/>
      <c r="U145" s="1143"/>
      <c r="V145" s="1143"/>
      <c r="W145" s="1143"/>
      <c r="X145" s="1143"/>
      <c r="Y145" s="1143"/>
      <c r="Z145" s="1143"/>
      <c r="AA145" s="1143"/>
      <c r="AB145" s="1143"/>
      <c r="AC145" s="1143"/>
      <c r="AD145" s="1143"/>
      <c r="AE145" s="1143"/>
      <c r="AF145" s="1478"/>
      <c r="AG145" s="1478"/>
      <c r="AH145" s="1478"/>
      <c r="AI145" s="1478"/>
      <c r="AJ145" s="1060">
        <f t="shared" si="31"/>
        <v>0</v>
      </c>
      <c r="AK145" s="1061">
        <f t="shared" si="32"/>
        <v>0</v>
      </c>
      <c r="AL145" s="1060">
        <f t="shared" si="33"/>
        <v>0</v>
      </c>
      <c r="AM145" s="1060">
        <f t="shared" si="34"/>
        <v>0</v>
      </c>
      <c r="AN145" s="1060">
        <f t="shared" si="35"/>
        <v>0</v>
      </c>
      <c r="AO145" s="1061">
        <f t="shared" si="36"/>
        <v>0</v>
      </c>
      <c r="AP145" s="1062">
        <f t="shared" si="37"/>
        <v>0</v>
      </c>
      <c r="AQ145" s="888"/>
      <c r="AR145" s="231"/>
      <c r="AS145" s="229" t="str">
        <f>VLOOKUP(C146,'[1]NT 2'!$C$2:$J$259,8,0)</f>
        <v>03568</v>
      </c>
      <c r="AT145" s="953">
        <f t="shared" si="28"/>
        <v>0</v>
      </c>
    </row>
    <row r="146" spans="1:47" ht="24.75" customHeight="1">
      <c r="A146" s="1700">
        <v>135</v>
      </c>
      <c r="B146" s="1703">
        <v>55</v>
      </c>
      <c r="C146" s="163" t="s">
        <v>385</v>
      </c>
      <c r="D146" s="13" t="str">
        <f>VLOOKUP(C146,'[1]NT 2'!$C$2:$J$259,8,0)</f>
        <v>03568</v>
      </c>
      <c r="E146" s="1143"/>
      <c r="F146" s="1143"/>
      <c r="G146" s="1143"/>
      <c r="H146" s="1143"/>
      <c r="I146" s="1143"/>
      <c r="J146" s="1143"/>
      <c r="K146" s="1143"/>
      <c r="L146" s="1143"/>
      <c r="M146" s="1143"/>
      <c r="N146" s="1143"/>
      <c r="O146" s="1143"/>
      <c r="P146" s="1143"/>
      <c r="Q146" s="1143"/>
      <c r="R146" s="1143"/>
      <c r="S146" s="1143"/>
      <c r="T146" s="1143"/>
      <c r="U146" s="1143"/>
      <c r="V146" s="1143"/>
      <c r="W146" s="1143"/>
      <c r="X146" s="1143"/>
      <c r="Y146" s="1143"/>
      <c r="Z146" s="1143"/>
      <c r="AA146" s="1143"/>
      <c r="AB146" s="1143"/>
      <c r="AC146" s="1143"/>
      <c r="AD146" s="1143"/>
      <c r="AE146" s="1143"/>
      <c r="AF146" s="1478"/>
      <c r="AG146" s="1478"/>
      <c r="AH146" s="1478"/>
      <c r="AI146" s="1478"/>
      <c r="AJ146" s="1060">
        <f t="shared" si="31"/>
        <v>0</v>
      </c>
      <c r="AK146" s="1061">
        <f t="shared" si="32"/>
        <v>0</v>
      </c>
      <c r="AL146" s="1060">
        <f t="shared" si="33"/>
        <v>0</v>
      </c>
      <c r="AM146" s="1060">
        <f t="shared" si="34"/>
        <v>0</v>
      </c>
      <c r="AN146" s="1060">
        <f t="shared" si="35"/>
        <v>0</v>
      </c>
      <c r="AO146" s="1061">
        <f t="shared" si="36"/>
        <v>0</v>
      </c>
      <c r="AP146" s="1062">
        <f t="shared" si="37"/>
        <v>0</v>
      </c>
      <c r="AQ146" s="888"/>
      <c r="AR146" s="231"/>
      <c r="AS146" s="229" t="str">
        <f>VLOOKUP(C147,'[1]NT 2'!$C$2:$J$259,8,0)</f>
        <v>03569</v>
      </c>
      <c r="AT146" s="953">
        <f t="shared" si="28"/>
        <v>0</v>
      </c>
    </row>
    <row r="147" spans="1:47" ht="24.75" customHeight="1">
      <c r="A147" s="1700">
        <v>136</v>
      </c>
      <c r="B147" s="1703">
        <v>56</v>
      </c>
      <c r="C147" s="163" t="s">
        <v>678</v>
      </c>
      <c r="D147" s="13" t="str">
        <f>VLOOKUP(C147,'[1]NT 2'!$C$2:$J$259,8,0)</f>
        <v>03569</v>
      </c>
      <c r="E147" s="1143"/>
      <c r="F147" s="1143"/>
      <c r="G147" s="1143"/>
      <c r="H147" s="1143"/>
      <c r="I147" s="1143"/>
      <c r="J147" s="1143"/>
      <c r="K147" s="1143"/>
      <c r="L147" s="1143"/>
      <c r="M147" s="1143"/>
      <c r="N147" s="1143"/>
      <c r="O147" s="1143"/>
      <c r="P147" s="1143"/>
      <c r="Q147" s="1143"/>
      <c r="R147" s="1143"/>
      <c r="S147" s="1143"/>
      <c r="T147" s="1143"/>
      <c r="U147" s="1143"/>
      <c r="V147" s="1143"/>
      <c r="W147" s="1143"/>
      <c r="X147" s="1143"/>
      <c r="Y147" s="1143"/>
      <c r="Z147" s="1143"/>
      <c r="AA147" s="1143"/>
      <c r="AB147" s="1143"/>
      <c r="AC147" s="1143"/>
      <c r="AD147" s="1143"/>
      <c r="AE147" s="1143"/>
      <c r="AF147" s="1478"/>
      <c r="AG147" s="1478"/>
      <c r="AH147" s="1478"/>
      <c r="AI147" s="1478"/>
      <c r="AJ147" s="1060">
        <f t="shared" si="31"/>
        <v>0</v>
      </c>
      <c r="AK147" s="1061">
        <f t="shared" si="32"/>
        <v>0</v>
      </c>
      <c r="AL147" s="1060">
        <f t="shared" si="33"/>
        <v>0</v>
      </c>
      <c r="AM147" s="1060">
        <f t="shared" si="34"/>
        <v>0</v>
      </c>
      <c r="AN147" s="1060">
        <f t="shared" si="35"/>
        <v>0</v>
      </c>
      <c r="AO147" s="1061">
        <f t="shared" si="36"/>
        <v>0</v>
      </c>
      <c r="AP147" s="1062">
        <f t="shared" si="37"/>
        <v>0</v>
      </c>
      <c r="AQ147" s="888"/>
      <c r="AR147" s="231"/>
      <c r="AS147" s="229" t="str">
        <f>VLOOKUP(C148,'[1]NT 2'!$C$2:$J$259,8,0)</f>
        <v>03570</v>
      </c>
      <c r="AT147" s="953">
        <f t="shared" si="28"/>
        <v>0</v>
      </c>
    </row>
    <row r="148" spans="1:47" ht="24.75" customHeight="1">
      <c r="A148" s="1700">
        <v>137</v>
      </c>
      <c r="B148" s="1703">
        <v>57</v>
      </c>
      <c r="C148" s="163" t="s">
        <v>634</v>
      </c>
      <c r="D148" s="13" t="str">
        <f>VLOOKUP(C148,'[1]NT 2'!$C$2:$J$259,8,0)</f>
        <v>03570</v>
      </c>
      <c r="E148" s="1143"/>
      <c r="F148" s="1143"/>
      <c r="G148" s="1143"/>
      <c r="H148" s="1143"/>
      <c r="I148" s="1143"/>
      <c r="J148" s="1143"/>
      <c r="K148" s="1143"/>
      <c r="L148" s="1143"/>
      <c r="M148" s="1143"/>
      <c r="N148" s="1143"/>
      <c r="O148" s="1143"/>
      <c r="P148" s="1143"/>
      <c r="Q148" s="1143"/>
      <c r="R148" s="1143"/>
      <c r="S148" s="1143"/>
      <c r="T148" s="1143"/>
      <c r="U148" s="1143"/>
      <c r="V148" s="1143"/>
      <c r="W148" s="1143"/>
      <c r="X148" s="1143"/>
      <c r="Y148" s="1143"/>
      <c r="Z148" s="1143"/>
      <c r="AA148" s="1143"/>
      <c r="AB148" s="1143"/>
      <c r="AC148" s="1143"/>
      <c r="AD148" s="1143"/>
      <c r="AE148" s="1143"/>
      <c r="AF148" s="1478"/>
      <c r="AG148" s="1478"/>
      <c r="AH148" s="1478"/>
      <c r="AI148" s="1478"/>
      <c r="AJ148" s="1060">
        <f t="shared" si="31"/>
        <v>0</v>
      </c>
      <c r="AK148" s="1061">
        <f t="shared" si="32"/>
        <v>0</v>
      </c>
      <c r="AL148" s="1060">
        <f t="shared" si="33"/>
        <v>0</v>
      </c>
      <c r="AM148" s="1060">
        <f t="shared" si="34"/>
        <v>0</v>
      </c>
      <c r="AN148" s="1060">
        <f t="shared" si="35"/>
        <v>0</v>
      </c>
      <c r="AO148" s="1061">
        <f t="shared" si="36"/>
        <v>0</v>
      </c>
      <c r="AP148" s="1062">
        <f t="shared" si="37"/>
        <v>0</v>
      </c>
      <c r="AQ148" s="888"/>
      <c r="AR148" s="231"/>
      <c r="AS148" s="229" t="str">
        <f>VLOOKUP(C149,'[1]NT 2'!$C$2:$J$259,8,0)</f>
        <v>03571</v>
      </c>
      <c r="AT148" s="953">
        <f t="shared" si="28"/>
        <v>0</v>
      </c>
    </row>
    <row r="149" spans="1:47" ht="24.75" customHeight="1">
      <c r="A149" s="1700">
        <v>138</v>
      </c>
      <c r="B149" s="1703">
        <v>58</v>
      </c>
      <c r="C149" s="163" t="s">
        <v>635</v>
      </c>
      <c r="D149" s="13" t="str">
        <f>VLOOKUP(C149,'[1]NT 2'!$C$2:$J$259,8,0)</f>
        <v>03571</v>
      </c>
      <c r="E149" s="1143"/>
      <c r="F149" s="1143"/>
      <c r="G149" s="1143"/>
      <c r="H149" s="1143"/>
      <c r="I149" s="1143"/>
      <c r="J149" s="1143"/>
      <c r="K149" s="1143"/>
      <c r="L149" s="1143"/>
      <c r="M149" s="1143"/>
      <c r="N149" s="1143"/>
      <c r="O149" s="1143"/>
      <c r="P149" s="1143"/>
      <c r="Q149" s="1143"/>
      <c r="R149" s="1143"/>
      <c r="S149" s="1143"/>
      <c r="T149" s="1143"/>
      <c r="U149" s="1143"/>
      <c r="V149" s="1143"/>
      <c r="W149" s="1143"/>
      <c r="X149" s="1143"/>
      <c r="Y149" s="1143"/>
      <c r="Z149" s="1143"/>
      <c r="AA149" s="1143"/>
      <c r="AB149" s="1143"/>
      <c r="AC149" s="1143"/>
      <c r="AD149" s="1143"/>
      <c r="AE149" s="1143"/>
      <c r="AF149" s="1478"/>
      <c r="AG149" s="1478"/>
      <c r="AH149" s="1478"/>
      <c r="AI149" s="1478"/>
      <c r="AJ149" s="1060">
        <f t="shared" si="31"/>
        <v>0</v>
      </c>
      <c r="AK149" s="1061">
        <f t="shared" si="32"/>
        <v>0</v>
      </c>
      <c r="AL149" s="1060">
        <f t="shared" si="33"/>
        <v>0</v>
      </c>
      <c r="AM149" s="1060">
        <f t="shared" si="34"/>
        <v>0</v>
      </c>
      <c r="AN149" s="1060">
        <f t="shared" si="35"/>
        <v>0</v>
      </c>
      <c r="AO149" s="1061">
        <f t="shared" si="36"/>
        <v>0</v>
      </c>
      <c r="AP149" s="1062">
        <f t="shared" si="37"/>
        <v>0</v>
      </c>
      <c r="AQ149" s="888"/>
      <c r="AR149" s="231"/>
      <c r="AS149" s="229" t="str">
        <f>VLOOKUP(C150,'[1]NT 2'!$C$2:$J$259,8,0)</f>
        <v>03572</v>
      </c>
      <c r="AT149" s="953">
        <f t="shared" si="28"/>
        <v>0</v>
      </c>
    </row>
    <row r="150" spans="1:47" ht="24.75" customHeight="1">
      <c r="A150" s="1700">
        <v>139</v>
      </c>
      <c r="B150" s="1703">
        <v>59</v>
      </c>
      <c r="C150" s="163" t="s">
        <v>636</v>
      </c>
      <c r="D150" s="13" t="str">
        <f>VLOOKUP(C150,'[1]NT 2'!$C$2:$J$259,8,0)</f>
        <v>03572</v>
      </c>
      <c r="E150" s="1143"/>
      <c r="F150" s="1143"/>
      <c r="G150" s="1143"/>
      <c r="H150" s="1143"/>
      <c r="I150" s="1143"/>
      <c r="J150" s="1143"/>
      <c r="K150" s="1143"/>
      <c r="L150" s="1143"/>
      <c r="M150" s="1143"/>
      <c r="N150" s="1143"/>
      <c r="O150" s="1143"/>
      <c r="P150" s="1143"/>
      <c r="Q150" s="1143"/>
      <c r="R150" s="1143"/>
      <c r="S150" s="1143"/>
      <c r="T150" s="1143"/>
      <c r="U150" s="1143"/>
      <c r="V150" s="1143"/>
      <c r="W150" s="1143"/>
      <c r="X150" s="1143"/>
      <c r="Y150" s="1143"/>
      <c r="Z150" s="1143"/>
      <c r="AA150" s="1143"/>
      <c r="AB150" s="1143"/>
      <c r="AC150" s="1143"/>
      <c r="AD150" s="1143"/>
      <c r="AE150" s="1143"/>
      <c r="AF150" s="1478"/>
      <c r="AG150" s="1478"/>
      <c r="AH150" s="1478"/>
      <c r="AI150" s="1478"/>
      <c r="AJ150" s="1060">
        <f t="shared" si="31"/>
        <v>0</v>
      </c>
      <c r="AK150" s="1061">
        <f t="shared" si="32"/>
        <v>0</v>
      </c>
      <c r="AL150" s="1060">
        <f t="shared" si="33"/>
        <v>0</v>
      </c>
      <c r="AM150" s="1060">
        <f t="shared" si="34"/>
        <v>0</v>
      </c>
      <c r="AN150" s="1060">
        <f t="shared" si="35"/>
        <v>0</v>
      </c>
      <c r="AO150" s="1061">
        <f t="shared" si="36"/>
        <v>0</v>
      </c>
      <c r="AP150" s="1062">
        <f t="shared" si="37"/>
        <v>0</v>
      </c>
      <c r="AQ150" s="888"/>
      <c r="AR150" s="231"/>
      <c r="AS150" s="229" t="str">
        <f>VLOOKUP(C151,'[1]NT 2'!$C$2:$J$259,8,0)</f>
        <v>03573</v>
      </c>
      <c r="AT150" s="953">
        <f t="shared" si="28"/>
        <v>0</v>
      </c>
    </row>
    <row r="151" spans="1:47" ht="24.75" customHeight="1">
      <c r="A151" s="1700">
        <v>140</v>
      </c>
      <c r="B151" s="1703">
        <v>60</v>
      </c>
      <c r="C151" s="163" t="s">
        <v>414</v>
      </c>
      <c r="D151" s="13" t="str">
        <f>VLOOKUP(C151,'[1]NT 2'!$C$2:$J$259,8,0)</f>
        <v>03573</v>
      </c>
      <c r="E151" s="1143"/>
      <c r="F151" s="1143"/>
      <c r="G151" s="1143"/>
      <c r="H151" s="1143"/>
      <c r="I151" s="1143"/>
      <c r="J151" s="1143"/>
      <c r="K151" s="1143"/>
      <c r="L151" s="1143"/>
      <c r="M151" s="1143"/>
      <c r="N151" s="1143"/>
      <c r="O151" s="1143"/>
      <c r="P151" s="1143"/>
      <c r="Q151" s="1143"/>
      <c r="R151" s="1143"/>
      <c r="S151" s="1143"/>
      <c r="T151" s="1143"/>
      <c r="U151" s="1143"/>
      <c r="V151" s="1143"/>
      <c r="W151" s="1143"/>
      <c r="X151" s="1143"/>
      <c r="Y151" s="1143"/>
      <c r="Z151" s="1143"/>
      <c r="AA151" s="1143"/>
      <c r="AB151" s="1143"/>
      <c r="AC151" s="1143"/>
      <c r="AD151" s="1143"/>
      <c r="AE151" s="1143"/>
      <c r="AF151" s="1478"/>
      <c r="AG151" s="1478"/>
      <c r="AH151" s="1478"/>
      <c r="AI151" s="1478"/>
      <c r="AJ151" s="1060">
        <f t="shared" si="31"/>
        <v>0</v>
      </c>
      <c r="AK151" s="1061">
        <f t="shared" si="32"/>
        <v>0</v>
      </c>
      <c r="AL151" s="1060">
        <f t="shared" si="33"/>
        <v>0</v>
      </c>
      <c r="AM151" s="1060">
        <f t="shared" si="34"/>
        <v>0</v>
      </c>
      <c r="AN151" s="1060">
        <f t="shared" si="35"/>
        <v>0</v>
      </c>
      <c r="AO151" s="1061">
        <f t="shared" si="36"/>
        <v>0</v>
      </c>
      <c r="AP151" s="1062">
        <f t="shared" si="37"/>
        <v>0</v>
      </c>
      <c r="AQ151" s="888"/>
      <c r="AR151" s="231"/>
      <c r="AS151" s="229" t="str">
        <f>VLOOKUP(C152,'[1]NT 2'!$C$2:$J$259,8,0)</f>
        <v>03574</v>
      </c>
      <c r="AT151" s="953">
        <f t="shared" si="28"/>
        <v>0</v>
      </c>
      <c r="AU151" s="297"/>
    </row>
    <row r="152" spans="1:47" ht="24.75" customHeight="1">
      <c r="A152" s="1700">
        <v>141</v>
      </c>
      <c r="B152" s="1703">
        <v>61</v>
      </c>
      <c r="C152" s="163" t="s">
        <v>706</v>
      </c>
      <c r="D152" s="13" t="str">
        <f>VLOOKUP(C152,'[1]NT 2'!$C$2:$J$259,8,0)</f>
        <v>03574</v>
      </c>
      <c r="E152" s="1143"/>
      <c r="F152" s="1143"/>
      <c r="G152" s="1143"/>
      <c r="H152" s="1143"/>
      <c r="I152" s="1143"/>
      <c r="J152" s="1143"/>
      <c r="K152" s="1143"/>
      <c r="L152" s="1143"/>
      <c r="M152" s="1143"/>
      <c r="N152" s="1143"/>
      <c r="O152" s="1143"/>
      <c r="P152" s="1143"/>
      <c r="Q152" s="1143"/>
      <c r="R152" s="1143"/>
      <c r="S152" s="1143"/>
      <c r="T152" s="1143"/>
      <c r="U152" s="1143"/>
      <c r="V152" s="1143"/>
      <c r="W152" s="1143"/>
      <c r="X152" s="1143"/>
      <c r="Y152" s="1143"/>
      <c r="Z152" s="1143"/>
      <c r="AA152" s="1143"/>
      <c r="AB152" s="1143"/>
      <c r="AC152" s="1143"/>
      <c r="AD152" s="1143"/>
      <c r="AE152" s="1143"/>
      <c r="AF152" s="1478"/>
      <c r="AG152" s="1478"/>
      <c r="AH152" s="1478"/>
      <c r="AI152" s="1478"/>
      <c r="AJ152" s="1060">
        <f t="shared" si="31"/>
        <v>0</v>
      </c>
      <c r="AK152" s="1061">
        <f t="shared" si="32"/>
        <v>0</v>
      </c>
      <c r="AL152" s="1060">
        <f t="shared" si="33"/>
        <v>0</v>
      </c>
      <c r="AM152" s="1060">
        <f t="shared" si="34"/>
        <v>0</v>
      </c>
      <c r="AN152" s="1060">
        <f t="shared" si="35"/>
        <v>0</v>
      </c>
      <c r="AO152" s="1061">
        <f t="shared" si="36"/>
        <v>0</v>
      </c>
      <c r="AP152" s="1062">
        <f t="shared" si="37"/>
        <v>0</v>
      </c>
      <c r="AQ152" s="888"/>
      <c r="AR152" s="231"/>
      <c r="AS152" s="229" t="e">
        <f>VLOOKUP(C153,'[1]NT 2'!$C$2:$J$259,8,0)</f>
        <v>#N/A</v>
      </c>
      <c r="AT152" s="953" t="e">
        <f t="shared" si="28"/>
        <v>#N/A</v>
      </c>
    </row>
    <row r="153" spans="1:47" ht="24.75" customHeight="1">
      <c r="A153" s="1700">
        <v>142</v>
      </c>
      <c r="B153" s="1703">
        <v>62</v>
      </c>
      <c r="C153" s="1151" t="s">
        <v>1001</v>
      </c>
      <c r="D153" s="13" t="e">
        <f>VLOOKUP(C153,'[1]NT 2'!$C$2:$J$259,8,0)</f>
        <v>#N/A</v>
      </c>
      <c r="E153" s="1143"/>
      <c r="F153" s="1143"/>
      <c r="G153" s="1143"/>
      <c r="H153" s="1143"/>
      <c r="I153" s="1143"/>
      <c r="J153" s="1143"/>
      <c r="K153" s="1143"/>
      <c r="L153" s="1143"/>
      <c r="M153" s="1143"/>
      <c r="N153" s="1143"/>
      <c r="O153" s="1143"/>
      <c r="P153" s="1143"/>
      <c r="Q153" s="1143"/>
      <c r="R153" s="1143"/>
      <c r="S153" s="1143"/>
      <c r="T153" s="1143"/>
      <c r="U153" s="1143"/>
      <c r="V153" s="1143"/>
      <c r="W153" s="1143"/>
      <c r="X153" s="1143"/>
      <c r="Y153" s="1143"/>
      <c r="Z153" s="1143"/>
      <c r="AA153" s="1143"/>
      <c r="AB153" s="1143"/>
      <c r="AC153" s="1143"/>
      <c r="AD153" s="1143"/>
      <c r="AE153" s="1143"/>
      <c r="AF153" s="1478"/>
      <c r="AG153" s="1478"/>
      <c r="AH153" s="1478"/>
      <c r="AI153" s="1478"/>
      <c r="AJ153" s="1060">
        <f t="shared" si="31"/>
        <v>0</v>
      </c>
      <c r="AK153" s="1061">
        <f t="shared" si="32"/>
        <v>0</v>
      </c>
      <c r="AL153" s="1060">
        <f t="shared" si="33"/>
        <v>0</v>
      </c>
      <c r="AM153" s="1060">
        <f t="shared" si="34"/>
        <v>0</v>
      </c>
      <c r="AN153" s="1060">
        <f t="shared" si="35"/>
        <v>0</v>
      </c>
      <c r="AO153" s="1061">
        <f t="shared" si="36"/>
        <v>0</v>
      </c>
      <c r="AP153" s="1062">
        <f t="shared" si="37"/>
        <v>0</v>
      </c>
      <c r="AQ153" s="888"/>
      <c r="AR153" s="231"/>
      <c r="AS153" s="229" t="str">
        <f>VLOOKUP(C154,'[1]NT 2'!$C$2:$J$259,8,0)</f>
        <v>03576</v>
      </c>
      <c r="AT153" s="953">
        <f t="shared" si="28"/>
        <v>0</v>
      </c>
    </row>
    <row r="154" spans="1:47" ht="24.75" customHeight="1">
      <c r="A154" s="1700">
        <v>143</v>
      </c>
      <c r="B154" s="1703">
        <v>63</v>
      </c>
      <c r="C154" s="163" t="s">
        <v>483</v>
      </c>
      <c r="D154" s="13" t="str">
        <f>VLOOKUP(C154,'[1]NT 2'!$C$2:$J$259,8,0)</f>
        <v>03576</v>
      </c>
      <c r="E154" s="1143"/>
      <c r="F154" s="1143"/>
      <c r="G154" s="1143"/>
      <c r="H154" s="1143"/>
      <c r="I154" s="1143"/>
      <c r="J154" s="1143"/>
      <c r="K154" s="1143"/>
      <c r="L154" s="1143"/>
      <c r="M154" s="1143"/>
      <c r="N154" s="1143"/>
      <c r="O154" s="1143"/>
      <c r="P154" s="1143"/>
      <c r="Q154" s="1143"/>
      <c r="R154" s="1143"/>
      <c r="S154" s="1143"/>
      <c r="T154" s="1143"/>
      <c r="U154" s="1143"/>
      <c r="V154" s="1143"/>
      <c r="W154" s="1143"/>
      <c r="X154" s="1143"/>
      <c r="Y154" s="1143"/>
      <c r="Z154" s="1143"/>
      <c r="AA154" s="1143"/>
      <c r="AB154" s="1143"/>
      <c r="AC154" s="1143"/>
      <c r="AD154" s="1143"/>
      <c r="AE154" s="1143"/>
      <c r="AF154" s="1478"/>
      <c r="AG154" s="1478"/>
      <c r="AH154" s="1478"/>
      <c r="AI154" s="1478"/>
      <c r="AJ154" s="1060">
        <f t="shared" si="31"/>
        <v>0</v>
      </c>
      <c r="AK154" s="1061">
        <f t="shared" si="32"/>
        <v>0</v>
      </c>
      <c r="AL154" s="1060">
        <f t="shared" si="33"/>
        <v>0</v>
      </c>
      <c r="AM154" s="1060">
        <f t="shared" si="34"/>
        <v>0</v>
      </c>
      <c r="AN154" s="1060">
        <f t="shared" si="35"/>
        <v>0</v>
      </c>
      <c r="AO154" s="1061">
        <f t="shared" si="36"/>
        <v>0</v>
      </c>
      <c r="AP154" s="1062">
        <f t="shared" si="37"/>
        <v>0</v>
      </c>
      <c r="AQ154" s="888"/>
      <c r="AR154" s="231"/>
      <c r="AS154" s="229" t="e">
        <f>VLOOKUP(C155,'[1]NT 2'!$C$2:$J$259,8,0)</f>
        <v>#N/A</v>
      </c>
      <c r="AT154" s="953" t="e">
        <f t="shared" si="28"/>
        <v>#N/A</v>
      </c>
    </row>
    <row r="155" spans="1:47" ht="24.75" customHeight="1">
      <c r="A155" s="1700">
        <v>144</v>
      </c>
      <c r="B155" s="1703">
        <v>64</v>
      </c>
      <c r="C155" s="163" t="s">
        <v>722</v>
      </c>
      <c r="E155" s="1143"/>
      <c r="F155" s="1143"/>
      <c r="G155" s="1143"/>
      <c r="H155" s="1143"/>
      <c r="I155" s="1143"/>
      <c r="J155" s="1143"/>
      <c r="K155" s="1143"/>
      <c r="L155" s="1143"/>
      <c r="M155" s="1143"/>
      <c r="N155" s="1143"/>
      <c r="O155" s="1143"/>
      <c r="P155" s="1143"/>
      <c r="Q155" s="1143"/>
      <c r="R155" s="1143"/>
      <c r="S155" s="1143"/>
      <c r="T155" s="1143"/>
      <c r="U155" s="1143"/>
      <c r="V155" s="1143"/>
      <c r="W155" s="1143"/>
      <c r="X155" s="1143"/>
      <c r="Y155" s="1143"/>
      <c r="Z155" s="1143"/>
      <c r="AA155" s="1143"/>
      <c r="AB155" s="1143"/>
      <c r="AC155" s="1143"/>
      <c r="AD155" s="1143"/>
      <c r="AE155" s="1143"/>
      <c r="AF155" s="1478"/>
      <c r="AG155" s="1478"/>
      <c r="AH155" s="1478"/>
      <c r="AI155" s="1478"/>
      <c r="AJ155" s="1060">
        <f t="shared" si="31"/>
        <v>0</v>
      </c>
      <c r="AK155" s="1061">
        <f t="shared" si="32"/>
        <v>0</v>
      </c>
      <c r="AL155" s="1060">
        <f t="shared" si="33"/>
        <v>0</v>
      </c>
      <c r="AM155" s="1060">
        <f t="shared" si="34"/>
        <v>0</v>
      </c>
      <c r="AN155" s="1060">
        <f t="shared" si="35"/>
        <v>0</v>
      </c>
      <c r="AO155" s="1061">
        <f t="shared" si="36"/>
        <v>0</v>
      </c>
      <c r="AP155" s="1062">
        <f t="shared" si="37"/>
        <v>0</v>
      </c>
      <c r="AQ155" s="888"/>
      <c r="AR155" s="231"/>
      <c r="AS155" s="229" t="str">
        <f>VLOOKUP(C156,'[1]NT 2'!$C$2:$J$259,8,0)</f>
        <v>03578</v>
      </c>
      <c r="AT155" s="953">
        <f t="shared" ref="AT155:AT223" si="38">D156-AS155</f>
        <v>0</v>
      </c>
    </row>
    <row r="156" spans="1:47" ht="24.75" customHeight="1">
      <c r="A156" s="1700">
        <v>145</v>
      </c>
      <c r="B156" s="1703">
        <v>65</v>
      </c>
      <c r="C156" s="163" t="s">
        <v>679</v>
      </c>
      <c r="D156" s="13" t="str">
        <f>VLOOKUP(C156,'[1]NT 2'!$C$2:$J$259,8,0)</f>
        <v>03578</v>
      </c>
      <c r="E156" s="1143"/>
      <c r="F156" s="1143"/>
      <c r="G156" s="1143"/>
      <c r="H156" s="1143"/>
      <c r="I156" s="1143"/>
      <c r="J156" s="1143"/>
      <c r="K156" s="1143"/>
      <c r="L156" s="1143"/>
      <c r="M156" s="1143"/>
      <c r="N156" s="1143"/>
      <c r="O156" s="1143"/>
      <c r="P156" s="1143"/>
      <c r="Q156" s="1143"/>
      <c r="R156" s="1143"/>
      <c r="S156" s="1143"/>
      <c r="T156" s="1143"/>
      <c r="U156" s="1143"/>
      <c r="V156" s="1143"/>
      <c r="W156" s="1143"/>
      <c r="X156" s="1143"/>
      <c r="Y156" s="1143"/>
      <c r="Z156" s="1143"/>
      <c r="AA156" s="1143"/>
      <c r="AB156" s="1143"/>
      <c r="AC156" s="1143"/>
      <c r="AD156" s="1143"/>
      <c r="AE156" s="1143"/>
      <c r="AF156" s="1478"/>
      <c r="AG156" s="1478"/>
      <c r="AH156" s="1478"/>
      <c r="AI156" s="1478"/>
      <c r="AJ156" s="1060">
        <f t="shared" si="31"/>
        <v>0</v>
      </c>
      <c r="AK156" s="1061">
        <f t="shared" si="32"/>
        <v>0</v>
      </c>
      <c r="AL156" s="1060">
        <f t="shared" si="33"/>
        <v>0</v>
      </c>
      <c r="AM156" s="1060">
        <f t="shared" si="34"/>
        <v>0</v>
      </c>
      <c r="AN156" s="1060">
        <f t="shared" si="35"/>
        <v>0</v>
      </c>
      <c r="AO156" s="1061">
        <f t="shared" si="36"/>
        <v>0</v>
      </c>
      <c r="AP156" s="1062">
        <f t="shared" si="37"/>
        <v>0</v>
      </c>
      <c r="AQ156" s="888"/>
      <c r="AR156" s="231"/>
      <c r="AS156" s="229" t="e">
        <f>VLOOKUP(C157,'[1]NT 2'!$C$2:$J$259,8,0)</f>
        <v>#N/A</v>
      </c>
      <c r="AT156" s="953" t="e">
        <f t="shared" si="38"/>
        <v>#N/A</v>
      </c>
    </row>
    <row r="157" spans="1:47" ht="24.75" customHeight="1">
      <c r="A157" s="1700">
        <v>146</v>
      </c>
      <c r="B157" s="1703">
        <v>66</v>
      </c>
      <c r="C157" s="163" t="s">
        <v>824</v>
      </c>
      <c r="E157" s="1143"/>
      <c r="F157" s="1143"/>
      <c r="G157" s="1143"/>
      <c r="H157" s="1143"/>
      <c r="I157" s="1143"/>
      <c r="J157" s="1143"/>
      <c r="K157" s="1143"/>
      <c r="L157" s="1143"/>
      <c r="M157" s="1143"/>
      <c r="N157" s="1143"/>
      <c r="O157" s="1143"/>
      <c r="P157" s="1143"/>
      <c r="Q157" s="1143"/>
      <c r="R157" s="1143"/>
      <c r="S157" s="1143"/>
      <c r="T157" s="1143"/>
      <c r="U157" s="1143"/>
      <c r="V157" s="1143"/>
      <c r="W157" s="1143"/>
      <c r="X157" s="1143"/>
      <c r="Y157" s="1143"/>
      <c r="Z157" s="1143"/>
      <c r="AA157" s="1143"/>
      <c r="AB157" s="1143"/>
      <c r="AC157" s="1143"/>
      <c r="AD157" s="1143"/>
      <c r="AE157" s="1143"/>
      <c r="AF157" s="1478"/>
      <c r="AG157" s="1478"/>
      <c r="AH157" s="1478"/>
      <c r="AI157" s="1478"/>
      <c r="AJ157" s="1060">
        <f t="shared" ref="AJ157:AJ174" si="39">SUM(COUNTIF(E157:AI157,"x"))</f>
        <v>0</v>
      </c>
      <c r="AK157" s="1061">
        <f t="shared" ref="AK157:AK174" si="40">SUM(COUNTIF(E157:AI157,"cn"))</f>
        <v>0</v>
      </c>
      <c r="AL157" s="1060">
        <f t="shared" ref="AL157:AL170" si="41">SUM(COUNTIF(E157:AI157,"đ"))</f>
        <v>0</v>
      </c>
      <c r="AM157" s="1060">
        <f t="shared" ref="AM157:AM170" si="42">SUM(COUNTIF(E157:AI157,"đc"))</f>
        <v>0</v>
      </c>
      <c r="AN157" s="1060">
        <f t="shared" ref="AN157:AN170" si="43">SUM(COUNTIF(E157:AI157,"gt"))</f>
        <v>0</v>
      </c>
      <c r="AO157" s="1061">
        <f t="shared" ref="AO157:AO169" si="44">SUM(COUNTIF(E157:AI157,"ct"))</f>
        <v>0</v>
      </c>
      <c r="AP157" s="1062">
        <f t="shared" ref="AP157:AP169" si="45">AJ157+AK157+AL157+AM157+AN157+AO157</f>
        <v>0</v>
      </c>
      <c r="AQ157" s="888"/>
      <c r="AR157" s="231"/>
      <c r="AS157" s="229" t="e">
        <f>VLOOKUP(C158,'[1]NT 2'!$C$2:$J$259,8,0)</f>
        <v>#N/A</v>
      </c>
      <c r="AT157" s="953" t="e">
        <f t="shared" si="38"/>
        <v>#N/A</v>
      </c>
    </row>
    <row r="158" spans="1:47" ht="24.75" customHeight="1">
      <c r="A158" s="1700">
        <v>147</v>
      </c>
      <c r="B158" s="1703">
        <v>67</v>
      </c>
      <c r="C158" s="163" t="s">
        <v>723</v>
      </c>
      <c r="E158" s="1143"/>
      <c r="F158" s="1143"/>
      <c r="G158" s="1143"/>
      <c r="H158" s="1143"/>
      <c r="I158" s="1143"/>
      <c r="J158" s="1143"/>
      <c r="K158" s="1143"/>
      <c r="L158" s="1143"/>
      <c r="M158" s="1143"/>
      <c r="N158" s="1143"/>
      <c r="O158" s="1143"/>
      <c r="P158" s="1143"/>
      <c r="Q158" s="1143"/>
      <c r="R158" s="1143"/>
      <c r="S158" s="1143"/>
      <c r="T158" s="1143"/>
      <c r="U158" s="1143"/>
      <c r="V158" s="1143"/>
      <c r="W158" s="1143"/>
      <c r="X158" s="1143"/>
      <c r="Y158" s="1143"/>
      <c r="Z158" s="1143"/>
      <c r="AA158" s="1143"/>
      <c r="AB158" s="1143"/>
      <c r="AC158" s="1143"/>
      <c r="AD158" s="1143"/>
      <c r="AE158" s="1143"/>
      <c r="AF158" s="1478"/>
      <c r="AG158" s="1478"/>
      <c r="AH158" s="1478"/>
      <c r="AI158" s="1478"/>
      <c r="AJ158" s="1060">
        <f t="shared" si="39"/>
        <v>0</v>
      </c>
      <c r="AK158" s="1061">
        <f t="shared" si="40"/>
        <v>0</v>
      </c>
      <c r="AL158" s="1060">
        <f t="shared" si="41"/>
        <v>0</v>
      </c>
      <c r="AM158" s="1060">
        <f t="shared" si="42"/>
        <v>0</v>
      </c>
      <c r="AN158" s="1060">
        <f t="shared" si="43"/>
        <v>0</v>
      </c>
      <c r="AO158" s="1061">
        <f t="shared" si="44"/>
        <v>0</v>
      </c>
      <c r="AP158" s="1062">
        <f t="shared" si="45"/>
        <v>0</v>
      </c>
      <c r="AQ158" s="888"/>
      <c r="AR158" s="231"/>
      <c r="AS158" s="229" t="str">
        <f>VLOOKUP(C159,'[1]NT 2'!$C$2:$J$259,8,0)</f>
        <v>03581</v>
      </c>
      <c r="AT158" s="953">
        <f t="shared" si="38"/>
        <v>0</v>
      </c>
    </row>
    <row r="159" spans="1:47" ht="24.75" customHeight="1">
      <c r="A159" s="1700">
        <v>148</v>
      </c>
      <c r="B159" s="1703">
        <v>68</v>
      </c>
      <c r="C159" s="163" t="s">
        <v>825</v>
      </c>
      <c r="D159" s="13" t="str">
        <f>VLOOKUP(C159,'[1]NT 2'!$C$2:$J$259,8,0)</f>
        <v>03581</v>
      </c>
      <c r="E159" s="1143"/>
      <c r="F159" s="1143"/>
      <c r="G159" s="1143"/>
      <c r="H159" s="1143"/>
      <c r="I159" s="1143"/>
      <c r="J159" s="1143"/>
      <c r="K159" s="1143"/>
      <c r="L159" s="1143"/>
      <c r="M159" s="1143"/>
      <c r="N159" s="1143"/>
      <c r="O159" s="1143"/>
      <c r="P159" s="1143"/>
      <c r="Q159" s="1143"/>
      <c r="R159" s="1143"/>
      <c r="S159" s="1143"/>
      <c r="T159" s="1143"/>
      <c r="U159" s="1143"/>
      <c r="V159" s="1143"/>
      <c r="W159" s="1143"/>
      <c r="X159" s="1143"/>
      <c r="Y159" s="1143"/>
      <c r="Z159" s="1143"/>
      <c r="AA159" s="1143"/>
      <c r="AB159" s="1143"/>
      <c r="AC159" s="1143"/>
      <c r="AD159" s="1143"/>
      <c r="AE159" s="1143"/>
      <c r="AF159" s="1478"/>
      <c r="AG159" s="1478"/>
      <c r="AH159" s="1478"/>
      <c r="AI159" s="1478"/>
      <c r="AJ159" s="1060">
        <f t="shared" si="39"/>
        <v>0</v>
      </c>
      <c r="AK159" s="1061">
        <f t="shared" si="40"/>
        <v>0</v>
      </c>
      <c r="AL159" s="1060">
        <f t="shared" si="41"/>
        <v>0</v>
      </c>
      <c r="AM159" s="1060">
        <f t="shared" si="42"/>
        <v>0</v>
      </c>
      <c r="AN159" s="1060">
        <f t="shared" si="43"/>
        <v>0</v>
      </c>
      <c r="AO159" s="1061">
        <f t="shared" si="44"/>
        <v>0</v>
      </c>
      <c r="AP159" s="1062">
        <f t="shared" si="45"/>
        <v>0</v>
      </c>
      <c r="AQ159" s="888"/>
      <c r="AR159" s="231"/>
      <c r="AS159" s="229" t="str">
        <f>VLOOKUP(C160,'[1]NT 2'!$C$2:$J$259,8,0)</f>
        <v>03456</v>
      </c>
      <c r="AT159" s="953">
        <f t="shared" si="38"/>
        <v>0</v>
      </c>
    </row>
    <row r="160" spans="1:47" ht="24.75" customHeight="1">
      <c r="A160" s="1700">
        <v>149</v>
      </c>
      <c r="B160" s="1703">
        <v>69</v>
      </c>
      <c r="C160" s="163" t="s">
        <v>647</v>
      </c>
      <c r="D160" s="13" t="str">
        <f>VLOOKUP(C160,'[1]NT 2'!$C$2:$J$259,8,0)</f>
        <v>03456</v>
      </c>
      <c r="E160" s="1143"/>
      <c r="F160" s="1143"/>
      <c r="G160" s="1143"/>
      <c r="H160" s="1143"/>
      <c r="I160" s="1143"/>
      <c r="J160" s="1143"/>
      <c r="K160" s="1143"/>
      <c r="L160" s="1143"/>
      <c r="M160" s="1143"/>
      <c r="N160" s="1143"/>
      <c r="O160" s="1143"/>
      <c r="P160" s="1143"/>
      <c r="Q160" s="1143"/>
      <c r="R160" s="1143"/>
      <c r="S160" s="1143"/>
      <c r="T160" s="1143"/>
      <c r="U160" s="1143"/>
      <c r="V160" s="1143"/>
      <c r="W160" s="1143"/>
      <c r="X160" s="1143"/>
      <c r="Y160" s="1143"/>
      <c r="Z160" s="1143"/>
      <c r="AA160" s="1143"/>
      <c r="AB160" s="1143"/>
      <c r="AC160" s="1143"/>
      <c r="AD160" s="1143"/>
      <c r="AE160" s="1143"/>
      <c r="AF160" s="1478"/>
      <c r="AG160" s="1478"/>
      <c r="AH160" s="1478"/>
      <c r="AI160" s="1478"/>
      <c r="AJ160" s="1060">
        <f t="shared" si="39"/>
        <v>0</v>
      </c>
      <c r="AK160" s="1061">
        <f t="shared" si="40"/>
        <v>0</v>
      </c>
      <c r="AL160" s="1060">
        <f t="shared" si="41"/>
        <v>0</v>
      </c>
      <c r="AM160" s="1060">
        <f t="shared" si="42"/>
        <v>0</v>
      </c>
      <c r="AN160" s="1060">
        <f t="shared" si="43"/>
        <v>0</v>
      </c>
      <c r="AO160" s="1061">
        <f t="shared" si="44"/>
        <v>0</v>
      </c>
      <c r="AP160" s="1062">
        <f t="shared" si="45"/>
        <v>0</v>
      </c>
      <c r="AQ160" s="888"/>
      <c r="AR160" s="231"/>
      <c r="AS160" s="229" t="str">
        <f>VLOOKUP(C161,'[1]NT 2'!$C$2:$J$259,8,0)</f>
        <v>03583</v>
      </c>
      <c r="AT160" s="953">
        <f t="shared" si="38"/>
        <v>0</v>
      </c>
    </row>
    <row r="161" spans="1:47" ht="24.75" customHeight="1">
      <c r="A161" s="1700">
        <v>150</v>
      </c>
      <c r="B161" s="1703">
        <v>70</v>
      </c>
      <c r="C161" s="163" t="s">
        <v>468</v>
      </c>
      <c r="D161" s="13" t="str">
        <f>VLOOKUP(C161,'[1]NT 2'!$C$2:$J$259,8,0)</f>
        <v>03583</v>
      </c>
      <c r="E161" s="1143"/>
      <c r="F161" s="1143"/>
      <c r="G161" s="1143"/>
      <c r="H161" s="1143"/>
      <c r="I161" s="1143"/>
      <c r="J161" s="1143"/>
      <c r="K161" s="1143"/>
      <c r="L161" s="1143"/>
      <c r="M161" s="1143"/>
      <c r="N161" s="1143"/>
      <c r="O161" s="1143"/>
      <c r="P161" s="1143"/>
      <c r="Q161" s="1143"/>
      <c r="R161" s="1143"/>
      <c r="S161" s="1143"/>
      <c r="T161" s="1143"/>
      <c r="U161" s="1143"/>
      <c r="V161" s="1143"/>
      <c r="W161" s="1143"/>
      <c r="X161" s="1143"/>
      <c r="Y161" s="1143"/>
      <c r="Z161" s="1143"/>
      <c r="AA161" s="1143"/>
      <c r="AB161" s="1143"/>
      <c r="AC161" s="1143"/>
      <c r="AD161" s="1143"/>
      <c r="AE161" s="1143"/>
      <c r="AF161" s="1478"/>
      <c r="AG161" s="1478"/>
      <c r="AH161" s="1478"/>
      <c r="AI161" s="1478"/>
      <c r="AJ161" s="1060">
        <f t="shared" si="39"/>
        <v>0</v>
      </c>
      <c r="AK161" s="1061">
        <f t="shared" si="40"/>
        <v>0</v>
      </c>
      <c r="AL161" s="1060">
        <f t="shared" si="41"/>
        <v>0</v>
      </c>
      <c r="AM161" s="1060">
        <f t="shared" si="42"/>
        <v>0</v>
      </c>
      <c r="AN161" s="1060">
        <f t="shared" si="43"/>
        <v>0</v>
      </c>
      <c r="AO161" s="1061">
        <f t="shared" si="44"/>
        <v>0</v>
      </c>
      <c r="AP161" s="1062">
        <f t="shared" si="45"/>
        <v>0</v>
      </c>
      <c r="AQ161" s="888"/>
      <c r="AR161" s="231"/>
      <c r="AS161" s="229" t="e">
        <f>VLOOKUP(C162,'[1]NT 2'!$C$2:$J$259,8,0)</f>
        <v>#N/A</v>
      </c>
      <c r="AT161" s="953" t="e">
        <f t="shared" si="38"/>
        <v>#N/A</v>
      </c>
    </row>
    <row r="162" spans="1:47" ht="24.75" customHeight="1">
      <c r="A162" s="1700">
        <v>151</v>
      </c>
      <c r="B162" s="1703">
        <v>71</v>
      </c>
      <c r="C162" s="163" t="s">
        <v>680</v>
      </c>
      <c r="E162" s="1143"/>
      <c r="F162" s="1143"/>
      <c r="G162" s="1143"/>
      <c r="H162" s="1143"/>
      <c r="I162" s="1143"/>
      <c r="J162" s="1143"/>
      <c r="K162" s="1143"/>
      <c r="L162" s="1143"/>
      <c r="M162" s="1143"/>
      <c r="N162" s="1143"/>
      <c r="O162" s="1143"/>
      <c r="P162" s="1143"/>
      <c r="Q162" s="1143"/>
      <c r="R162" s="1143"/>
      <c r="S162" s="1143"/>
      <c r="T162" s="1143"/>
      <c r="U162" s="1143"/>
      <c r="V162" s="1143"/>
      <c r="W162" s="1143"/>
      <c r="X162" s="1143"/>
      <c r="Y162" s="1143"/>
      <c r="Z162" s="1143"/>
      <c r="AA162" s="1143"/>
      <c r="AB162" s="1143"/>
      <c r="AC162" s="1143"/>
      <c r="AD162" s="1143"/>
      <c r="AE162" s="1143"/>
      <c r="AF162" s="1478"/>
      <c r="AG162" s="1478"/>
      <c r="AH162" s="1478"/>
      <c r="AI162" s="1478"/>
      <c r="AJ162" s="1060">
        <f t="shared" si="39"/>
        <v>0</v>
      </c>
      <c r="AK162" s="1061">
        <f t="shared" si="40"/>
        <v>0</v>
      </c>
      <c r="AL162" s="1060">
        <f t="shared" si="41"/>
        <v>0</v>
      </c>
      <c r="AM162" s="1060">
        <f t="shared" si="42"/>
        <v>0</v>
      </c>
      <c r="AN162" s="1060">
        <f t="shared" si="43"/>
        <v>0</v>
      </c>
      <c r="AO162" s="1061">
        <f t="shared" si="44"/>
        <v>0</v>
      </c>
      <c r="AP162" s="1062">
        <f t="shared" si="45"/>
        <v>0</v>
      </c>
      <c r="AQ162" s="888"/>
      <c r="AR162" s="231"/>
      <c r="AS162" s="229" t="str">
        <f>VLOOKUP(C163,'[1]NT 2'!$C$2:$J$259,8,0)</f>
        <v>03585</v>
      </c>
      <c r="AT162" s="953">
        <f t="shared" si="38"/>
        <v>0</v>
      </c>
    </row>
    <row r="163" spans="1:47" ht="24.75" customHeight="1">
      <c r="A163" s="1700">
        <v>152</v>
      </c>
      <c r="B163" s="1703">
        <v>72</v>
      </c>
      <c r="C163" s="163" t="s">
        <v>681</v>
      </c>
      <c r="D163" s="13" t="str">
        <f>VLOOKUP(C163,'[1]NT 2'!$C$2:$J$259,8,0)</f>
        <v>03585</v>
      </c>
      <c r="E163" s="1143"/>
      <c r="F163" s="1143"/>
      <c r="G163" s="1143"/>
      <c r="H163" s="1143"/>
      <c r="I163" s="1143"/>
      <c r="J163" s="1143"/>
      <c r="K163" s="1143"/>
      <c r="L163" s="1143"/>
      <c r="M163" s="1143"/>
      <c r="N163" s="1143"/>
      <c r="O163" s="1143"/>
      <c r="P163" s="1143"/>
      <c r="Q163" s="1143"/>
      <c r="R163" s="1143"/>
      <c r="S163" s="1143"/>
      <c r="T163" s="1143"/>
      <c r="U163" s="1143"/>
      <c r="V163" s="1143"/>
      <c r="W163" s="1143"/>
      <c r="X163" s="1143"/>
      <c r="Y163" s="1143"/>
      <c r="Z163" s="1143"/>
      <c r="AA163" s="1143"/>
      <c r="AB163" s="1143"/>
      <c r="AC163" s="1143"/>
      <c r="AD163" s="1143"/>
      <c r="AE163" s="1143"/>
      <c r="AF163" s="1478"/>
      <c r="AG163" s="1478"/>
      <c r="AH163" s="1478"/>
      <c r="AI163" s="1478"/>
      <c r="AJ163" s="1060">
        <f t="shared" si="39"/>
        <v>0</v>
      </c>
      <c r="AK163" s="1061">
        <f t="shared" si="40"/>
        <v>0</v>
      </c>
      <c r="AL163" s="1060">
        <f t="shared" si="41"/>
        <v>0</v>
      </c>
      <c r="AM163" s="1060">
        <f t="shared" si="42"/>
        <v>0</v>
      </c>
      <c r="AN163" s="1060">
        <f t="shared" si="43"/>
        <v>0</v>
      </c>
      <c r="AO163" s="1061">
        <f t="shared" si="44"/>
        <v>0</v>
      </c>
      <c r="AP163" s="1062">
        <f t="shared" si="45"/>
        <v>0</v>
      </c>
      <c r="AQ163" s="888"/>
      <c r="AR163" s="231"/>
      <c r="AS163" s="229" t="e">
        <f>VLOOKUP(C164,'[1]NT 2'!$C$2:$J$259,8,0)</f>
        <v>#N/A</v>
      </c>
      <c r="AT163" s="953" t="e">
        <f t="shared" si="38"/>
        <v>#N/A</v>
      </c>
    </row>
    <row r="164" spans="1:47" ht="24.75" customHeight="1">
      <c r="A164" s="1700">
        <v>153</v>
      </c>
      <c r="B164" s="1703">
        <v>73</v>
      </c>
      <c r="C164" s="163" t="s">
        <v>150</v>
      </c>
      <c r="E164" s="1143"/>
      <c r="F164" s="1143"/>
      <c r="G164" s="1143"/>
      <c r="H164" s="1143"/>
      <c r="I164" s="1143"/>
      <c r="J164" s="1143"/>
      <c r="K164" s="1143"/>
      <c r="L164" s="1143"/>
      <c r="M164" s="1143"/>
      <c r="N164" s="1143"/>
      <c r="O164" s="1143"/>
      <c r="P164" s="1143"/>
      <c r="Q164" s="1143"/>
      <c r="R164" s="1143"/>
      <c r="S164" s="1143"/>
      <c r="T164" s="1143"/>
      <c r="U164" s="1143"/>
      <c r="V164" s="1143"/>
      <c r="W164" s="1143"/>
      <c r="X164" s="1143"/>
      <c r="Y164" s="1143"/>
      <c r="Z164" s="1143"/>
      <c r="AA164" s="1143"/>
      <c r="AB164" s="1143"/>
      <c r="AC164" s="1143"/>
      <c r="AD164" s="1143"/>
      <c r="AE164" s="1143"/>
      <c r="AF164" s="1478"/>
      <c r="AG164" s="1478"/>
      <c r="AH164" s="1478"/>
      <c r="AI164" s="1478"/>
      <c r="AJ164" s="1060">
        <f t="shared" si="39"/>
        <v>0</v>
      </c>
      <c r="AK164" s="1061">
        <f t="shared" si="40"/>
        <v>0</v>
      </c>
      <c r="AL164" s="1060">
        <f t="shared" si="41"/>
        <v>0</v>
      </c>
      <c r="AM164" s="1060">
        <f t="shared" si="42"/>
        <v>0</v>
      </c>
      <c r="AN164" s="1060">
        <f t="shared" si="43"/>
        <v>0</v>
      </c>
      <c r="AO164" s="1061">
        <f t="shared" si="44"/>
        <v>0</v>
      </c>
      <c r="AP164" s="1062">
        <f t="shared" si="45"/>
        <v>0</v>
      </c>
      <c r="AQ164" s="888"/>
      <c r="AR164" s="231"/>
      <c r="AS164" s="229" t="e">
        <f>VLOOKUP(C165,'[1]NT 2'!$C$2:$J$259,8,0)</f>
        <v>#N/A</v>
      </c>
      <c r="AT164" s="953" t="e">
        <f t="shared" si="38"/>
        <v>#N/A</v>
      </c>
    </row>
    <row r="165" spans="1:47" ht="24.75" customHeight="1">
      <c r="A165" s="1700">
        <v>154</v>
      </c>
      <c r="B165" s="1703">
        <v>74</v>
      </c>
      <c r="C165" s="163" t="s">
        <v>724</v>
      </c>
      <c r="E165" s="1143"/>
      <c r="F165" s="1143"/>
      <c r="G165" s="1143"/>
      <c r="H165" s="1143"/>
      <c r="I165" s="1143"/>
      <c r="J165" s="1143"/>
      <c r="K165" s="1143"/>
      <c r="L165" s="1143"/>
      <c r="M165" s="1143"/>
      <c r="N165" s="1143"/>
      <c r="O165" s="1143"/>
      <c r="P165" s="1143"/>
      <c r="Q165" s="1143"/>
      <c r="R165" s="1143"/>
      <c r="S165" s="1143"/>
      <c r="T165" s="1143"/>
      <c r="U165" s="1143"/>
      <c r="V165" s="1143"/>
      <c r="W165" s="1143"/>
      <c r="X165" s="1143"/>
      <c r="Y165" s="1143"/>
      <c r="Z165" s="1143"/>
      <c r="AA165" s="1143"/>
      <c r="AB165" s="1143"/>
      <c r="AC165" s="1143"/>
      <c r="AD165" s="1143"/>
      <c r="AE165" s="1143"/>
      <c r="AF165" s="1478"/>
      <c r="AG165" s="1478"/>
      <c r="AH165" s="1478"/>
      <c r="AI165" s="1478"/>
      <c r="AJ165" s="1060">
        <f t="shared" si="39"/>
        <v>0</v>
      </c>
      <c r="AK165" s="1061">
        <f t="shared" si="40"/>
        <v>0</v>
      </c>
      <c r="AL165" s="1060">
        <f t="shared" si="41"/>
        <v>0</v>
      </c>
      <c r="AM165" s="1060">
        <f t="shared" si="42"/>
        <v>0</v>
      </c>
      <c r="AN165" s="1060">
        <f t="shared" si="43"/>
        <v>0</v>
      </c>
      <c r="AO165" s="1061">
        <f t="shared" si="44"/>
        <v>0</v>
      </c>
      <c r="AP165" s="1062">
        <f t="shared" si="45"/>
        <v>0</v>
      </c>
      <c r="AQ165" s="888"/>
      <c r="AR165" s="231"/>
      <c r="AS165" s="229" t="e">
        <f>VLOOKUP(C166,'[1]NT 2'!$C$2:$J$259,8,0)</f>
        <v>#N/A</v>
      </c>
      <c r="AT165" s="953" t="e">
        <f t="shared" si="38"/>
        <v>#N/A</v>
      </c>
    </row>
    <row r="166" spans="1:47" ht="24.75" customHeight="1">
      <c r="A166" s="1700">
        <v>155</v>
      </c>
      <c r="B166" s="1703">
        <v>75</v>
      </c>
      <c r="C166" s="163" t="s">
        <v>736</v>
      </c>
      <c r="E166" s="1143"/>
      <c r="F166" s="1143"/>
      <c r="G166" s="1143"/>
      <c r="H166" s="1143"/>
      <c r="I166" s="1143"/>
      <c r="J166" s="1143"/>
      <c r="K166" s="1143"/>
      <c r="L166" s="1143"/>
      <c r="M166" s="1143"/>
      <c r="N166" s="1143"/>
      <c r="O166" s="1143"/>
      <c r="P166" s="1143"/>
      <c r="Q166" s="1143"/>
      <c r="R166" s="1143"/>
      <c r="S166" s="1143"/>
      <c r="T166" s="1143"/>
      <c r="U166" s="1143"/>
      <c r="V166" s="1143"/>
      <c r="W166" s="1143"/>
      <c r="X166" s="1143"/>
      <c r="Y166" s="1143"/>
      <c r="Z166" s="1143"/>
      <c r="AA166" s="1143"/>
      <c r="AB166" s="1143"/>
      <c r="AC166" s="1143"/>
      <c r="AD166" s="1143"/>
      <c r="AE166" s="1143"/>
      <c r="AF166" s="1478"/>
      <c r="AG166" s="1478"/>
      <c r="AH166" s="1478"/>
      <c r="AI166" s="1478"/>
      <c r="AJ166" s="1060">
        <f t="shared" si="39"/>
        <v>0</v>
      </c>
      <c r="AK166" s="1061">
        <f t="shared" si="40"/>
        <v>0</v>
      </c>
      <c r="AL166" s="1060">
        <f t="shared" si="41"/>
        <v>0</v>
      </c>
      <c r="AM166" s="1060">
        <f t="shared" si="42"/>
        <v>0</v>
      </c>
      <c r="AN166" s="1060">
        <f t="shared" si="43"/>
        <v>0</v>
      </c>
      <c r="AO166" s="1061">
        <f t="shared" si="44"/>
        <v>0</v>
      </c>
      <c r="AP166" s="1062">
        <f t="shared" si="45"/>
        <v>0</v>
      </c>
      <c r="AQ166" s="888"/>
      <c r="AR166" s="231"/>
      <c r="AT166" s="953">
        <f t="shared" si="38"/>
        <v>0</v>
      </c>
    </row>
    <row r="167" spans="1:47" ht="24.75" customHeight="1">
      <c r="A167" s="1700">
        <v>156</v>
      </c>
      <c r="B167" s="1703">
        <v>76</v>
      </c>
      <c r="C167" s="163" t="s">
        <v>737</v>
      </c>
      <c r="E167" s="1143"/>
      <c r="F167" s="1143"/>
      <c r="G167" s="1143"/>
      <c r="H167" s="1143"/>
      <c r="I167" s="1143"/>
      <c r="J167" s="1143"/>
      <c r="K167" s="1143"/>
      <c r="L167" s="1143"/>
      <c r="M167" s="1143"/>
      <c r="N167" s="1143"/>
      <c r="O167" s="1143"/>
      <c r="P167" s="1143"/>
      <c r="Q167" s="1143"/>
      <c r="R167" s="1143"/>
      <c r="S167" s="1143"/>
      <c r="T167" s="1143"/>
      <c r="U167" s="1143"/>
      <c r="V167" s="1143"/>
      <c r="W167" s="1143"/>
      <c r="X167" s="1143"/>
      <c r="Y167" s="1143"/>
      <c r="Z167" s="1143"/>
      <c r="AA167" s="1143"/>
      <c r="AB167" s="1143"/>
      <c r="AC167" s="1143"/>
      <c r="AD167" s="1143"/>
      <c r="AE167" s="1143"/>
      <c r="AF167" s="1478"/>
      <c r="AG167" s="1478"/>
      <c r="AH167" s="1478"/>
      <c r="AI167" s="1478"/>
      <c r="AJ167" s="1060">
        <f t="shared" si="39"/>
        <v>0</v>
      </c>
      <c r="AK167" s="1061">
        <f t="shared" si="40"/>
        <v>0</v>
      </c>
      <c r="AL167" s="1060">
        <f t="shared" si="41"/>
        <v>0</v>
      </c>
      <c r="AM167" s="1060">
        <f t="shared" si="42"/>
        <v>0</v>
      </c>
      <c r="AN167" s="1060">
        <f t="shared" si="43"/>
        <v>0</v>
      </c>
      <c r="AO167" s="1061">
        <f t="shared" si="44"/>
        <v>0</v>
      </c>
      <c r="AP167" s="1062">
        <f t="shared" si="45"/>
        <v>0</v>
      </c>
      <c r="AQ167" s="888"/>
      <c r="AR167" s="231"/>
      <c r="AT167" s="953">
        <f t="shared" si="38"/>
        <v>0</v>
      </c>
    </row>
    <row r="168" spans="1:47" ht="24.75" customHeight="1">
      <c r="A168" s="1700">
        <v>157</v>
      </c>
      <c r="B168" s="1703">
        <v>77</v>
      </c>
      <c r="C168" s="1107" t="s">
        <v>761</v>
      </c>
      <c r="E168" s="1478"/>
      <c r="F168" s="1478"/>
      <c r="G168" s="1478"/>
      <c r="H168" s="1478"/>
      <c r="I168" s="1478"/>
      <c r="J168" s="1478"/>
      <c r="K168" s="1478"/>
      <c r="L168" s="1478"/>
      <c r="M168" s="1478"/>
      <c r="N168" s="1478"/>
      <c r="O168" s="1478"/>
      <c r="P168" s="1478"/>
      <c r="Q168" s="1478"/>
      <c r="R168" s="1478"/>
      <c r="S168" s="1478"/>
      <c r="T168" s="1478"/>
      <c r="U168" s="1478"/>
      <c r="V168" s="1478"/>
      <c r="W168" s="1478"/>
      <c r="X168" s="1478"/>
      <c r="Y168" s="1478"/>
      <c r="Z168" s="1478"/>
      <c r="AA168" s="1478"/>
      <c r="AB168" s="1478"/>
      <c r="AC168" s="1478"/>
      <c r="AD168" s="1478"/>
      <c r="AE168" s="1478"/>
      <c r="AF168" s="1478"/>
      <c r="AG168" s="1478"/>
      <c r="AH168" s="1478"/>
      <c r="AI168" s="1478"/>
      <c r="AJ168" s="1060">
        <f t="shared" si="39"/>
        <v>0</v>
      </c>
      <c r="AK168" s="1061">
        <f t="shared" si="40"/>
        <v>0</v>
      </c>
      <c r="AL168" s="1060">
        <f t="shared" si="41"/>
        <v>0</v>
      </c>
      <c r="AM168" s="1060">
        <f t="shared" si="42"/>
        <v>0</v>
      </c>
      <c r="AN168" s="1060">
        <f t="shared" si="43"/>
        <v>0</v>
      </c>
      <c r="AO168" s="1061">
        <f t="shared" si="44"/>
        <v>0</v>
      </c>
      <c r="AP168" s="1062">
        <f t="shared" si="45"/>
        <v>0</v>
      </c>
      <c r="AQ168" s="888"/>
      <c r="AR168" s="231"/>
      <c r="AT168" s="953">
        <f t="shared" si="38"/>
        <v>0</v>
      </c>
    </row>
    <row r="169" spans="1:47" ht="24.75" customHeight="1">
      <c r="A169" s="1700">
        <v>158</v>
      </c>
      <c r="B169" s="1703">
        <v>78</v>
      </c>
      <c r="C169" s="1107" t="s">
        <v>762</v>
      </c>
      <c r="E169" s="1478"/>
      <c r="F169" s="1478"/>
      <c r="G169" s="1478"/>
      <c r="H169" s="1478"/>
      <c r="I169" s="1478"/>
      <c r="J169" s="1478"/>
      <c r="K169" s="1478"/>
      <c r="L169" s="1478"/>
      <c r="M169" s="1478"/>
      <c r="N169" s="1478"/>
      <c r="O169" s="1478"/>
      <c r="P169" s="1478"/>
      <c r="Q169" s="1478"/>
      <c r="R169" s="1478"/>
      <c r="S169" s="1478"/>
      <c r="T169" s="1478"/>
      <c r="U169" s="1478"/>
      <c r="V169" s="1478"/>
      <c r="W169" s="1478"/>
      <c r="X169" s="1478"/>
      <c r="Y169" s="1478"/>
      <c r="Z169" s="1478"/>
      <c r="AA169" s="1478"/>
      <c r="AB169" s="1478"/>
      <c r="AC169" s="1478"/>
      <c r="AD169" s="1478"/>
      <c r="AE169" s="1478"/>
      <c r="AF169" s="1478"/>
      <c r="AG169" s="1478"/>
      <c r="AH169" s="1478"/>
      <c r="AI169" s="1478"/>
      <c r="AJ169" s="1060">
        <f t="shared" si="39"/>
        <v>0</v>
      </c>
      <c r="AK169" s="1061">
        <f t="shared" si="40"/>
        <v>0</v>
      </c>
      <c r="AL169" s="1060">
        <f t="shared" si="41"/>
        <v>0</v>
      </c>
      <c r="AM169" s="1060">
        <f t="shared" si="42"/>
        <v>0</v>
      </c>
      <c r="AN169" s="1060">
        <f t="shared" si="43"/>
        <v>0</v>
      </c>
      <c r="AO169" s="1061">
        <f t="shared" si="44"/>
        <v>0</v>
      </c>
      <c r="AP169" s="1062">
        <f t="shared" si="45"/>
        <v>0</v>
      </c>
      <c r="AQ169" s="888"/>
      <c r="AR169" s="231"/>
      <c r="AT169" s="953">
        <f t="shared" si="38"/>
        <v>0</v>
      </c>
    </row>
    <row r="170" spans="1:47" ht="24.75" customHeight="1">
      <c r="A170" s="1700">
        <v>159</v>
      </c>
      <c r="B170" s="1703">
        <v>79</v>
      </c>
      <c r="C170" s="1107" t="s">
        <v>763</v>
      </c>
      <c r="E170" s="1478"/>
      <c r="F170" s="1478"/>
      <c r="G170" s="1478"/>
      <c r="H170" s="1478"/>
      <c r="I170" s="1478"/>
      <c r="J170" s="1478"/>
      <c r="K170" s="1478"/>
      <c r="L170" s="1478"/>
      <c r="M170" s="1478"/>
      <c r="N170" s="1478"/>
      <c r="O170" s="1478"/>
      <c r="P170" s="1478"/>
      <c r="Q170" s="1478"/>
      <c r="R170" s="1478"/>
      <c r="S170" s="1478"/>
      <c r="T170" s="1478"/>
      <c r="U170" s="1478"/>
      <c r="V170" s="1478"/>
      <c r="W170" s="1478"/>
      <c r="X170" s="1478"/>
      <c r="Y170" s="1478"/>
      <c r="Z170" s="1478"/>
      <c r="AA170" s="1478"/>
      <c r="AB170" s="1478"/>
      <c r="AC170" s="1478"/>
      <c r="AD170" s="1478"/>
      <c r="AE170" s="1478"/>
      <c r="AF170" s="1478"/>
      <c r="AG170" s="1478"/>
      <c r="AH170" s="1478"/>
      <c r="AI170" s="1478"/>
      <c r="AJ170" s="1060">
        <f t="shared" si="39"/>
        <v>0</v>
      </c>
      <c r="AK170" s="1061">
        <f t="shared" si="40"/>
        <v>0</v>
      </c>
      <c r="AL170" s="1060">
        <f t="shared" si="41"/>
        <v>0</v>
      </c>
      <c r="AM170" s="1060">
        <f t="shared" si="42"/>
        <v>0</v>
      </c>
      <c r="AN170" s="1060">
        <f t="shared" si="43"/>
        <v>0</v>
      </c>
      <c r="AO170" s="1061">
        <f>SUM(COUNTIF(E170:AI170,"ct"))</f>
        <v>0</v>
      </c>
      <c r="AP170" s="1062">
        <f>AJ170+AK170+AL170+AM170+AN170+AO170</f>
        <v>0</v>
      </c>
      <c r="AQ170" s="888"/>
      <c r="AR170" s="231"/>
      <c r="AT170" s="953">
        <f>D176-AS170</f>
        <v>0</v>
      </c>
    </row>
    <row r="171" spans="1:47" ht="24.75" customHeight="1">
      <c r="A171" s="1700">
        <v>160</v>
      </c>
      <c r="B171" s="1703">
        <v>80</v>
      </c>
      <c r="C171" s="1271" t="s">
        <v>976</v>
      </c>
      <c r="E171" s="1478"/>
      <c r="F171" s="1478"/>
      <c r="G171" s="1478"/>
      <c r="H171" s="1478"/>
      <c r="I171" s="1478"/>
      <c r="J171" s="1478"/>
      <c r="K171" s="1478"/>
      <c r="L171" s="1478"/>
      <c r="M171" s="1478"/>
      <c r="N171" s="1478"/>
      <c r="O171" s="1478"/>
      <c r="P171" s="1478"/>
      <c r="Q171" s="1478"/>
      <c r="R171" s="1478"/>
      <c r="S171" s="1478"/>
      <c r="T171" s="1478"/>
      <c r="U171" s="1478"/>
      <c r="V171" s="1478"/>
      <c r="W171" s="1478"/>
      <c r="X171" s="1478"/>
      <c r="Y171" s="1478"/>
      <c r="Z171" s="1478"/>
      <c r="AA171" s="1478"/>
      <c r="AB171" s="1478"/>
      <c r="AC171" s="1478"/>
      <c r="AD171" s="1478"/>
      <c r="AE171" s="1478"/>
      <c r="AF171" s="1478"/>
      <c r="AG171" s="1478"/>
      <c r="AH171" s="1478"/>
      <c r="AI171" s="1478"/>
      <c r="AJ171" s="1060">
        <f t="shared" si="39"/>
        <v>0</v>
      </c>
      <c r="AK171" s="1061">
        <f t="shared" si="40"/>
        <v>0</v>
      </c>
      <c r="AL171" s="1060">
        <f t="shared" ref="AL171" si="46">SUM(COUNTIF(E171:AI171,"đ"))</f>
        <v>0</v>
      </c>
      <c r="AM171" s="1060">
        <f t="shared" ref="AM171" si="47">SUM(COUNTIF(E171:AI171,"đc"))</f>
        <v>0</v>
      </c>
      <c r="AN171" s="1060">
        <f t="shared" ref="AN171" si="48">SUM(COUNTIF(E171:AI171,"gt"))</f>
        <v>0</v>
      </c>
      <c r="AO171" s="1061">
        <f>SUM(COUNTIF(E171:AI171,"ct"))</f>
        <v>0</v>
      </c>
      <c r="AP171" s="1062">
        <f>AJ171+AK171+AL171+AM171+AN171+AO171</f>
        <v>0</v>
      </c>
      <c r="AQ171" s="888"/>
      <c r="AR171" s="231"/>
    </row>
    <row r="172" spans="1:47" ht="24.75" customHeight="1">
      <c r="A172" s="1700">
        <v>161</v>
      </c>
      <c r="B172" s="1703">
        <v>81</v>
      </c>
      <c r="C172" s="1271" t="s">
        <v>977</v>
      </c>
      <c r="E172" s="1478"/>
      <c r="F172" s="1478"/>
      <c r="G172" s="1478"/>
      <c r="H172" s="1478"/>
      <c r="I172" s="1478"/>
      <c r="J172" s="1478"/>
      <c r="K172" s="1478"/>
      <c r="L172" s="1478"/>
      <c r="M172" s="1478"/>
      <c r="N172" s="1478"/>
      <c r="O172" s="1478"/>
      <c r="P172" s="1478"/>
      <c r="Q172" s="1478"/>
      <c r="R172" s="1478"/>
      <c r="S172" s="1478"/>
      <c r="T172" s="1478"/>
      <c r="U172" s="1478"/>
      <c r="V172" s="1478"/>
      <c r="W172" s="1478"/>
      <c r="X172" s="1478"/>
      <c r="Y172" s="1478"/>
      <c r="Z172" s="1478"/>
      <c r="AA172" s="1478"/>
      <c r="AB172" s="1478"/>
      <c r="AC172" s="1478"/>
      <c r="AD172" s="1478"/>
      <c r="AE172" s="1478"/>
      <c r="AF172" s="1478"/>
      <c r="AG172" s="1478"/>
      <c r="AH172" s="1478"/>
      <c r="AI172" s="1478"/>
      <c r="AJ172" s="1060">
        <f t="shared" si="39"/>
        <v>0</v>
      </c>
      <c r="AK172" s="1061">
        <f t="shared" si="40"/>
        <v>0</v>
      </c>
      <c r="AL172" s="1060">
        <f t="shared" ref="AL172:AL174" si="49">SUM(COUNTIF(E172:AI172,"đ"))</f>
        <v>0</v>
      </c>
      <c r="AM172" s="1060">
        <f t="shared" ref="AM172:AM174" si="50">SUM(COUNTIF(E172:AI172,"đc"))</f>
        <v>0</v>
      </c>
      <c r="AN172" s="1060">
        <f t="shared" ref="AN172:AN174" si="51">SUM(COUNTIF(E172:AI172,"gt"))</f>
        <v>0</v>
      </c>
      <c r="AO172" s="1061">
        <f t="shared" ref="AO172:AO174" si="52">SUM(COUNTIF(E172:AI172,"ct"))</f>
        <v>0</v>
      </c>
      <c r="AP172" s="1062">
        <f t="shared" ref="AP172:AP174" si="53">AJ172+AK172+AL172+AM172+AN172+AO172</f>
        <v>0</v>
      </c>
      <c r="AQ172" s="888"/>
      <c r="AR172" s="231"/>
    </row>
    <row r="173" spans="1:47" ht="24.75" customHeight="1">
      <c r="A173" s="1700">
        <v>162</v>
      </c>
      <c r="B173" s="1703">
        <v>82</v>
      </c>
      <c r="C173" s="1271" t="s">
        <v>978</v>
      </c>
      <c r="E173" s="1478"/>
      <c r="F173" s="1478"/>
      <c r="G173" s="1478"/>
      <c r="H173" s="1478"/>
      <c r="I173" s="1478"/>
      <c r="J173" s="1478"/>
      <c r="K173" s="1478"/>
      <c r="L173" s="1478"/>
      <c r="M173" s="1478"/>
      <c r="N173" s="1478"/>
      <c r="O173" s="1478"/>
      <c r="P173" s="1478"/>
      <c r="Q173" s="1478"/>
      <c r="R173" s="1478"/>
      <c r="S173" s="1478"/>
      <c r="T173" s="1478"/>
      <c r="U173" s="1478"/>
      <c r="V173" s="1478"/>
      <c r="W173" s="1478"/>
      <c r="X173" s="1478"/>
      <c r="Y173" s="1478"/>
      <c r="Z173" s="1478"/>
      <c r="AA173" s="1478"/>
      <c r="AB173" s="1478"/>
      <c r="AC173" s="1478"/>
      <c r="AD173" s="1478"/>
      <c r="AE173" s="1478"/>
      <c r="AF173" s="1478"/>
      <c r="AG173" s="1478"/>
      <c r="AH173" s="1478"/>
      <c r="AI173" s="1478"/>
      <c r="AJ173" s="1060">
        <f t="shared" si="39"/>
        <v>0</v>
      </c>
      <c r="AK173" s="1061">
        <f t="shared" si="40"/>
        <v>0</v>
      </c>
      <c r="AL173" s="1060">
        <f t="shared" si="49"/>
        <v>0</v>
      </c>
      <c r="AM173" s="1060">
        <f t="shared" si="50"/>
        <v>0</v>
      </c>
      <c r="AN173" s="1060">
        <f t="shared" si="51"/>
        <v>0</v>
      </c>
      <c r="AO173" s="1061">
        <f t="shared" si="52"/>
        <v>0</v>
      </c>
      <c r="AP173" s="1062">
        <f t="shared" si="53"/>
        <v>0</v>
      </c>
      <c r="AQ173" s="888"/>
      <c r="AR173" s="231"/>
    </row>
    <row r="174" spans="1:47" ht="24.75" customHeight="1">
      <c r="A174" s="1700">
        <v>163</v>
      </c>
      <c r="B174" s="1703">
        <v>83</v>
      </c>
      <c r="C174" s="1271" t="s">
        <v>979</v>
      </c>
      <c r="E174" s="1478"/>
      <c r="F174" s="1478"/>
      <c r="G174" s="1478"/>
      <c r="H174" s="1478"/>
      <c r="I174" s="1478"/>
      <c r="J174" s="1478"/>
      <c r="K174" s="1478"/>
      <c r="L174" s="1478"/>
      <c r="M174" s="1478"/>
      <c r="N174" s="1478"/>
      <c r="O174" s="1478"/>
      <c r="P174" s="1478"/>
      <c r="Q174" s="1478"/>
      <c r="R174" s="1478"/>
      <c r="S174" s="1478"/>
      <c r="T174" s="1478"/>
      <c r="U174" s="1478"/>
      <c r="V174" s="1478"/>
      <c r="W174" s="1478"/>
      <c r="X174" s="1478"/>
      <c r="Y174" s="1478"/>
      <c r="Z174" s="1478"/>
      <c r="AA174" s="1478"/>
      <c r="AB174" s="1478"/>
      <c r="AC174" s="1478"/>
      <c r="AD174" s="1478"/>
      <c r="AE174" s="1478"/>
      <c r="AF174" s="1478"/>
      <c r="AG174" s="1478"/>
      <c r="AH174" s="1478"/>
      <c r="AI174" s="1478"/>
      <c r="AJ174" s="1060">
        <f t="shared" si="39"/>
        <v>0</v>
      </c>
      <c r="AK174" s="1061">
        <f t="shared" si="40"/>
        <v>0</v>
      </c>
      <c r="AL174" s="1060">
        <f t="shared" si="49"/>
        <v>0</v>
      </c>
      <c r="AM174" s="1060">
        <f t="shared" si="50"/>
        <v>0</v>
      </c>
      <c r="AN174" s="1060">
        <f t="shared" si="51"/>
        <v>0</v>
      </c>
      <c r="AO174" s="1061">
        <f t="shared" si="52"/>
        <v>0</v>
      </c>
      <c r="AP174" s="1062">
        <f t="shared" si="53"/>
        <v>0</v>
      </c>
      <c r="AQ174" s="888"/>
      <c r="AR174" s="231"/>
    </row>
    <row r="175" spans="1:47" ht="24.75" customHeight="1">
      <c r="A175" s="1700">
        <v>164</v>
      </c>
      <c r="B175" s="1703">
        <v>84</v>
      </c>
      <c r="C175" s="1271" t="s">
        <v>1007</v>
      </c>
      <c r="E175" s="1478"/>
      <c r="F175" s="1478"/>
      <c r="G175" s="1478"/>
      <c r="H175" s="1478"/>
      <c r="I175" s="1478"/>
      <c r="J175" s="1478"/>
      <c r="K175" s="1478"/>
      <c r="L175" s="1478"/>
      <c r="M175" s="1478"/>
      <c r="N175" s="1478"/>
      <c r="O175" s="1478"/>
      <c r="P175" s="1478"/>
      <c r="Q175" s="1478"/>
      <c r="R175" s="1478"/>
      <c r="S175" s="1478"/>
      <c r="T175" s="1478"/>
      <c r="U175" s="1478"/>
      <c r="V175" s="1478"/>
      <c r="W175" s="1478"/>
      <c r="X175" s="1478"/>
      <c r="Y175" s="1478"/>
      <c r="Z175" s="1478"/>
      <c r="AA175" s="1478"/>
      <c r="AB175" s="1478"/>
      <c r="AC175" s="1478"/>
      <c r="AD175" s="1478"/>
      <c r="AE175" s="1478"/>
      <c r="AF175" s="1478"/>
      <c r="AG175" s="1478"/>
      <c r="AH175" s="1478"/>
      <c r="AI175" s="1478"/>
      <c r="AJ175" s="1060">
        <f t="shared" ref="AJ175" si="54">SUM(COUNTIF(E175:AI175,"x"))</f>
        <v>0</v>
      </c>
      <c r="AK175" s="1061">
        <f t="shared" ref="AK175" si="55">SUM(COUNTIF(E175:AI175,"cn"))</f>
        <v>0</v>
      </c>
      <c r="AL175" s="1060">
        <f t="shared" ref="AL175" si="56">SUM(COUNTIF(E175:AI175,"đ"))</f>
        <v>0</v>
      </c>
      <c r="AM175" s="1060">
        <f t="shared" ref="AM175" si="57">SUM(COUNTIF(E175:AI175,"đc"))</f>
        <v>0</v>
      </c>
      <c r="AN175" s="1060">
        <f t="shared" ref="AN175" si="58">SUM(COUNTIF(E175:AI175,"gt"))</f>
        <v>0</v>
      </c>
      <c r="AO175" s="1061">
        <f t="shared" ref="AO175" si="59">SUM(COUNTIF(E175:AI175,"ct"))</f>
        <v>0</v>
      </c>
      <c r="AP175" s="1062">
        <f t="shared" ref="AP175" si="60">AJ175+AK175+AL175+AM175+AN175+AO175</f>
        <v>0</v>
      </c>
      <c r="AQ175" s="888"/>
      <c r="AR175" s="231"/>
    </row>
    <row r="176" spans="1:47" s="1230" customFormat="1" ht="24.75" customHeight="1">
      <c r="A176" s="1226"/>
      <c r="B176" s="1891" t="s">
        <v>112</v>
      </c>
      <c r="C176" s="1891"/>
      <c r="D176" s="1227"/>
      <c r="E176" s="1228">
        <f>SUM(COUNTIF(E177:E238,"x"))+(COUNTIF(E177:E238,"cn"))+(COUNTIF(E177:E238,"cnđ"))+(COUNTIF(E177:E238,"đ"))</f>
        <v>0</v>
      </c>
      <c r="F176" s="1228">
        <f t="shared" ref="F176:AH176" si="61">SUM(COUNTIF(F177:F238,"x"))+(COUNTIF(F177:F238,"cn"))+(COUNTIF(F177:F238,"cnđ"))+(COUNTIF(F177:F238,"đ"))</f>
        <v>0</v>
      </c>
      <c r="G176" s="1228">
        <f t="shared" si="61"/>
        <v>0</v>
      </c>
      <c r="H176" s="1228">
        <f t="shared" si="61"/>
        <v>0</v>
      </c>
      <c r="I176" s="1228">
        <f t="shared" si="61"/>
        <v>0</v>
      </c>
      <c r="J176" s="1228">
        <f t="shared" si="61"/>
        <v>0</v>
      </c>
      <c r="K176" s="1228">
        <f t="shared" si="61"/>
        <v>0</v>
      </c>
      <c r="L176" s="1228">
        <f t="shared" si="61"/>
        <v>0</v>
      </c>
      <c r="M176" s="1228">
        <f t="shared" si="61"/>
        <v>0</v>
      </c>
      <c r="N176" s="1228">
        <f t="shared" si="61"/>
        <v>0</v>
      </c>
      <c r="O176" s="1228">
        <f t="shared" si="61"/>
        <v>0</v>
      </c>
      <c r="P176" s="1228">
        <f t="shared" si="61"/>
        <v>0</v>
      </c>
      <c r="Q176" s="1228">
        <f t="shared" si="61"/>
        <v>0</v>
      </c>
      <c r="R176" s="1228">
        <f t="shared" si="61"/>
        <v>0</v>
      </c>
      <c r="S176" s="1228">
        <f t="shared" si="61"/>
        <v>0</v>
      </c>
      <c r="T176" s="1228">
        <f t="shared" si="61"/>
        <v>0</v>
      </c>
      <c r="U176" s="1228">
        <f t="shared" si="61"/>
        <v>0</v>
      </c>
      <c r="V176" s="1228">
        <f t="shared" si="61"/>
        <v>0</v>
      </c>
      <c r="W176" s="1228">
        <f t="shared" si="61"/>
        <v>0</v>
      </c>
      <c r="X176" s="1228">
        <f t="shared" si="61"/>
        <v>0</v>
      </c>
      <c r="Y176" s="1228">
        <f t="shared" si="61"/>
        <v>0</v>
      </c>
      <c r="Z176" s="1228">
        <f t="shared" si="61"/>
        <v>0</v>
      </c>
      <c r="AA176" s="1228">
        <f t="shared" si="61"/>
        <v>0</v>
      </c>
      <c r="AB176" s="1228">
        <f t="shared" si="61"/>
        <v>0</v>
      </c>
      <c r="AC176" s="1228">
        <f t="shared" si="61"/>
        <v>0</v>
      </c>
      <c r="AD176" s="1228">
        <f t="shared" si="61"/>
        <v>0</v>
      </c>
      <c r="AE176" s="1228">
        <f t="shared" si="61"/>
        <v>0</v>
      </c>
      <c r="AF176" s="1228">
        <f t="shared" si="61"/>
        <v>0</v>
      </c>
      <c r="AG176" s="1228">
        <f t="shared" si="61"/>
        <v>0</v>
      </c>
      <c r="AH176" s="1228">
        <f t="shared" si="61"/>
        <v>0</v>
      </c>
      <c r="AI176" s="1228">
        <f t="shared" ref="AI176" si="62">SUM(COUNTIF(AI177:AI238,"x"))+(COUNTIF(AI177:AI238,"cn"))</f>
        <v>0</v>
      </c>
      <c r="AJ176" s="1025">
        <f>SUM(AJ177:AJ238)</f>
        <v>0</v>
      </c>
      <c r="AK176" s="1025">
        <f t="shared" ref="AK176:AP176" si="63">SUM(AK177:AK238)</f>
        <v>0</v>
      </c>
      <c r="AL176" s="1025">
        <f t="shared" si="63"/>
        <v>0</v>
      </c>
      <c r="AM176" s="1025">
        <f t="shared" si="63"/>
        <v>0</v>
      </c>
      <c r="AN176" s="1025">
        <f t="shared" si="63"/>
        <v>0</v>
      </c>
      <c r="AO176" s="1025">
        <f t="shared" si="63"/>
        <v>0</v>
      </c>
      <c r="AP176" s="1025">
        <f t="shared" si="63"/>
        <v>0</v>
      </c>
      <c r="AQ176" s="1226"/>
      <c r="AR176" s="1229"/>
      <c r="AS176" s="1230" t="str">
        <f>VLOOKUP(C177,'[1]NT 2'!$C$2:$J$259,8,0)</f>
        <v>03588</v>
      </c>
      <c r="AT176" s="1231">
        <f t="shared" si="38"/>
        <v>0</v>
      </c>
      <c r="AU176" s="1230">
        <v>869</v>
      </c>
    </row>
    <row r="177" spans="1:47" ht="24.75" customHeight="1">
      <c r="A177" s="1519">
        <v>165</v>
      </c>
      <c r="B177" s="1064">
        <v>1</v>
      </c>
      <c r="C177" s="163" t="s">
        <v>320</v>
      </c>
      <c r="D177" s="13" t="str">
        <f>VLOOKUP(C177,'[1]NT 2'!$C$2:$J$259,8,0)</f>
        <v>03588</v>
      </c>
      <c r="E177" s="1672"/>
      <c r="F177" s="1672"/>
      <c r="G177" s="1672"/>
      <c r="H177" s="1672"/>
      <c r="I177" s="1672"/>
      <c r="J177" s="1672"/>
      <c r="K177" s="1672"/>
      <c r="L177" s="1672"/>
      <c r="M177" s="1672"/>
      <c r="N177" s="1672"/>
      <c r="O177" s="1672"/>
      <c r="P177" s="1672"/>
      <c r="Q177" s="1672"/>
      <c r="R177" s="1672"/>
      <c r="S177" s="1672"/>
      <c r="T177" s="1672"/>
      <c r="U177" s="1672"/>
      <c r="V177" s="1672"/>
      <c r="W177" s="1672"/>
      <c r="X177" s="1672"/>
      <c r="Y177" s="1672"/>
      <c r="Z177" s="1672"/>
      <c r="AA177" s="1672"/>
      <c r="AB177" s="1672"/>
      <c r="AC177" s="1672"/>
      <c r="AD177" s="1672"/>
      <c r="AE177" s="1672"/>
      <c r="AF177" s="1672"/>
      <c r="AG177" s="1479"/>
      <c r="AH177" s="1479"/>
      <c r="AI177" s="1479"/>
      <c r="AJ177" s="1060">
        <f>SUM(COUNTIF(E177:AI177,"x"))</f>
        <v>0</v>
      </c>
      <c r="AK177" s="1061">
        <f t="shared" ref="AK177" si="64">SUM(COUNTIF(E177:AI177,"cn"))</f>
        <v>0</v>
      </c>
      <c r="AL177" s="1060">
        <f t="shared" ref="AL177" si="65">SUM(COUNTIF(E177:AI177,"đ"))</f>
        <v>0</v>
      </c>
      <c r="AM177" s="1060">
        <f>SUM(COUNTIF(E177:AI177,"đc"))</f>
        <v>0</v>
      </c>
      <c r="AN177" s="1060">
        <f t="shared" ref="AN177" si="66">SUM(COUNTIF(E177:AI177,"gt"))</f>
        <v>0</v>
      </c>
      <c r="AO177" s="1061">
        <f>SUM(COUNTIF(E177:AI177,"ct"))</f>
        <v>0</v>
      </c>
      <c r="AP177" s="1062">
        <f>AJ177+AK177+AL177+AM177+AN177+AO177</f>
        <v>0</v>
      </c>
      <c r="AQ177" s="888"/>
      <c r="AR177" s="231"/>
      <c r="AS177" s="229" t="str">
        <f>VLOOKUP(C178,'[1]NT 2'!$C$2:$J$259,8,0)</f>
        <v>03466</v>
      </c>
      <c r="AT177" s="953">
        <f t="shared" si="38"/>
        <v>0</v>
      </c>
      <c r="AU177" s="229">
        <v>129</v>
      </c>
    </row>
    <row r="178" spans="1:47" ht="24.75" customHeight="1">
      <c r="A178" s="1519">
        <v>166</v>
      </c>
      <c r="B178" s="1064">
        <v>2</v>
      </c>
      <c r="C178" s="163" t="s">
        <v>434</v>
      </c>
      <c r="D178" s="13" t="str">
        <f>VLOOKUP(C178,'[1]NT 2'!$C$2:$J$259,8,0)</f>
        <v>03466</v>
      </c>
      <c r="E178" s="1672"/>
      <c r="F178" s="1672"/>
      <c r="G178" s="1672"/>
      <c r="H178" s="1672"/>
      <c r="I178" s="1672"/>
      <c r="J178" s="1672"/>
      <c r="K178" s="1672"/>
      <c r="L178" s="1672"/>
      <c r="M178" s="1672"/>
      <c r="N178" s="1672"/>
      <c r="O178" s="1672"/>
      <c r="P178" s="1672"/>
      <c r="Q178" s="1672"/>
      <c r="R178" s="1672"/>
      <c r="S178" s="1672"/>
      <c r="T178" s="1672"/>
      <c r="U178" s="1672"/>
      <c r="V178" s="1672"/>
      <c r="W178" s="1672"/>
      <c r="X178" s="1672"/>
      <c r="Y178" s="1672"/>
      <c r="Z178" s="1672"/>
      <c r="AA178" s="1672"/>
      <c r="AB178" s="1672"/>
      <c r="AC178" s="1672"/>
      <c r="AD178" s="1672"/>
      <c r="AE178" s="1672"/>
      <c r="AF178" s="1672"/>
      <c r="AG178" s="1479"/>
      <c r="AH178" s="1479"/>
      <c r="AI178" s="1479"/>
      <c r="AJ178" s="1060">
        <f t="shared" ref="AJ178:AJ238" si="67">SUM(COUNTIF(E178:AI178,"x"))</f>
        <v>0</v>
      </c>
      <c r="AK178" s="1061">
        <f t="shared" ref="AK178:AK238" si="68">SUM(COUNTIF(E178:AI178,"cn"))</f>
        <v>0</v>
      </c>
      <c r="AL178" s="1060">
        <f t="shared" ref="AL178:AL238" si="69">SUM(COUNTIF(E178:AI178,"đ"))</f>
        <v>0</v>
      </c>
      <c r="AM178" s="1060">
        <f t="shared" ref="AM178:AM238" si="70">SUM(COUNTIF(E178:AI178,"đc"))</f>
        <v>0</v>
      </c>
      <c r="AN178" s="1060">
        <f t="shared" ref="AN178:AN238" si="71">SUM(COUNTIF(E178:AI178,"gt"))</f>
        <v>0</v>
      </c>
      <c r="AO178" s="1061">
        <f t="shared" ref="AO178:AO238" si="72">SUM(COUNTIF(E178:AI178,"ct"))</f>
        <v>0</v>
      </c>
      <c r="AP178" s="1062">
        <f t="shared" ref="AP178:AP238" si="73">AJ178+AK178+AL178+AM178+AN178+AO178</f>
        <v>0</v>
      </c>
      <c r="AQ178" s="888"/>
      <c r="AR178" s="231"/>
      <c r="AS178" s="229" t="str">
        <f>VLOOKUP(C179,'[1]NT 2'!$C$2:$J$259,8,0)</f>
        <v>03590</v>
      </c>
      <c r="AT178" s="953">
        <f t="shared" si="38"/>
        <v>0</v>
      </c>
    </row>
    <row r="179" spans="1:47" ht="24.75" customHeight="1">
      <c r="A179" s="1519">
        <v>167</v>
      </c>
      <c r="B179" s="1064">
        <v>3</v>
      </c>
      <c r="C179" s="834" t="s">
        <v>279</v>
      </c>
      <c r="D179" s="13" t="str">
        <f>VLOOKUP(C179,'[1]NT 2'!$C$2:$J$259,8,0)</f>
        <v>03590</v>
      </c>
      <c r="E179" s="1672"/>
      <c r="F179" s="1672"/>
      <c r="G179" s="1672"/>
      <c r="H179" s="1672"/>
      <c r="I179" s="1672"/>
      <c r="J179" s="1672"/>
      <c r="K179" s="1672"/>
      <c r="L179" s="1672"/>
      <c r="M179" s="1672"/>
      <c r="N179" s="1672"/>
      <c r="O179" s="1672"/>
      <c r="P179" s="1672"/>
      <c r="Q179" s="1672"/>
      <c r="R179" s="1672"/>
      <c r="S179" s="1672"/>
      <c r="T179" s="1672"/>
      <c r="U179" s="1672"/>
      <c r="V179" s="1672"/>
      <c r="W179" s="1672"/>
      <c r="X179" s="1672"/>
      <c r="Y179" s="1672"/>
      <c r="Z179" s="1672"/>
      <c r="AA179" s="1672"/>
      <c r="AB179" s="1672"/>
      <c r="AC179" s="1672"/>
      <c r="AD179" s="1672"/>
      <c r="AE179" s="1672"/>
      <c r="AF179" s="1672"/>
      <c r="AG179" s="1479"/>
      <c r="AH179" s="1479"/>
      <c r="AI179" s="1479"/>
      <c r="AJ179" s="1060">
        <f t="shared" si="67"/>
        <v>0</v>
      </c>
      <c r="AK179" s="1061">
        <f t="shared" si="68"/>
        <v>0</v>
      </c>
      <c r="AL179" s="1060">
        <f t="shared" si="69"/>
        <v>0</v>
      </c>
      <c r="AM179" s="1060">
        <f t="shared" si="70"/>
        <v>0</v>
      </c>
      <c r="AN179" s="1060">
        <f t="shared" si="71"/>
        <v>0</v>
      </c>
      <c r="AO179" s="1061">
        <f t="shared" si="72"/>
        <v>0</v>
      </c>
      <c r="AP179" s="1062">
        <f t="shared" si="73"/>
        <v>0</v>
      </c>
      <c r="AQ179" s="888"/>
      <c r="AR179" s="231"/>
      <c r="AS179" s="229" t="str">
        <f>VLOOKUP(C180,'[1]NT 2'!$C$2:$J$259,8,0)</f>
        <v>03591</v>
      </c>
      <c r="AT179" s="953">
        <f t="shared" si="38"/>
        <v>0</v>
      </c>
    </row>
    <row r="180" spans="1:47" ht="24.75" customHeight="1">
      <c r="A180" s="1700">
        <v>168</v>
      </c>
      <c r="B180" s="1064">
        <v>4</v>
      </c>
      <c r="C180" s="837" t="s">
        <v>435</v>
      </c>
      <c r="D180" s="13" t="str">
        <f>VLOOKUP(C180,'[1]NT 2'!$C$2:$J$259,8,0)</f>
        <v>03591</v>
      </c>
      <c r="E180" s="1672"/>
      <c r="F180" s="1672"/>
      <c r="G180" s="1672"/>
      <c r="H180" s="1672"/>
      <c r="I180" s="1672"/>
      <c r="J180" s="1672"/>
      <c r="K180" s="1672"/>
      <c r="L180" s="1672"/>
      <c r="M180" s="1672"/>
      <c r="N180" s="1672"/>
      <c r="O180" s="1672"/>
      <c r="P180" s="1672"/>
      <c r="Q180" s="1672"/>
      <c r="R180" s="1672"/>
      <c r="S180" s="1672"/>
      <c r="T180" s="1672"/>
      <c r="U180" s="1672"/>
      <c r="V180" s="1672"/>
      <c r="W180" s="1672"/>
      <c r="X180" s="1672"/>
      <c r="Y180" s="1672"/>
      <c r="Z180" s="1672"/>
      <c r="AA180" s="1672"/>
      <c r="AB180" s="1672"/>
      <c r="AC180" s="1672"/>
      <c r="AD180" s="1672"/>
      <c r="AE180" s="1672"/>
      <c r="AF180" s="1672"/>
      <c r="AG180" s="1479"/>
      <c r="AH180" s="1479"/>
      <c r="AI180" s="1479"/>
      <c r="AJ180" s="1060">
        <f t="shared" si="67"/>
        <v>0</v>
      </c>
      <c r="AK180" s="1061">
        <f t="shared" si="68"/>
        <v>0</v>
      </c>
      <c r="AL180" s="1060">
        <f t="shared" si="69"/>
        <v>0</v>
      </c>
      <c r="AM180" s="1060">
        <f t="shared" si="70"/>
        <v>0</v>
      </c>
      <c r="AN180" s="1060">
        <f t="shared" si="71"/>
        <v>0</v>
      </c>
      <c r="AO180" s="1061">
        <f t="shared" si="72"/>
        <v>0</v>
      </c>
      <c r="AP180" s="1062">
        <f t="shared" si="73"/>
        <v>0</v>
      </c>
      <c r="AQ180" s="888"/>
      <c r="AR180" s="231"/>
      <c r="AS180" s="229" t="str">
        <f>VLOOKUP(C181,'[1]NT 2'!$C$2:$J$259,8,0)</f>
        <v>03592</v>
      </c>
      <c r="AT180" s="953">
        <f t="shared" si="38"/>
        <v>0</v>
      </c>
    </row>
    <row r="181" spans="1:47" ht="24.75" customHeight="1">
      <c r="A181" s="1700">
        <v>169</v>
      </c>
      <c r="B181" s="1064">
        <v>5</v>
      </c>
      <c r="C181" s="163" t="s">
        <v>345</v>
      </c>
      <c r="D181" s="13" t="str">
        <f>VLOOKUP(C181,'[1]NT 2'!$C$2:$J$259,8,0)</f>
        <v>03592</v>
      </c>
      <c r="E181" s="1672"/>
      <c r="F181" s="1672"/>
      <c r="G181" s="1672"/>
      <c r="H181" s="1672"/>
      <c r="I181" s="1672"/>
      <c r="J181" s="1672"/>
      <c r="K181" s="1672"/>
      <c r="L181" s="1672"/>
      <c r="M181" s="1672"/>
      <c r="N181" s="1672"/>
      <c r="O181" s="1672"/>
      <c r="P181" s="1672"/>
      <c r="Q181" s="1672"/>
      <c r="R181" s="1672"/>
      <c r="S181" s="1672"/>
      <c r="T181" s="1672"/>
      <c r="U181" s="1672"/>
      <c r="V181" s="1672"/>
      <c r="W181" s="1672"/>
      <c r="X181" s="1672"/>
      <c r="Y181" s="1672"/>
      <c r="Z181" s="1672"/>
      <c r="AA181" s="1672"/>
      <c r="AB181" s="1672"/>
      <c r="AC181" s="1672"/>
      <c r="AD181" s="1672"/>
      <c r="AE181" s="1672"/>
      <c r="AF181" s="1672"/>
      <c r="AG181" s="1479"/>
      <c r="AH181" s="1479"/>
      <c r="AI181" s="1479"/>
      <c r="AJ181" s="1060">
        <f t="shared" si="67"/>
        <v>0</v>
      </c>
      <c r="AK181" s="1061">
        <f t="shared" si="68"/>
        <v>0</v>
      </c>
      <c r="AL181" s="1060">
        <f t="shared" si="69"/>
        <v>0</v>
      </c>
      <c r="AM181" s="1060">
        <f t="shared" si="70"/>
        <v>0</v>
      </c>
      <c r="AN181" s="1060">
        <f t="shared" si="71"/>
        <v>0</v>
      </c>
      <c r="AO181" s="1061">
        <f t="shared" si="72"/>
        <v>0</v>
      </c>
      <c r="AP181" s="1062">
        <f t="shared" si="73"/>
        <v>0</v>
      </c>
      <c r="AQ181" s="888"/>
      <c r="AR181" s="231"/>
      <c r="AS181" s="229" t="str">
        <f>VLOOKUP(C182,'[1]NT 2'!$C$2:$J$259,8,0)</f>
        <v>03593</v>
      </c>
      <c r="AT181" s="953">
        <f t="shared" si="38"/>
        <v>0</v>
      </c>
    </row>
    <row r="182" spans="1:47" ht="24.75" customHeight="1">
      <c r="A182" s="1700">
        <v>170</v>
      </c>
      <c r="B182" s="1064">
        <v>6</v>
      </c>
      <c r="C182" s="163" t="s">
        <v>707</v>
      </c>
      <c r="D182" s="13" t="str">
        <f>VLOOKUP(C182,'[1]NT 2'!$C$2:$J$259,8,0)</f>
        <v>03593</v>
      </c>
      <c r="E182" s="1672"/>
      <c r="F182" s="1672"/>
      <c r="G182" s="1672"/>
      <c r="H182" s="1672"/>
      <c r="I182" s="1672"/>
      <c r="J182" s="1672"/>
      <c r="K182" s="1672"/>
      <c r="L182" s="1672"/>
      <c r="M182" s="1672"/>
      <c r="N182" s="1672"/>
      <c r="O182" s="1672"/>
      <c r="P182" s="1672"/>
      <c r="Q182" s="1672"/>
      <c r="R182" s="1672"/>
      <c r="S182" s="1672"/>
      <c r="T182" s="1672"/>
      <c r="U182" s="1672"/>
      <c r="V182" s="1672"/>
      <c r="W182" s="1672"/>
      <c r="X182" s="1672"/>
      <c r="Y182" s="1672"/>
      <c r="Z182" s="1672"/>
      <c r="AA182" s="1672"/>
      <c r="AB182" s="1672"/>
      <c r="AC182" s="1672"/>
      <c r="AD182" s="1672"/>
      <c r="AE182" s="1672"/>
      <c r="AF182" s="1672"/>
      <c r="AG182" s="1479"/>
      <c r="AH182" s="1479"/>
      <c r="AI182" s="1479"/>
      <c r="AJ182" s="1060">
        <f t="shared" si="67"/>
        <v>0</v>
      </c>
      <c r="AK182" s="1061">
        <f t="shared" si="68"/>
        <v>0</v>
      </c>
      <c r="AL182" s="1060">
        <f t="shared" si="69"/>
        <v>0</v>
      </c>
      <c r="AM182" s="1060">
        <f t="shared" si="70"/>
        <v>0</v>
      </c>
      <c r="AN182" s="1060">
        <f t="shared" si="71"/>
        <v>0</v>
      </c>
      <c r="AO182" s="1061">
        <f t="shared" si="72"/>
        <v>0</v>
      </c>
      <c r="AP182" s="1062">
        <f t="shared" si="73"/>
        <v>0</v>
      </c>
      <c r="AQ182" s="888"/>
      <c r="AR182" s="231"/>
      <c r="AS182" s="229" t="str">
        <f>VLOOKUP(C183,'[1]NT 2'!$C$2:$J$259,8,0)</f>
        <v>03594</v>
      </c>
      <c r="AT182" s="953">
        <f t="shared" si="38"/>
        <v>0</v>
      </c>
    </row>
    <row r="183" spans="1:47" ht="24.75" customHeight="1">
      <c r="A183" s="1700">
        <v>171</v>
      </c>
      <c r="B183" s="1064">
        <v>7</v>
      </c>
      <c r="C183" s="163" t="s">
        <v>346</v>
      </c>
      <c r="D183" s="13" t="str">
        <f>VLOOKUP(C183,'[1]NT 2'!$C$2:$J$259,8,0)</f>
        <v>03594</v>
      </c>
      <c r="E183" s="1672"/>
      <c r="F183" s="1672"/>
      <c r="G183" s="1672"/>
      <c r="H183" s="1672"/>
      <c r="I183" s="1672"/>
      <c r="J183" s="1672"/>
      <c r="K183" s="1672"/>
      <c r="L183" s="1672"/>
      <c r="M183" s="1672"/>
      <c r="N183" s="1672"/>
      <c r="O183" s="1672"/>
      <c r="P183" s="1672"/>
      <c r="Q183" s="1672"/>
      <c r="R183" s="1672"/>
      <c r="S183" s="1672"/>
      <c r="T183" s="1672"/>
      <c r="U183" s="1672"/>
      <c r="V183" s="1672"/>
      <c r="W183" s="1672"/>
      <c r="X183" s="1672"/>
      <c r="Y183" s="1672"/>
      <c r="Z183" s="1672"/>
      <c r="AA183" s="1672"/>
      <c r="AB183" s="1672"/>
      <c r="AC183" s="1672"/>
      <c r="AD183" s="1672"/>
      <c r="AE183" s="1672"/>
      <c r="AF183" s="1672"/>
      <c r="AG183" s="1479"/>
      <c r="AH183" s="1479"/>
      <c r="AI183" s="1479"/>
      <c r="AJ183" s="1060">
        <f t="shared" si="67"/>
        <v>0</v>
      </c>
      <c r="AK183" s="1061">
        <f t="shared" si="68"/>
        <v>0</v>
      </c>
      <c r="AL183" s="1060">
        <f t="shared" si="69"/>
        <v>0</v>
      </c>
      <c r="AM183" s="1060">
        <f t="shared" si="70"/>
        <v>0</v>
      </c>
      <c r="AN183" s="1060">
        <f t="shared" si="71"/>
        <v>0</v>
      </c>
      <c r="AO183" s="1061">
        <f t="shared" si="72"/>
        <v>0</v>
      </c>
      <c r="AP183" s="1062">
        <f t="shared" si="73"/>
        <v>0</v>
      </c>
      <c r="AQ183" s="888"/>
      <c r="AR183" s="231"/>
      <c r="AS183" s="229" t="str">
        <f>VLOOKUP(C184,'[1]NT 2'!$C$2:$J$259,8,0)</f>
        <v>03595</v>
      </c>
      <c r="AT183" s="953">
        <f t="shared" si="38"/>
        <v>0</v>
      </c>
    </row>
    <row r="184" spans="1:47" ht="24.75" customHeight="1">
      <c r="A184" s="1700">
        <v>172</v>
      </c>
      <c r="B184" s="1064">
        <v>8</v>
      </c>
      <c r="C184" s="163" t="s">
        <v>469</v>
      </c>
      <c r="D184" s="13" t="str">
        <f>VLOOKUP(C184,'[1]NT 2'!$C$2:$J$259,8,0)</f>
        <v>03595</v>
      </c>
      <c r="E184" s="1672"/>
      <c r="F184" s="1672"/>
      <c r="G184" s="1672"/>
      <c r="H184" s="1672"/>
      <c r="I184" s="1672"/>
      <c r="J184" s="1672"/>
      <c r="K184" s="1672"/>
      <c r="L184" s="1672"/>
      <c r="M184" s="1672"/>
      <c r="N184" s="1672"/>
      <c r="O184" s="1672"/>
      <c r="P184" s="1672"/>
      <c r="Q184" s="1672"/>
      <c r="R184" s="1672"/>
      <c r="S184" s="1672"/>
      <c r="T184" s="1672"/>
      <c r="U184" s="1672"/>
      <c r="V184" s="1672"/>
      <c r="W184" s="1672"/>
      <c r="X184" s="1672"/>
      <c r="Y184" s="1672"/>
      <c r="Z184" s="1672"/>
      <c r="AA184" s="1672"/>
      <c r="AB184" s="1672"/>
      <c r="AC184" s="1672"/>
      <c r="AD184" s="1672"/>
      <c r="AE184" s="1672"/>
      <c r="AF184" s="1672"/>
      <c r="AG184" s="1479"/>
      <c r="AH184" s="1479"/>
      <c r="AI184" s="1479"/>
      <c r="AJ184" s="1060">
        <f t="shared" si="67"/>
        <v>0</v>
      </c>
      <c r="AK184" s="1061">
        <f t="shared" si="68"/>
        <v>0</v>
      </c>
      <c r="AL184" s="1060">
        <f t="shared" si="69"/>
        <v>0</v>
      </c>
      <c r="AM184" s="1060">
        <f t="shared" si="70"/>
        <v>0</v>
      </c>
      <c r="AN184" s="1060">
        <f t="shared" si="71"/>
        <v>0</v>
      </c>
      <c r="AO184" s="1061">
        <f t="shared" si="72"/>
        <v>0</v>
      </c>
      <c r="AP184" s="1062">
        <f t="shared" si="73"/>
        <v>0</v>
      </c>
      <c r="AQ184" s="888"/>
      <c r="AR184" s="231"/>
      <c r="AS184" s="229" t="str">
        <f>VLOOKUP(C185,'[1]NT 2'!$C$2:$J$259,8,0)</f>
        <v>03596</v>
      </c>
      <c r="AT184" s="953">
        <f t="shared" si="38"/>
        <v>0</v>
      </c>
    </row>
    <row r="185" spans="1:47" ht="24.75" customHeight="1">
      <c r="A185" s="1700">
        <v>173</v>
      </c>
      <c r="B185" s="1064">
        <v>9</v>
      </c>
      <c r="C185" s="163" t="s">
        <v>708</v>
      </c>
      <c r="D185" s="13" t="str">
        <f>VLOOKUP(C185,'[1]NT 2'!$C$2:$J$259,8,0)</f>
        <v>03596</v>
      </c>
      <c r="E185" s="1672"/>
      <c r="F185" s="1672"/>
      <c r="G185" s="1672"/>
      <c r="H185" s="1672"/>
      <c r="I185" s="1672"/>
      <c r="J185" s="1672"/>
      <c r="K185" s="1672"/>
      <c r="L185" s="1672"/>
      <c r="M185" s="1672"/>
      <c r="N185" s="1672"/>
      <c r="O185" s="1672"/>
      <c r="P185" s="1672"/>
      <c r="Q185" s="1672"/>
      <c r="R185" s="1672"/>
      <c r="S185" s="1672"/>
      <c r="T185" s="1672"/>
      <c r="U185" s="1672"/>
      <c r="V185" s="1672"/>
      <c r="W185" s="1672"/>
      <c r="X185" s="1672"/>
      <c r="Y185" s="1672"/>
      <c r="Z185" s="1672"/>
      <c r="AA185" s="1672"/>
      <c r="AB185" s="1672"/>
      <c r="AC185" s="1672"/>
      <c r="AD185" s="1672"/>
      <c r="AE185" s="1672"/>
      <c r="AF185" s="1672"/>
      <c r="AG185" s="1479"/>
      <c r="AH185" s="1479"/>
      <c r="AI185" s="1479"/>
      <c r="AJ185" s="1060">
        <f t="shared" si="67"/>
        <v>0</v>
      </c>
      <c r="AK185" s="1061">
        <f t="shared" si="68"/>
        <v>0</v>
      </c>
      <c r="AL185" s="1060">
        <f t="shared" si="69"/>
        <v>0</v>
      </c>
      <c r="AM185" s="1060">
        <f t="shared" si="70"/>
        <v>0</v>
      </c>
      <c r="AN185" s="1060">
        <f t="shared" si="71"/>
        <v>0</v>
      </c>
      <c r="AO185" s="1061">
        <f t="shared" si="72"/>
        <v>0</v>
      </c>
      <c r="AP185" s="1062">
        <f t="shared" si="73"/>
        <v>0</v>
      </c>
      <c r="AQ185" s="888"/>
      <c r="AR185" s="231"/>
      <c r="AS185" s="229" t="str">
        <f>VLOOKUP(C186,'[1]NT 2'!$C$2:$J$259,8,0)</f>
        <v>03597</v>
      </c>
      <c r="AT185" s="953">
        <f t="shared" si="38"/>
        <v>0</v>
      </c>
    </row>
    <row r="186" spans="1:47" ht="24.75" customHeight="1">
      <c r="A186" s="1700">
        <v>174</v>
      </c>
      <c r="B186" s="1064">
        <v>10</v>
      </c>
      <c r="C186" s="163" t="s">
        <v>402</v>
      </c>
      <c r="D186" s="13" t="str">
        <f>VLOOKUP(C186,'[1]NT 2'!$C$2:$J$259,8,0)</f>
        <v>03597</v>
      </c>
      <c r="E186" s="1672"/>
      <c r="F186" s="1672"/>
      <c r="G186" s="1672"/>
      <c r="H186" s="1672"/>
      <c r="I186" s="1672"/>
      <c r="J186" s="1672"/>
      <c r="K186" s="1672"/>
      <c r="L186" s="1672"/>
      <c r="M186" s="1672"/>
      <c r="N186" s="1672"/>
      <c r="O186" s="1672"/>
      <c r="P186" s="1672"/>
      <c r="Q186" s="1672"/>
      <c r="R186" s="1672"/>
      <c r="S186" s="1672"/>
      <c r="T186" s="1672"/>
      <c r="U186" s="1672"/>
      <c r="V186" s="1672"/>
      <c r="W186" s="1672"/>
      <c r="X186" s="1672"/>
      <c r="Y186" s="1672"/>
      <c r="Z186" s="1672"/>
      <c r="AA186" s="1672"/>
      <c r="AB186" s="1672"/>
      <c r="AC186" s="1672"/>
      <c r="AD186" s="1672"/>
      <c r="AE186" s="1672"/>
      <c r="AF186" s="1672"/>
      <c r="AG186" s="1479"/>
      <c r="AH186" s="1479"/>
      <c r="AI186" s="1479"/>
      <c r="AJ186" s="1060">
        <f t="shared" si="67"/>
        <v>0</v>
      </c>
      <c r="AK186" s="1061">
        <f t="shared" si="68"/>
        <v>0</v>
      </c>
      <c r="AL186" s="1060">
        <f t="shared" si="69"/>
        <v>0</v>
      </c>
      <c r="AM186" s="1060">
        <f t="shared" si="70"/>
        <v>0</v>
      </c>
      <c r="AN186" s="1060">
        <f t="shared" si="71"/>
        <v>0</v>
      </c>
      <c r="AO186" s="1061">
        <f t="shared" si="72"/>
        <v>0</v>
      </c>
      <c r="AP186" s="1062">
        <f t="shared" si="73"/>
        <v>0</v>
      </c>
      <c r="AQ186" s="888"/>
      <c r="AR186" s="231"/>
      <c r="AS186" s="229" t="str">
        <f>VLOOKUP(C187,'[1]NT 2'!$C$2:$J$259,8,0)</f>
        <v>03598</v>
      </c>
      <c r="AT186" s="953">
        <f t="shared" si="38"/>
        <v>0</v>
      </c>
    </row>
    <row r="187" spans="1:47" ht="24.75" customHeight="1">
      <c r="A187" s="1700">
        <v>175</v>
      </c>
      <c r="B187" s="1064">
        <v>11</v>
      </c>
      <c r="C187" s="163" t="s">
        <v>347</v>
      </c>
      <c r="D187" s="13" t="str">
        <f>VLOOKUP(C187,'[1]NT 2'!$C$2:$J$259,8,0)</f>
        <v>03598</v>
      </c>
      <c r="E187" s="1672"/>
      <c r="F187" s="1672"/>
      <c r="G187" s="1672"/>
      <c r="H187" s="1672"/>
      <c r="I187" s="1672"/>
      <c r="J187" s="1672"/>
      <c r="K187" s="1672"/>
      <c r="L187" s="1672"/>
      <c r="M187" s="1672"/>
      <c r="N187" s="1672"/>
      <c r="O187" s="1672"/>
      <c r="P187" s="1672"/>
      <c r="Q187" s="1672"/>
      <c r="R187" s="1672"/>
      <c r="S187" s="1672"/>
      <c r="T187" s="1672"/>
      <c r="U187" s="1672"/>
      <c r="V187" s="1672"/>
      <c r="W187" s="1672"/>
      <c r="X187" s="1672"/>
      <c r="Y187" s="1672"/>
      <c r="Z187" s="1672"/>
      <c r="AA187" s="1672"/>
      <c r="AB187" s="1672"/>
      <c r="AC187" s="1672"/>
      <c r="AD187" s="1672"/>
      <c r="AE187" s="1672"/>
      <c r="AF187" s="1672"/>
      <c r="AG187" s="1479"/>
      <c r="AH187" s="1479"/>
      <c r="AI187" s="1479"/>
      <c r="AJ187" s="1060">
        <f t="shared" si="67"/>
        <v>0</v>
      </c>
      <c r="AK187" s="1061">
        <f t="shared" si="68"/>
        <v>0</v>
      </c>
      <c r="AL187" s="1060">
        <f t="shared" si="69"/>
        <v>0</v>
      </c>
      <c r="AM187" s="1060">
        <f t="shared" si="70"/>
        <v>0</v>
      </c>
      <c r="AN187" s="1060">
        <f t="shared" si="71"/>
        <v>0</v>
      </c>
      <c r="AO187" s="1061">
        <f t="shared" si="72"/>
        <v>0</v>
      </c>
      <c r="AP187" s="1062">
        <f t="shared" si="73"/>
        <v>0</v>
      </c>
      <c r="AQ187" s="888"/>
      <c r="AR187" s="231"/>
      <c r="AS187" s="229" t="str">
        <f>VLOOKUP(C188,'[1]NT 2'!$C$2:$J$259,8,0)</f>
        <v>03599</v>
      </c>
      <c r="AT187" s="953">
        <f t="shared" si="38"/>
        <v>0</v>
      </c>
    </row>
    <row r="188" spans="1:47" ht="24.75" customHeight="1">
      <c r="A188" s="1700">
        <v>176</v>
      </c>
      <c r="B188" s="1064">
        <v>12</v>
      </c>
      <c r="C188" s="163" t="s">
        <v>348</v>
      </c>
      <c r="D188" s="13" t="str">
        <f>VLOOKUP(C188,'[1]NT 2'!$C$2:$J$259,8,0)</f>
        <v>03599</v>
      </c>
      <c r="E188" s="1672"/>
      <c r="F188" s="1672"/>
      <c r="G188" s="1672"/>
      <c r="H188" s="1672"/>
      <c r="I188" s="1672"/>
      <c r="J188" s="1672"/>
      <c r="K188" s="1672"/>
      <c r="L188" s="1672"/>
      <c r="M188" s="1672"/>
      <c r="N188" s="1672"/>
      <c r="O188" s="1672"/>
      <c r="P188" s="1672"/>
      <c r="Q188" s="1672"/>
      <c r="R188" s="1672"/>
      <c r="S188" s="1672"/>
      <c r="T188" s="1672"/>
      <c r="U188" s="1672"/>
      <c r="V188" s="1672"/>
      <c r="W188" s="1672"/>
      <c r="X188" s="1672"/>
      <c r="Y188" s="1672"/>
      <c r="Z188" s="1672"/>
      <c r="AA188" s="1672"/>
      <c r="AB188" s="1672"/>
      <c r="AC188" s="1672"/>
      <c r="AD188" s="1672"/>
      <c r="AE188" s="1672"/>
      <c r="AF188" s="1672"/>
      <c r="AG188" s="1479"/>
      <c r="AH188" s="1479"/>
      <c r="AI188" s="1479"/>
      <c r="AJ188" s="1060">
        <f t="shared" si="67"/>
        <v>0</v>
      </c>
      <c r="AK188" s="1061">
        <f t="shared" si="68"/>
        <v>0</v>
      </c>
      <c r="AL188" s="1060">
        <f t="shared" si="69"/>
        <v>0</v>
      </c>
      <c r="AM188" s="1060">
        <f t="shared" si="70"/>
        <v>0</v>
      </c>
      <c r="AN188" s="1060">
        <f t="shared" si="71"/>
        <v>0</v>
      </c>
      <c r="AO188" s="1061">
        <f t="shared" si="72"/>
        <v>0</v>
      </c>
      <c r="AP188" s="1062">
        <f t="shared" si="73"/>
        <v>0</v>
      </c>
      <c r="AQ188" s="888"/>
      <c r="AR188" s="231"/>
      <c r="AS188" s="229" t="str">
        <f>VLOOKUP(C189,'[1]NT 2'!$C$2:$J$259,8,0)</f>
        <v>03600</v>
      </c>
      <c r="AT188" s="953">
        <f t="shared" si="38"/>
        <v>0</v>
      </c>
    </row>
    <row r="189" spans="1:47" ht="24.75" customHeight="1">
      <c r="A189" s="1700">
        <v>177</v>
      </c>
      <c r="B189" s="1064">
        <v>13</v>
      </c>
      <c r="C189" s="163" t="s">
        <v>380</v>
      </c>
      <c r="D189" s="13" t="str">
        <f>VLOOKUP(C189,'[1]NT 2'!$C$2:$J$259,8,0)</f>
        <v>03600</v>
      </c>
      <c r="E189" s="1672"/>
      <c r="F189" s="1672"/>
      <c r="G189" s="1672"/>
      <c r="H189" s="1672"/>
      <c r="I189" s="1672"/>
      <c r="J189" s="1672"/>
      <c r="K189" s="1672"/>
      <c r="L189" s="1672"/>
      <c r="M189" s="1672"/>
      <c r="N189" s="1672"/>
      <c r="O189" s="1672"/>
      <c r="P189" s="1672"/>
      <c r="Q189" s="1672"/>
      <c r="R189" s="1672"/>
      <c r="S189" s="1672"/>
      <c r="T189" s="1672"/>
      <c r="U189" s="1672"/>
      <c r="V189" s="1672"/>
      <c r="W189" s="1672"/>
      <c r="X189" s="1672"/>
      <c r="Y189" s="1672"/>
      <c r="Z189" s="1672"/>
      <c r="AA189" s="1672"/>
      <c r="AB189" s="1672"/>
      <c r="AC189" s="1672"/>
      <c r="AD189" s="1672"/>
      <c r="AE189" s="1672"/>
      <c r="AF189" s="1672"/>
      <c r="AG189" s="1479"/>
      <c r="AH189" s="1479"/>
      <c r="AI189" s="1479"/>
      <c r="AJ189" s="1060">
        <f t="shared" si="67"/>
        <v>0</v>
      </c>
      <c r="AK189" s="1061">
        <f t="shared" si="68"/>
        <v>0</v>
      </c>
      <c r="AL189" s="1060">
        <f t="shared" si="69"/>
        <v>0</v>
      </c>
      <c r="AM189" s="1060">
        <f t="shared" si="70"/>
        <v>0</v>
      </c>
      <c r="AN189" s="1060">
        <f t="shared" si="71"/>
        <v>0</v>
      </c>
      <c r="AO189" s="1061">
        <f t="shared" si="72"/>
        <v>0</v>
      </c>
      <c r="AP189" s="1062">
        <f t="shared" si="73"/>
        <v>0</v>
      </c>
      <c r="AQ189" s="888"/>
      <c r="AR189" s="231"/>
      <c r="AS189" s="229" t="str">
        <f>VLOOKUP(C190,'[1]NT 2'!$C$2:$J$259,8,0)</f>
        <v>03601</v>
      </c>
      <c r="AT189" s="953">
        <f t="shared" si="38"/>
        <v>0</v>
      </c>
    </row>
    <row r="190" spans="1:47" ht="24.75" customHeight="1">
      <c r="A190" s="1700">
        <v>178</v>
      </c>
      <c r="B190" s="1064">
        <v>14</v>
      </c>
      <c r="C190" s="178" t="s">
        <v>436</v>
      </c>
      <c r="D190" s="13" t="str">
        <f>VLOOKUP(C190,'[1]NT 2'!$C$2:$J$259,8,0)</f>
        <v>03601</v>
      </c>
      <c r="E190" s="1672"/>
      <c r="F190" s="1672"/>
      <c r="G190" s="1672"/>
      <c r="H190" s="1672"/>
      <c r="I190" s="1672"/>
      <c r="J190" s="1672"/>
      <c r="K190" s="1672"/>
      <c r="L190" s="1672"/>
      <c r="M190" s="1672"/>
      <c r="N190" s="1672"/>
      <c r="O190" s="1672"/>
      <c r="P190" s="1672"/>
      <c r="Q190" s="1672"/>
      <c r="R190" s="1672"/>
      <c r="S190" s="1672"/>
      <c r="T190" s="1672"/>
      <c r="U190" s="1672"/>
      <c r="V190" s="1672"/>
      <c r="W190" s="1672"/>
      <c r="X190" s="1672"/>
      <c r="Y190" s="1672"/>
      <c r="Z190" s="1672"/>
      <c r="AA190" s="1672"/>
      <c r="AB190" s="1672"/>
      <c r="AC190" s="1672"/>
      <c r="AD190" s="1672"/>
      <c r="AE190" s="1672"/>
      <c r="AF190" s="1672"/>
      <c r="AG190" s="1479"/>
      <c r="AH190" s="1479"/>
      <c r="AI190" s="1479"/>
      <c r="AJ190" s="1060">
        <f t="shared" si="67"/>
        <v>0</v>
      </c>
      <c r="AK190" s="1061">
        <f t="shared" si="68"/>
        <v>0</v>
      </c>
      <c r="AL190" s="1060">
        <f t="shared" si="69"/>
        <v>0</v>
      </c>
      <c r="AM190" s="1060">
        <f t="shared" si="70"/>
        <v>0</v>
      </c>
      <c r="AN190" s="1060">
        <f t="shared" si="71"/>
        <v>0</v>
      </c>
      <c r="AO190" s="1061">
        <f t="shared" si="72"/>
        <v>0</v>
      </c>
      <c r="AP190" s="1062">
        <f t="shared" si="73"/>
        <v>0</v>
      </c>
      <c r="AQ190" s="888"/>
      <c r="AR190" s="231"/>
      <c r="AS190" s="229" t="str">
        <f>VLOOKUP(C191,'[1]NT 2'!$C$2:$J$259,8,0)</f>
        <v>03602</v>
      </c>
      <c r="AT190" s="953">
        <f t="shared" si="38"/>
        <v>0</v>
      </c>
    </row>
    <row r="191" spans="1:47" ht="24.75" customHeight="1">
      <c r="A191" s="1700">
        <v>179</v>
      </c>
      <c r="B191" s="1064">
        <v>15</v>
      </c>
      <c r="C191" s="163" t="s">
        <v>349</v>
      </c>
      <c r="D191" s="13" t="str">
        <f>VLOOKUP(C191,'[1]NT 2'!$C$2:$J$259,8,0)</f>
        <v>03602</v>
      </c>
      <c r="E191" s="1672"/>
      <c r="F191" s="1672"/>
      <c r="G191" s="1672"/>
      <c r="H191" s="1672"/>
      <c r="I191" s="1672"/>
      <c r="J191" s="1672"/>
      <c r="K191" s="1672"/>
      <c r="L191" s="1672"/>
      <c r="M191" s="1672"/>
      <c r="N191" s="1672"/>
      <c r="O191" s="1672"/>
      <c r="P191" s="1672"/>
      <c r="Q191" s="1672"/>
      <c r="R191" s="1672"/>
      <c r="S191" s="1672"/>
      <c r="T191" s="1672"/>
      <c r="U191" s="1672"/>
      <c r="V191" s="1672"/>
      <c r="W191" s="1672"/>
      <c r="X191" s="1672"/>
      <c r="Y191" s="1672"/>
      <c r="Z191" s="1672"/>
      <c r="AA191" s="1672"/>
      <c r="AB191" s="1672"/>
      <c r="AC191" s="1672"/>
      <c r="AD191" s="1672"/>
      <c r="AE191" s="1672"/>
      <c r="AF191" s="1672"/>
      <c r="AG191" s="1479"/>
      <c r="AH191" s="1479"/>
      <c r="AI191" s="1479"/>
      <c r="AJ191" s="1060">
        <f t="shared" si="67"/>
        <v>0</v>
      </c>
      <c r="AK191" s="1061">
        <f t="shared" si="68"/>
        <v>0</v>
      </c>
      <c r="AL191" s="1060">
        <f t="shared" si="69"/>
        <v>0</v>
      </c>
      <c r="AM191" s="1060">
        <f t="shared" si="70"/>
        <v>0</v>
      </c>
      <c r="AN191" s="1060">
        <f t="shared" si="71"/>
        <v>0</v>
      </c>
      <c r="AO191" s="1061">
        <f t="shared" si="72"/>
        <v>0</v>
      </c>
      <c r="AP191" s="1062">
        <f t="shared" si="73"/>
        <v>0</v>
      </c>
      <c r="AQ191" s="888"/>
      <c r="AR191" s="231"/>
      <c r="AS191" s="229" t="str">
        <f>VLOOKUP(C192,'[1]NT 2'!$C$2:$J$259,8,0)</f>
        <v>03603</v>
      </c>
      <c r="AT191" s="953">
        <f t="shared" si="38"/>
        <v>0</v>
      </c>
    </row>
    <row r="192" spans="1:47" ht="24.75" customHeight="1">
      <c r="A192" s="1700">
        <v>180</v>
      </c>
      <c r="B192" s="1064">
        <v>16</v>
      </c>
      <c r="C192" s="163" t="s">
        <v>437</v>
      </c>
      <c r="D192" s="13" t="str">
        <f>VLOOKUP(C192,'[1]NT 2'!$C$2:$J$259,8,0)</f>
        <v>03603</v>
      </c>
      <c r="E192" s="1672"/>
      <c r="F192" s="1672"/>
      <c r="G192" s="1672"/>
      <c r="H192" s="1672"/>
      <c r="I192" s="1672"/>
      <c r="J192" s="1672"/>
      <c r="K192" s="1672"/>
      <c r="L192" s="1672"/>
      <c r="M192" s="1672"/>
      <c r="N192" s="1672"/>
      <c r="O192" s="1672"/>
      <c r="P192" s="1672"/>
      <c r="Q192" s="1672"/>
      <c r="R192" s="1672"/>
      <c r="S192" s="1672"/>
      <c r="T192" s="1672"/>
      <c r="U192" s="1672"/>
      <c r="V192" s="1672"/>
      <c r="W192" s="1672"/>
      <c r="X192" s="1672"/>
      <c r="Y192" s="1672"/>
      <c r="Z192" s="1672"/>
      <c r="AA192" s="1672"/>
      <c r="AB192" s="1672"/>
      <c r="AC192" s="1672"/>
      <c r="AD192" s="1672"/>
      <c r="AE192" s="1672"/>
      <c r="AF192" s="1672"/>
      <c r="AG192" s="1479"/>
      <c r="AH192" s="1479"/>
      <c r="AI192" s="1479"/>
      <c r="AJ192" s="1060">
        <f t="shared" si="67"/>
        <v>0</v>
      </c>
      <c r="AK192" s="1061">
        <f t="shared" si="68"/>
        <v>0</v>
      </c>
      <c r="AL192" s="1060">
        <f t="shared" si="69"/>
        <v>0</v>
      </c>
      <c r="AM192" s="1060">
        <f t="shared" si="70"/>
        <v>0</v>
      </c>
      <c r="AN192" s="1060">
        <f t="shared" si="71"/>
        <v>0</v>
      </c>
      <c r="AO192" s="1061">
        <f t="shared" si="72"/>
        <v>0</v>
      </c>
      <c r="AP192" s="1062">
        <f t="shared" si="73"/>
        <v>0</v>
      </c>
      <c r="AQ192" s="888"/>
      <c r="AR192" s="231"/>
      <c r="AS192" s="229" t="str">
        <f>VLOOKUP(C193,'[1]NT 2'!$C$2:$J$259,8,0)</f>
        <v>03604</v>
      </c>
      <c r="AT192" s="953">
        <f t="shared" si="38"/>
        <v>0</v>
      </c>
    </row>
    <row r="193" spans="1:46" ht="24.75" customHeight="1">
      <c r="A193" s="1700">
        <v>181</v>
      </c>
      <c r="B193" s="1064">
        <v>17</v>
      </c>
      <c r="C193" s="163" t="s">
        <v>709</v>
      </c>
      <c r="D193" s="13" t="str">
        <f>VLOOKUP(C193,'[1]NT 2'!$C$2:$J$259,8,0)</f>
        <v>03604</v>
      </c>
      <c r="E193" s="1672"/>
      <c r="F193" s="1672"/>
      <c r="G193" s="1672"/>
      <c r="H193" s="1672"/>
      <c r="I193" s="1672"/>
      <c r="J193" s="1672"/>
      <c r="K193" s="1672"/>
      <c r="L193" s="1672"/>
      <c r="M193" s="1672"/>
      <c r="N193" s="1672"/>
      <c r="O193" s="1672"/>
      <c r="P193" s="1672"/>
      <c r="Q193" s="1672"/>
      <c r="R193" s="1672"/>
      <c r="S193" s="1672"/>
      <c r="T193" s="1672"/>
      <c r="U193" s="1672"/>
      <c r="V193" s="1672"/>
      <c r="W193" s="1672"/>
      <c r="X193" s="1672"/>
      <c r="Y193" s="1672"/>
      <c r="Z193" s="1672"/>
      <c r="AA193" s="1672"/>
      <c r="AB193" s="1672"/>
      <c r="AC193" s="1672"/>
      <c r="AD193" s="1672"/>
      <c r="AE193" s="1672"/>
      <c r="AF193" s="1672"/>
      <c r="AG193" s="1479"/>
      <c r="AH193" s="1479"/>
      <c r="AI193" s="1479"/>
      <c r="AJ193" s="1060">
        <f t="shared" si="67"/>
        <v>0</v>
      </c>
      <c r="AK193" s="1061">
        <f t="shared" si="68"/>
        <v>0</v>
      </c>
      <c r="AL193" s="1060">
        <f t="shared" si="69"/>
        <v>0</v>
      </c>
      <c r="AM193" s="1060">
        <f t="shared" si="70"/>
        <v>0</v>
      </c>
      <c r="AN193" s="1060">
        <f t="shared" si="71"/>
        <v>0</v>
      </c>
      <c r="AO193" s="1061">
        <f t="shared" si="72"/>
        <v>0</v>
      </c>
      <c r="AP193" s="1062">
        <f t="shared" si="73"/>
        <v>0</v>
      </c>
      <c r="AQ193" s="888"/>
      <c r="AR193" s="231"/>
      <c r="AS193" s="229" t="e">
        <f>VLOOKUP(C194,'[1]NT 2'!$C$2:$J$259,8,0)</f>
        <v>#N/A</v>
      </c>
      <c r="AT193" s="953" t="e">
        <f t="shared" si="38"/>
        <v>#N/A</v>
      </c>
    </row>
    <row r="194" spans="1:46" ht="24.75" customHeight="1">
      <c r="A194" s="1700">
        <v>182</v>
      </c>
      <c r="B194" s="1064">
        <v>18</v>
      </c>
      <c r="C194" s="163" t="s">
        <v>484</v>
      </c>
      <c r="D194" s="13" t="e">
        <f>VLOOKUP(C194,'[1]NT 2'!$C$2:$J$259,8,0)</f>
        <v>#N/A</v>
      </c>
      <c r="E194" s="1672"/>
      <c r="F194" s="1672"/>
      <c r="G194" s="1672"/>
      <c r="H194" s="1672"/>
      <c r="I194" s="1672"/>
      <c r="J194" s="1672"/>
      <c r="K194" s="1672"/>
      <c r="L194" s="1672"/>
      <c r="M194" s="1672"/>
      <c r="N194" s="1672"/>
      <c r="O194" s="1672"/>
      <c r="P194" s="1672"/>
      <c r="Q194" s="1672"/>
      <c r="R194" s="1672"/>
      <c r="S194" s="1672"/>
      <c r="T194" s="1672"/>
      <c r="U194" s="1672"/>
      <c r="V194" s="1672"/>
      <c r="W194" s="1672"/>
      <c r="X194" s="1672"/>
      <c r="Y194" s="1672"/>
      <c r="Z194" s="1672"/>
      <c r="AA194" s="1672"/>
      <c r="AB194" s="1672"/>
      <c r="AC194" s="1672"/>
      <c r="AD194" s="1672"/>
      <c r="AE194" s="1672"/>
      <c r="AF194" s="1672"/>
      <c r="AG194" s="1479"/>
      <c r="AH194" s="1479"/>
      <c r="AI194" s="1479"/>
      <c r="AJ194" s="1060">
        <f t="shared" si="67"/>
        <v>0</v>
      </c>
      <c r="AK194" s="1061">
        <f t="shared" si="68"/>
        <v>0</v>
      </c>
      <c r="AL194" s="1060">
        <f t="shared" si="69"/>
        <v>0</v>
      </c>
      <c r="AM194" s="1060">
        <f t="shared" si="70"/>
        <v>0</v>
      </c>
      <c r="AN194" s="1060">
        <f t="shared" si="71"/>
        <v>0</v>
      </c>
      <c r="AO194" s="1061">
        <f t="shared" si="72"/>
        <v>0</v>
      </c>
      <c r="AP194" s="1062">
        <f t="shared" si="73"/>
        <v>0</v>
      </c>
      <c r="AQ194" s="888"/>
      <c r="AR194" s="231"/>
      <c r="AS194" s="229" t="str">
        <f>VLOOKUP(C195,'[1]NT 2'!$C$2:$J$259,8,0)</f>
        <v>03606</v>
      </c>
      <c r="AT194" s="953">
        <f t="shared" si="38"/>
        <v>0</v>
      </c>
    </row>
    <row r="195" spans="1:46" ht="24.75" customHeight="1">
      <c r="A195" s="1700">
        <v>183</v>
      </c>
      <c r="B195" s="1064">
        <v>19</v>
      </c>
      <c r="C195" s="163" t="s">
        <v>710</v>
      </c>
      <c r="D195" s="13" t="str">
        <f>VLOOKUP(C195,'[1]NT 2'!$C$2:$J$259,8,0)</f>
        <v>03606</v>
      </c>
      <c r="E195" s="1672"/>
      <c r="F195" s="1672"/>
      <c r="G195" s="1672"/>
      <c r="H195" s="1672"/>
      <c r="I195" s="1672"/>
      <c r="J195" s="1672"/>
      <c r="K195" s="1672"/>
      <c r="L195" s="1672"/>
      <c r="M195" s="1672"/>
      <c r="N195" s="1672"/>
      <c r="O195" s="1672"/>
      <c r="P195" s="1672"/>
      <c r="Q195" s="1672"/>
      <c r="R195" s="1672"/>
      <c r="S195" s="1672"/>
      <c r="T195" s="1672"/>
      <c r="U195" s="1672"/>
      <c r="V195" s="1672"/>
      <c r="W195" s="1672"/>
      <c r="X195" s="1672"/>
      <c r="Y195" s="1672"/>
      <c r="Z195" s="1672"/>
      <c r="AA195" s="1672"/>
      <c r="AB195" s="1672"/>
      <c r="AC195" s="1672"/>
      <c r="AD195" s="1672"/>
      <c r="AE195" s="1672"/>
      <c r="AF195" s="1672"/>
      <c r="AG195" s="1479"/>
      <c r="AH195" s="1479"/>
      <c r="AI195" s="1479"/>
      <c r="AJ195" s="1060">
        <f t="shared" si="67"/>
        <v>0</v>
      </c>
      <c r="AK195" s="1061">
        <f t="shared" si="68"/>
        <v>0</v>
      </c>
      <c r="AL195" s="1060">
        <f t="shared" si="69"/>
        <v>0</v>
      </c>
      <c r="AM195" s="1060">
        <f t="shared" si="70"/>
        <v>0</v>
      </c>
      <c r="AN195" s="1060">
        <f t="shared" si="71"/>
        <v>0</v>
      </c>
      <c r="AO195" s="1061">
        <f t="shared" si="72"/>
        <v>0</v>
      </c>
      <c r="AP195" s="1062">
        <f t="shared" si="73"/>
        <v>0</v>
      </c>
      <c r="AQ195" s="888"/>
      <c r="AR195" s="231"/>
      <c r="AS195" s="229" t="str">
        <f>VLOOKUP(C196,'[1]NT 2'!$C$2:$J$259,8,0)</f>
        <v>03607</v>
      </c>
      <c r="AT195" s="953">
        <f t="shared" si="38"/>
        <v>0</v>
      </c>
    </row>
    <row r="196" spans="1:46" ht="24.75" customHeight="1">
      <c r="A196" s="1700">
        <v>184</v>
      </c>
      <c r="B196" s="1064">
        <v>20</v>
      </c>
      <c r="C196" s="163" t="s">
        <v>458</v>
      </c>
      <c r="D196" s="13" t="str">
        <f>VLOOKUP(C196,'[1]NT 2'!$C$2:$J$259,8,0)</f>
        <v>03607</v>
      </c>
      <c r="E196" s="1672"/>
      <c r="F196" s="1672"/>
      <c r="G196" s="1672"/>
      <c r="H196" s="1672"/>
      <c r="I196" s="1672"/>
      <c r="J196" s="1672"/>
      <c r="K196" s="1672"/>
      <c r="L196" s="1672"/>
      <c r="M196" s="1672"/>
      <c r="N196" s="1672"/>
      <c r="O196" s="1672"/>
      <c r="P196" s="1672"/>
      <c r="Q196" s="1672"/>
      <c r="R196" s="1672"/>
      <c r="S196" s="1672"/>
      <c r="T196" s="1672"/>
      <c r="U196" s="1672"/>
      <c r="V196" s="1672"/>
      <c r="W196" s="1672"/>
      <c r="X196" s="1672"/>
      <c r="Y196" s="1672"/>
      <c r="Z196" s="1672"/>
      <c r="AA196" s="1672"/>
      <c r="AB196" s="1672"/>
      <c r="AC196" s="1672"/>
      <c r="AD196" s="1672"/>
      <c r="AE196" s="1672"/>
      <c r="AF196" s="1672"/>
      <c r="AG196" s="1479"/>
      <c r="AH196" s="1479"/>
      <c r="AI196" s="1479"/>
      <c r="AJ196" s="1060">
        <f t="shared" si="67"/>
        <v>0</v>
      </c>
      <c r="AK196" s="1061">
        <f t="shared" si="68"/>
        <v>0</v>
      </c>
      <c r="AL196" s="1060">
        <f t="shared" si="69"/>
        <v>0</v>
      </c>
      <c r="AM196" s="1060">
        <f t="shared" si="70"/>
        <v>0</v>
      </c>
      <c r="AN196" s="1060">
        <f t="shared" si="71"/>
        <v>0</v>
      </c>
      <c r="AO196" s="1061">
        <f t="shared" si="72"/>
        <v>0</v>
      </c>
      <c r="AP196" s="1062">
        <f t="shared" si="73"/>
        <v>0</v>
      </c>
      <c r="AQ196" s="888"/>
      <c r="AR196" s="231"/>
      <c r="AS196" s="229" t="str">
        <f>VLOOKUP(C197,'[1]NT 2'!$C$2:$J$259,8,0)</f>
        <v>02729</v>
      </c>
      <c r="AT196" s="953">
        <f t="shared" si="38"/>
        <v>0</v>
      </c>
    </row>
    <row r="197" spans="1:46" ht="24.75" customHeight="1">
      <c r="A197" s="1700">
        <v>185</v>
      </c>
      <c r="B197" s="1064">
        <v>21</v>
      </c>
      <c r="C197" s="163" t="s">
        <v>403</v>
      </c>
      <c r="D197" s="13" t="str">
        <f>VLOOKUP(C197,'[1]NT 2'!$C$2:$J$259,8,0)</f>
        <v>02729</v>
      </c>
      <c r="E197" s="1672"/>
      <c r="F197" s="1672"/>
      <c r="G197" s="1672"/>
      <c r="H197" s="1672"/>
      <c r="I197" s="1672"/>
      <c r="J197" s="1672"/>
      <c r="K197" s="1672"/>
      <c r="L197" s="1672"/>
      <c r="M197" s="1672"/>
      <c r="N197" s="1672"/>
      <c r="O197" s="1672"/>
      <c r="P197" s="1672"/>
      <c r="Q197" s="1672"/>
      <c r="R197" s="1672"/>
      <c r="S197" s="1672"/>
      <c r="T197" s="1672"/>
      <c r="U197" s="1672"/>
      <c r="V197" s="1672"/>
      <c r="W197" s="1672"/>
      <c r="X197" s="1672"/>
      <c r="Y197" s="1672"/>
      <c r="Z197" s="1672"/>
      <c r="AA197" s="1672"/>
      <c r="AB197" s="1672"/>
      <c r="AC197" s="1672"/>
      <c r="AD197" s="1672"/>
      <c r="AE197" s="1672"/>
      <c r="AF197" s="1672"/>
      <c r="AG197" s="1479"/>
      <c r="AH197" s="1479"/>
      <c r="AI197" s="1479"/>
      <c r="AJ197" s="1060">
        <f t="shared" si="67"/>
        <v>0</v>
      </c>
      <c r="AK197" s="1061">
        <f t="shared" si="68"/>
        <v>0</v>
      </c>
      <c r="AL197" s="1060">
        <f t="shared" si="69"/>
        <v>0</v>
      </c>
      <c r="AM197" s="1060">
        <f t="shared" si="70"/>
        <v>0</v>
      </c>
      <c r="AN197" s="1060">
        <f t="shared" si="71"/>
        <v>0</v>
      </c>
      <c r="AO197" s="1061">
        <f t="shared" si="72"/>
        <v>0</v>
      </c>
      <c r="AP197" s="1062">
        <f t="shared" si="73"/>
        <v>0</v>
      </c>
      <c r="AQ197" s="888"/>
      <c r="AR197" s="231"/>
      <c r="AS197" s="229" t="str">
        <f>VLOOKUP(C198,'[1]NT 2'!$C$2:$J$259,8,0)</f>
        <v>03608</v>
      </c>
      <c r="AT197" s="953">
        <f t="shared" si="38"/>
        <v>0</v>
      </c>
    </row>
    <row r="198" spans="1:46" ht="24.75" customHeight="1">
      <c r="A198" s="1700">
        <v>186</v>
      </c>
      <c r="B198" s="1064">
        <v>22</v>
      </c>
      <c r="C198" s="163" t="s">
        <v>470</v>
      </c>
      <c r="D198" s="13" t="str">
        <f>VLOOKUP(C198,'[1]NT 2'!$C$2:$J$259,8,0)</f>
        <v>03608</v>
      </c>
      <c r="E198" s="1672"/>
      <c r="F198" s="1672"/>
      <c r="G198" s="1672"/>
      <c r="H198" s="1672"/>
      <c r="I198" s="1672"/>
      <c r="J198" s="1672"/>
      <c r="K198" s="1672"/>
      <c r="L198" s="1672"/>
      <c r="M198" s="1672"/>
      <c r="N198" s="1672"/>
      <c r="O198" s="1672"/>
      <c r="P198" s="1672"/>
      <c r="Q198" s="1672"/>
      <c r="R198" s="1672"/>
      <c r="S198" s="1672"/>
      <c r="T198" s="1672"/>
      <c r="U198" s="1672"/>
      <c r="V198" s="1672"/>
      <c r="W198" s="1672"/>
      <c r="X198" s="1672"/>
      <c r="Y198" s="1672"/>
      <c r="Z198" s="1672"/>
      <c r="AA198" s="1672"/>
      <c r="AB198" s="1672"/>
      <c r="AC198" s="1672"/>
      <c r="AD198" s="1672"/>
      <c r="AE198" s="1672"/>
      <c r="AF198" s="1672"/>
      <c r="AG198" s="1479"/>
      <c r="AH198" s="1479"/>
      <c r="AI198" s="1479"/>
      <c r="AJ198" s="1060">
        <f t="shared" si="67"/>
        <v>0</v>
      </c>
      <c r="AK198" s="1061">
        <f t="shared" si="68"/>
        <v>0</v>
      </c>
      <c r="AL198" s="1060">
        <f t="shared" si="69"/>
        <v>0</v>
      </c>
      <c r="AM198" s="1060">
        <f t="shared" si="70"/>
        <v>0</v>
      </c>
      <c r="AN198" s="1060">
        <f t="shared" si="71"/>
        <v>0</v>
      </c>
      <c r="AO198" s="1061">
        <f t="shared" si="72"/>
        <v>0</v>
      </c>
      <c r="AP198" s="1062">
        <f t="shared" si="73"/>
        <v>0</v>
      </c>
      <c r="AQ198" s="888"/>
      <c r="AR198" s="231"/>
      <c r="AS198" s="229" t="str">
        <f>VLOOKUP(C199,'[1]NT 2'!$C$2:$J$259,8,0)</f>
        <v>03609</v>
      </c>
      <c r="AT198" s="953">
        <f t="shared" si="38"/>
        <v>0</v>
      </c>
    </row>
    <row r="199" spans="1:46" ht="24.75" customHeight="1">
      <c r="A199" s="1700">
        <v>187</v>
      </c>
      <c r="B199" s="1064">
        <v>23</v>
      </c>
      <c r="C199" s="163" t="s">
        <v>438</v>
      </c>
      <c r="D199" s="13" t="str">
        <f>VLOOKUP(C199,'[1]NT 2'!$C$2:$J$259,8,0)</f>
        <v>03609</v>
      </c>
      <c r="E199" s="1672"/>
      <c r="F199" s="1672"/>
      <c r="G199" s="1672"/>
      <c r="H199" s="1672"/>
      <c r="I199" s="1672"/>
      <c r="J199" s="1672"/>
      <c r="K199" s="1672"/>
      <c r="L199" s="1672"/>
      <c r="M199" s="1672"/>
      <c r="N199" s="1672"/>
      <c r="O199" s="1672"/>
      <c r="P199" s="1672"/>
      <c r="Q199" s="1672"/>
      <c r="R199" s="1672"/>
      <c r="S199" s="1672"/>
      <c r="T199" s="1672"/>
      <c r="U199" s="1672"/>
      <c r="V199" s="1672"/>
      <c r="W199" s="1672"/>
      <c r="X199" s="1672"/>
      <c r="Y199" s="1672"/>
      <c r="Z199" s="1672"/>
      <c r="AA199" s="1672"/>
      <c r="AB199" s="1672"/>
      <c r="AC199" s="1672"/>
      <c r="AD199" s="1672"/>
      <c r="AE199" s="1672"/>
      <c r="AF199" s="1672"/>
      <c r="AG199" s="1479"/>
      <c r="AH199" s="1479"/>
      <c r="AI199" s="1479"/>
      <c r="AJ199" s="1060">
        <f t="shared" si="67"/>
        <v>0</v>
      </c>
      <c r="AK199" s="1061">
        <f t="shared" si="68"/>
        <v>0</v>
      </c>
      <c r="AL199" s="1060">
        <f t="shared" si="69"/>
        <v>0</v>
      </c>
      <c r="AM199" s="1060">
        <f t="shared" si="70"/>
        <v>0</v>
      </c>
      <c r="AN199" s="1060">
        <f t="shared" si="71"/>
        <v>0</v>
      </c>
      <c r="AO199" s="1061">
        <f t="shared" si="72"/>
        <v>0</v>
      </c>
      <c r="AP199" s="1062">
        <f t="shared" si="73"/>
        <v>0</v>
      </c>
      <c r="AQ199" s="888"/>
      <c r="AR199" s="231"/>
      <c r="AS199" s="229" t="str">
        <f>VLOOKUP(C200,'[1]NT 2'!$C$2:$J$259,8,0)</f>
        <v>03610</v>
      </c>
      <c r="AT199" s="953">
        <f t="shared" si="38"/>
        <v>0</v>
      </c>
    </row>
    <row r="200" spans="1:46" ht="24.75" customHeight="1">
      <c r="A200" s="1700">
        <v>188</v>
      </c>
      <c r="B200" s="1064">
        <v>24</v>
      </c>
      <c r="C200" s="838" t="s">
        <v>439</v>
      </c>
      <c r="D200" s="13" t="str">
        <f>VLOOKUP(C200,'[1]NT 2'!$C$2:$J$259,8,0)</f>
        <v>03610</v>
      </c>
      <c r="E200" s="1672"/>
      <c r="F200" s="1672"/>
      <c r="G200" s="1672"/>
      <c r="H200" s="1672"/>
      <c r="I200" s="1672"/>
      <c r="J200" s="1672"/>
      <c r="K200" s="1672"/>
      <c r="L200" s="1672"/>
      <c r="M200" s="1672"/>
      <c r="N200" s="1672"/>
      <c r="O200" s="1672"/>
      <c r="P200" s="1672"/>
      <c r="Q200" s="1672"/>
      <c r="R200" s="1672"/>
      <c r="S200" s="1672"/>
      <c r="T200" s="1672"/>
      <c r="U200" s="1672"/>
      <c r="V200" s="1672"/>
      <c r="W200" s="1672"/>
      <c r="X200" s="1672"/>
      <c r="Y200" s="1672"/>
      <c r="Z200" s="1672"/>
      <c r="AA200" s="1672"/>
      <c r="AB200" s="1672"/>
      <c r="AC200" s="1672"/>
      <c r="AD200" s="1672"/>
      <c r="AE200" s="1672"/>
      <c r="AF200" s="1672"/>
      <c r="AG200" s="1479"/>
      <c r="AH200" s="1479"/>
      <c r="AI200" s="1479"/>
      <c r="AJ200" s="1060">
        <f t="shared" si="67"/>
        <v>0</v>
      </c>
      <c r="AK200" s="1061">
        <f t="shared" si="68"/>
        <v>0</v>
      </c>
      <c r="AL200" s="1060">
        <f t="shared" si="69"/>
        <v>0</v>
      </c>
      <c r="AM200" s="1060">
        <f t="shared" si="70"/>
        <v>0</v>
      </c>
      <c r="AN200" s="1060">
        <f t="shared" si="71"/>
        <v>0</v>
      </c>
      <c r="AO200" s="1061">
        <f t="shared" si="72"/>
        <v>0</v>
      </c>
      <c r="AP200" s="1062">
        <f t="shared" si="73"/>
        <v>0</v>
      </c>
      <c r="AQ200" s="888"/>
      <c r="AR200" s="231"/>
      <c r="AS200" s="229" t="str">
        <f>VLOOKUP(C201,'[1]NT 2'!$C$2:$J$259,8,0)</f>
        <v>03611</v>
      </c>
      <c r="AT200" s="953">
        <f t="shared" si="38"/>
        <v>0</v>
      </c>
    </row>
    <row r="201" spans="1:46" ht="24.75" customHeight="1">
      <c r="A201" s="1700">
        <v>189</v>
      </c>
      <c r="B201" s="1064">
        <v>25</v>
      </c>
      <c r="C201" s="838" t="s">
        <v>232</v>
      </c>
      <c r="D201" s="13" t="str">
        <f>VLOOKUP(C201,'[1]NT 2'!$C$2:$J$259,8,0)</f>
        <v>03611</v>
      </c>
      <c r="E201" s="1672"/>
      <c r="F201" s="1672"/>
      <c r="G201" s="1672"/>
      <c r="H201" s="1672"/>
      <c r="I201" s="1672"/>
      <c r="J201" s="1672"/>
      <c r="K201" s="1672"/>
      <c r="L201" s="1672"/>
      <c r="M201" s="1672"/>
      <c r="N201" s="1672"/>
      <c r="O201" s="1672"/>
      <c r="P201" s="1672"/>
      <c r="Q201" s="1672"/>
      <c r="R201" s="1672"/>
      <c r="S201" s="1672"/>
      <c r="T201" s="1672"/>
      <c r="U201" s="1672"/>
      <c r="V201" s="1672"/>
      <c r="W201" s="1672"/>
      <c r="X201" s="1672"/>
      <c r="Y201" s="1672"/>
      <c r="Z201" s="1672"/>
      <c r="AA201" s="1672"/>
      <c r="AB201" s="1672"/>
      <c r="AC201" s="1672"/>
      <c r="AD201" s="1672"/>
      <c r="AE201" s="1672"/>
      <c r="AF201" s="1672"/>
      <c r="AG201" s="1479"/>
      <c r="AH201" s="1479"/>
      <c r="AI201" s="1479"/>
      <c r="AJ201" s="1060">
        <f t="shared" si="67"/>
        <v>0</v>
      </c>
      <c r="AK201" s="1061">
        <f t="shared" si="68"/>
        <v>0</v>
      </c>
      <c r="AL201" s="1060">
        <f t="shared" si="69"/>
        <v>0</v>
      </c>
      <c r="AM201" s="1060">
        <f t="shared" si="70"/>
        <v>0</v>
      </c>
      <c r="AN201" s="1060">
        <f t="shared" si="71"/>
        <v>0</v>
      </c>
      <c r="AO201" s="1061">
        <f t="shared" si="72"/>
        <v>0</v>
      </c>
      <c r="AP201" s="1062">
        <f t="shared" si="73"/>
        <v>0</v>
      </c>
      <c r="AQ201" s="888"/>
      <c r="AR201" s="231"/>
      <c r="AS201" s="229" t="str">
        <f>VLOOKUP(C202,'[1]NT 2'!$C$2:$J$259,8,0)</f>
        <v>03612</v>
      </c>
      <c r="AT201" s="953">
        <f t="shared" si="38"/>
        <v>0</v>
      </c>
    </row>
    <row r="202" spans="1:46" ht="24.75" customHeight="1">
      <c r="A202" s="1700">
        <v>190</v>
      </c>
      <c r="B202" s="1064">
        <v>26</v>
      </c>
      <c r="C202" s="838" t="s">
        <v>615</v>
      </c>
      <c r="D202" s="13" t="str">
        <f>VLOOKUP(C202,'[1]NT 2'!$C$2:$J$259,8,0)</f>
        <v>03612</v>
      </c>
      <c r="E202" s="1672"/>
      <c r="F202" s="1672"/>
      <c r="G202" s="1672"/>
      <c r="H202" s="1672"/>
      <c r="I202" s="1672"/>
      <c r="J202" s="1672"/>
      <c r="K202" s="1672"/>
      <c r="L202" s="1672"/>
      <c r="M202" s="1672"/>
      <c r="N202" s="1672"/>
      <c r="O202" s="1672"/>
      <c r="P202" s="1672"/>
      <c r="Q202" s="1672"/>
      <c r="R202" s="1672"/>
      <c r="S202" s="1672"/>
      <c r="T202" s="1672"/>
      <c r="U202" s="1672"/>
      <c r="V202" s="1672"/>
      <c r="W202" s="1672"/>
      <c r="X202" s="1672"/>
      <c r="Y202" s="1672"/>
      <c r="Z202" s="1672"/>
      <c r="AA202" s="1672"/>
      <c r="AB202" s="1672"/>
      <c r="AC202" s="1672"/>
      <c r="AD202" s="1672"/>
      <c r="AE202" s="1672"/>
      <c r="AF202" s="1672"/>
      <c r="AG202" s="1479"/>
      <c r="AH202" s="1479"/>
      <c r="AI202" s="1479"/>
      <c r="AJ202" s="1060">
        <f t="shared" si="67"/>
        <v>0</v>
      </c>
      <c r="AK202" s="1061">
        <f t="shared" si="68"/>
        <v>0</v>
      </c>
      <c r="AL202" s="1060">
        <f t="shared" si="69"/>
        <v>0</v>
      </c>
      <c r="AM202" s="1060">
        <f t="shared" si="70"/>
        <v>0</v>
      </c>
      <c r="AN202" s="1060">
        <f t="shared" si="71"/>
        <v>0</v>
      </c>
      <c r="AO202" s="1061">
        <f t="shared" si="72"/>
        <v>0</v>
      </c>
      <c r="AP202" s="1062">
        <f t="shared" si="73"/>
        <v>0</v>
      </c>
      <c r="AQ202" s="888"/>
      <c r="AR202" s="231"/>
      <c r="AS202" s="229" t="str">
        <f>VLOOKUP(C203,'[1]NT 2'!$C$2:$J$259,8,0)</f>
        <v>03613</v>
      </c>
      <c r="AT202" s="953">
        <f t="shared" si="38"/>
        <v>0</v>
      </c>
    </row>
    <row r="203" spans="1:46" ht="24.75" customHeight="1">
      <c r="A203" s="1700">
        <v>191</v>
      </c>
      <c r="B203" s="1064">
        <v>27</v>
      </c>
      <c r="C203" s="838" t="s">
        <v>485</v>
      </c>
      <c r="D203" s="13" t="str">
        <f>VLOOKUP(C203,'[1]NT 2'!$C$2:$J$259,8,0)</f>
        <v>03613</v>
      </c>
      <c r="E203" s="1672"/>
      <c r="F203" s="1672"/>
      <c r="G203" s="1672"/>
      <c r="H203" s="1672"/>
      <c r="I203" s="1672"/>
      <c r="J203" s="1672"/>
      <c r="K203" s="1672"/>
      <c r="L203" s="1672"/>
      <c r="M203" s="1672"/>
      <c r="N203" s="1672"/>
      <c r="O203" s="1672"/>
      <c r="P203" s="1672"/>
      <c r="Q203" s="1672"/>
      <c r="R203" s="1672"/>
      <c r="S203" s="1672"/>
      <c r="T203" s="1672"/>
      <c r="U203" s="1672"/>
      <c r="V203" s="1672"/>
      <c r="W203" s="1672"/>
      <c r="X203" s="1672"/>
      <c r="Y203" s="1672"/>
      <c r="Z203" s="1672"/>
      <c r="AA203" s="1672"/>
      <c r="AB203" s="1672"/>
      <c r="AC203" s="1672"/>
      <c r="AD203" s="1672"/>
      <c r="AE203" s="1672"/>
      <c r="AF203" s="1672"/>
      <c r="AG203" s="1479"/>
      <c r="AH203" s="1479"/>
      <c r="AI203" s="1479"/>
      <c r="AJ203" s="1060">
        <f t="shared" si="67"/>
        <v>0</v>
      </c>
      <c r="AK203" s="1061">
        <f t="shared" si="68"/>
        <v>0</v>
      </c>
      <c r="AL203" s="1060">
        <f t="shared" si="69"/>
        <v>0</v>
      </c>
      <c r="AM203" s="1060">
        <f t="shared" si="70"/>
        <v>0</v>
      </c>
      <c r="AN203" s="1060">
        <f t="shared" si="71"/>
        <v>0</v>
      </c>
      <c r="AO203" s="1061">
        <f t="shared" si="72"/>
        <v>0</v>
      </c>
      <c r="AP203" s="1062">
        <f t="shared" si="73"/>
        <v>0</v>
      </c>
      <c r="AQ203" s="888"/>
      <c r="AR203" s="231"/>
      <c r="AS203" s="229" t="str">
        <f>VLOOKUP(C204,'[1]NT 2'!$C$2:$J$259,8,0)</f>
        <v>03614</v>
      </c>
      <c r="AT203" s="953">
        <f t="shared" si="38"/>
        <v>0</v>
      </c>
    </row>
    <row r="204" spans="1:46" ht="24.75" customHeight="1">
      <c r="A204" s="1700">
        <v>192</v>
      </c>
      <c r="B204" s="1064">
        <v>28</v>
      </c>
      <c r="C204" s="838" t="s">
        <v>486</v>
      </c>
      <c r="D204" s="13" t="str">
        <f>VLOOKUP(C204,'[1]NT 2'!$C$2:$J$259,8,0)</f>
        <v>03614</v>
      </c>
      <c r="E204" s="1672"/>
      <c r="F204" s="1672"/>
      <c r="G204" s="1672"/>
      <c r="H204" s="1672"/>
      <c r="I204" s="1672"/>
      <c r="J204" s="1672"/>
      <c r="K204" s="1672"/>
      <c r="L204" s="1672"/>
      <c r="M204" s="1672"/>
      <c r="N204" s="1672"/>
      <c r="O204" s="1672"/>
      <c r="P204" s="1672"/>
      <c r="Q204" s="1672"/>
      <c r="R204" s="1672"/>
      <c r="S204" s="1672"/>
      <c r="T204" s="1672"/>
      <c r="U204" s="1672"/>
      <c r="V204" s="1672"/>
      <c r="W204" s="1672"/>
      <c r="X204" s="1672"/>
      <c r="Y204" s="1672"/>
      <c r="Z204" s="1672"/>
      <c r="AA204" s="1672"/>
      <c r="AB204" s="1672"/>
      <c r="AC204" s="1672"/>
      <c r="AD204" s="1672"/>
      <c r="AE204" s="1672"/>
      <c r="AF204" s="1672"/>
      <c r="AG204" s="1479"/>
      <c r="AH204" s="1479"/>
      <c r="AI204" s="1479"/>
      <c r="AJ204" s="1060">
        <f t="shared" si="67"/>
        <v>0</v>
      </c>
      <c r="AK204" s="1061">
        <f t="shared" si="68"/>
        <v>0</v>
      </c>
      <c r="AL204" s="1060">
        <f t="shared" si="69"/>
        <v>0</v>
      </c>
      <c r="AM204" s="1060">
        <f t="shared" si="70"/>
        <v>0</v>
      </c>
      <c r="AN204" s="1060">
        <f t="shared" si="71"/>
        <v>0</v>
      </c>
      <c r="AO204" s="1061">
        <f t="shared" si="72"/>
        <v>0</v>
      </c>
      <c r="AP204" s="1062">
        <f t="shared" si="73"/>
        <v>0</v>
      </c>
      <c r="AQ204" s="888"/>
      <c r="AR204" s="231"/>
      <c r="AS204" s="229" t="str">
        <f>VLOOKUP(C205,'[1]NT 2'!$C$2:$J$259,8,0)</f>
        <v>03615</v>
      </c>
      <c r="AT204" s="953">
        <f t="shared" si="38"/>
        <v>0</v>
      </c>
    </row>
    <row r="205" spans="1:46" ht="24.75" customHeight="1">
      <c r="A205" s="1700">
        <v>193</v>
      </c>
      <c r="B205" s="1064">
        <v>29</v>
      </c>
      <c r="C205" s="834" t="s">
        <v>682</v>
      </c>
      <c r="D205" s="13" t="str">
        <f>VLOOKUP(C205,'[1]NT 2'!$C$2:$J$259,8,0)</f>
        <v>03615</v>
      </c>
      <c r="E205" s="1672"/>
      <c r="F205" s="1672"/>
      <c r="G205" s="1672"/>
      <c r="H205" s="1672"/>
      <c r="I205" s="1672"/>
      <c r="J205" s="1672"/>
      <c r="K205" s="1672"/>
      <c r="L205" s="1672"/>
      <c r="M205" s="1672"/>
      <c r="N205" s="1672"/>
      <c r="O205" s="1672"/>
      <c r="P205" s="1672"/>
      <c r="Q205" s="1672"/>
      <c r="R205" s="1672"/>
      <c r="S205" s="1672"/>
      <c r="T205" s="1672"/>
      <c r="U205" s="1672"/>
      <c r="V205" s="1672"/>
      <c r="W205" s="1672"/>
      <c r="X205" s="1672"/>
      <c r="Y205" s="1672"/>
      <c r="Z205" s="1672"/>
      <c r="AA205" s="1672"/>
      <c r="AB205" s="1672"/>
      <c r="AC205" s="1672"/>
      <c r="AD205" s="1672"/>
      <c r="AE205" s="1672"/>
      <c r="AF205" s="1672"/>
      <c r="AG205" s="1479"/>
      <c r="AH205" s="1479"/>
      <c r="AI205" s="1479"/>
      <c r="AJ205" s="1060">
        <f t="shared" si="67"/>
        <v>0</v>
      </c>
      <c r="AK205" s="1061">
        <f t="shared" si="68"/>
        <v>0</v>
      </c>
      <c r="AL205" s="1060">
        <f t="shared" si="69"/>
        <v>0</v>
      </c>
      <c r="AM205" s="1060">
        <f t="shared" si="70"/>
        <v>0</v>
      </c>
      <c r="AN205" s="1060">
        <f t="shared" si="71"/>
        <v>0</v>
      </c>
      <c r="AO205" s="1061">
        <f t="shared" si="72"/>
        <v>0</v>
      </c>
      <c r="AP205" s="1062">
        <f t="shared" si="73"/>
        <v>0</v>
      </c>
      <c r="AQ205" s="888"/>
      <c r="AR205" s="231"/>
      <c r="AS205" s="229" t="str">
        <f>VLOOKUP(C206,'[1]NT 2'!$C$2:$J$259,8,0)</f>
        <v>03616</v>
      </c>
      <c r="AT205" s="953">
        <f t="shared" si="38"/>
        <v>0</v>
      </c>
    </row>
    <row r="206" spans="1:46" ht="24.75" customHeight="1">
      <c r="A206" s="1700">
        <v>194</v>
      </c>
      <c r="B206" s="1064">
        <v>30</v>
      </c>
      <c r="C206" s="838" t="s">
        <v>440</v>
      </c>
      <c r="D206" s="13" t="str">
        <f>VLOOKUP(C206,'[1]NT 2'!$C$2:$J$259,8,0)</f>
        <v>03616</v>
      </c>
      <c r="E206" s="1672"/>
      <c r="F206" s="1672"/>
      <c r="G206" s="1672"/>
      <c r="H206" s="1672"/>
      <c r="I206" s="1672"/>
      <c r="J206" s="1672"/>
      <c r="K206" s="1672"/>
      <c r="L206" s="1672"/>
      <c r="M206" s="1672"/>
      <c r="N206" s="1672"/>
      <c r="O206" s="1672"/>
      <c r="P206" s="1672"/>
      <c r="Q206" s="1672"/>
      <c r="R206" s="1672"/>
      <c r="S206" s="1672"/>
      <c r="T206" s="1672"/>
      <c r="U206" s="1672"/>
      <c r="V206" s="1672"/>
      <c r="W206" s="1672"/>
      <c r="X206" s="1672"/>
      <c r="Y206" s="1672"/>
      <c r="Z206" s="1672"/>
      <c r="AA206" s="1672"/>
      <c r="AB206" s="1672"/>
      <c r="AC206" s="1672"/>
      <c r="AD206" s="1672"/>
      <c r="AE206" s="1672"/>
      <c r="AF206" s="1672"/>
      <c r="AG206" s="1479"/>
      <c r="AH206" s="1479"/>
      <c r="AI206" s="1479"/>
      <c r="AJ206" s="1060">
        <f t="shared" si="67"/>
        <v>0</v>
      </c>
      <c r="AK206" s="1061">
        <f t="shared" si="68"/>
        <v>0</v>
      </c>
      <c r="AL206" s="1060">
        <f t="shared" si="69"/>
        <v>0</v>
      </c>
      <c r="AM206" s="1060">
        <f t="shared" si="70"/>
        <v>0</v>
      </c>
      <c r="AN206" s="1060">
        <f t="shared" si="71"/>
        <v>0</v>
      </c>
      <c r="AO206" s="1061">
        <f t="shared" si="72"/>
        <v>0</v>
      </c>
      <c r="AP206" s="1062">
        <f t="shared" si="73"/>
        <v>0</v>
      </c>
      <c r="AQ206" s="888"/>
      <c r="AR206" s="231"/>
      <c r="AS206" s="229" t="str">
        <f>VLOOKUP(C207,'[1]NT 2'!$C$2:$J$259,8,0)</f>
        <v>03617</v>
      </c>
      <c r="AT206" s="953">
        <f t="shared" si="38"/>
        <v>0</v>
      </c>
    </row>
    <row r="207" spans="1:46" ht="24.75" customHeight="1">
      <c r="A207" s="1700">
        <v>195</v>
      </c>
      <c r="B207" s="1064">
        <v>31</v>
      </c>
      <c r="C207" s="838" t="s">
        <v>683</v>
      </c>
      <c r="D207" s="13" t="str">
        <f>VLOOKUP(C207,'[1]NT 2'!$C$2:$J$259,8,0)</f>
        <v>03617</v>
      </c>
      <c r="E207" s="1672"/>
      <c r="F207" s="1672"/>
      <c r="G207" s="1672"/>
      <c r="H207" s="1672"/>
      <c r="I207" s="1672"/>
      <c r="J207" s="1672"/>
      <c r="K207" s="1672"/>
      <c r="L207" s="1672"/>
      <c r="M207" s="1672"/>
      <c r="N207" s="1672"/>
      <c r="O207" s="1672"/>
      <c r="P207" s="1672"/>
      <c r="Q207" s="1672"/>
      <c r="R207" s="1672"/>
      <c r="S207" s="1672"/>
      <c r="T207" s="1672"/>
      <c r="U207" s="1672"/>
      <c r="V207" s="1672"/>
      <c r="W207" s="1672"/>
      <c r="X207" s="1672"/>
      <c r="Y207" s="1672"/>
      <c r="Z207" s="1672"/>
      <c r="AA207" s="1672"/>
      <c r="AB207" s="1672"/>
      <c r="AC207" s="1672"/>
      <c r="AD207" s="1672"/>
      <c r="AE207" s="1672"/>
      <c r="AF207" s="1672"/>
      <c r="AG207" s="1479"/>
      <c r="AH207" s="1479"/>
      <c r="AI207" s="1479"/>
      <c r="AJ207" s="1060">
        <f t="shared" si="67"/>
        <v>0</v>
      </c>
      <c r="AK207" s="1061">
        <f t="shared" si="68"/>
        <v>0</v>
      </c>
      <c r="AL207" s="1060">
        <f t="shared" si="69"/>
        <v>0</v>
      </c>
      <c r="AM207" s="1060">
        <f t="shared" si="70"/>
        <v>0</v>
      </c>
      <c r="AN207" s="1060">
        <f t="shared" si="71"/>
        <v>0</v>
      </c>
      <c r="AO207" s="1061">
        <f t="shared" si="72"/>
        <v>0</v>
      </c>
      <c r="AP207" s="1062">
        <f t="shared" si="73"/>
        <v>0</v>
      </c>
      <c r="AQ207" s="888"/>
      <c r="AR207" s="231"/>
      <c r="AS207" s="229" t="str">
        <f>VLOOKUP(C208,'[1]NT 2'!$C$2:$J$259,8,0)</f>
        <v>03618</v>
      </c>
      <c r="AT207" s="953">
        <f t="shared" si="38"/>
        <v>0</v>
      </c>
    </row>
    <row r="208" spans="1:46" ht="24.75" customHeight="1">
      <c r="A208" s="1700">
        <v>196</v>
      </c>
      <c r="B208" s="1064">
        <v>32</v>
      </c>
      <c r="C208" s="838" t="s">
        <v>450</v>
      </c>
      <c r="D208" s="13" t="str">
        <f>VLOOKUP(C208,'[1]NT 2'!$C$2:$J$259,8,0)</f>
        <v>03618</v>
      </c>
      <c r="E208" s="1672"/>
      <c r="F208" s="1672"/>
      <c r="G208" s="1672"/>
      <c r="H208" s="1672"/>
      <c r="I208" s="1672"/>
      <c r="J208" s="1672"/>
      <c r="K208" s="1672"/>
      <c r="L208" s="1672"/>
      <c r="M208" s="1672"/>
      <c r="N208" s="1672"/>
      <c r="O208" s="1672"/>
      <c r="P208" s="1672"/>
      <c r="Q208" s="1672"/>
      <c r="R208" s="1672"/>
      <c r="S208" s="1672"/>
      <c r="T208" s="1672"/>
      <c r="U208" s="1672"/>
      <c r="V208" s="1672"/>
      <c r="W208" s="1672"/>
      <c r="X208" s="1672"/>
      <c r="Y208" s="1672"/>
      <c r="Z208" s="1672"/>
      <c r="AA208" s="1672"/>
      <c r="AB208" s="1672"/>
      <c r="AC208" s="1672"/>
      <c r="AD208" s="1672"/>
      <c r="AE208" s="1672"/>
      <c r="AF208" s="1672"/>
      <c r="AG208" s="1479"/>
      <c r="AH208" s="1479"/>
      <c r="AI208" s="1479"/>
      <c r="AJ208" s="1060">
        <f t="shared" si="67"/>
        <v>0</v>
      </c>
      <c r="AK208" s="1061">
        <f t="shared" si="68"/>
        <v>0</v>
      </c>
      <c r="AL208" s="1060">
        <f t="shared" si="69"/>
        <v>0</v>
      </c>
      <c r="AM208" s="1060">
        <f t="shared" si="70"/>
        <v>0</v>
      </c>
      <c r="AN208" s="1060">
        <f t="shared" si="71"/>
        <v>0</v>
      </c>
      <c r="AO208" s="1061">
        <f t="shared" si="72"/>
        <v>0</v>
      </c>
      <c r="AP208" s="1062">
        <f t="shared" si="73"/>
        <v>0</v>
      </c>
      <c r="AQ208" s="888"/>
      <c r="AR208" s="231"/>
      <c r="AS208" s="229" t="str">
        <f>VLOOKUP(C209,'[1]NT 2'!$C$2:$J$259,8,0)</f>
        <v>03619</v>
      </c>
      <c r="AT208" s="953">
        <f t="shared" si="38"/>
        <v>0</v>
      </c>
    </row>
    <row r="209" spans="1:46" ht="24.75" customHeight="1">
      <c r="A209" s="1700">
        <v>197</v>
      </c>
      <c r="B209" s="1064">
        <v>33</v>
      </c>
      <c r="C209" s="838" t="s">
        <v>471</v>
      </c>
      <c r="D209" s="13" t="str">
        <f>VLOOKUP(C209,'[1]NT 2'!$C$2:$J$259,8,0)</f>
        <v>03619</v>
      </c>
      <c r="E209" s="1672"/>
      <c r="F209" s="1672"/>
      <c r="G209" s="1672"/>
      <c r="H209" s="1672"/>
      <c r="I209" s="1672"/>
      <c r="J209" s="1672"/>
      <c r="K209" s="1672"/>
      <c r="L209" s="1672"/>
      <c r="M209" s="1672"/>
      <c r="N209" s="1672"/>
      <c r="O209" s="1672"/>
      <c r="P209" s="1672"/>
      <c r="Q209" s="1672"/>
      <c r="R209" s="1672"/>
      <c r="S209" s="1672"/>
      <c r="T209" s="1672"/>
      <c r="U209" s="1672"/>
      <c r="V209" s="1672"/>
      <c r="W209" s="1672"/>
      <c r="X209" s="1672"/>
      <c r="Y209" s="1672"/>
      <c r="Z209" s="1672"/>
      <c r="AA209" s="1672"/>
      <c r="AB209" s="1672"/>
      <c r="AC209" s="1672"/>
      <c r="AD209" s="1672"/>
      <c r="AE209" s="1672"/>
      <c r="AF209" s="1672"/>
      <c r="AG209" s="1479"/>
      <c r="AH209" s="1479"/>
      <c r="AI209" s="1479"/>
      <c r="AJ209" s="1060">
        <f t="shared" si="67"/>
        <v>0</v>
      </c>
      <c r="AK209" s="1061">
        <f t="shared" si="68"/>
        <v>0</v>
      </c>
      <c r="AL209" s="1060">
        <f t="shared" si="69"/>
        <v>0</v>
      </c>
      <c r="AM209" s="1060">
        <f t="shared" si="70"/>
        <v>0</v>
      </c>
      <c r="AN209" s="1060">
        <f t="shared" si="71"/>
        <v>0</v>
      </c>
      <c r="AO209" s="1061">
        <f t="shared" si="72"/>
        <v>0</v>
      </c>
      <c r="AP209" s="1062">
        <f t="shared" si="73"/>
        <v>0</v>
      </c>
      <c r="AQ209" s="888"/>
      <c r="AR209" s="231"/>
      <c r="AS209" s="229" t="str">
        <f>VLOOKUP(C210,'[1]NT 2'!$C$2:$J$259,8,0)</f>
        <v>03620</v>
      </c>
      <c r="AT209" s="953">
        <f t="shared" si="38"/>
        <v>0</v>
      </c>
    </row>
    <row r="210" spans="1:46" ht="24.75" customHeight="1">
      <c r="A210" s="1700">
        <v>198</v>
      </c>
      <c r="B210" s="1064">
        <v>34</v>
      </c>
      <c r="C210" s="838" t="s">
        <v>684</v>
      </c>
      <c r="D210" s="13" t="str">
        <f>VLOOKUP(C210,'[1]NT 2'!$C$2:$J$259,8,0)</f>
        <v>03620</v>
      </c>
      <c r="E210" s="1672"/>
      <c r="F210" s="1672"/>
      <c r="G210" s="1672"/>
      <c r="H210" s="1672"/>
      <c r="I210" s="1672"/>
      <c r="J210" s="1672"/>
      <c r="K210" s="1672"/>
      <c r="L210" s="1672"/>
      <c r="M210" s="1672"/>
      <c r="N210" s="1672"/>
      <c r="O210" s="1672"/>
      <c r="P210" s="1672"/>
      <c r="Q210" s="1672"/>
      <c r="R210" s="1672"/>
      <c r="S210" s="1672"/>
      <c r="T210" s="1672"/>
      <c r="U210" s="1672"/>
      <c r="V210" s="1672"/>
      <c r="W210" s="1672"/>
      <c r="X210" s="1672"/>
      <c r="Y210" s="1672"/>
      <c r="Z210" s="1672"/>
      <c r="AA210" s="1672"/>
      <c r="AB210" s="1672"/>
      <c r="AC210" s="1672"/>
      <c r="AD210" s="1672"/>
      <c r="AE210" s="1672"/>
      <c r="AF210" s="1672"/>
      <c r="AG210" s="1479"/>
      <c r="AH210" s="1479"/>
      <c r="AI210" s="1479"/>
      <c r="AJ210" s="1060">
        <f t="shared" si="67"/>
        <v>0</v>
      </c>
      <c r="AK210" s="1061">
        <f t="shared" si="68"/>
        <v>0</v>
      </c>
      <c r="AL210" s="1060">
        <f t="shared" si="69"/>
        <v>0</v>
      </c>
      <c r="AM210" s="1060">
        <f t="shared" si="70"/>
        <v>0</v>
      </c>
      <c r="AN210" s="1060">
        <f t="shared" si="71"/>
        <v>0</v>
      </c>
      <c r="AO210" s="1061">
        <f t="shared" si="72"/>
        <v>0</v>
      </c>
      <c r="AP210" s="1062">
        <f t="shared" si="73"/>
        <v>0</v>
      </c>
      <c r="AQ210" s="888"/>
      <c r="AR210" s="231"/>
      <c r="AS210" s="229" t="str">
        <f>VLOOKUP(C211,'[1]NT 2'!$C$2:$J$259,8,0)</f>
        <v>03532</v>
      </c>
      <c r="AT210" s="953">
        <f t="shared" si="38"/>
        <v>0</v>
      </c>
    </row>
    <row r="211" spans="1:46" ht="24.75" customHeight="1">
      <c r="A211" s="1700">
        <v>199</v>
      </c>
      <c r="B211" s="1064">
        <v>35</v>
      </c>
      <c r="C211" s="838" t="s">
        <v>664</v>
      </c>
      <c r="D211" s="13" t="str">
        <f>VLOOKUP(C211,'[1]NT 2'!$C$2:$J$259,8,0)</f>
        <v>03532</v>
      </c>
      <c r="E211" s="1672"/>
      <c r="F211" s="1672"/>
      <c r="G211" s="1672"/>
      <c r="H211" s="1672"/>
      <c r="I211" s="1672"/>
      <c r="J211" s="1672"/>
      <c r="K211" s="1672"/>
      <c r="L211" s="1672"/>
      <c r="M211" s="1672"/>
      <c r="N211" s="1672"/>
      <c r="O211" s="1672"/>
      <c r="P211" s="1672"/>
      <c r="Q211" s="1672"/>
      <c r="R211" s="1672"/>
      <c r="S211" s="1672"/>
      <c r="T211" s="1672"/>
      <c r="U211" s="1672"/>
      <c r="V211" s="1672"/>
      <c r="W211" s="1672"/>
      <c r="X211" s="1672"/>
      <c r="Y211" s="1672"/>
      <c r="Z211" s="1672"/>
      <c r="AA211" s="1672"/>
      <c r="AB211" s="1672"/>
      <c r="AC211" s="1672"/>
      <c r="AD211" s="1672"/>
      <c r="AE211" s="1672"/>
      <c r="AF211" s="1672"/>
      <c r="AG211" s="1479"/>
      <c r="AH211" s="1479"/>
      <c r="AI211" s="1479"/>
      <c r="AJ211" s="1060">
        <f t="shared" si="67"/>
        <v>0</v>
      </c>
      <c r="AK211" s="1061">
        <f t="shared" si="68"/>
        <v>0</v>
      </c>
      <c r="AL211" s="1060">
        <f t="shared" si="69"/>
        <v>0</v>
      </c>
      <c r="AM211" s="1060">
        <f t="shared" si="70"/>
        <v>0</v>
      </c>
      <c r="AN211" s="1060">
        <f t="shared" si="71"/>
        <v>0</v>
      </c>
      <c r="AO211" s="1061">
        <f t="shared" si="72"/>
        <v>0</v>
      </c>
      <c r="AP211" s="1062">
        <f t="shared" si="73"/>
        <v>0</v>
      </c>
      <c r="AQ211" s="888"/>
      <c r="AR211" s="231"/>
      <c r="AS211" s="229" t="str">
        <f>VLOOKUP(C212,'[1]NT 2'!$C$2:$J$259,8,0)</f>
        <v>03622</v>
      </c>
      <c r="AT211" s="953">
        <f t="shared" si="38"/>
        <v>0</v>
      </c>
    </row>
    <row r="212" spans="1:46" ht="24.75" customHeight="1">
      <c r="A212" s="1700">
        <v>200</v>
      </c>
      <c r="B212" s="1064">
        <v>36</v>
      </c>
      <c r="C212" s="838" t="s">
        <v>685</v>
      </c>
      <c r="D212" s="13" t="str">
        <f>VLOOKUP(C212,'[1]NT 2'!$C$2:$J$259,8,0)</f>
        <v>03622</v>
      </c>
      <c r="E212" s="1672"/>
      <c r="F212" s="1672"/>
      <c r="G212" s="1672"/>
      <c r="H212" s="1672"/>
      <c r="I212" s="1672"/>
      <c r="J212" s="1672"/>
      <c r="K212" s="1672"/>
      <c r="L212" s="1672"/>
      <c r="M212" s="1672"/>
      <c r="N212" s="1672"/>
      <c r="O212" s="1672"/>
      <c r="P212" s="1672"/>
      <c r="Q212" s="1672"/>
      <c r="R212" s="1672"/>
      <c r="S212" s="1672"/>
      <c r="T212" s="1672"/>
      <c r="U212" s="1672"/>
      <c r="V212" s="1672"/>
      <c r="W212" s="1672"/>
      <c r="X212" s="1672"/>
      <c r="Y212" s="1672"/>
      <c r="Z212" s="1672"/>
      <c r="AA212" s="1672"/>
      <c r="AB212" s="1672"/>
      <c r="AC212" s="1672"/>
      <c r="AD212" s="1672"/>
      <c r="AE212" s="1672"/>
      <c r="AF212" s="1672"/>
      <c r="AG212" s="1479"/>
      <c r="AH212" s="1479"/>
      <c r="AI212" s="1479"/>
      <c r="AJ212" s="1060">
        <f t="shared" si="67"/>
        <v>0</v>
      </c>
      <c r="AK212" s="1061">
        <f t="shared" si="68"/>
        <v>0</v>
      </c>
      <c r="AL212" s="1060">
        <f t="shared" si="69"/>
        <v>0</v>
      </c>
      <c r="AM212" s="1060">
        <f t="shared" si="70"/>
        <v>0</v>
      </c>
      <c r="AN212" s="1060">
        <f t="shared" si="71"/>
        <v>0</v>
      </c>
      <c r="AO212" s="1061">
        <f t="shared" si="72"/>
        <v>0</v>
      </c>
      <c r="AP212" s="1062">
        <f t="shared" si="73"/>
        <v>0</v>
      </c>
      <c r="AQ212" s="888"/>
      <c r="AR212" s="231"/>
      <c r="AS212" s="229" t="str">
        <f>VLOOKUP(C213,'[1]NT 2'!$C$2:$J$259,8,0)</f>
        <v>03623</v>
      </c>
      <c r="AT212" s="953">
        <f t="shared" si="38"/>
        <v>0</v>
      </c>
    </row>
    <row r="213" spans="1:46" ht="24.75" customHeight="1">
      <c r="A213" s="1700">
        <v>201</v>
      </c>
      <c r="B213" s="1064">
        <v>37</v>
      </c>
      <c r="C213" s="838" t="s">
        <v>451</v>
      </c>
      <c r="D213" s="13" t="str">
        <f>VLOOKUP(C213,'[1]NT 2'!$C$2:$J$259,8,0)</f>
        <v>03623</v>
      </c>
      <c r="E213" s="1672"/>
      <c r="F213" s="1672"/>
      <c r="G213" s="1672"/>
      <c r="H213" s="1672"/>
      <c r="I213" s="1672"/>
      <c r="J213" s="1672"/>
      <c r="K213" s="1672"/>
      <c r="L213" s="1672"/>
      <c r="M213" s="1672"/>
      <c r="N213" s="1672"/>
      <c r="O213" s="1672"/>
      <c r="P213" s="1672"/>
      <c r="Q213" s="1672"/>
      <c r="R213" s="1672"/>
      <c r="S213" s="1672"/>
      <c r="T213" s="1672"/>
      <c r="U213" s="1672"/>
      <c r="V213" s="1672"/>
      <c r="W213" s="1672"/>
      <c r="X213" s="1672"/>
      <c r="Y213" s="1672"/>
      <c r="Z213" s="1672"/>
      <c r="AA213" s="1672"/>
      <c r="AB213" s="1672"/>
      <c r="AC213" s="1672"/>
      <c r="AD213" s="1672"/>
      <c r="AE213" s="1672"/>
      <c r="AF213" s="1672"/>
      <c r="AG213" s="1479"/>
      <c r="AH213" s="1479"/>
      <c r="AI213" s="1479"/>
      <c r="AJ213" s="1060">
        <f t="shared" si="67"/>
        <v>0</v>
      </c>
      <c r="AK213" s="1061">
        <f t="shared" si="68"/>
        <v>0</v>
      </c>
      <c r="AL213" s="1060">
        <f t="shared" si="69"/>
        <v>0</v>
      </c>
      <c r="AM213" s="1060">
        <f t="shared" si="70"/>
        <v>0</v>
      </c>
      <c r="AN213" s="1060">
        <f t="shared" si="71"/>
        <v>0</v>
      </c>
      <c r="AO213" s="1061">
        <f t="shared" si="72"/>
        <v>0</v>
      </c>
      <c r="AP213" s="1062">
        <f t="shared" si="73"/>
        <v>0</v>
      </c>
      <c r="AQ213" s="888"/>
      <c r="AR213" s="231"/>
      <c r="AS213" s="229" t="e">
        <f>VLOOKUP(C214,'[1]NT 2'!$C$2:$J$259,8,0)</f>
        <v>#N/A</v>
      </c>
      <c r="AT213" s="953" t="e">
        <f t="shared" si="38"/>
        <v>#N/A</v>
      </c>
    </row>
    <row r="214" spans="1:46" ht="24.75" customHeight="1">
      <c r="A214" s="1700">
        <v>202</v>
      </c>
      <c r="B214" s="1064">
        <v>38</v>
      </c>
      <c r="C214" s="838" t="s">
        <v>725</v>
      </c>
      <c r="D214" s="13" t="e">
        <f>VLOOKUP(C214,'[1]NT 2'!$C$2:$J$259,8,0)</f>
        <v>#N/A</v>
      </c>
      <c r="E214" s="1672"/>
      <c r="F214" s="1672"/>
      <c r="G214" s="1672"/>
      <c r="H214" s="1672"/>
      <c r="I214" s="1672"/>
      <c r="J214" s="1672"/>
      <c r="K214" s="1672"/>
      <c r="L214" s="1672"/>
      <c r="M214" s="1672"/>
      <c r="N214" s="1672"/>
      <c r="O214" s="1672"/>
      <c r="P214" s="1672"/>
      <c r="Q214" s="1672"/>
      <c r="R214" s="1672"/>
      <c r="S214" s="1672"/>
      <c r="T214" s="1672"/>
      <c r="U214" s="1672"/>
      <c r="V214" s="1672"/>
      <c r="W214" s="1672"/>
      <c r="X214" s="1672"/>
      <c r="Y214" s="1672"/>
      <c r="Z214" s="1672"/>
      <c r="AA214" s="1672"/>
      <c r="AB214" s="1672"/>
      <c r="AC214" s="1672"/>
      <c r="AD214" s="1672"/>
      <c r="AE214" s="1672"/>
      <c r="AF214" s="1672"/>
      <c r="AG214" s="1479"/>
      <c r="AH214" s="1479"/>
      <c r="AI214" s="1479"/>
      <c r="AJ214" s="1060">
        <f t="shared" si="67"/>
        <v>0</v>
      </c>
      <c r="AK214" s="1061">
        <f t="shared" si="68"/>
        <v>0</v>
      </c>
      <c r="AL214" s="1060">
        <f t="shared" si="69"/>
        <v>0</v>
      </c>
      <c r="AM214" s="1060">
        <f t="shared" si="70"/>
        <v>0</v>
      </c>
      <c r="AN214" s="1060">
        <f t="shared" si="71"/>
        <v>0</v>
      </c>
      <c r="AO214" s="1061">
        <f t="shared" si="72"/>
        <v>0</v>
      </c>
      <c r="AP214" s="1062">
        <f t="shared" si="73"/>
        <v>0</v>
      </c>
      <c r="AQ214" s="888"/>
      <c r="AR214" s="231"/>
      <c r="AS214" s="229" t="str">
        <f>VLOOKUP(C215,'[1]NT 2'!$C$2:$J$259,8,0)</f>
        <v>03625</v>
      </c>
      <c r="AT214" s="953">
        <f t="shared" si="38"/>
        <v>0</v>
      </c>
    </row>
    <row r="215" spans="1:46" ht="24.75" customHeight="1">
      <c r="A215" s="1700">
        <v>203</v>
      </c>
      <c r="B215" s="1064">
        <v>39</v>
      </c>
      <c r="C215" s="838" t="s">
        <v>452</v>
      </c>
      <c r="D215" s="13" t="str">
        <f>VLOOKUP(C215,'[1]NT 2'!$C$2:$J$259,8,0)</f>
        <v>03625</v>
      </c>
      <c r="E215" s="1672"/>
      <c r="F215" s="1672"/>
      <c r="G215" s="1672"/>
      <c r="H215" s="1672"/>
      <c r="I215" s="1672"/>
      <c r="J215" s="1672"/>
      <c r="K215" s="1672"/>
      <c r="L215" s="1672"/>
      <c r="M215" s="1672"/>
      <c r="N215" s="1672"/>
      <c r="O215" s="1672"/>
      <c r="P215" s="1672"/>
      <c r="Q215" s="1672"/>
      <c r="R215" s="1672"/>
      <c r="S215" s="1672"/>
      <c r="T215" s="1672"/>
      <c r="U215" s="1672"/>
      <c r="V215" s="1672"/>
      <c r="W215" s="1672"/>
      <c r="X215" s="1672"/>
      <c r="Y215" s="1672"/>
      <c r="Z215" s="1672"/>
      <c r="AA215" s="1672"/>
      <c r="AB215" s="1672"/>
      <c r="AC215" s="1672"/>
      <c r="AD215" s="1672"/>
      <c r="AE215" s="1672"/>
      <c r="AF215" s="1672"/>
      <c r="AG215" s="1479"/>
      <c r="AH215" s="1479"/>
      <c r="AI215" s="1479"/>
      <c r="AJ215" s="1060">
        <f t="shared" si="67"/>
        <v>0</v>
      </c>
      <c r="AK215" s="1061">
        <f t="shared" si="68"/>
        <v>0</v>
      </c>
      <c r="AL215" s="1060">
        <f t="shared" si="69"/>
        <v>0</v>
      </c>
      <c r="AM215" s="1060">
        <f t="shared" si="70"/>
        <v>0</v>
      </c>
      <c r="AN215" s="1060">
        <f t="shared" si="71"/>
        <v>0</v>
      </c>
      <c r="AO215" s="1061">
        <f t="shared" si="72"/>
        <v>0</v>
      </c>
      <c r="AP215" s="1062">
        <f t="shared" si="73"/>
        <v>0</v>
      </c>
      <c r="AQ215" s="888"/>
      <c r="AR215" s="231"/>
      <c r="AS215" s="229" t="str">
        <f>VLOOKUP(C216,'[1]NT 2'!$C$2:$J$259,8,0)</f>
        <v>03587</v>
      </c>
      <c r="AT215" s="953">
        <f t="shared" si="38"/>
        <v>0</v>
      </c>
    </row>
    <row r="216" spans="1:46" ht="24.75" customHeight="1">
      <c r="A216" s="1700">
        <v>204</v>
      </c>
      <c r="B216" s="1064">
        <v>40</v>
      </c>
      <c r="C216" s="834" t="s">
        <v>344</v>
      </c>
      <c r="D216" s="13" t="str">
        <f>VLOOKUP(C216,'[1]NT 2'!$C$2:$J$259,8,0)</f>
        <v>03587</v>
      </c>
      <c r="E216" s="1672"/>
      <c r="F216" s="1672"/>
      <c r="G216" s="1672"/>
      <c r="H216" s="1672"/>
      <c r="I216" s="1672"/>
      <c r="J216" s="1672"/>
      <c r="K216" s="1672"/>
      <c r="L216" s="1672"/>
      <c r="M216" s="1672"/>
      <c r="N216" s="1672"/>
      <c r="O216" s="1672"/>
      <c r="P216" s="1672"/>
      <c r="Q216" s="1672"/>
      <c r="R216" s="1672"/>
      <c r="S216" s="1672"/>
      <c r="T216" s="1672"/>
      <c r="U216" s="1672"/>
      <c r="V216" s="1672"/>
      <c r="W216" s="1672"/>
      <c r="X216" s="1672"/>
      <c r="Y216" s="1672"/>
      <c r="Z216" s="1672"/>
      <c r="AA216" s="1672"/>
      <c r="AB216" s="1672"/>
      <c r="AC216" s="1672"/>
      <c r="AD216" s="1672"/>
      <c r="AE216" s="1672"/>
      <c r="AF216" s="1672"/>
      <c r="AG216" s="1479"/>
      <c r="AH216" s="1479"/>
      <c r="AI216" s="1479"/>
      <c r="AJ216" s="1060">
        <f t="shared" si="67"/>
        <v>0</v>
      </c>
      <c r="AK216" s="1061">
        <f t="shared" si="68"/>
        <v>0</v>
      </c>
      <c r="AL216" s="1060">
        <f t="shared" si="69"/>
        <v>0</v>
      </c>
      <c r="AM216" s="1060">
        <f t="shared" si="70"/>
        <v>0</v>
      </c>
      <c r="AN216" s="1060">
        <f t="shared" si="71"/>
        <v>0</v>
      </c>
      <c r="AO216" s="1061">
        <f t="shared" si="72"/>
        <v>0</v>
      </c>
      <c r="AP216" s="1062">
        <f t="shared" si="73"/>
        <v>0</v>
      </c>
      <c r="AQ216" s="888"/>
      <c r="AR216" s="231"/>
      <c r="AS216" s="229" t="str">
        <f>VLOOKUP(C217,'[1]NT 2'!$C$2:$J$259,8,0)</f>
        <v>03627</v>
      </c>
      <c r="AT216" s="953">
        <f t="shared" si="38"/>
        <v>0</v>
      </c>
    </row>
    <row r="217" spans="1:46" ht="24.75" customHeight="1">
      <c r="A217" s="1700">
        <v>205</v>
      </c>
      <c r="B217" s="1064">
        <v>41</v>
      </c>
      <c r="C217" s="178" t="s">
        <v>616</v>
      </c>
      <c r="D217" s="13" t="str">
        <f>VLOOKUP(C217,'[1]NT 2'!$C$2:$J$259,8,0)</f>
        <v>03627</v>
      </c>
      <c r="E217" s="1672"/>
      <c r="F217" s="1672"/>
      <c r="G217" s="1672"/>
      <c r="H217" s="1672"/>
      <c r="I217" s="1672"/>
      <c r="J217" s="1672"/>
      <c r="K217" s="1672"/>
      <c r="L217" s="1672"/>
      <c r="M217" s="1672"/>
      <c r="N217" s="1672"/>
      <c r="O217" s="1672"/>
      <c r="P217" s="1672"/>
      <c r="Q217" s="1672"/>
      <c r="R217" s="1672"/>
      <c r="S217" s="1672"/>
      <c r="T217" s="1672"/>
      <c r="U217" s="1672"/>
      <c r="V217" s="1672"/>
      <c r="W217" s="1672"/>
      <c r="X217" s="1672"/>
      <c r="Y217" s="1672"/>
      <c r="Z217" s="1672"/>
      <c r="AA217" s="1672"/>
      <c r="AB217" s="1672"/>
      <c r="AC217" s="1672"/>
      <c r="AD217" s="1672"/>
      <c r="AE217" s="1672"/>
      <c r="AF217" s="1672"/>
      <c r="AG217" s="1479"/>
      <c r="AH217" s="1479"/>
      <c r="AI217" s="1479"/>
      <c r="AJ217" s="1060">
        <f t="shared" si="67"/>
        <v>0</v>
      </c>
      <c r="AK217" s="1061">
        <f t="shared" si="68"/>
        <v>0</v>
      </c>
      <c r="AL217" s="1060">
        <f t="shared" si="69"/>
        <v>0</v>
      </c>
      <c r="AM217" s="1060">
        <f t="shared" si="70"/>
        <v>0</v>
      </c>
      <c r="AN217" s="1060">
        <f t="shared" si="71"/>
        <v>0</v>
      </c>
      <c r="AO217" s="1061">
        <f t="shared" si="72"/>
        <v>0</v>
      </c>
      <c r="AP217" s="1062">
        <f t="shared" si="73"/>
        <v>0</v>
      </c>
      <c r="AQ217" s="888"/>
      <c r="AR217" s="231"/>
      <c r="AS217" s="229" t="str">
        <f>VLOOKUP(C218,'[1]NT 2'!$C$2:$J$259,8,0)</f>
        <v>03628</v>
      </c>
      <c r="AT217" s="953">
        <f t="shared" si="38"/>
        <v>0</v>
      </c>
    </row>
    <row r="218" spans="1:46" ht="24.75" customHeight="1">
      <c r="A218" s="1700">
        <v>206</v>
      </c>
      <c r="B218" s="1064">
        <v>42</v>
      </c>
      <c r="C218" s="838" t="s">
        <v>152</v>
      </c>
      <c r="D218" s="13" t="str">
        <f>VLOOKUP(C218,'[1]NT 2'!$C$2:$J$259,8,0)</f>
        <v>03628</v>
      </c>
      <c r="E218" s="1672"/>
      <c r="F218" s="1672"/>
      <c r="G218" s="1672"/>
      <c r="H218" s="1672"/>
      <c r="I218" s="1672"/>
      <c r="J218" s="1672"/>
      <c r="K218" s="1672"/>
      <c r="L218" s="1672"/>
      <c r="M218" s="1672"/>
      <c r="N218" s="1672"/>
      <c r="O218" s="1672"/>
      <c r="P218" s="1672"/>
      <c r="Q218" s="1672"/>
      <c r="R218" s="1672"/>
      <c r="S218" s="1672"/>
      <c r="T218" s="1672"/>
      <c r="U218" s="1672"/>
      <c r="V218" s="1672"/>
      <c r="W218" s="1672"/>
      <c r="X218" s="1672"/>
      <c r="Y218" s="1672"/>
      <c r="Z218" s="1672"/>
      <c r="AA218" s="1672"/>
      <c r="AB218" s="1672"/>
      <c r="AC218" s="1672"/>
      <c r="AD218" s="1672"/>
      <c r="AE218" s="1672"/>
      <c r="AF218" s="1672"/>
      <c r="AG218" s="1479"/>
      <c r="AH218" s="1479"/>
      <c r="AI218" s="1479"/>
      <c r="AJ218" s="1060">
        <f t="shared" si="67"/>
        <v>0</v>
      </c>
      <c r="AK218" s="1061">
        <f t="shared" si="68"/>
        <v>0</v>
      </c>
      <c r="AL218" s="1060">
        <f t="shared" si="69"/>
        <v>0</v>
      </c>
      <c r="AM218" s="1060">
        <f t="shared" si="70"/>
        <v>0</v>
      </c>
      <c r="AN218" s="1060">
        <f t="shared" si="71"/>
        <v>0</v>
      </c>
      <c r="AO218" s="1061">
        <f t="shared" si="72"/>
        <v>0</v>
      </c>
      <c r="AP218" s="1062">
        <f t="shared" si="73"/>
        <v>0</v>
      </c>
      <c r="AQ218" s="888"/>
      <c r="AR218" s="231"/>
      <c r="AS218" s="229" t="str">
        <f>VLOOKUP(C219,'[1]NT 2'!$C$2:$J$259,8,0)</f>
        <v>03629</v>
      </c>
      <c r="AT218" s="953">
        <f t="shared" si="38"/>
        <v>0</v>
      </c>
    </row>
    <row r="219" spans="1:46" ht="24.75" customHeight="1">
      <c r="A219" s="1700">
        <v>207</v>
      </c>
      <c r="B219" s="1064">
        <v>43</v>
      </c>
      <c r="C219" s="838" t="s">
        <v>699</v>
      </c>
      <c r="D219" s="13" t="str">
        <f>VLOOKUP(C219,'[1]NT 2'!$C$2:$J$259,8,0)</f>
        <v>03629</v>
      </c>
      <c r="E219" s="1672"/>
      <c r="F219" s="1672"/>
      <c r="G219" s="1672"/>
      <c r="H219" s="1672"/>
      <c r="I219" s="1672"/>
      <c r="J219" s="1672"/>
      <c r="K219" s="1672"/>
      <c r="L219" s="1672"/>
      <c r="M219" s="1672"/>
      <c r="N219" s="1672"/>
      <c r="O219" s="1672"/>
      <c r="P219" s="1672"/>
      <c r="Q219" s="1672"/>
      <c r="R219" s="1672"/>
      <c r="S219" s="1672"/>
      <c r="T219" s="1672"/>
      <c r="U219" s="1672"/>
      <c r="V219" s="1672"/>
      <c r="W219" s="1672"/>
      <c r="X219" s="1672"/>
      <c r="Y219" s="1672"/>
      <c r="Z219" s="1672"/>
      <c r="AA219" s="1672"/>
      <c r="AB219" s="1672"/>
      <c r="AC219" s="1672"/>
      <c r="AD219" s="1672"/>
      <c r="AE219" s="1672"/>
      <c r="AF219" s="1672"/>
      <c r="AG219" s="1479"/>
      <c r="AH219" s="1479"/>
      <c r="AI219" s="1479"/>
      <c r="AJ219" s="1060">
        <f t="shared" si="67"/>
        <v>0</v>
      </c>
      <c r="AK219" s="1061">
        <f t="shared" si="68"/>
        <v>0</v>
      </c>
      <c r="AL219" s="1060">
        <f t="shared" si="69"/>
        <v>0</v>
      </c>
      <c r="AM219" s="1060">
        <f t="shared" si="70"/>
        <v>0</v>
      </c>
      <c r="AN219" s="1060">
        <f t="shared" si="71"/>
        <v>0</v>
      </c>
      <c r="AO219" s="1061">
        <f t="shared" si="72"/>
        <v>0</v>
      </c>
      <c r="AP219" s="1062">
        <f t="shared" si="73"/>
        <v>0</v>
      </c>
      <c r="AQ219" s="888"/>
      <c r="AR219" s="231"/>
      <c r="AS219" s="229" t="str">
        <f>VLOOKUP(C220,'[1]NT 2'!$C$2:$J$259,8,0)</f>
        <v>03630</v>
      </c>
      <c r="AT219" s="953">
        <f t="shared" si="38"/>
        <v>0</v>
      </c>
    </row>
    <row r="220" spans="1:46" ht="24.75" customHeight="1">
      <c r="A220" s="1700">
        <v>208</v>
      </c>
      <c r="B220" s="1064">
        <v>44</v>
      </c>
      <c r="C220" s="838" t="s">
        <v>350</v>
      </c>
      <c r="D220" s="13" t="str">
        <f>VLOOKUP(C220,'[1]NT 2'!$C$2:$J$259,8,0)</f>
        <v>03630</v>
      </c>
      <c r="E220" s="1672"/>
      <c r="F220" s="1672"/>
      <c r="G220" s="1672"/>
      <c r="H220" s="1672"/>
      <c r="I220" s="1672"/>
      <c r="J220" s="1672"/>
      <c r="K220" s="1672"/>
      <c r="L220" s="1672"/>
      <c r="M220" s="1672"/>
      <c r="N220" s="1672"/>
      <c r="O220" s="1672"/>
      <c r="P220" s="1672"/>
      <c r="Q220" s="1672"/>
      <c r="R220" s="1672"/>
      <c r="S220" s="1672"/>
      <c r="T220" s="1672"/>
      <c r="U220" s="1672"/>
      <c r="V220" s="1672"/>
      <c r="W220" s="1672"/>
      <c r="X220" s="1672"/>
      <c r="Y220" s="1672"/>
      <c r="Z220" s="1672"/>
      <c r="AA220" s="1672"/>
      <c r="AB220" s="1672"/>
      <c r="AC220" s="1672"/>
      <c r="AD220" s="1672"/>
      <c r="AE220" s="1672"/>
      <c r="AF220" s="1672"/>
      <c r="AG220" s="1479"/>
      <c r="AH220" s="1479"/>
      <c r="AI220" s="1479"/>
      <c r="AJ220" s="1060">
        <f t="shared" si="67"/>
        <v>0</v>
      </c>
      <c r="AK220" s="1061">
        <f t="shared" si="68"/>
        <v>0</v>
      </c>
      <c r="AL220" s="1060">
        <f t="shared" si="69"/>
        <v>0</v>
      </c>
      <c r="AM220" s="1060">
        <f t="shared" si="70"/>
        <v>0</v>
      </c>
      <c r="AN220" s="1060">
        <f t="shared" si="71"/>
        <v>0</v>
      </c>
      <c r="AO220" s="1061">
        <f t="shared" si="72"/>
        <v>0</v>
      </c>
      <c r="AP220" s="1062">
        <f t="shared" si="73"/>
        <v>0</v>
      </c>
      <c r="AQ220" s="888"/>
      <c r="AR220" s="231"/>
      <c r="AS220" s="229" t="str">
        <f>VLOOKUP(C221,'[1]NT 2'!$C$2:$J$259,8,0)</f>
        <v>03631</v>
      </c>
      <c r="AT220" s="953">
        <f t="shared" si="38"/>
        <v>0</v>
      </c>
    </row>
    <row r="221" spans="1:46" ht="24.75" customHeight="1">
      <c r="A221" s="1700">
        <v>209</v>
      </c>
      <c r="B221" s="1064">
        <v>45</v>
      </c>
      <c r="C221" s="838" t="s">
        <v>686</v>
      </c>
      <c r="D221" s="13" t="str">
        <f>VLOOKUP(C221,'[1]NT 2'!$C$2:$J$259,8,0)</f>
        <v>03631</v>
      </c>
      <c r="E221" s="1672"/>
      <c r="F221" s="1672"/>
      <c r="G221" s="1672"/>
      <c r="H221" s="1672"/>
      <c r="I221" s="1672"/>
      <c r="J221" s="1672"/>
      <c r="K221" s="1672"/>
      <c r="L221" s="1672"/>
      <c r="M221" s="1672"/>
      <c r="N221" s="1672"/>
      <c r="O221" s="1672"/>
      <c r="P221" s="1672"/>
      <c r="Q221" s="1672"/>
      <c r="R221" s="1672"/>
      <c r="S221" s="1672"/>
      <c r="T221" s="1672"/>
      <c r="U221" s="1672"/>
      <c r="V221" s="1672"/>
      <c r="W221" s="1672"/>
      <c r="X221" s="1672"/>
      <c r="Y221" s="1672"/>
      <c r="Z221" s="1672"/>
      <c r="AA221" s="1672"/>
      <c r="AB221" s="1672"/>
      <c r="AC221" s="1672"/>
      <c r="AD221" s="1672"/>
      <c r="AE221" s="1672"/>
      <c r="AF221" s="1672"/>
      <c r="AG221" s="1479"/>
      <c r="AH221" s="1479"/>
      <c r="AI221" s="1479"/>
      <c r="AJ221" s="1060">
        <f t="shared" si="67"/>
        <v>0</v>
      </c>
      <c r="AK221" s="1061">
        <f t="shared" si="68"/>
        <v>0</v>
      </c>
      <c r="AL221" s="1060">
        <f t="shared" si="69"/>
        <v>0</v>
      </c>
      <c r="AM221" s="1060">
        <f t="shared" si="70"/>
        <v>0</v>
      </c>
      <c r="AN221" s="1060">
        <f t="shared" si="71"/>
        <v>0</v>
      </c>
      <c r="AO221" s="1061">
        <f t="shared" si="72"/>
        <v>0</v>
      </c>
      <c r="AP221" s="1062">
        <f t="shared" si="73"/>
        <v>0</v>
      </c>
      <c r="AQ221" s="888"/>
      <c r="AR221" s="231"/>
      <c r="AS221" s="229" t="str">
        <f>VLOOKUP(C222,'[1]NT 2'!$C$2:$J$259,8,0)</f>
        <v>03632</v>
      </c>
      <c r="AT221" s="953">
        <f t="shared" si="38"/>
        <v>0</v>
      </c>
    </row>
    <row r="222" spans="1:46" ht="24.75" customHeight="1">
      <c r="A222" s="1700">
        <v>210</v>
      </c>
      <c r="B222" s="1064">
        <v>46</v>
      </c>
      <c r="C222" s="838" t="s">
        <v>453</v>
      </c>
      <c r="D222" s="13" t="str">
        <f>VLOOKUP(C222,'[1]NT 2'!$C$2:$J$259,8,0)</f>
        <v>03632</v>
      </c>
      <c r="E222" s="1672"/>
      <c r="F222" s="1672"/>
      <c r="G222" s="1672"/>
      <c r="H222" s="1672"/>
      <c r="I222" s="1672"/>
      <c r="J222" s="1672"/>
      <c r="K222" s="1672"/>
      <c r="L222" s="1672"/>
      <c r="M222" s="1672"/>
      <c r="N222" s="1672"/>
      <c r="O222" s="1672"/>
      <c r="P222" s="1672"/>
      <c r="Q222" s="1672"/>
      <c r="R222" s="1672"/>
      <c r="S222" s="1672"/>
      <c r="T222" s="1672"/>
      <c r="U222" s="1672"/>
      <c r="V222" s="1672"/>
      <c r="W222" s="1672"/>
      <c r="X222" s="1672"/>
      <c r="Y222" s="1672"/>
      <c r="Z222" s="1672"/>
      <c r="AA222" s="1672"/>
      <c r="AB222" s="1672"/>
      <c r="AC222" s="1672"/>
      <c r="AD222" s="1672"/>
      <c r="AE222" s="1672"/>
      <c r="AF222" s="1672"/>
      <c r="AG222" s="1479"/>
      <c r="AH222" s="1479"/>
      <c r="AI222" s="1479"/>
      <c r="AJ222" s="1060">
        <f t="shared" si="67"/>
        <v>0</v>
      </c>
      <c r="AK222" s="1061">
        <f t="shared" si="68"/>
        <v>0</v>
      </c>
      <c r="AL222" s="1060">
        <f t="shared" si="69"/>
        <v>0</v>
      </c>
      <c r="AM222" s="1060">
        <f t="shared" si="70"/>
        <v>0</v>
      </c>
      <c r="AN222" s="1060">
        <f t="shared" si="71"/>
        <v>0</v>
      </c>
      <c r="AO222" s="1061">
        <f t="shared" si="72"/>
        <v>0</v>
      </c>
      <c r="AP222" s="1062">
        <f t="shared" si="73"/>
        <v>0</v>
      </c>
      <c r="AQ222" s="888"/>
      <c r="AR222" s="231"/>
      <c r="AS222" s="229" t="str">
        <f>VLOOKUP(C223,'[1]NT 2'!$C$2:$J$259,8,0)</f>
        <v>03633</v>
      </c>
      <c r="AT222" s="953">
        <f t="shared" si="38"/>
        <v>0</v>
      </c>
    </row>
    <row r="223" spans="1:46" ht="24.75" customHeight="1">
      <c r="A223" s="1700">
        <v>211</v>
      </c>
      <c r="B223" s="1064">
        <v>47</v>
      </c>
      <c r="C223" s="838" t="s">
        <v>351</v>
      </c>
      <c r="D223" s="13" t="str">
        <f>VLOOKUP(C223,'[1]NT 2'!$C$2:$J$259,8,0)</f>
        <v>03633</v>
      </c>
      <c r="E223" s="1672"/>
      <c r="F223" s="1672"/>
      <c r="G223" s="1672"/>
      <c r="H223" s="1672"/>
      <c r="I223" s="1672"/>
      <c r="J223" s="1672"/>
      <c r="K223" s="1672"/>
      <c r="L223" s="1672"/>
      <c r="M223" s="1672"/>
      <c r="N223" s="1672"/>
      <c r="O223" s="1672"/>
      <c r="P223" s="1672"/>
      <c r="Q223" s="1672"/>
      <c r="R223" s="1672"/>
      <c r="S223" s="1672"/>
      <c r="T223" s="1672"/>
      <c r="U223" s="1672"/>
      <c r="V223" s="1672"/>
      <c r="W223" s="1672"/>
      <c r="X223" s="1672"/>
      <c r="Y223" s="1672"/>
      <c r="Z223" s="1672"/>
      <c r="AA223" s="1672"/>
      <c r="AB223" s="1672"/>
      <c r="AC223" s="1672"/>
      <c r="AD223" s="1672"/>
      <c r="AE223" s="1672"/>
      <c r="AF223" s="1672"/>
      <c r="AG223" s="1479"/>
      <c r="AH223" s="1479"/>
      <c r="AI223" s="1479"/>
      <c r="AJ223" s="1060">
        <f t="shared" si="67"/>
        <v>0</v>
      </c>
      <c r="AK223" s="1061">
        <f t="shared" si="68"/>
        <v>0</v>
      </c>
      <c r="AL223" s="1060">
        <f t="shared" si="69"/>
        <v>0</v>
      </c>
      <c r="AM223" s="1060">
        <f t="shared" si="70"/>
        <v>0</v>
      </c>
      <c r="AN223" s="1060">
        <f t="shared" si="71"/>
        <v>0</v>
      </c>
      <c r="AO223" s="1061">
        <f t="shared" si="72"/>
        <v>0</v>
      </c>
      <c r="AP223" s="1062">
        <f t="shared" si="73"/>
        <v>0</v>
      </c>
      <c r="AQ223" s="888"/>
      <c r="AR223" s="231"/>
      <c r="AS223" s="229" t="str">
        <f>VLOOKUP(C224,'[1]NT 2'!$C$2:$J$259,8,0)</f>
        <v>03634</v>
      </c>
      <c r="AT223" s="953">
        <f t="shared" si="38"/>
        <v>0</v>
      </c>
    </row>
    <row r="224" spans="1:46" ht="24.75" customHeight="1">
      <c r="A224" s="1700">
        <v>212</v>
      </c>
      <c r="B224" s="1064">
        <v>48</v>
      </c>
      <c r="C224" s="838" t="s">
        <v>352</v>
      </c>
      <c r="D224" s="13" t="str">
        <f>VLOOKUP(C224,'[1]NT 2'!$C$2:$J$259,8,0)</f>
        <v>03634</v>
      </c>
      <c r="E224" s="1672"/>
      <c r="F224" s="1672"/>
      <c r="G224" s="1672"/>
      <c r="H224" s="1672"/>
      <c r="I224" s="1672"/>
      <c r="J224" s="1672"/>
      <c r="K224" s="1672"/>
      <c r="L224" s="1672"/>
      <c r="M224" s="1672"/>
      <c r="N224" s="1672"/>
      <c r="O224" s="1672"/>
      <c r="P224" s="1672"/>
      <c r="Q224" s="1672"/>
      <c r="R224" s="1672"/>
      <c r="S224" s="1672"/>
      <c r="T224" s="1672"/>
      <c r="U224" s="1672"/>
      <c r="V224" s="1672"/>
      <c r="W224" s="1672"/>
      <c r="X224" s="1672"/>
      <c r="Y224" s="1672"/>
      <c r="Z224" s="1672"/>
      <c r="AA224" s="1672"/>
      <c r="AB224" s="1672"/>
      <c r="AC224" s="1672"/>
      <c r="AD224" s="1672"/>
      <c r="AE224" s="1672"/>
      <c r="AF224" s="1672"/>
      <c r="AG224" s="1479"/>
      <c r="AH224" s="1479"/>
      <c r="AI224" s="1479"/>
      <c r="AJ224" s="1060">
        <f t="shared" si="67"/>
        <v>0</v>
      </c>
      <c r="AK224" s="1061">
        <f t="shared" si="68"/>
        <v>0</v>
      </c>
      <c r="AL224" s="1060">
        <f t="shared" si="69"/>
        <v>0</v>
      </c>
      <c r="AM224" s="1060">
        <f t="shared" si="70"/>
        <v>0</v>
      </c>
      <c r="AN224" s="1060">
        <f t="shared" si="71"/>
        <v>0</v>
      </c>
      <c r="AO224" s="1061">
        <f t="shared" si="72"/>
        <v>0</v>
      </c>
      <c r="AP224" s="1062">
        <f t="shared" si="73"/>
        <v>0</v>
      </c>
      <c r="AQ224" s="888"/>
      <c r="AR224" s="231"/>
      <c r="AS224" s="229" t="str">
        <f>VLOOKUP(C225,'[1]NT 2'!$C$2:$J$259,8,0)</f>
        <v>03635</v>
      </c>
      <c r="AT224" s="953">
        <f t="shared" ref="AT224:AT287" si="74">D225-AS224</f>
        <v>0</v>
      </c>
    </row>
    <row r="225" spans="1:46" ht="24.75" customHeight="1">
      <c r="A225" s="1700">
        <v>213</v>
      </c>
      <c r="B225" s="1064">
        <v>49</v>
      </c>
      <c r="C225" s="838" t="s">
        <v>454</v>
      </c>
      <c r="D225" s="13" t="str">
        <f>VLOOKUP(C225,'[1]NT 2'!$C$2:$J$259,8,0)</f>
        <v>03635</v>
      </c>
      <c r="E225" s="1672"/>
      <c r="F225" s="1672"/>
      <c r="G225" s="1672"/>
      <c r="H225" s="1672"/>
      <c r="I225" s="1672"/>
      <c r="J225" s="1672"/>
      <c r="K225" s="1672"/>
      <c r="L225" s="1672"/>
      <c r="M225" s="1672"/>
      <c r="N225" s="1672"/>
      <c r="O225" s="1672"/>
      <c r="P225" s="1672"/>
      <c r="Q225" s="1672"/>
      <c r="R225" s="1672"/>
      <c r="S225" s="1672"/>
      <c r="T225" s="1672"/>
      <c r="U225" s="1672"/>
      <c r="V225" s="1672"/>
      <c r="W225" s="1672"/>
      <c r="X225" s="1672"/>
      <c r="Y225" s="1672"/>
      <c r="Z225" s="1672"/>
      <c r="AA225" s="1672"/>
      <c r="AB225" s="1672"/>
      <c r="AC225" s="1672"/>
      <c r="AD225" s="1672"/>
      <c r="AE225" s="1672"/>
      <c r="AF225" s="1672"/>
      <c r="AG225" s="1479"/>
      <c r="AH225" s="1479"/>
      <c r="AI225" s="1479"/>
      <c r="AJ225" s="1060">
        <f t="shared" si="67"/>
        <v>0</v>
      </c>
      <c r="AK225" s="1061">
        <f t="shared" si="68"/>
        <v>0</v>
      </c>
      <c r="AL225" s="1060">
        <f t="shared" si="69"/>
        <v>0</v>
      </c>
      <c r="AM225" s="1060">
        <f t="shared" si="70"/>
        <v>0</v>
      </c>
      <c r="AN225" s="1060">
        <f t="shared" si="71"/>
        <v>0</v>
      </c>
      <c r="AO225" s="1061">
        <f t="shared" si="72"/>
        <v>0</v>
      </c>
      <c r="AP225" s="1062">
        <f t="shared" si="73"/>
        <v>0</v>
      </c>
      <c r="AQ225" s="888"/>
      <c r="AR225" s="231"/>
      <c r="AS225" s="229" t="str">
        <f>VLOOKUP(C226,'[1]NT 2'!$C$2:$J$259,8,0)</f>
        <v>03636</v>
      </c>
      <c r="AT225" s="953">
        <f t="shared" si="74"/>
        <v>0</v>
      </c>
    </row>
    <row r="226" spans="1:46" ht="24.75" customHeight="1">
      <c r="A226" s="1700">
        <v>214</v>
      </c>
      <c r="B226" s="1064">
        <v>50</v>
      </c>
      <c r="C226" s="838" t="s">
        <v>687</v>
      </c>
      <c r="D226" s="13" t="str">
        <f>VLOOKUP(C226,'[1]NT 2'!$C$2:$J$259,8,0)</f>
        <v>03636</v>
      </c>
      <c r="E226" s="1672"/>
      <c r="F226" s="1672"/>
      <c r="G226" s="1672"/>
      <c r="H226" s="1672"/>
      <c r="I226" s="1672"/>
      <c r="J226" s="1672"/>
      <c r="K226" s="1672"/>
      <c r="L226" s="1672"/>
      <c r="M226" s="1672"/>
      <c r="N226" s="1672"/>
      <c r="O226" s="1672"/>
      <c r="P226" s="1672"/>
      <c r="Q226" s="1672"/>
      <c r="R226" s="1672"/>
      <c r="S226" s="1672"/>
      <c r="T226" s="1672"/>
      <c r="U226" s="1672"/>
      <c r="V226" s="1672"/>
      <c r="W226" s="1672"/>
      <c r="X226" s="1672"/>
      <c r="Y226" s="1672"/>
      <c r="Z226" s="1672"/>
      <c r="AA226" s="1672"/>
      <c r="AB226" s="1672"/>
      <c r="AC226" s="1672"/>
      <c r="AD226" s="1672"/>
      <c r="AE226" s="1672"/>
      <c r="AF226" s="1672"/>
      <c r="AG226" s="1479"/>
      <c r="AH226" s="1479"/>
      <c r="AI226" s="1479"/>
      <c r="AJ226" s="1060">
        <f t="shared" si="67"/>
        <v>0</v>
      </c>
      <c r="AK226" s="1061">
        <f t="shared" si="68"/>
        <v>0</v>
      </c>
      <c r="AL226" s="1060">
        <f t="shared" si="69"/>
        <v>0</v>
      </c>
      <c r="AM226" s="1060">
        <f t="shared" si="70"/>
        <v>0</v>
      </c>
      <c r="AN226" s="1060">
        <f t="shared" si="71"/>
        <v>0</v>
      </c>
      <c r="AO226" s="1061">
        <f t="shared" si="72"/>
        <v>0</v>
      </c>
      <c r="AP226" s="1062">
        <f t="shared" si="73"/>
        <v>0</v>
      </c>
      <c r="AQ226" s="888"/>
      <c r="AR226" s="231"/>
      <c r="AS226" s="229" t="str">
        <f>VLOOKUP(C227,'[1]NT 2'!$C$2:$J$259,8,0)</f>
        <v>03637</v>
      </c>
      <c r="AT226" s="953">
        <f t="shared" si="74"/>
        <v>0</v>
      </c>
    </row>
    <row r="227" spans="1:46" ht="24.75" customHeight="1">
      <c r="A227" s="1700">
        <v>215</v>
      </c>
      <c r="B227" s="1064">
        <v>51</v>
      </c>
      <c r="C227" s="838" t="s">
        <v>688</v>
      </c>
      <c r="D227" s="13" t="str">
        <f>VLOOKUP(C227,'[1]NT 2'!$C$2:$J$259,8,0)</f>
        <v>03637</v>
      </c>
      <c r="E227" s="1672"/>
      <c r="F227" s="1672"/>
      <c r="G227" s="1672"/>
      <c r="H227" s="1672"/>
      <c r="I227" s="1672"/>
      <c r="J227" s="1672"/>
      <c r="K227" s="1672"/>
      <c r="L227" s="1672"/>
      <c r="M227" s="1672"/>
      <c r="N227" s="1672"/>
      <c r="O227" s="1672"/>
      <c r="P227" s="1672"/>
      <c r="Q227" s="1672"/>
      <c r="R227" s="1672"/>
      <c r="S227" s="1672"/>
      <c r="T227" s="1672"/>
      <c r="U227" s="1672"/>
      <c r="V227" s="1672"/>
      <c r="W227" s="1672"/>
      <c r="X227" s="1672"/>
      <c r="Y227" s="1672"/>
      <c r="Z227" s="1672"/>
      <c r="AA227" s="1672"/>
      <c r="AB227" s="1672"/>
      <c r="AC227" s="1672"/>
      <c r="AD227" s="1672"/>
      <c r="AE227" s="1672"/>
      <c r="AF227" s="1672"/>
      <c r="AG227" s="1479"/>
      <c r="AH227" s="1479"/>
      <c r="AI227" s="1479"/>
      <c r="AJ227" s="1060">
        <f t="shared" si="67"/>
        <v>0</v>
      </c>
      <c r="AK227" s="1061">
        <f t="shared" si="68"/>
        <v>0</v>
      </c>
      <c r="AL227" s="1060">
        <f t="shared" si="69"/>
        <v>0</v>
      </c>
      <c r="AM227" s="1060">
        <f t="shared" si="70"/>
        <v>0</v>
      </c>
      <c r="AN227" s="1060">
        <f t="shared" si="71"/>
        <v>0</v>
      </c>
      <c r="AO227" s="1061">
        <f t="shared" si="72"/>
        <v>0</v>
      </c>
      <c r="AP227" s="1062">
        <f t="shared" si="73"/>
        <v>0</v>
      </c>
      <c r="AQ227" s="888"/>
      <c r="AR227" s="231"/>
      <c r="AS227" s="229" t="str">
        <f>VLOOKUP(C228,'[1]NT 2'!$C$2:$J$259,8,0)</f>
        <v>03638</v>
      </c>
      <c r="AT227" s="953">
        <f t="shared" si="74"/>
        <v>0</v>
      </c>
    </row>
    <row r="228" spans="1:46" ht="24.75" customHeight="1">
      <c r="A228" s="1700">
        <v>216</v>
      </c>
      <c r="B228" s="1064">
        <v>52</v>
      </c>
      <c r="C228" s="838" t="s">
        <v>689</v>
      </c>
      <c r="D228" s="13" t="str">
        <f>VLOOKUP(C228,'[1]NT 2'!$C$2:$J$259,8,0)</f>
        <v>03638</v>
      </c>
      <c r="E228" s="1672"/>
      <c r="F228" s="1672"/>
      <c r="G228" s="1672"/>
      <c r="H228" s="1672"/>
      <c r="I228" s="1672"/>
      <c r="J228" s="1672"/>
      <c r="K228" s="1672"/>
      <c r="L228" s="1672"/>
      <c r="M228" s="1672"/>
      <c r="N228" s="1672"/>
      <c r="O228" s="1672"/>
      <c r="P228" s="1672"/>
      <c r="Q228" s="1672"/>
      <c r="R228" s="1672"/>
      <c r="S228" s="1672"/>
      <c r="T228" s="1672"/>
      <c r="U228" s="1672"/>
      <c r="V228" s="1672"/>
      <c r="W228" s="1672"/>
      <c r="X228" s="1672"/>
      <c r="Y228" s="1672"/>
      <c r="Z228" s="1672"/>
      <c r="AA228" s="1672"/>
      <c r="AB228" s="1672"/>
      <c r="AC228" s="1672"/>
      <c r="AD228" s="1672"/>
      <c r="AE228" s="1672"/>
      <c r="AF228" s="1672"/>
      <c r="AG228" s="1479"/>
      <c r="AH228" s="1479"/>
      <c r="AI228" s="1479"/>
      <c r="AJ228" s="1060">
        <f t="shared" si="67"/>
        <v>0</v>
      </c>
      <c r="AK228" s="1061">
        <f t="shared" si="68"/>
        <v>0</v>
      </c>
      <c r="AL228" s="1060">
        <f t="shared" si="69"/>
        <v>0</v>
      </c>
      <c r="AM228" s="1060">
        <f t="shared" si="70"/>
        <v>0</v>
      </c>
      <c r="AN228" s="1060">
        <f t="shared" si="71"/>
        <v>0</v>
      </c>
      <c r="AO228" s="1061">
        <f t="shared" si="72"/>
        <v>0</v>
      </c>
      <c r="AP228" s="1062">
        <f t="shared" si="73"/>
        <v>0</v>
      </c>
      <c r="AQ228" s="888"/>
      <c r="AR228" s="231"/>
      <c r="AS228" s="229" t="str">
        <f>VLOOKUP(C229,'[1]NT 2'!$C$2:$J$259,8,0)</f>
        <v>03639</v>
      </c>
      <c r="AT228" s="953">
        <f t="shared" si="74"/>
        <v>0</v>
      </c>
    </row>
    <row r="229" spans="1:46" ht="24.75" customHeight="1">
      <c r="A229" s="1700">
        <v>217</v>
      </c>
      <c r="B229" s="1064">
        <v>53</v>
      </c>
      <c r="C229" s="838" t="s">
        <v>690</v>
      </c>
      <c r="D229" s="13" t="str">
        <f>VLOOKUP(C229,'[1]NT 2'!$C$2:$J$259,8,0)</f>
        <v>03639</v>
      </c>
      <c r="E229" s="1672"/>
      <c r="F229" s="1672"/>
      <c r="G229" s="1672"/>
      <c r="H229" s="1672"/>
      <c r="I229" s="1672"/>
      <c r="J229" s="1672"/>
      <c r="K229" s="1672"/>
      <c r="L229" s="1672"/>
      <c r="M229" s="1672"/>
      <c r="N229" s="1672"/>
      <c r="O229" s="1672"/>
      <c r="P229" s="1672"/>
      <c r="Q229" s="1672"/>
      <c r="R229" s="1672"/>
      <c r="S229" s="1672"/>
      <c r="T229" s="1672"/>
      <c r="U229" s="1672"/>
      <c r="V229" s="1672"/>
      <c r="W229" s="1672"/>
      <c r="X229" s="1672"/>
      <c r="Y229" s="1672"/>
      <c r="Z229" s="1672"/>
      <c r="AA229" s="1672"/>
      <c r="AB229" s="1672"/>
      <c r="AC229" s="1672"/>
      <c r="AD229" s="1672"/>
      <c r="AE229" s="1672"/>
      <c r="AF229" s="1672"/>
      <c r="AG229" s="1479"/>
      <c r="AH229" s="1479"/>
      <c r="AI229" s="1479"/>
      <c r="AJ229" s="1060">
        <f t="shared" si="67"/>
        <v>0</v>
      </c>
      <c r="AK229" s="1061">
        <f t="shared" si="68"/>
        <v>0</v>
      </c>
      <c r="AL229" s="1060">
        <f t="shared" si="69"/>
        <v>0</v>
      </c>
      <c r="AM229" s="1060">
        <f t="shared" si="70"/>
        <v>0</v>
      </c>
      <c r="AN229" s="1060">
        <f t="shared" si="71"/>
        <v>0</v>
      </c>
      <c r="AO229" s="1061">
        <f t="shared" si="72"/>
        <v>0</v>
      </c>
      <c r="AP229" s="1062">
        <f t="shared" si="73"/>
        <v>0</v>
      </c>
      <c r="AQ229" s="888"/>
      <c r="AR229" s="231"/>
      <c r="AS229" s="229" t="e">
        <f>VLOOKUP(C230,'[1]NT 2'!$C$2:$J$259,8,0)</f>
        <v>#N/A</v>
      </c>
      <c r="AT229" s="953" t="e">
        <f t="shared" si="74"/>
        <v>#N/A</v>
      </c>
    </row>
    <row r="230" spans="1:46" ht="24.75" customHeight="1">
      <c r="A230" s="1700">
        <v>218</v>
      </c>
      <c r="B230" s="1064">
        <v>54</v>
      </c>
      <c r="C230" s="838" t="s">
        <v>711</v>
      </c>
      <c r="E230" s="1672"/>
      <c r="F230" s="1672"/>
      <c r="G230" s="1672"/>
      <c r="H230" s="1672"/>
      <c r="I230" s="1672"/>
      <c r="J230" s="1672"/>
      <c r="K230" s="1672"/>
      <c r="L230" s="1672"/>
      <c r="M230" s="1672"/>
      <c r="N230" s="1672"/>
      <c r="O230" s="1672"/>
      <c r="P230" s="1672"/>
      <c r="Q230" s="1672"/>
      <c r="R230" s="1672"/>
      <c r="S230" s="1672"/>
      <c r="T230" s="1672"/>
      <c r="U230" s="1672"/>
      <c r="V230" s="1672"/>
      <c r="W230" s="1672"/>
      <c r="X230" s="1672"/>
      <c r="Y230" s="1672"/>
      <c r="Z230" s="1672"/>
      <c r="AA230" s="1672"/>
      <c r="AB230" s="1672"/>
      <c r="AC230" s="1672"/>
      <c r="AD230" s="1672"/>
      <c r="AE230" s="1672"/>
      <c r="AF230" s="1672"/>
      <c r="AG230" s="1479"/>
      <c r="AH230" s="1479"/>
      <c r="AI230" s="1479"/>
      <c r="AJ230" s="1060">
        <f t="shared" si="67"/>
        <v>0</v>
      </c>
      <c r="AK230" s="1061">
        <f t="shared" si="68"/>
        <v>0</v>
      </c>
      <c r="AL230" s="1060">
        <f t="shared" si="69"/>
        <v>0</v>
      </c>
      <c r="AM230" s="1060">
        <f t="shared" si="70"/>
        <v>0</v>
      </c>
      <c r="AN230" s="1060">
        <f t="shared" si="71"/>
        <v>0</v>
      </c>
      <c r="AO230" s="1061">
        <f t="shared" si="72"/>
        <v>0</v>
      </c>
      <c r="AP230" s="1062">
        <f t="shared" si="73"/>
        <v>0</v>
      </c>
      <c r="AQ230" s="888"/>
      <c r="AR230" s="231"/>
      <c r="AS230" s="229" t="str">
        <f>VLOOKUP(C231,'[1]NT 2'!$C$2:$J$259,8,0)</f>
        <v>03641</v>
      </c>
      <c r="AT230" s="953">
        <f t="shared" si="74"/>
        <v>0</v>
      </c>
    </row>
    <row r="231" spans="1:46" ht="24.75" customHeight="1">
      <c r="A231" s="1700">
        <v>219</v>
      </c>
      <c r="B231" s="1064">
        <v>55</v>
      </c>
      <c r="C231" s="838" t="s">
        <v>353</v>
      </c>
      <c r="D231" s="13" t="str">
        <f>VLOOKUP(C231,'[1]NT 2'!$C$2:$J$259,8,0)</f>
        <v>03641</v>
      </c>
      <c r="E231" s="1672"/>
      <c r="F231" s="1672"/>
      <c r="G231" s="1672"/>
      <c r="H231" s="1672"/>
      <c r="I231" s="1672"/>
      <c r="J231" s="1672"/>
      <c r="K231" s="1672"/>
      <c r="L231" s="1672"/>
      <c r="M231" s="1672"/>
      <c r="N231" s="1672"/>
      <c r="O231" s="1672"/>
      <c r="P231" s="1672"/>
      <c r="Q231" s="1672"/>
      <c r="R231" s="1672"/>
      <c r="S231" s="1672"/>
      <c r="T231" s="1672"/>
      <c r="U231" s="1672"/>
      <c r="V231" s="1672"/>
      <c r="W231" s="1672"/>
      <c r="X231" s="1672"/>
      <c r="Y231" s="1672"/>
      <c r="Z231" s="1672"/>
      <c r="AA231" s="1672"/>
      <c r="AB231" s="1672"/>
      <c r="AC231" s="1672"/>
      <c r="AD231" s="1672"/>
      <c r="AE231" s="1672"/>
      <c r="AF231" s="1672"/>
      <c r="AG231" s="1479"/>
      <c r="AH231" s="1479"/>
      <c r="AI231" s="1479"/>
      <c r="AJ231" s="1060">
        <f t="shared" si="67"/>
        <v>0</v>
      </c>
      <c r="AK231" s="1061">
        <f t="shared" si="68"/>
        <v>0</v>
      </c>
      <c r="AL231" s="1060">
        <f t="shared" si="69"/>
        <v>0</v>
      </c>
      <c r="AM231" s="1060">
        <f t="shared" si="70"/>
        <v>0</v>
      </c>
      <c r="AN231" s="1060">
        <f t="shared" si="71"/>
        <v>0</v>
      </c>
      <c r="AO231" s="1061">
        <f t="shared" si="72"/>
        <v>0</v>
      </c>
      <c r="AP231" s="1062">
        <f t="shared" si="73"/>
        <v>0</v>
      </c>
      <c r="AQ231" s="888"/>
      <c r="AR231" s="231"/>
      <c r="AS231" s="229" t="str">
        <f>VLOOKUP(C232,'[1]NT 2'!$C$2:$J$259,8,0)</f>
        <v>03642</v>
      </c>
      <c r="AT231" s="953">
        <f t="shared" si="74"/>
        <v>0</v>
      </c>
    </row>
    <row r="232" spans="1:46" ht="24.75" customHeight="1">
      <c r="A232" s="1700">
        <v>220</v>
      </c>
      <c r="B232" s="1064">
        <v>56</v>
      </c>
      <c r="C232" s="838" t="s">
        <v>477</v>
      </c>
      <c r="D232" s="13" t="str">
        <f>VLOOKUP(C232,'[1]NT 2'!$C$2:$J$259,8,0)</f>
        <v>03642</v>
      </c>
      <c r="E232" s="1672"/>
      <c r="F232" s="1672"/>
      <c r="G232" s="1672"/>
      <c r="H232" s="1672"/>
      <c r="I232" s="1672"/>
      <c r="J232" s="1672"/>
      <c r="K232" s="1672"/>
      <c r="L232" s="1672"/>
      <c r="M232" s="1672"/>
      <c r="N232" s="1672"/>
      <c r="O232" s="1672"/>
      <c r="P232" s="1672"/>
      <c r="Q232" s="1672"/>
      <c r="R232" s="1672"/>
      <c r="S232" s="1672"/>
      <c r="T232" s="1672"/>
      <c r="U232" s="1672"/>
      <c r="V232" s="1672"/>
      <c r="W232" s="1672"/>
      <c r="X232" s="1672"/>
      <c r="Y232" s="1672"/>
      <c r="Z232" s="1672"/>
      <c r="AA232" s="1672"/>
      <c r="AB232" s="1672"/>
      <c r="AC232" s="1672"/>
      <c r="AD232" s="1672"/>
      <c r="AE232" s="1672"/>
      <c r="AF232" s="1672"/>
      <c r="AG232" s="1479"/>
      <c r="AH232" s="1479"/>
      <c r="AI232" s="1479"/>
      <c r="AJ232" s="1060">
        <f t="shared" si="67"/>
        <v>0</v>
      </c>
      <c r="AK232" s="1061">
        <f t="shared" si="68"/>
        <v>0</v>
      </c>
      <c r="AL232" s="1060">
        <f t="shared" si="69"/>
        <v>0</v>
      </c>
      <c r="AM232" s="1060">
        <f t="shared" si="70"/>
        <v>0</v>
      </c>
      <c r="AN232" s="1060">
        <f t="shared" si="71"/>
        <v>0</v>
      </c>
      <c r="AO232" s="1061">
        <f t="shared" si="72"/>
        <v>0</v>
      </c>
      <c r="AP232" s="1062">
        <f t="shared" si="73"/>
        <v>0</v>
      </c>
      <c r="AQ232" s="888"/>
      <c r="AR232" s="231"/>
      <c r="AS232" s="229" t="str">
        <f>VLOOKUP(C233,'[1]NT 2'!$C$2:$J$259,8,0)</f>
        <v>03643</v>
      </c>
      <c r="AT232" s="953">
        <f t="shared" si="74"/>
        <v>0</v>
      </c>
    </row>
    <row r="233" spans="1:46" ht="24.75" customHeight="1">
      <c r="A233" s="1700">
        <v>221</v>
      </c>
      <c r="B233" s="1064">
        <v>57</v>
      </c>
      <c r="C233" s="838" t="s">
        <v>691</v>
      </c>
      <c r="D233" s="13" t="str">
        <f>VLOOKUP(C233,'[1]NT 2'!$C$2:$J$259,8,0)</f>
        <v>03643</v>
      </c>
      <c r="E233" s="1672"/>
      <c r="F233" s="1672"/>
      <c r="G233" s="1672"/>
      <c r="H233" s="1672"/>
      <c r="I233" s="1672"/>
      <c r="J233" s="1672"/>
      <c r="K233" s="1672"/>
      <c r="L233" s="1672"/>
      <c r="M233" s="1672"/>
      <c r="N233" s="1672"/>
      <c r="O233" s="1672"/>
      <c r="P233" s="1672"/>
      <c r="Q233" s="1672"/>
      <c r="R233" s="1672"/>
      <c r="S233" s="1672"/>
      <c r="T233" s="1672"/>
      <c r="U233" s="1672"/>
      <c r="V233" s="1672"/>
      <c r="W233" s="1672"/>
      <c r="X233" s="1672"/>
      <c r="Y233" s="1672"/>
      <c r="Z233" s="1672"/>
      <c r="AA233" s="1672"/>
      <c r="AB233" s="1672"/>
      <c r="AC233" s="1672"/>
      <c r="AD233" s="1672"/>
      <c r="AE233" s="1672"/>
      <c r="AF233" s="1672"/>
      <c r="AG233" s="1479"/>
      <c r="AH233" s="1479"/>
      <c r="AI233" s="1479"/>
      <c r="AJ233" s="1060">
        <f t="shared" si="67"/>
        <v>0</v>
      </c>
      <c r="AK233" s="1061">
        <f t="shared" si="68"/>
        <v>0</v>
      </c>
      <c r="AL233" s="1060">
        <f t="shared" si="69"/>
        <v>0</v>
      </c>
      <c r="AM233" s="1060">
        <f t="shared" si="70"/>
        <v>0</v>
      </c>
      <c r="AN233" s="1060">
        <f t="shared" si="71"/>
        <v>0</v>
      </c>
      <c r="AO233" s="1061">
        <f t="shared" si="72"/>
        <v>0</v>
      </c>
      <c r="AP233" s="1062">
        <f t="shared" si="73"/>
        <v>0</v>
      </c>
      <c r="AQ233" s="888"/>
      <c r="AR233" s="231"/>
      <c r="AS233" s="229" t="str">
        <f>VLOOKUP(C234,'[1]NT 2'!$C$2:$J$259,8,0)</f>
        <v>03644</v>
      </c>
      <c r="AT233" s="953">
        <f t="shared" si="74"/>
        <v>0</v>
      </c>
    </row>
    <row r="234" spans="1:46" ht="24.75" customHeight="1">
      <c r="A234" s="1700">
        <v>222</v>
      </c>
      <c r="B234" s="1064">
        <v>58</v>
      </c>
      <c r="C234" s="838" t="s">
        <v>2</v>
      </c>
      <c r="D234" s="13" t="str">
        <f>VLOOKUP(C234,'[1]NT 2'!$C$2:$J$259,8,0)</f>
        <v>03644</v>
      </c>
      <c r="E234" s="1672"/>
      <c r="F234" s="1672"/>
      <c r="G234" s="1672"/>
      <c r="H234" s="1672"/>
      <c r="I234" s="1672"/>
      <c r="J234" s="1672"/>
      <c r="K234" s="1672"/>
      <c r="L234" s="1672"/>
      <c r="M234" s="1672"/>
      <c r="N234" s="1672"/>
      <c r="O234" s="1672"/>
      <c r="P234" s="1672"/>
      <c r="Q234" s="1672"/>
      <c r="R234" s="1672"/>
      <c r="S234" s="1672"/>
      <c r="T234" s="1672"/>
      <c r="U234" s="1672"/>
      <c r="V234" s="1672"/>
      <c r="W234" s="1672"/>
      <c r="X234" s="1672"/>
      <c r="Y234" s="1672"/>
      <c r="Z234" s="1672"/>
      <c r="AA234" s="1672"/>
      <c r="AB234" s="1672"/>
      <c r="AC234" s="1672"/>
      <c r="AD234" s="1672"/>
      <c r="AE234" s="1672"/>
      <c r="AF234" s="1672"/>
      <c r="AG234" s="1479"/>
      <c r="AH234" s="1479"/>
      <c r="AI234" s="1479"/>
      <c r="AJ234" s="1060">
        <f t="shared" si="67"/>
        <v>0</v>
      </c>
      <c r="AK234" s="1061">
        <f t="shared" si="68"/>
        <v>0</v>
      </c>
      <c r="AL234" s="1060">
        <f t="shared" si="69"/>
        <v>0</v>
      </c>
      <c r="AM234" s="1060">
        <f t="shared" si="70"/>
        <v>0</v>
      </c>
      <c r="AN234" s="1060">
        <f t="shared" si="71"/>
        <v>0</v>
      </c>
      <c r="AO234" s="1061">
        <f t="shared" si="72"/>
        <v>0</v>
      </c>
      <c r="AP234" s="1062">
        <f t="shared" si="73"/>
        <v>0</v>
      </c>
      <c r="AQ234" s="888"/>
      <c r="AR234" s="231"/>
      <c r="AT234" s="953">
        <f t="shared" si="74"/>
        <v>0</v>
      </c>
    </row>
    <row r="235" spans="1:46" ht="24.75" customHeight="1">
      <c r="A235" s="1700">
        <v>223</v>
      </c>
      <c r="B235" s="1064">
        <v>59</v>
      </c>
      <c r="C235" s="178" t="s">
        <v>603</v>
      </c>
      <c r="E235" s="1672"/>
      <c r="F235" s="1672"/>
      <c r="G235" s="1672"/>
      <c r="H235" s="1672"/>
      <c r="I235" s="1672"/>
      <c r="J235" s="1672"/>
      <c r="K235" s="1672"/>
      <c r="L235" s="1672"/>
      <c r="M235" s="1672"/>
      <c r="N235" s="1672"/>
      <c r="O235" s="1672"/>
      <c r="P235" s="1672"/>
      <c r="Q235" s="1672"/>
      <c r="R235" s="1672"/>
      <c r="S235" s="1672"/>
      <c r="T235" s="1672"/>
      <c r="U235" s="1672"/>
      <c r="V235" s="1672"/>
      <c r="W235" s="1672"/>
      <c r="X235" s="1672"/>
      <c r="Y235" s="1672"/>
      <c r="Z235" s="1672"/>
      <c r="AA235" s="1672"/>
      <c r="AB235" s="1672"/>
      <c r="AC235" s="1672"/>
      <c r="AD235" s="1672"/>
      <c r="AE235" s="1672"/>
      <c r="AF235" s="1672"/>
      <c r="AG235" s="1479"/>
      <c r="AH235" s="1479"/>
      <c r="AI235" s="1479"/>
      <c r="AJ235" s="1060">
        <f t="shared" si="67"/>
        <v>0</v>
      </c>
      <c r="AK235" s="1061">
        <f t="shared" si="68"/>
        <v>0</v>
      </c>
      <c r="AL235" s="1060">
        <f t="shared" si="69"/>
        <v>0</v>
      </c>
      <c r="AM235" s="1060">
        <f t="shared" si="70"/>
        <v>0</v>
      </c>
      <c r="AN235" s="1060">
        <f t="shared" si="71"/>
        <v>0</v>
      </c>
      <c r="AO235" s="1061">
        <f t="shared" si="72"/>
        <v>0</v>
      </c>
      <c r="AP235" s="1062">
        <f t="shared" si="73"/>
        <v>0</v>
      </c>
      <c r="AQ235" s="888"/>
      <c r="AR235" s="231"/>
      <c r="AT235" s="953">
        <f t="shared" si="74"/>
        <v>0</v>
      </c>
    </row>
    <row r="236" spans="1:46" ht="24.75" customHeight="1">
      <c r="A236" s="1700">
        <v>224</v>
      </c>
      <c r="B236" s="1064">
        <v>60</v>
      </c>
      <c r="C236" s="838" t="s">
        <v>726</v>
      </c>
      <c r="E236" s="1672"/>
      <c r="F236" s="1672"/>
      <c r="G236" s="1672"/>
      <c r="H236" s="1672"/>
      <c r="I236" s="1672"/>
      <c r="J236" s="1672"/>
      <c r="K236" s="1672"/>
      <c r="L236" s="1672"/>
      <c r="M236" s="1672"/>
      <c r="N236" s="1672"/>
      <c r="O236" s="1672"/>
      <c r="P236" s="1672"/>
      <c r="Q236" s="1672"/>
      <c r="R236" s="1672"/>
      <c r="S236" s="1672"/>
      <c r="T236" s="1672"/>
      <c r="U236" s="1672"/>
      <c r="V236" s="1672"/>
      <c r="W236" s="1672"/>
      <c r="X236" s="1672"/>
      <c r="Y236" s="1672"/>
      <c r="Z236" s="1672"/>
      <c r="AA236" s="1672"/>
      <c r="AB236" s="1672"/>
      <c r="AC236" s="1672"/>
      <c r="AD236" s="1672"/>
      <c r="AE236" s="1672"/>
      <c r="AF236" s="1672"/>
      <c r="AG236" s="1479"/>
      <c r="AH236" s="1479"/>
      <c r="AI236" s="1479"/>
      <c r="AJ236" s="1060">
        <f t="shared" si="67"/>
        <v>0</v>
      </c>
      <c r="AK236" s="1061">
        <f t="shared" si="68"/>
        <v>0</v>
      </c>
      <c r="AL236" s="1060">
        <f t="shared" si="69"/>
        <v>0</v>
      </c>
      <c r="AM236" s="1060">
        <f t="shared" si="70"/>
        <v>0</v>
      </c>
      <c r="AN236" s="1060">
        <f t="shared" si="71"/>
        <v>0</v>
      </c>
      <c r="AO236" s="1061">
        <f t="shared" si="72"/>
        <v>0</v>
      </c>
      <c r="AP236" s="1062">
        <f t="shared" si="73"/>
        <v>0</v>
      </c>
      <c r="AQ236" s="888"/>
      <c r="AR236" s="231"/>
      <c r="AT236" s="953">
        <f t="shared" si="74"/>
        <v>0</v>
      </c>
    </row>
    <row r="237" spans="1:46" ht="24.75" customHeight="1">
      <c r="A237" s="1700">
        <v>225</v>
      </c>
      <c r="B237" s="1064">
        <v>61</v>
      </c>
      <c r="C237" s="1109" t="s">
        <v>759</v>
      </c>
      <c r="E237" s="1672"/>
      <c r="F237" s="1672"/>
      <c r="G237" s="1672"/>
      <c r="H237" s="1672"/>
      <c r="I237" s="1672"/>
      <c r="J237" s="1672"/>
      <c r="K237" s="1672"/>
      <c r="L237" s="1672"/>
      <c r="M237" s="1672"/>
      <c r="N237" s="1672"/>
      <c r="O237" s="1672"/>
      <c r="P237" s="1672"/>
      <c r="Q237" s="1672"/>
      <c r="R237" s="1672"/>
      <c r="S237" s="1672"/>
      <c r="T237" s="1672"/>
      <c r="U237" s="1672"/>
      <c r="V237" s="1672"/>
      <c r="W237" s="1672"/>
      <c r="X237" s="1672"/>
      <c r="Y237" s="1672"/>
      <c r="Z237" s="1672"/>
      <c r="AA237" s="1672"/>
      <c r="AB237" s="1672"/>
      <c r="AC237" s="1672"/>
      <c r="AD237" s="1672"/>
      <c r="AE237" s="1672"/>
      <c r="AF237" s="1672"/>
      <c r="AG237" s="1479"/>
      <c r="AH237" s="1479"/>
      <c r="AI237" s="1479"/>
      <c r="AJ237" s="1060">
        <f t="shared" si="67"/>
        <v>0</v>
      </c>
      <c r="AK237" s="1061">
        <f t="shared" si="68"/>
        <v>0</v>
      </c>
      <c r="AL237" s="1060">
        <f t="shared" si="69"/>
        <v>0</v>
      </c>
      <c r="AM237" s="1060">
        <f t="shared" si="70"/>
        <v>0</v>
      </c>
      <c r="AN237" s="1060">
        <f t="shared" si="71"/>
        <v>0</v>
      </c>
      <c r="AO237" s="1061">
        <f t="shared" si="72"/>
        <v>0</v>
      </c>
      <c r="AP237" s="1062">
        <f t="shared" si="73"/>
        <v>0</v>
      </c>
      <c r="AQ237" s="888"/>
      <c r="AR237" s="231"/>
      <c r="AT237" s="953">
        <f t="shared" si="74"/>
        <v>0</v>
      </c>
    </row>
    <row r="238" spans="1:46" ht="24.75" customHeight="1">
      <c r="A238" s="1700">
        <v>226</v>
      </c>
      <c r="B238" s="1064">
        <v>62</v>
      </c>
      <c r="C238" s="1109" t="s">
        <v>760</v>
      </c>
      <c r="E238" s="1672"/>
      <c r="F238" s="1672"/>
      <c r="G238" s="1672"/>
      <c r="H238" s="1672"/>
      <c r="I238" s="1672"/>
      <c r="J238" s="1672"/>
      <c r="K238" s="1672"/>
      <c r="L238" s="1672"/>
      <c r="M238" s="1672"/>
      <c r="N238" s="1672"/>
      <c r="O238" s="1672"/>
      <c r="P238" s="1672"/>
      <c r="Q238" s="1672"/>
      <c r="R238" s="1672"/>
      <c r="S238" s="1672"/>
      <c r="T238" s="1672"/>
      <c r="U238" s="1672"/>
      <c r="V238" s="1672"/>
      <c r="W238" s="1672"/>
      <c r="X238" s="1672"/>
      <c r="Y238" s="1672"/>
      <c r="Z238" s="1672"/>
      <c r="AA238" s="1672"/>
      <c r="AB238" s="1672"/>
      <c r="AC238" s="1672"/>
      <c r="AD238" s="1672"/>
      <c r="AE238" s="1672"/>
      <c r="AF238" s="1672"/>
      <c r="AG238" s="1479"/>
      <c r="AH238" s="1479"/>
      <c r="AI238" s="1479"/>
      <c r="AJ238" s="1060">
        <f t="shared" si="67"/>
        <v>0</v>
      </c>
      <c r="AK238" s="1061">
        <f t="shared" si="68"/>
        <v>0</v>
      </c>
      <c r="AL238" s="1060">
        <f t="shared" si="69"/>
        <v>0</v>
      </c>
      <c r="AM238" s="1060">
        <f t="shared" si="70"/>
        <v>0</v>
      </c>
      <c r="AN238" s="1060">
        <f t="shared" si="71"/>
        <v>0</v>
      </c>
      <c r="AO238" s="1061">
        <f t="shared" si="72"/>
        <v>0</v>
      </c>
      <c r="AP238" s="1062">
        <f t="shared" si="73"/>
        <v>0</v>
      </c>
      <c r="AQ238" s="888"/>
      <c r="AR238" s="231"/>
      <c r="AT238" s="953">
        <f t="shared" si="74"/>
        <v>0</v>
      </c>
    </row>
    <row r="239" spans="1:46" ht="24.75" customHeight="1">
      <c r="A239" s="888"/>
      <c r="B239" s="1902" t="s">
        <v>321</v>
      </c>
      <c r="C239" s="1902"/>
      <c r="D239" s="1902"/>
      <c r="E239" s="1058">
        <f>SUM(COUNTIF(E240:E305,"x"))+(COUNTIF(E240:E305,"cn"))+(COUNTIF(E240:E305,"đ"))</f>
        <v>0</v>
      </c>
      <c r="F239" s="1058">
        <f t="shared" ref="F239:AH239" si="75">SUM(COUNTIF(F240:F305,"x"))+(COUNTIF(F240:F305,"cn"))+(COUNTIF(F240:F305,"đ"))</f>
        <v>0</v>
      </c>
      <c r="G239" s="1058">
        <f t="shared" si="75"/>
        <v>0</v>
      </c>
      <c r="H239" s="1058">
        <f t="shared" si="75"/>
        <v>0</v>
      </c>
      <c r="I239" s="1058">
        <f t="shared" si="75"/>
        <v>0</v>
      </c>
      <c r="J239" s="1058">
        <f t="shared" si="75"/>
        <v>0</v>
      </c>
      <c r="K239" s="1058">
        <f t="shared" si="75"/>
        <v>0</v>
      </c>
      <c r="L239" s="1058">
        <f t="shared" si="75"/>
        <v>0</v>
      </c>
      <c r="M239" s="1058">
        <f t="shared" si="75"/>
        <v>0</v>
      </c>
      <c r="N239" s="1058">
        <f t="shared" si="75"/>
        <v>0</v>
      </c>
      <c r="O239" s="1058">
        <f t="shared" si="75"/>
        <v>0</v>
      </c>
      <c r="P239" s="1058">
        <f t="shared" si="75"/>
        <v>0</v>
      </c>
      <c r="Q239" s="1058">
        <f t="shared" si="75"/>
        <v>0</v>
      </c>
      <c r="R239" s="1058">
        <f t="shared" si="75"/>
        <v>0</v>
      </c>
      <c r="S239" s="1058">
        <f t="shared" si="75"/>
        <v>0</v>
      </c>
      <c r="T239" s="1058">
        <f t="shared" si="75"/>
        <v>0</v>
      </c>
      <c r="U239" s="1058">
        <f t="shared" si="75"/>
        <v>0</v>
      </c>
      <c r="V239" s="1058">
        <f t="shared" si="75"/>
        <v>0</v>
      </c>
      <c r="W239" s="1058">
        <f t="shared" si="75"/>
        <v>0</v>
      </c>
      <c r="X239" s="1058">
        <f t="shared" si="75"/>
        <v>0</v>
      </c>
      <c r="Y239" s="1058">
        <f t="shared" si="75"/>
        <v>0</v>
      </c>
      <c r="Z239" s="1058">
        <f t="shared" si="75"/>
        <v>0</v>
      </c>
      <c r="AA239" s="1058">
        <f t="shared" si="75"/>
        <v>0</v>
      </c>
      <c r="AB239" s="1058">
        <f t="shared" si="75"/>
        <v>0</v>
      </c>
      <c r="AC239" s="1058">
        <f t="shared" si="75"/>
        <v>0</v>
      </c>
      <c r="AD239" s="1058">
        <f t="shared" si="75"/>
        <v>0</v>
      </c>
      <c r="AE239" s="1058">
        <f t="shared" si="75"/>
        <v>0</v>
      </c>
      <c r="AF239" s="1058">
        <f t="shared" si="75"/>
        <v>0</v>
      </c>
      <c r="AG239" s="1058">
        <f t="shared" si="75"/>
        <v>0</v>
      </c>
      <c r="AH239" s="1058">
        <f t="shared" si="75"/>
        <v>0</v>
      </c>
      <c r="AI239" s="1058">
        <f t="shared" ref="AI239" si="76">SUM(COUNTIF(AI240:AI298,"x"))+(COUNTIF(AI240:AI298,"cn"))</f>
        <v>0</v>
      </c>
      <c r="AJ239" s="1026">
        <f>SUM(AJ240:AJ305)</f>
        <v>0</v>
      </c>
      <c r="AK239" s="1026">
        <f t="shared" ref="AK239:AP239" si="77">SUM(AK240:AK305)</f>
        <v>0</v>
      </c>
      <c r="AL239" s="1026">
        <f t="shared" si="77"/>
        <v>0</v>
      </c>
      <c r="AM239" s="1026">
        <f t="shared" si="77"/>
        <v>0</v>
      </c>
      <c r="AN239" s="1026">
        <f t="shared" si="77"/>
        <v>0</v>
      </c>
      <c r="AO239" s="1026">
        <f t="shared" si="77"/>
        <v>0</v>
      </c>
      <c r="AP239" s="1026">
        <f t="shared" si="77"/>
        <v>0</v>
      </c>
      <c r="AQ239" s="888"/>
      <c r="AR239" s="231"/>
      <c r="AS239" s="229" t="str">
        <f>VLOOKUP(C240,'[1]NT 2'!$C$2:$J$259,8,0)</f>
        <v>03645</v>
      </c>
      <c r="AT239" s="953">
        <f t="shared" si="74"/>
        <v>0</v>
      </c>
    </row>
    <row r="240" spans="1:46" ht="24.75" customHeight="1">
      <c r="A240" s="1519">
        <v>227</v>
      </c>
      <c r="B240" s="1064">
        <v>1</v>
      </c>
      <c r="C240" s="365" t="s">
        <v>386</v>
      </c>
      <c r="D240" s="31" t="str">
        <f>VLOOKUP(C240,'[1]NT 2'!$C$2:$J$259,8,0)</f>
        <v>03645</v>
      </c>
      <c r="E240" s="1673"/>
      <c r="F240" s="1673"/>
      <c r="G240" s="1673"/>
      <c r="H240" s="1673"/>
      <c r="I240" s="1673"/>
      <c r="J240" s="1673"/>
      <c r="K240" s="1673"/>
      <c r="L240" s="1673"/>
      <c r="M240" s="1673"/>
      <c r="N240" s="1673"/>
      <c r="O240" s="1673"/>
      <c r="P240" s="1673"/>
      <c r="Q240" s="1673"/>
      <c r="R240" s="1673"/>
      <c r="S240" s="1673"/>
      <c r="T240" s="1673"/>
      <c r="U240" s="1673"/>
      <c r="V240" s="1673"/>
      <c r="W240" s="1673"/>
      <c r="X240" s="1673"/>
      <c r="Y240" s="1673"/>
      <c r="Z240" s="1673"/>
      <c r="AA240" s="1673"/>
      <c r="AB240" s="1673"/>
      <c r="AC240" s="1673"/>
      <c r="AD240" s="1673"/>
      <c r="AE240" s="1673"/>
      <c r="AF240" s="1673"/>
      <c r="AG240" s="1464"/>
      <c r="AH240" s="1464"/>
      <c r="AI240" s="1464"/>
      <c r="AJ240" s="1674">
        <f t="shared" ref="AJ240" si="78">SUM(COUNTIF(E240:AI240,"x"))</f>
        <v>0</v>
      </c>
      <c r="AK240" s="1675">
        <f t="shared" ref="AK240" si="79">SUM(COUNTIF(E240:AI240,"cn"))</f>
        <v>0</v>
      </c>
      <c r="AL240" s="1674">
        <f t="shared" ref="AL240" si="80">SUM(COUNTIF(E240:AI240,"đ"))</f>
        <v>0</v>
      </c>
      <c r="AM240" s="1674">
        <f t="shared" ref="AM240" si="81">SUM(COUNTIF(E240:AI240,"đc"))</f>
        <v>0</v>
      </c>
      <c r="AN240" s="1674">
        <f t="shared" ref="AN240" si="82">SUM(COUNTIF(E240:AI240,"gt"))</f>
        <v>0</v>
      </c>
      <c r="AO240" s="1675">
        <f t="shared" ref="AO240" si="83">SUM(COUNTIF(E240:AI240,"ct"))</f>
        <v>0</v>
      </c>
      <c r="AP240" s="1676">
        <f t="shared" ref="AP240" si="84">AJ240+AK240+AL240+AM240+AN240+AO240</f>
        <v>0</v>
      </c>
      <c r="AQ240" s="888"/>
      <c r="AR240" s="231"/>
      <c r="AS240" s="229" t="str">
        <f>VLOOKUP(C241,'[1]NT 2'!$C$2:$J$259,8,0)</f>
        <v>03646</v>
      </c>
      <c r="AT240" s="953">
        <f t="shared" si="74"/>
        <v>0</v>
      </c>
    </row>
    <row r="241" spans="1:46" ht="24.75" customHeight="1">
      <c r="A241" s="1519">
        <v>228</v>
      </c>
      <c r="B241" s="1064">
        <v>2</v>
      </c>
      <c r="C241" s="365" t="s">
        <v>286</v>
      </c>
      <c r="D241" s="31" t="str">
        <f>VLOOKUP(C241,'[1]NT 2'!$C$2:$J$259,8,0)</f>
        <v>03646</v>
      </c>
      <c r="E241" s="1673"/>
      <c r="F241" s="1673"/>
      <c r="G241" s="1673"/>
      <c r="H241" s="1673"/>
      <c r="I241" s="1673"/>
      <c r="J241" s="1673"/>
      <c r="K241" s="1673"/>
      <c r="L241" s="1673"/>
      <c r="M241" s="1673"/>
      <c r="N241" s="1673"/>
      <c r="O241" s="1673"/>
      <c r="P241" s="1673"/>
      <c r="Q241" s="1673"/>
      <c r="R241" s="1673"/>
      <c r="S241" s="1673"/>
      <c r="T241" s="1673"/>
      <c r="U241" s="1673"/>
      <c r="V241" s="1673"/>
      <c r="W241" s="1673"/>
      <c r="X241" s="1673"/>
      <c r="Y241" s="1673"/>
      <c r="Z241" s="1673"/>
      <c r="AA241" s="1673"/>
      <c r="AB241" s="1673"/>
      <c r="AC241" s="1673"/>
      <c r="AD241" s="1673"/>
      <c r="AE241" s="1673"/>
      <c r="AF241" s="1673"/>
      <c r="AG241" s="1464"/>
      <c r="AH241" s="1464"/>
      <c r="AI241" s="1464"/>
      <c r="AJ241" s="1674">
        <f t="shared" ref="AJ241:AJ298" si="85">SUM(COUNTIF(E241:AI241,"x"))</f>
        <v>0</v>
      </c>
      <c r="AK241" s="1675">
        <f t="shared" ref="AK241:AK298" si="86">SUM(COUNTIF(E241:AI241,"cn"))</f>
        <v>0</v>
      </c>
      <c r="AL241" s="1674">
        <f t="shared" ref="AL241:AL298" si="87">SUM(COUNTIF(E241:AI241,"đ"))</f>
        <v>0</v>
      </c>
      <c r="AM241" s="1674">
        <f t="shared" ref="AM241:AM298" si="88">SUM(COUNTIF(E241:AI241,"đc"))</f>
        <v>0</v>
      </c>
      <c r="AN241" s="1674">
        <f t="shared" ref="AN241:AN298" si="89">SUM(COUNTIF(E241:AI241,"gt"))</f>
        <v>0</v>
      </c>
      <c r="AO241" s="1675">
        <f t="shared" ref="AO241:AO298" si="90">SUM(COUNTIF(E241:AI241,"ct"))</f>
        <v>0</v>
      </c>
      <c r="AP241" s="1676">
        <f t="shared" ref="AP241:AP298" si="91">AJ241+AK241+AL241+AM241+AN241+AO241</f>
        <v>0</v>
      </c>
      <c r="AQ241" s="888"/>
      <c r="AR241" s="231"/>
      <c r="AS241" s="229" t="e">
        <f>VLOOKUP(C242,'[1]NT 2'!$C$2:$J$259,8,0)</f>
        <v>#N/A</v>
      </c>
      <c r="AT241" s="953" t="e">
        <f t="shared" si="74"/>
        <v>#N/A</v>
      </c>
    </row>
    <row r="242" spans="1:46" ht="24.75" customHeight="1">
      <c r="A242" s="1519">
        <v>229</v>
      </c>
      <c r="B242" s="1064">
        <v>3</v>
      </c>
      <c r="C242" s="365" t="s">
        <v>773</v>
      </c>
      <c r="D242" s="31"/>
      <c r="E242" s="1673"/>
      <c r="F242" s="1673"/>
      <c r="G242" s="1673"/>
      <c r="H242" s="1673"/>
      <c r="I242" s="1673"/>
      <c r="J242" s="1673"/>
      <c r="K242" s="1673"/>
      <c r="L242" s="1673"/>
      <c r="M242" s="1673"/>
      <c r="N242" s="1673"/>
      <c r="O242" s="1673"/>
      <c r="P242" s="1673"/>
      <c r="Q242" s="1673"/>
      <c r="R242" s="1673"/>
      <c r="S242" s="1673"/>
      <c r="T242" s="1673"/>
      <c r="U242" s="1673"/>
      <c r="V242" s="1673"/>
      <c r="W242" s="1673"/>
      <c r="X242" s="1673"/>
      <c r="Y242" s="1673"/>
      <c r="Z242" s="1673"/>
      <c r="AA242" s="1673"/>
      <c r="AB242" s="1673"/>
      <c r="AC242" s="1673"/>
      <c r="AD242" s="1673"/>
      <c r="AE242" s="1673"/>
      <c r="AF242" s="1673"/>
      <c r="AG242" s="1464"/>
      <c r="AH242" s="1464"/>
      <c r="AI242" s="1464"/>
      <c r="AJ242" s="1674">
        <f t="shared" si="85"/>
        <v>0</v>
      </c>
      <c r="AK242" s="1675">
        <f t="shared" si="86"/>
        <v>0</v>
      </c>
      <c r="AL242" s="1674">
        <f t="shared" si="87"/>
        <v>0</v>
      </c>
      <c r="AM242" s="1674">
        <f t="shared" si="88"/>
        <v>0</v>
      </c>
      <c r="AN242" s="1674">
        <f t="shared" si="89"/>
        <v>0</v>
      </c>
      <c r="AO242" s="1675">
        <f t="shared" si="90"/>
        <v>0</v>
      </c>
      <c r="AP242" s="1676">
        <f t="shared" si="91"/>
        <v>0</v>
      </c>
      <c r="AQ242" s="888"/>
      <c r="AR242" s="231"/>
      <c r="AS242" s="229" t="str">
        <f>VLOOKUP(C243,'[1]NT 2'!$C$2:$J$259,8,0)</f>
        <v>03648</v>
      </c>
      <c r="AT242" s="953">
        <f t="shared" si="74"/>
        <v>0</v>
      </c>
    </row>
    <row r="243" spans="1:46" ht="24.75" customHeight="1">
      <c r="A243" s="1700">
        <v>230</v>
      </c>
      <c r="B243" s="1064">
        <v>4</v>
      </c>
      <c r="C243" s="365" t="s">
        <v>354</v>
      </c>
      <c r="D243" s="31" t="str">
        <f>VLOOKUP(C243,'[1]NT 2'!$C$2:$J$259,8,0)</f>
        <v>03648</v>
      </c>
      <c r="E243" s="1673"/>
      <c r="F243" s="1673"/>
      <c r="G243" s="1673"/>
      <c r="H243" s="1673"/>
      <c r="I243" s="1673"/>
      <c r="J243" s="1673"/>
      <c r="K243" s="1673"/>
      <c r="L243" s="1673"/>
      <c r="M243" s="1673"/>
      <c r="N243" s="1673"/>
      <c r="O243" s="1673"/>
      <c r="P243" s="1673"/>
      <c r="Q243" s="1673"/>
      <c r="R243" s="1673"/>
      <c r="S243" s="1673"/>
      <c r="T243" s="1673"/>
      <c r="U243" s="1673"/>
      <c r="V243" s="1673"/>
      <c r="W243" s="1673"/>
      <c r="X243" s="1673"/>
      <c r="Y243" s="1673"/>
      <c r="Z243" s="1673"/>
      <c r="AA243" s="1673"/>
      <c r="AB243" s="1673"/>
      <c r="AC243" s="1673"/>
      <c r="AD243" s="1673"/>
      <c r="AE243" s="1673"/>
      <c r="AF243" s="1673"/>
      <c r="AG243" s="1464"/>
      <c r="AH243" s="1464"/>
      <c r="AI243" s="1464"/>
      <c r="AJ243" s="1674">
        <f t="shared" si="85"/>
        <v>0</v>
      </c>
      <c r="AK243" s="1675">
        <f t="shared" si="86"/>
        <v>0</v>
      </c>
      <c r="AL243" s="1674">
        <f t="shared" si="87"/>
        <v>0</v>
      </c>
      <c r="AM243" s="1674">
        <f t="shared" si="88"/>
        <v>0</v>
      </c>
      <c r="AN243" s="1674">
        <f t="shared" si="89"/>
        <v>0</v>
      </c>
      <c r="AO243" s="1675">
        <f t="shared" si="90"/>
        <v>0</v>
      </c>
      <c r="AP243" s="1676">
        <f t="shared" si="91"/>
        <v>0</v>
      </c>
      <c r="AQ243" s="888"/>
      <c r="AR243" s="231"/>
      <c r="AS243" s="229" t="str">
        <f>VLOOKUP(C244,'[1]NT 2'!$C$2:$J$259,8,0)</f>
        <v>03649</v>
      </c>
      <c r="AT243" s="953">
        <f t="shared" si="74"/>
        <v>0</v>
      </c>
    </row>
    <row r="244" spans="1:46" ht="24.75" customHeight="1">
      <c r="A244" s="1700">
        <v>231</v>
      </c>
      <c r="B244" s="1064">
        <v>5</v>
      </c>
      <c r="C244" s="365" t="s">
        <v>355</v>
      </c>
      <c r="D244" s="31" t="str">
        <f>VLOOKUP(C244,'[1]NT 2'!$C$2:$J$259,8,0)</f>
        <v>03649</v>
      </c>
      <c r="E244" s="1673"/>
      <c r="F244" s="1673"/>
      <c r="G244" s="1673"/>
      <c r="H244" s="1673"/>
      <c r="I244" s="1673"/>
      <c r="J244" s="1673"/>
      <c r="K244" s="1673"/>
      <c r="L244" s="1673"/>
      <c r="M244" s="1673"/>
      <c r="N244" s="1673"/>
      <c r="O244" s="1673"/>
      <c r="P244" s="1673"/>
      <c r="Q244" s="1673"/>
      <c r="R244" s="1673"/>
      <c r="S244" s="1673"/>
      <c r="T244" s="1673"/>
      <c r="U244" s="1673"/>
      <c r="V244" s="1673"/>
      <c r="W244" s="1673"/>
      <c r="X244" s="1673"/>
      <c r="Y244" s="1673"/>
      <c r="Z244" s="1673"/>
      <c r="AA244" s="1673"/>
      <c r="AB244" s="1673"/>
      <c r="AC244" s="1673"/>
      <c r="AD244" s="1673"/>
      <c r="AE244" s="1673"/>
      <c r="AF244" s="1673"/>
      <c r="AG244" s="1464"/>
      <c r="AH244" s="1464"/>
      <c r="AI244" s="1464"/>
      <c r="AJ244" s="1674">
        <f t="shared" si="85"/>
        <v>0</v>
      </c>
      <c r="AK244" s="1675">
        <f t="shared" si="86"/>
        <v>0</v>
      </c>
      <c r="AL244" s="1674">
        <f t="shared" si="87"/>
        <v>0</v>
      </c>
      <c r="AM244" s="1674">
        <f t="shared" si="88"/>
        <v>0</v>
      </c>
      <c r="AN244" s="1674">
        <f t="shared" si="89"/>
        <v>0</v>
      </c>
      <c r="AO244" s="1675">
        <f t="shared" si="90"/>
        <v>0</v>
      </c>
      <c r="AP244" s="1676">
        <f t="shared" si="91"/>
        <v>0</v>
      </c>
      <c r="AQ244" s="888"/>
      <c r="AR244" s="231"/>
      <c r="AS244" s="229" t="str">
        <f>VLOOKUP(C245,'[1]NT 2'!$C$2:$J$259,8,0)</f>
        <v>03650</v>
      </c>
      <c r="AT244" s="953">
        <f t="shared" si="74"/>
        <v>0</v>
      </c>
    </row>
    <row r="245" spans="1:46" ht="24.75" customHeight="1">
      <c r="A245" s="1700">
        <v>232</v>
      </c>
      <c r="B245" s="1064">
        <v>6</v>
      </c>
      <c r="C245" s="365" t="s">
        <v>356</v>
      </c>
      <c r="D245" s="31" t="str">
        <f>VLOOKUP(C245,'[1]NT 2'!$C$2:$J$259,8,0)</f>
        <v>03650</v>
      </c>
      <c r="E245" s="1673"/>
      <c r="F245" s="1673"/>
      <c r="G245" s="1673"/>
      <c r="H245" s="1673"/>
      <c r="I245" s="1673"/>
      <c r="J245" s="1673"/>
      <c r="K245" s="1673"/>
      <c r="L245" s="1673"/>
      <c r="M245" s="1673"/>
      <c r="N245" s="1673"/>
      <c r="O245" s="1673"/>
      <c r="P245" s="1673"/>
      <c r="Q245" s="1673"/>
      <c r="R245" s="1673"/>
      <c r="S245" s="1673"/>
      <c r="T245" s="1673"/>
      <c r="U245" s="1673"/>
      <c r="V245" s="1673"/>
      <c r="W245" s="1673"/>
      <c r="X245" s="1673"/>
      <c r="Y245" s="1673"/>
      <c r="Z245" s="1673"/>
      <c r="AA245" s="1673"/>
      <c r="AB245" s="1673"/>
      <c r="AC245" s="1673"/>
      <c r="AD245" s="1673"/>
      <c r="AE245" s="1673"/>
      <c r="AF245" s="1673"/>
      <c r="AG245" s="1464"/>
      <c r="AH245" s="1464"/>
      <c r="AI245" s="1464"/>
      <c r="AJ245" s="1674">
        <f t="shared" si="85"/>
        <v>0</v>
      </c>
      <c r="AK245" s="1675">
        <f t="shared" si="86"/>
        <v>0</v>
      </c>
      <c r="AL245" s="1674">
        <f t="shared" si="87"/>
        <v>0</v>
      </c>
      <c r="AM245" s="1674">
        <f t="shared" si="88"/>
        <v>0</v>
      </c>
      <c r="AN245" s="1674">
        <f t="shared" si="89"/>
        <v>0</v>
      </c>
      <c r="AO245" s="1675">
        <f t="shared" si="90"/>
        <v>0</v>
      </c>
      <c r="AP245" s="1676">
        <f t="shared" si="91"/>
        <v>0</v>
      </c>
      <c r="AQ245" s="888"/>
      <c r="AR245" s="231"/>
      <c r="AS245" s="229" t="str">
        <f>VLOOKUP(C246,'[1]NT 2'!$C$2:$J$259,8,0)</f>
        <v>03651</v>
      </c>
      <c r="AT245" s="953">
        <f t="shared" si="74"/>
        <v>0</v>
      </c>
    </row>
    <row r="246" spans="1:46" ht="24.75" customHeight="1">
      <c r="A246" s="1700">
        <v>233</v>
      </c>
      <c r="B246" s="1064">
        <v>7</v>
      </c>
      <c r="C246" s="365" t="s">
        <v>357</v>
      </c>
      <c r="D246" s="31" t="str">
        <f>VLOOKUP(C246,'[1]NT 2'!$C$2:$J$259,8,0)</f>
        <v>03651</v>
      </c>
      <c r="E246" s="1673"/>
      <c r="F246" s="1673"/>
      <c r="G246" s="1673"/>
      <c r="H246" s="1673"/>
      <c r="I246" s="1673"/>
      <c r="J246" s="1673"/>
      <c r="K246" s="1673"/>
      <c r="L246" s="1673"/>
      <c r="M246" s="1673"/>
      <c r="N246" s="1673"/>
      <c r="O246" s="1673"/>
      <c r="P246" s="1673"/>
      <c r="Q246" s="1673"/>
      <c r="R246" s="1673"/>
      <c r="S246" s="1673"/>
      <c r="T246" s="1673"/>
      <c r="U246" s="1673"/>
      <c r="V246" s="1673"/>
      <c r="W246" s="1673"/>
      <c r="X246" s="1673"/>
      <c r="Y246" s="1673"/>
      <c r="Z246" s="1673"/>
      <c r="AA246" s="1673"/>
      <c r="AB246" s="1673"/>
      <c r="AC246" s="1673"/>
      <c r="AD246" s="1673"/>
      <c r="AE246" s="1673"/>
      <c r="AF246" s="1673"/>
      <c r="AG246" s="1464"/>
      <c r="AH246" s="1464"/>
      <c r="AI246" s="1464"/>
      <c r="AJ246" s="1674">
        <f t="shared" si="85"/>
        <v>0</v>
      </c>
      <c r="AK246" s="1675">
        <f t="shared" si="86"/>
        <v>0</v>
      </c>
      <c r="AL246" s="1674">
        <f t="shared" si="87"/>
        <v>0</v>
      </c>
      <c r="AM246" s="1674">
        <f t="shared" si="88"/>
        <v>0</v>
      </c>
      <c r="AN246" s="1674">
        <f t="shared" si="89"/>
        <v>0</v>
      </c>
      <c r="AO246" s="1675">
        <f t="shared" si="90"/>
        <v>0</v>
      </c>
      <c r="AP246" s="1676">
        <f t="shared" si="91"/>
        <v>0</v>
      </c>
      <c r="AQ246" s="888"/>
      <c r="AR246" s="231"/>
      <c r="AS246" s="229" t="str">
        <f>VLOOKUP(C247,'[1]NT 2'!$C$2:$J$259,8,0)</f>
        <v>03652</v>
      </c>
      <c r="AT246" s="953">
        <f t="shared" si="74"/>
        <v>0</v>
      </c>
    </row>
    <row r="247" spans="1:46" ht="24.75" customHeight="1">
      <c r="A247" s="1700">
        <v>234</v>
      </c>
      <c r="B247" s="1064">
        <v>8</v>
      </c>
      <c r="C247" s="365" t="s">
        <v>358</v>
      </c>
      <c r="D247" s="31" t="str">
        <f>VLOOKUP(C247,'[1]NT 2'!$C$2:$J$259,8,0)</f>
        <v>03652</v>
      </c>
      <c r="E247" s="1673"/>
      <c r="F247" s="1673"/>
      <c r="G247" s="1673"/>
      <c r="H247" s="1673"/>
      <c r="I247" s="1673"/>
      <c r="J247" s="1673"/>
      <c r="K247" s="1673"/>
      <c r="L247" s="1673"/>
      <c r="M247" s="1673"/>
      <c r="N247" s="1673"/>
      <c r="O247" s="1673"/>
      <c r="P247" s="1673"/>
      <c r="Q247" s="1673"/>
      <c r="R247" s="1673"/>
      <c r="S247" s="1673"/>
      <c r="T247" s="1673"/>
      <c r="U247" s="1673"/>
      <c r="V247" s="1673"/>
      <c r="W247" s="1673"/>
      <c r="X247" s="1673"/>
      <c r="Y247" s="1673"/>
      <c r="Z247" s="1673"/>
      <c r="AA247" s="1673"/>
      <c r="AB247" s="1673"/>
      <c r="AC247" s="1673"/>
      <c r="AD247" s="1673"/>
      <c r="AE247" s="1673"/>
      <c r="AF247" s="1673"/>
      <c r="AG247" s="1464"/>
      <c r="AH247" s="1464"/>
      <c r="AI247" s="1464"/>
      <c r="AJ247" s="1674">
        <f t="shared" si="85"/>
        <v>0</v>
      </c>
      <c r="AK247" s="1675">
        <f t="shared" si="86"/>
        <v>0</v>
      </c>
      <c r="AL247" s="1674">
        <f t="shared" si="87"/>
        <v>0</v>
      </c>
      <c r="AM247" s="1674">
        <f t="shared" si="88"/>
        <v>0</v>
      </c>
      <c r="AN247" s="1674">
        <f t="shared" si="89"/>
        <v>0</v>
      </c>
      <c r="AO247" s="1675">
        <f t="shared" si="90"/>
        <v>0</v>
      </c>
      <c r="AP247" s="1676">
        <f t="shared" si="91"/>
        <v>0</v>
      </c>
      <c r="AQ247" s="888"/>
      <c r="AR247" s="231"/>
      <c r="AS247" s="229" t="str">
        <f>VLOOKUP(C248,'[1]NT 2'!$C$2:$J$259,8,0)</f>
        <v>03653</v>
      </c>
      <c r="AT247" s="953">
        <f t="shared" si="74"/>
        <v>0</v>
      </c>
    </row>
    <row r="248" spans="1:46" ht="24.75" customHeight="1">
      <c r="A248" s="1700">
        <v>235</v>
      </c>
      <c r="B248" s="1064">
        <v>9</v>
      </c>
      <c r="C248" s="365" t="s">
        <v>416</v>
      </c>
      <c r="D248" s="31" t="str">
        <f>VLOOKUP(C248,'[1]NT 2'!$C$2:$J$259,8,0)</f>
        <v>03653</v>
      </c>
      <c r="E248" s="1673"/>
      <c r="F248" s="1673"/>
      <c r="G248" s="1673"/>
      <c r="H248" s="1673"/>
      <c r="I248" s="1673"/>
      <c r="J248" s="1673"/>
      <c r="K248" s="1673"/>
      <c r="L248" s="1673"/>
      <c r="M248" s="1673"/>
      <c r="N248" s="1673"/>
      <c r="O248" s="1673"/>
      <c r="P248" s="1673"/>
      <c r="Q248" s="1673"/>
      <c r="R248" s="1673"/>
      <c r="S248" s="1673"/>
      <c r="T248" s="1673"/>
      <c r="U248" s="1673"/>
      <c r="V248" s="1673"/>
      <c r="W248" s="1673"/>
      <c r="X248" s="1673"/>
      <c r="Y248" s="1673"/>
      <c r="Z248" s="1673"/>
      <c r="AA248" s="1673"/>
      <c r="AB248" s="1673"/>
      <c r="AC248" s="1673"/>
      <c r="AD248" s="1673"/>
      <c r="AE248" s="1673"/>
      <c r="AF248" s="1673"/>
      <c r="AG248" s="1464"/>
      <c r="AH248" s="1464"/>
      <c r="AI248" s="1464"/>
      <c r="AJ248" s="1674">
        <f t="shared" si="85"/>
        <v>0</v>
      </c>
      <c r="AK248" s="1675">
        <f t="shared" si="86"/>
        <v>0</v>
      </c>
      <c r="AL248" s="1674">
        <f t="shared" si="87"/>
        <v>0</v>
      </c>
      <c r="AM248" s="1674">
        <f t="shared" si="88"/>
        <v>0</v>
      </c>
      <c r="AN248" s="1674">
        <f t="shared" si="89"/>
        <v>0</v>
      </c>
      <c r="AO248" s="1675">
        <f t="shared" si="90"/>
        <v>0</v>
      </c>
      <c r="AP248" s="1676">
        <f t="shared" si="91"/>
        <v>0</v>
      </c>
      <c r="AQ248" s="888"/>
      <c r="AR248" s="231"/>
      <c r="AS248" s="229" t="str">
        <f>VLOOKUP(C249,'[1]NT 2'!$C$2:$J$259,8,0)</f>
        <v>03654</v>
      </c>
      <c r="AT248" s="953">
        <f t="shared" si="74"/>
        <v>0</v>
      </c>
    </row>
    <row r="249" spans="1:46" ht="24.75" customHeight="1">
      <c r="A249" s="1700">
        <v>236</v>
      </c>
      <c r="B249" s="1064">
        <v>10</v>
      </c>
      <c r="C249" s="365" t="s">
        <v>359</v>
      </c>
      <c r="D249" s="31" t="str">
        <f>VLOOKUP(C249,'[1]NT 2'!$C$2:$J$259,8,0)</f>
        <v>03654</v>
      </c>
      <c r="E249" s="1673"/>
      <c r="F249" s="1673"/>
      <c r="G249" s="1673"/>
      <c r="H249" s="1673"/>
      <c r="I249" s="1673"/>
      <c r="J249" s="1673"/>
      <c r="K249" s="1673"/>
      <c r="L249" s="1673"/>
      <c r="M249" s="1673"/>
      <c r="N249" s="1673"/>
      <c r="O249" s="1673"/>
      <c r="P249" s="1673"/>
      <c r="Q249" s="1673"/>
      <c r="R249" s="1673"/>
      <c r="S249" s="1673"/>
      <c r="T249" s="1673"/>
      <c r="U249" s="1673"/>
      <c r="V249" s="1673"/>
      <c r="W249" s="1673"/>
      <c r="X249" s="1673"/>
      <c r="Y249" s="1673"/>
      <c r="Z249" s="1673"/>
      <c r="AA249" s="1673"/>
      <c r="AB249" s="1673"/>
      <c r="AC249" s="1673"/>
      <c r="AD249" s="1673"/>
      <c r="AE249" s="1673"/>
      <c r="AF249" s="1673"/>
      <c r="AG249" s="1464"/>
      <c r="AH249" s="1464"/>
      <c r="AI249" s="1464"/>
      <c r="AJ249" s="1674">
        <f t="shared" si="85"/>
        <v>0</v>
      </c>
      <c r="AK249" s="1675">
        <f t="shared" si="86"/>
        <v>0</v>
      </c>
      <c r="AL249" s="1674">
        <f t="shared" si="87"/>
        <v>0</v>
      </c>
      <c r="AM249" s="1674">
        <f t="shared" si="88"/>
        <v>0</v>
      </c>
      <c r="AN249" s="1674">
        <f t="shared" si="89"/>
        <v>0</v>
      </c>
      <c r="AO249" s="1675">
        <f t="shared" si="90"/>
        <v>0</v>
      </c>
      <c r="AP249" s="1676">
        <f t="shared" si="91"/>
        <v>0</v>
      </c>
      <c r="AQ249" s="888"/>
      <c r="AR249" s="231"/>
      <c r="AS249" s="229" t="str">
        <f>VLOOKUP(C250,'[1]NT 2'!$C$2:$J$259,8,0)</f>
        <v>03655</v>
      </c>
      <c r="AT249" s="953">
        <f t="shared" si="74"/>
        <v>0</v>
      </c>
    </row>
    <row r="250" spans="1:46" ht="24.75" customHeight="1">
      <c r="A250" s="1700">
        <v>237</v>
      </c>
      <c r="B250" s="1064">
        <v>11</v>
      </c>
      <c r="C250" s="365" t="s">
        <v>360</v>
      </c>
      <c r="D250" s="31" t="str">
        <f>VLOOKUP(C250,'[1]NT 2'!$C$2:$J$259,8,0)</f>
        <v>03655</v>
      </c>
      <c r="E250" s="1673"/>
      <c r="F250" s="1673"/>
      <c r="G250" s="1673"/>
      <c r="H250" s="1673"/>
      <c r="I250" s="1673"/>
      <c r="J250" s="1673"/>
      <c r="K250" s="1673"/>
      <c r="L250" s="1673"/>
      <c r="M250" s="1673"/>
      <c r="N250" s="1673"/>
      <c r="O250" s="1673"/>
      <c r="P250" s="1673"/>
      <c r="Q250" s="1673"/>
      <c r="R250" s="1673"/>
      <c r="S250" s="1673"/>
      <c r="T250" s="1673"/>
      <c r="U250" s="1673"/>
      <c r="V250" s="1673"/>
      <c r="W250" s="1673"/>
      <c r="X250" s="1673"/>
      <c r="Y250" s="1673"/>
      <c r="Z250" s="1673"/>
      <c r="AA250" s="1673"/>
      <c r="AB250" s="1673"/>
      <c r="AC250" s="1673"/>
      <c r="AD250" s="1673"/>
      <c r="AE250" s="1673"/>
      <c r="AF250" s="1673"/>
      <c r="AG250" s="1464"/>
      <c r="AH250" s="1464"/>
      <c r="AI250" s="1464"/>
      <c r="AJ250" s="1674">
        <f t="shared" si="85"/>
        <v>0</v>
      </c>
      <c r="AK250" s="1675">
        <f t="shared" si="86"/>
        <v>0</v>
      </c>
      <c r="AL250" s="1674">
        <f t="shared" si="87"/>
        <v>0</v>
      </c>
      <c r="AM250" s="1674">
        <f t="shared" si="88"/>
        <v>0</v>
      </c>
      <c r="AN250" s="1674">
        <f t="shared" si="89"/>
        <v>0</v>
      </c>
      <c r="AO250" s="1675">
        <f t="shared" si="90"/>
        <v>0</v>
      </c>
      <c r="AP250" s="1676">
        <f t="shared" si="91"/>
        <v>0</v>
      </c>
      <c r="AQ250" s="888"/>
      <c r="AR250" s="231"/>
      <c r="AS250" s="229" t="str">
        <f>VLOOKUP(C251,'[1]NT 2'!$C$2:$J$259,8,0)</f>
        <v>03656</v>
      </c>
      <c r="AT250" s="953">
        <f t="shared" si="74"/>
        <v>0</v>
      </c>
    </row>
    <row r="251" spans="1:46" ht="24.75" customHeight="1">
      <c r="A251" s="1700">
        <v>238</v>
      </c>
      <c r="B251" s="1064">
        <v>12</v>
      </c>
      <c r="C251" s="365" t="s">
        <v>361</v>
      </c>
      <c r="D251" s="31" t="str">
        <f>VLOOKUP(C251,'[1]NT 2'!$C$2:$J$259,8,0)</f>
        <v>03656</v>
      </c>
      <c r="E251" s="1673"/>
      <c r="F251" s="1673"/>
      <c r="G251" s="1673"/>
      <c r="H251" s="1673"/>
      <c r="I251" s="1673"/>
      <c r="J251" s="1673"/>
      <c r="K251" s="1673"/>
      <c r="L251" s="1673"/>
      <c r="M251" s="1673"/>
      <c r="N251" s="1673"/>
      <c r="O251" s="1673"/>
      <c r="P251" s="1673"/>
      <c r="Q251" s="1673"/>
      <c r="R251" s="1673"/>
      <c r="S251" s="1673"/>
      <c r="T251" s="1673"/>
      <c r="U251" s="1673"/>
      <c r="V251" s="1673"/>
      <c r="W251" s="1673"/>
      <c r="X251" s="1673"/>
      <c r="Y251" s="1673"/>
      <c r="Z251" s="1673"/>
      <c r="AA251" s="1673"/>
      <c r="AB251" s="1673"/>
      <c r="AC251" s="1673"/>
      <c r="AD251" s="1673"/>
      <c r="AE251" s="1673"/>
      <c r="AF251" s="1673"/>
      <c r="AG251" s="1464"/>
      <c r="AH251" s="1464"/>
      <c r="AI251" s="1464"/>
      <c r="AJ251" s="1674">
        <f t="shared" si="85"/>
        <v>0</v>
      </c>
      <c r="AK251" s="1675">
        <f t="shared" si="86"/>
        <v>0</v>
      </c>
      <c r="AL251" s="1674">
        <f t="shared" si="87"/>
        <v>0</v>
      </c>
      <c r="AM251" s="1674">
        <f t="shared" si="88"/>
        <v>0</v>
      </c>
      <c r="AN251" s="1674">
        <f t="shared" si="89"/>
        <v>0</v>
      </c>
      <c r="AO251" s="1675">
        <f t="shared" si="90"/>
        <v>0</v>
      </c>
      <c r="AP251" s="1676">
        <f t="shared" si="91"/>
        <v>0</v>
      </c>
      <c r="AQ251" s="888"/>
      <c r="AR251" s="231"/>
      <c r="AS251" s="229" t="str">
        <f>VLOOKUP(C252,'[1]NT 2'!$C$2:$J$259,8,0)</f>
        <v>03657</v>
      </c>
      <c r="AT251" s="953">
        <f t="shared" si="74"/>
        <v>0</v>
      </c>
    </row>
    <row r="252" spans="1:46" ht="24.75" customHeight="1">
      <c r="A252" s="1700">
        <v>239</v>
      </c>
      <c r="B252" s="1064">
        <v>13</v>
      </c>
      <c r="C252" s="365" t="s">
        <v>109</v>
      </c>
      <c r="D252" s="31" t="str">
        <f>VLOOKUP(C252,'[1]NT 2'!$C$2:$J$259,8,0)</f>
        <v>03657</v>
      </c>
      <c r="E252" s="1673"/>
      <c r="F252" s="1673"/>
      <c r="G252" s="1673"/>
      <c r="H252" s="1673"/>
      <c r="I252" s="1673"/>
      <c r="J252" s="1673"/>
      <c r="K252" s="1673"/>
      <c r="L252" s="1673"/>
      <c r="M252" s="1673"/>
      <c r="N252" s="1673"/>
      <c r="O252" s="1673"/>
      <c r="P252" s="1673"/>
      <c r="Q252" s="1673"/>
      <c r="R252" s="1673"/>
      <c r="S252" s="1673"/>
      <c r="T252" s="1673"/>
      <c r="U252" s="1673"/>
      <c r="V252" s="1673"/>
      <c r="W252" s="1673"/>
      <c r="X252" s="1673"/>
      <c r="Y252" s="1673"/>
      <c r="Z252" s="1673"/>
      <c r="AA252" s="1673"/>
      <c r="AB252" s="1673"/>
      <c r="AC252" s="1673"/>
      <c r="AD252" s="1673"/>
      <c r="AE252" s="1673"/>
      <c r="AF252" s="1673"/>
      <c r="AG252" s="1464"/>
      <c r="AH252" s="1464"/>
      <c r="AI252" s="1464"/>
      <c r="AJ252" s="1674">
        <f t="shared" si="85"/>
        <v>0</v>
      </c>
      <c r="AK252" s="1675">
        <f t="shared" si="86"/>
        <v>0</v>
      </c>
      <c r="AL252" s="1674">
        <f t="shared" si="87"/>
        <v>0</v>
      </c>
      <c r="AM252" s="1674">
        <f t="shared" si="88"/>
        <v>0</v>
      </c>
      <c r="AN252" s="1674">
        <f t="shared" si="89"/>
        <v>0</v>
      </c>
      <c r="AO252" s="1675">
        <f t="shared" si="90"/>
        <v>0</v>
      </c>
      <c r="AP252" s="1676">
        <f t="shared" si="91"/>
        <v>0</v>
      </c>
      <c r="AQ252" s="888"/>
      <c r="AR252" s="231"/>
      <c r="AS252" s="229" t="str">
        <f>VLOOKUP(C253,'[1]NT 2'!$C$2:$J$259,8,0)</f>
        <v>03658</v>
      </c>
      <c r="AT252" s="953">
        <f t="shared" si="74"/>
        <v>0</v>
      </c>
    </row>
    <row r="253" spans="1:46" ht="24.75" customHeight="1">
      <c r="A253" s="1700">
        <v>240</v>
      </c>
      <c r="B253" s="1064">
        <v>14</v>
      </c>
      <c r="C253" s="365" t="s">
        <v>362</v>
      </c>
      <c r="D253" s="31" t="str">
        <f>VLOOKUP(C253,'[1]NT 2'!$C$2:$J$259,8,0)</f>
        <v>03658</v>
      </c>
      <c r="E253" s="1673"/>
      <c r="F253" s="1673"/>
      <c r="G253" s="1673"/>
      <c r="H253" s="1673"/>
      <c r="I253" s="1673"/>
      <c r="J253" s="1673"/>
      <c r="K253" s="1673"/>
      <c r="L253" s="1673"/>
      <c r="M253" s="1673"/>
      <c r="N253" s="1673"/>
      <c r="O253" s="1673"/>
      <c r="P253" s="1673"/>
      <c r="Q253" s="1673"/>
      <c r="R253" s="1673"/>
      <c r="S253" s="1673"/>
      <c r="T253" s="1673"/>
      <c r="U253" s="1673"/>
      <c r="V253" s="1673"/>
      <c r="W253" s="1673"/>
      <c r="X253" s="1673"/>
      <c r="Y253" s="1673"/>
      <c r="Z253" s="1673"/>
      <c r="AA253" s="1673"/>
      <c r="AB253" s="1673"/>
      <c r="AC253" s="1673"/>
      <c r="AD253" s="1673"/>
      <c r="AE253" s="1673"/>
      <c r="AF253" s="1673"/>
      <c r="AG253" s="1464"/>
      <c r="AH253" s="1464"/>
      <c r="AI253" s="1464"/>
      <c r="AJ253" s="1674">
        <f t="shared" si="85"/>
        <v>0</v>
      </c>
      <c r="AK253" s="1675">
        <f t="shared" si="86"/>
        <v>0</v>
      </c>
      <c r="AL253" s="1674">
        <f t="shared" si="87"/>
        <v>0</v>
      </c>
      <c r="AM253" s="1674">
        <f t="shared" si="88"/>
        <v>0</v>
      </c>
      <c r="AN253" s="1674">
        <f t="shared" si="89"/>
        <v>0</v>
      </c>
      <c r="AO253" s="1675">
        <f t="shared" si="90"/>
        <v>0</v>
      </c>
      <c r="AP253" s="1676">
        <f t="shared" si="91"/>
        <v>0</v>
      </c>
      <c r="AQ253" s="888"/>
      <c r="AR253" s="231"/>
      <c r="AS253" s="229" t="str">
        <f>VLOOKUP(C254,'[1]NT 2'!$C$2:$J$259,8,0)</f>
        <v>03659</v>
      </c>
      <c r="AT253" s="953">
        <f t="shared" si="74"/>
        <v>0</v>
      </c>
    </row>
    <row r="254" spans="1:46" ht="24.75" customHeight="1">
      <c r="A254" s="1700">
        <v>241</v>
      </c>
      <c r="B254" s="1064">
        <v>15</v>
      </c>
      <c r="C254" s="365" t="s">
        <v>415</v>
      </c>
      <c r="D254" s="31" t="str">
        <f>VLOOKUP(C254,'[1]NT 2'!$C$2:$J$259,8,0)</f>
        <v>03659</v>
      </c>
      <c r="E254" s="1673"/>
      <c r="F254" s="1673"/>
      <c r="G254" s="1673"/>
      <c r="H254" s="1673"/>
      <c r="I254" s="1673"/>
      <c r="J254" s="1673"/>
      <c r="K254" s="1673"/>
      <c r="L254" s="1673"/>
      <c r="M254" s="1673"/>
      <c r="N254" s="1673"/>
      <c r="O254" s="1673"/>
      <c r="P254" s="1673"/>
      <c r="Q254" s="1673"/>
      <c r="R254" s="1673"/>
      <c r="S254" s="1673"/>
      <c r="T254" s="1673"/>
      <c r="U254" s="1673"/>
      <c r="V254" s="1673"/>
      <c r="W254" s="1673"/>
      <c r="X254" s="1673"/>
      <c r="Y254" s="1673"/>
      <c r="Z254" s="1673"/>
      <c r="AA254" s="1673"/>
      <c r="AB254" s="1673"/>
      <c r="AC254" s="1673"/>
      <c r="AD254" s="1673"/>
      <c r="AE254" s="1673"/>
      <c r="AF254" s="1673"/>
      <c r="AG254" s="1464"/>
      <c r="AH254" s="1464"/>
      <c r="AI254" s="1464"/>
      <c r="AJ254" s="1674">
        <f t="shared" si="85"/>
        <v>0</v>
      </c>
      <c r="AK254" s="1675">
        <f t="shared" si="86"/>
        <v>0</v>
      </c>
      <c r="AL254" s="1674">
        <f t="shared" si="87"/>
        <v>0</v>
      </c>
      <c r="AM254" s="1674">
        <f t="shared" si="88"/>
        <v>0</v>
      </c>
      <c r="AN254" s="1674">
        <f t="shared" si="89"/>
        <v>0</v>
      </c>
      <c r="AO254" s="1675">
        <f t="shared" si="90"/>
        <v>0</v>
      </c>
      <c r="AP254" s="1676">
        <f t="shared" si="91"/>
        <v>0</v>
      </c>
      <c r="AQ254" s="888"/>
      <c r="AR254" s="231"/>
      <c r="AS254" s="229" t="str">
        <f>VLOOKUP(C255,'[1]NT 2'!$C$2:$J$259,8,0)</f>
        <v>03660</v>
      </c>
      <c r="AT254" s="953">
        <f t="shared" si="74"/>
        <v>0</v>
      </c>
    </row>
    <row r="255" spans="1:46" ht="24.75" customHeight="1">
      <c r="A255" s="1700">
        <v>242</v>
      </c>
      <c r="B255" s="1064">
        <v>16</v>
      </c>
      <c r="C255" s="365" t="s">
        <v>363</v>
      </c>
      <c r="D255" s="31" t="str">
        <f>VLOOKUP(C255,'[1]NT 2'!$C$2:$J$259,8,0)</f>
        <v>03660</v>
      </c>
      <c r="E255" s="1673"/>
      <c r="F255" s="1673"/>
      <c r="G255" s="1673"/>
      <c r="H255" s="1673"/>
      <c r="I255" s="1673"/>
      <c r="J255" s="1673"/>
      <c r="K255" s="1673"/>
      <c r="L255" s="1673"/>
      <c r="M255" s="1673"/>
      <c r="N255" s="1673"/>
      <c r="O255" s="1673"/>
      <c r="P255" s="1673"/>
      <c r="Q255" s="1673"/>
      <c r="R255" s="1673"/>
      <c r="S255" s="1673"/>
      <c r="T255" s="1673"/>
      <c r="U255" s="1673"/>
      <c r="V255" s="1673"/>
      <c r="W255" s="1673"/>
      <c r="X255" s="1673"/>
      <c r="Y255" s="1673"/>
      <c r="Z255" s="1673"/>
      <c r="AA255" s="1673"/>
      <c r="AB255" s="1673"/>
      <c r="AC255" s="1673"/>
      <c r="AD255" s="1673"/>
      <c r="AE255" s="1673"/>
      <c r="AF255" s="1673"/>
      <c r="AG255" s="1464"/>
      <c r="AH255" s="1464"/>
      <c r="AI255" s="1464"/>
      <c r="AJ255" s="1674">
        <f t="shared" si="85"/>
        <v>0</v>
      </c>
      <c r="AK255" s="1675">
        <f t="shared" si="86"/>
        <v>0</v>
      </c>
      <c r="AL255" s="1674">
        <f t="shared" si="87"/>
        <v>0</v>
      </c>
      <c r="AM255" s="1674">
        <f t="shared" si="88"/>
        <v>0</v>
      </c>
      <c r="AN255" s="1674">
        <f t="shared" si="89"/>
        <v>0</v>
      </c>
      <c r="AO255" s="1675">
        <f t="shared" si="90"/>
        <v>0</v>
      </c>
      <c r="AP255" s="1676">
        <f t="shared" si="91"/>
        <v>0</v>
      </c>
      <c r="AQ255" s="888"/>
      <c r="AR255" s="231"/>
      <c r="AS255" s="229" t="str">
        <f>VLOOKUP(C256,'[1]NT 2'!$C$2:$J$259,8,0)</f>
        <v>03661</v>
      </c>
      <c r="AT255" s="953">
        <f t="shared" si="74"/>
        <v>0</v>
      </c>
    </row>
    <row r="256" spans="1:46" ht="24.75" customHeight="1">
      <c r="A256" s="1700">
        <v>243</v>
      </c>
      <c r="B256" s="1064">
        <v>17</v>
      </c>
      <c r="C256" s="365" t="s">
        <v>287</v>
      </c>
      <c r="D256" s="31" t="str">
        <f>VLOOKUP(C256,'[1]NT 2'!$C$2:$J$259,8,0)</f>
        <v>03661</v>
      </c>
      <c r="E256" s="1673"/>
      <c r="F256" s="1673"/>
      <c r="G256" s="1673"/>
      <c r="H256" s="1673"/>
      <c r="I256" s="1673"/>
      <c r="J256" s="1673"/>
      <c r="K256" s="1673"/>
      <c r="L256" s="1673"/>
      <c r="M256" s="1673"/>
      <c r="N256" s="1673"/>
      <c r="O256" s="1673"/>
      <c r="P256" s="1673"/>
      <c r="Q256" s="1673"/>
      <c r="R256" s="1673"/>
      <c r="S256" s="1673"/>
      <c r="T256" s="1673"/>
      <c r="U256" s="1673"/>
      <c r="V256" s="1673"/>
      <c r="W256" s="1673"/>
      <c r="X256" s="1673"/>
      <c r="Y256" s="1673"/>
      <c r="Z256" s="1673"/>
      <c r="AA256" s="1673"/>
      <c r="AB256" s="1673"/>
      <c r="AC256" s="1673"/>
      <c r="AD256" s="1673"/>
      <c r="AE256" s="1673"/>
      <c r="AF256" s="1673"/>
      <c r="AG256" s="1464"/>
      <c r="AH256" s="1464"/>
      <c r="AI256" s="1464"/>
      <c r="AJ256" s="1674">
        <f t="shared" si="85"/>
        <v>0</v>
      </c>
      <c r="AK256" s="1675">
        <f t="shared" si="86"/>
        <v>0</v>
      </c>
      <c r="AL256" s="1674">
        <f t="shared" si="87"/>
        <v>0</v>
      </c>
      <c r="AM256" s="1674">
        <f t="shared" si="88"/>
        <v>0</v>
      </c>
      <c r="AN256" s="1674">
        <f t="shared" si="89"/>
        <v>0</v>
      </c>
      <c r="AO256" s="1675">
        <f t="shared" si="90"/>
        <v>0</v>
      </c>
      <c r="AP256" s="1676">
        <f t="shared" si="91"/>
        <v>0</v>
      </c>
      <c r="AQ256" s="888"/>
      <c r="AR256" s="231"/>
      <c r="AS256" s="229" t="str">
        <f>VLOOKUP(C257,'[1]NT 2'!$C$2:$J$259,8,0)</f>
        <v>03662</v>
      </c>
      <c r="AT256" s="953">
        <f t="shared" si="74"/>
        <v>0</v>
      </c>
    </row>
    <row r="257" spans="1:46" ht="24.75" customHeight="1">
      <c r="A257" s="1700">
        <v>244</v>
      </c>
      <c r="B257" s="1064">
        <v>18</v>
      </c>
      <c r="C257" s="365" t="s">
        <v>201</v>
      </c>
      <c r="D257" s="31" t="str">
        <f>VLOOKUP(C257,'[1]NT 2'!$C$2:$J$259,8,0)</f>
        <v>03662</v>
      </c>
      <c r="E257" s="1673"/>
      <c r="F257" s="1673"/>
      <c r="G257" s="1673"/>
      <c r="H257" s="1673"/>
      <c r="I257" s="1673"/>
      <c r="J257" s="1673"/>
      <c r="K257" s="1673"/>
      <c r="L257" s="1673"/>
      <c r="M257" s="1673"/>
      <c r="N257" s="1673"/>
      <c r="O257" s="1673"/>
      <c r="P257" s="1673"/>
      <c r="Q257" s="1673"/>
      <c r="R257" s="1673"/>
      <c r="S257" s="1673"/>
      <c r="T257" s="1673"/>
      <c r="U257" s="1673"/>
      <c r="V257" s="1673"/>
      <c r="W257" s="1673"/>
      <c r="X257" s="1673"/>
      <c r="Y257" s="1673"/>
      <c r="Z257" s="1673"/>
      <c r="AA257" s="1673"/>
      <c r="AB257" s="1673"/>
      <c r="AC257" s="1673"/>
      <c r="AD257" s="1673"/>
      <c r="AE257" s="1673"/>
      <c r="AF257" s="1673"/>
      <c r="AG257" s="1464"/>
      <c r="AH257" s="1464"/>
      <c r="AI257" s="1464"/>
      <c r="AJ257" s="1674">
        <f t="shared" si="85"/>
        <v>0</v>
      </c>
      <c r="AK257" s="1675">
        <f t="shared" si="86"/>
        <v>0</v>
      </c>
      <c r="AL257" s="1674">
        <f t="shared" si="87"/>
        <v>0</v>
      </c>
      <c r="AM257" s="1674">
        <f t="shared" si="88"/>
        <v>0</v>
      </c>
      <c r="AN257" s="1674">
        <f t="shared" si="89"/>
        <v>0</v>
      </c>
      <c r="AO257" s="1675">
        <f t="shared" si="90"/>
        <v>0</v>
      </c>
      <c r="AP257" s="1676">
        <f t="shared" si="91"/>
        <v>0</v>
      </c>
      <c r="AQ257" s="888"/>
      <c r="AR257" s="231"/>
      <c r="AS257" s="229" t="str">
        <f>VLOOKUP(C258,'[1]NT 2'!$C$2:$J$259,8,0)</f>
        <v>03663</v>
      </c>
      <c r="AT257" s="953">
        <f t="shared" si="74"/>
        <v>0</v>
      </c>
    </row>
    <row r="258" spans="1:46" ht="24.75" customHeight="1">
      <c r="A258" s="1700">
        <v>245</v>
      </c>
      <c r="B258" s="1064">
        <v>19</v>
      </c>
      <c r="C258" s="365" t="s">
        <v>364</v>
      </c>
      <c r="D258" s="31" t="str">
        <f>VLOOKUP(C258,'[1]NT 2'!$C$2:$J$259,8,0)</f>
        <v>03663</v>
      </c>
      <c r="E258" s="1673"/>
      <c r="F258" s="1673"/>
      <c r="G258" s="1673"/>
      <c r="H258" s="1673"/>
      <c r="I258" s="1673"/>
      <c r="J258" s="1673"/>
      <c r="K258" s="1673"/>
      <c r="L258" s="1673"/>
      <c r="M258" s="1673"/>
      <c r="N258" s="1673"/>
      <c r="O258" s="1673"/>
      <c r="P258" s="1673"/>
      <c r="Q258" s="1673"/>
      <c r="R258" s="1673"/>
      <c r="S258" s="1673"/>
      <c r="T258" s="1673"/>
      <c r="U258" s="1673"/>
      <c r="V258" s="1673"/>
      <c r="W258" s="1673"/>
      <c r="X258" s="1673"/>
      <c r="Y258" s="1673"/>
      <c r="Z258" s="1673"/>
      <c r="AA258" s="1673"/>
      <c r="AB258" s="1673"/>
      <c r="AC258" s="1673"/>
      <c r="AD258" s="1673"/>
      <c r="AE258" s="1673"/>
      <c r="AF258" s="1673"/>
      <c r="AG258" s="1464"/>
      <c r="AH258" s="1464"/>
      <c r="AI258" s="1464"/>
      <c r="AJ258" s="1674">
        <f t="shared" si="85"/>
        <v>0</v>
      </c>
      <c r="AK258" s="1675">
        <f t="shared" si="86"/>
        <v>0</v>
      </c>
      <c r="AL258" s="1674">
        <f t="shared" si="87"/>
        <v>0</v>
      </c>
      <c r="AM258" s="1674">
        <f t="shared" si="88"/>
        <v>0</v>
      </c>
      <c r="AN258" s="1674">
        <f t="shared" si="89"/>
        <v>0</v>
      </c>
      <c r="AO258" s="1675">
        <f t="shared" si="90"/>
        <v>0</v>
      </c>
      <c r="AP258" s="1676">
        <f t="shared" si="91"/>
        <v>0</v>
      </c>
      <c r="AQ258" s="888"/>
      <c r="AR258" s="231"/>
      <c r="AS258" s="229" t="str">
        <f>VLOOKUP(C259,'[1]NT 2'!$C$2:$J$259,8,0)</f>
        <v>03664</v>
      </c>
      <c r="AT258" s="953">
        <f t="shared" si="74"/>
        <v>0</v>
      </c>
    </row>
    <row r="259" spans="1:46" ht="24.75" customHeight="1">
      <c r="A259" s="1700">
        <v>246</v>
      </c>
      <c r="B259" s="1064">
        <v>20</v>
      </c>
      <c r="C259" s="365" t="s">
        <v>365</v>
      </c>
      <c r="D259" s="31" t="str">
        <f>VLOOKUP(C259,'[1]NT 2'!$C$2:$J$259,8,0)</f>
        <v>03664</v>
      </c>
      <c r="E259" s="1673"/>
      <c r="F259" s="1673"/>
      <c r="G259" s="1673"/>
      <c r="H259" s="1673"/>
      <c r="I259" s="1673"/>
      <c r="J259" s="1673"/>
      <c r="K259" s="1673"/>
      <c r="L259" s="1673"/>
      <c r="M259" s="1673"/>
      <c r="N259" s="1673"/>
      <c r="O259" s="1673"/>
      <c r="P259" s="1673"/>
      <c r="Q259" s="1673"/>
      <c r="R259" s="1673"/>
      <c r="S259" s="1673"/>
      <c r="T259" s="1673"/>
      <c r="U259" s="1673"/>
      <c r="V259" s="1673"/>
      <c r="W259" s="1673"/>
      <c r="X259" s="1673"/>
      <c r="Y259" s="1673"/>
      <c r="Z259" s="1673"/>
      <c r="AA259" s="1673"/>
      <c r="AB259" s="1673"/>
      <c r="AC259" s="1673"/>
      <c r="AD259" s="1673"/>
      <c r="AE259" s="1673"/>
      <c r="AF259" s="1673"/>
      <c r="AG259" s="1464"/>
      <c r="AH259" s="1464"/>
      <c r="AI259" s="1464"/>
      <c r="AJ259" s="1674">
        <f t="shared" si="85"/>
        <v>0</v>
      </c>
      <c r="AK259" s="1675">
        <f t="shared" si="86"/>
        <v>0</v>
      </c>
      <c r="AL259" s="1674">
        <f t="shared" si="87"/>
        <v>0</v>
      </c>
      <c r="AM259" s="1674">
        <f t="shared" si="88"/>
        <v>0</v>
      </c>
      <c r="AN259" s="1674">
        <f t="shared" si="89"/>
        <v>0</v>
      </c>
      <c r="AO259" s="1675">
        <f t="shared" si="90"/>
        <v>0</v>
      </c>
      <c r="AP259" s="1676">
        <f t="shared" si="91"/>
        <v>0</v>
      </c>
      <c r="AQ259" s="888"/>
      <c r="AR259" s="231"/>
      <c r="AS259" s="229" t="str">
        <f>VLOOKUP(C260,'[1]NT 2'!$C$2:$J$259,8,0)</f>
        <v>03665</v>
      </c>
      <c r="AT259" s="953">
        <f t="shared" si="74"/>
        <v>0</v>
      </c>
    </row>
    <row r="260" spans="1:46" ht="24.75" customHeight="1">
      <c r="A260" s="1700">
        <v>247</v>
      </c>
      <c r="B260" s="1064">
        <v>21</v>
      </c>
      <c r="C260" s="365" t="s">
        <v>0</v>
      </c>
      <c r="D260" s="31" t="str">
        <f>VLOOKUP(C260,'[1]NT 2'!$C$2:$J$259,8,0)</f>
        <v>03665</v>
      </c>
      <c r="E260" s="1673"/>
      <c r="F260" s="1673"/>
      <c r="G260" s="1673"/>
      <c r="H260" s="1673"/>
      <c r="I260" s="1673"/>
      <c r="J260" s="1673"/>
      <c r="K260" s="1673"/>
      <c r="L260" s="1673"/>
      <c r="M260" s="1673"/>
      <c r="N260" s="1673"/>
      <c r="O260" s="1673"/>
      <c r="P260" s="1673"/>
      <c r="Q260" s="1673"/>
      <c r="R260" s="1673"/>
      <c r="S260" s="1673"/>
      <c r="T260" s="1673"/>
      <c r="U260" s="1673"/>
      <c r="V260" s="1673"/>
      <c r="W260" s="1673"/>
      <c r="X260" s="1673"/>
      <c r="Y260" s="1673"/>
      <c r="Z260" s="1673"/>
      <c r="AA260" s="1673"/>
      <c r="AB260" s="1673"/>
      <c r="AC260" s="1673"/>
      <c r="AD260" s="1673"/>
      <c r="AE260" s="1673"/>
      <c r="AF260" s="1673"/>
      <c r="AG260" s="1464"/>
      <c r="AH260" s="1464"/>
      <c r="AI260" s="1464"/>
      <c r="AJ260" s="1674">
        <f t="shared" si="85"/>
        <v>0</v>
      </c>
      <c r="AK260" s="1675">
        <f t="shared" si="86"/>
        <v>0</v>
      </c>
      <c r="AL260" s="1674">
        <f t="shared" si="87"/>
        <v>0</v>
      </c>
      <c r="AM260" s="1674">
        <f t="shared" si="88"/>
        <v>0</v>
      </c>
      <c r="AN260" s="1674">
        <f t="shared" si="89"/>
        <v>0</v>
      </c>
      <c r="AO260" s="1675">
        <f t="shared" si="90"/>
        <v>0</v>
      </c>
      <c r="AP260" s="1676">
        <f t="shared" si="91"/>
        <v>0</v>
      </c>
      <c r="AQ260" s="888"/>
      <c r="AR260" s="231"/>
      <c r="AS260" s="229" t="str">
        <f>VLOOKUP(C261,'[1]NT 2'!$C$2:$J$259,8,0)</f>
        <v>03666</v>
      </c>
      <c r="AT260" s="953">
        <f t="shared" si="74"/>
        <v>0</v>
      </c>
    </row>
    <row r="261" spans="1:46" ht="24.75" customHeight="1">
      <c r="A261" s="1700">
        <v>248</v>
      </c>
      <c r="B261" s="1064">
        <v>22</v>
      </c>
      <c r="C261" s="365" t="s">
        <v>460</v>
      </c>
      <c r="D261" s="31" t="str">
        <f>VLOOKUP(C261,'[1]NT 2'!$C$2:$J$259,8,0)</f>
        <v>03666</v>
      </c>
      <c r="E261" s="1673"/>
      <c r="F261" s="1673"/>
      <c r="G261" s="1673"/>
      <c r="H261" s="1673"/>
      <c r="I261" s="1673"/>
      <c r="J261" s="1673"/>
      <c r="K261" s="1673"/>
      <c r="L261" s="1673"/>
      <c r="M261" s="1673"/>
      <c r="N261" s="1673"/>
      <c r="O261" s="1673"/>
      <c r="P261" s="1673"/>
      <c r="Q261" s="1673"/>
      <c r="R261" s="1673"/>
      <c r="S261" s="1673"/>
      <c r="T261" s="1673"/>
      <c r="U261" s="1673"/>
      <c r="V261" s="1673"/>
      <c r="W261" s="1673"/>
      <c r="X261" s="1673"/>
      <c r="Y261" s="1673"/>
      <c r="Z261" s="1673"/>
      <c r="AA261" s="1673"/>
      <c r="AB261" s="1673"/>
      <c r="AC261" s="1673"/>
      <c r="AD261" s="1673"/>
      <c r="AE261" s="1673"/>
      <c r="AF261" s="1673"/>
      <c r="AG261" s="1464"/>
      <c r="AH261" s="1464"/>
      <c r="AI261" s="1464"/>
      <c r="AJ261" s="1674">
        <f t="shared" si="85"/>
        <v>0</v>
      </c>
      <c r="AK261" s="1675">
        <f t="shared" si="86"/>
        <v>0</v>
      </c>
      <c r="AL261" s="1674">
        <f t="shared" si="87"/>
        <v>0</v>
      </c>
      <c r="AM261" s="1674">
        <f t="shared" si="88"/>
        <v>0</v>
      </c>
      <c r="AN261" s="1674">
        <f t="shared" si="89"/>
        <v>0</v>
      </c>
      <c r="AO261" s="1675">
        <f t="shared" si="90"/>
        <v>0</v>
      </c>
      <c r="AP261" s="1676">
        <f t="shared" si="91"/>
        <v>0</v>
      </c>
      <c r="AQ261" s="888"/>
      <c r="AR261" s="231"/>
      <c r="AS261" s="229" t="str">
        <f>VLOOKUP(C262,'[1]NT 2'!$C$2:$J$259,8,0)</f>
        <v>03667</v>
      </c>
      <c r="AT261" s="953">
        <f t="shared" si="74"/>
        <v>0</v>
      </c>
    </row>
    <row r="262" spans="1:46" ht="24.75" customHeight="1">
      <c r="A262" s="1700">
        <v>249</v>
      </c>
      <c r="B262" s="1064">
        <v>23</v>
      </c>
      <c r="C262" s="365" t="s">
        <v>366</v>
      </c>
      <c r="D262" s="31" t="str">
        <f>VLOOKUP(C262,'[1]NT 2'!$C$2:$J$259,8,0)</f>
        <v>03667</v>
      </c>
      <c r="E262" s="1673"/>
      <c r="F262" s="1673"/>
      <c r="G262" s="1673"/>
      <c r="H262" s="1673"/>
      <c r="I262" s="1673"/>
      <c r="J262" s="1673"/>
      <c r="K262" s="1673"/>
      <c r="L262" s="1673"/>
      <c r="M262" s="1673"/>
      <c r="N262" s="1673"/>
      <c r="O262" s="1673"/>
      <c r="P262" s="1673"/>
      <c r="Q262" s="1673"/>
      <c r="R262" s="1673"/>
      <c r="S262" s="1673"/>
      <c r="T262" s="1673"/>
      <c r="U262" s="1673"/>
      <c r="V262" s="1673"/>
      <c r="W262" s="1673"/>
      <c r="X262" s="1673"/>
      <c r="Y262" s="1673"/>
      <c r="Z262" s="1673"/>
      <c r="AA262" s="1673"/>
      <c r="AB262" s="1673"/>
      <c r="AC262" s="1673"/>
      <c r="AD262" s="1673"/>
      <c r="AE262" s="1673"/>
      <c r="AF262" s="1673"/>
      <c r="AG262" s="1464"/>
      <c r="AH262" s="1464"/>
      <c r="AI262" s="1464"/>
      <c r="AJ262" s="1674">
        <f t="shared" si="85"/>
        <v>0</v>
      </c>
      <c r="AK262" s="1675">
        <f t="shared" si="86"/>
        <v>0</v>
      </c>
      <c r="AL262" s="1674">
        <f t="shared" si="87"/>
        <v>0</v>
      </c>
      <c r="AM262" s="1674">
        <f t="shared" si="88"/>
        <v>0</v>
      </c>
      <c r="AN262" s="1674">
        <f t="shared" si="89"/>
        <v>0</v>
      </c>
      <c r="AO262" s="1675">
        <f t="shared" si="90"/>
        <v>0</v>
      </c>
      <c r="AP262" s="1676">
        <f t="shared" si="91"/>
        <v>0</v>
      </c>
      <c r="AQ262" s="888"/>
      <c r="AR262" s="231"/>
      <c r="AS262" s="229" t="e">
        <f>VLOOKUP(C263,'[1]NT 2'!$C$2:$J$259,8,0)</f>
        <v>#N/A</v>
      </c>
      <c r="AT262" s="953" t="e">
        <f t="shared" si="74"/>
        <v>#N/A</v>
      </c>
    </row>
    <row r="263" spans="1:46" ht="24.75" customHeight="1">
      <c r="A263" s="1700">
        <v>250</v>
      </c>
      <c r="B263" s="1064">
        <v>24</v>
      </c>
      <c r="C263" s="365" t="s">
        <v>712</v>
      </c>
      <c r="D263" s="31"/>
      <c r="E263" s="1673"/>
      <c r="F263" s="1673"/>
      <c r="G263" s="1673"/>
      <c r="H263" s="1673"/>
      <c r="I263" s="1673"/>
      <c r="J263" s="1673"/>
      <c r="K263" s="1673"/>
      <c r="L263" s="1673"/>
      <c r="M263" s="1673"/>
      <c r="N263" s="1673"/>
      <c r="O263" s="1673"/>
      <c r="P263" s="1673"/>
      <c r="Q263" s="1673"/>
      <c r="R263" s="1673"/>
      <c r="S263" s="1673"/>
      <c r="T263" s="1673"/>
      <c r="U263" s="1673"/>
      <c r="V263" s="1673"/>
      <c r="W263" s="1673"/>
      <c r="X263" s="1673"/>
      <c r="Y263" s="1673"/>
      <c r="Z263" s="1673"/>
      <c r="AA263" s="1673"/>
      <c r="AB263" s="1673"/>
      <c r="AC263" s="1673"/>
      <c r="AD263" s="1673"/>
      <c r="AE263" s="1673"/>
      <c r="AF263" s="1673"/>
      <c r="AG263" s="1464"/>
      <c r="AH263" s="1464"/>
      <c r="AI263" s="1464"/>
      <c r="AJ263" s="1674">
        <f t="shared" si="85"/>
        <v>0</v>
      </c>
      <c r="AK263" s="1675">
        <f t="shared" si="86"/>
        <v>0</v>
      </c>
      <c r="AL263" s="1674">
        <f t="shared" si="87"/>
        <v>0</v>
      </c>
      <c r="AM263" s="1674">
        <f t="shared" si="88"/>
        <v>0</v>
      </c>
      <c r="AN263" s="1674">
        <f t="shared" si="89"/>
        <v>0</v>
      </c>
      <c r="AO263" s="1675">
        <f t="shared" si="90"/>
        <v>0</v>
      </c>
      <c r="AP263" s="1676">
        <f t="shared" si="91"/>
        <v>0</v>
      </c>
      <c r="AQ263" s="888"/>
      <c r="AR263" s="231"/>
      <c r="AS263" s="229" t="str">
        <f>VLOOKUP(C264,'[1]NT 2'!$C$2:$J$259,8,0)</f>
        <v>03669</v>
      </c>
      <c r="AT263" s="953">
        <f t="shared" si="74"/>
        <v>0</v>
      </c>
    </row>
    <row r="264" spans="1:46" ht="24.75" customHeight="1">
      <c r="A264" s="1700">
        <v>251</v>
      </c>
      <c r="B264" s="1064">
        <v>25</v>
      </c>
      <c r="C264" s="365" t="s">
        <v>472</v>
      </c>
      <c r="D264" s="31" t="str">
        <f>VLOOKUP(C264,'[1]NT 2'!$C$2:$J$259,8,0)</f>
        <v>03669</v>
      </c>
      <c r="E264" s="1673"/>
      <c r="F264" s="1673"/>
      <c r="G264" s="1673"/>
      <c r="H264" s="1673"/>
      <c r="I264" s="1673"/>
      <c r="J264" s="1673"/>
      <c r="K264" s="1673"/>
      <c r="L264" s="1673"/>
      <c r="M264" s="1673"/>
      <c r="N264" s="1673"/>
      <c r="O264" s="1673"/>
      <c r="P264" s="1673"/>
      <c r="Q264" s="1673"/>
      <c r="R264" s="1673"/>
      <c r="S264" s="1673"/>
      <c r="T264" s="1673"/>
      <c r="U264" s="1673"/>
      <c r="V264" s="1673"/>
      <c r="W264" s="1673"/>
      <c r="X264" s="1673"/>
      <c r="Y264" s="1673"/>
      <c r="Z264" s="1673"/>
      <c r="AA264" s="1673"/>
      <c r="AB264" s="1673"/>
      <c r="AC264" s="1673"/>
      <c r="AD264" s="1673"/>
      <c r="AE264" s="1673"/>
      <c r="AF264" s="1673"/>
      <c r="AG264" s="1464"/>
      <c r="AH264" s="1464"/>
      <c r="AI264" s="1464"/>
      <c r="AJ264" s="1674">
        <f t="shared" si="85"/>
        <v>0</v>
      </c>
      <c r="AK264" s="1675">
        <f t="shared" si="86"/>
        <v>0</v>
      </c>
      <c r="AL264" s="1674">
        <f t="shared" si="87"/>
        <v>0</v>
      </c>
      <c r="AM264" s="1674">
        <f t="shared" si="88"/>
        <v>0</v>
      </c>
      <c r="AN264" s="1674">
        <f t="shared" si="89"/>
        <v>0</v>
      </c>
      <c r="AO264" s="1675">
        <f t="shared" si="90"/>
        <v>0</v>
      </c>
      <c r="AP264" s="1676">
        <f t="shared" si="91"/>
        <v>0</v>
      </c>
      <c r="AQ264" s="888"/>
      <c r="AR264" s="231"/>
      <c r="AS264" s="229" t="str">
        <f>VLOOKUP(C265,'[1]NT 2'!$C$2:$J$259,8,0)</f>
        <v>03670</v>
      </c>
      <c r="AT264" s="953">
        <f t="shared" si="74"/>
        <v>0</v>
      </c>
    </row>
    <row r="265" spans="1:46" ht="24.75" customHeight="1">
      <c r="A265" s="1700">
        <v>252</v>
      </c>
      <c r="B265" s="1064">
        <v>26</v>
      </c>
      <c r="C265" s="365" t="s">
        <v>455</v>
      </c>
      <c r="D265" s="31" t="str">
        <f>VLOOKUP(C265,'[1]NT 2'!$C$2:$J$259,8,0)</f>
        <v>03670</v>
      </c>
      <c r="E265" s="1673"/>
      <c r="F265" s="1673"/>
      <c r="G265" s="1673"/>
      <c r="H265" s="1673"/>
      <c r="I265" s="1673"/>
      <c r="J265" s="1673"/>
      <c r="K265" s="1673"/>
      <c r="L265" s="1673"/>
      <c r="M265" s="1673"/>
      <c r="N265" s="1673"/>
      <c r="O265" s="1673"/>
      <c r="P265" s="1673"/>
      <c r="Q265" s="1673"/>
      <c r="R265" s="1673"/>
      <c r="S265" s="1673"/>
      <c r="T265" s="1673"/>
      <c r="U265" s="1673"/>
      <c r="V265" s="1673"/>
      <c r="W265" s="1673"/>
      <c r="X265" s="1673"/>
      <c r="Y265" s="1673"/>
      <c r="Z265" s="1673"/>
      <c r="AA265" s="1673"/>
      <c r="AB265" s="1673"/>
      <c r="AC265" s="1673"/>
      <c r="AD265" s="1673"/>
      <c r="AE265" s="1673"/>
      <c r="AF265" s="1673"/>
      <c r="AG265" s="1464"/>
      <c r="AH265" s="1464"/>
      <c r="AI265" s="1464"/>
      <c r="AJ265" s="1674">
        <f t="shared" si="85"/>
        <v>0</v>
      </c>
      <c r="AK265" s="1675">
        <f t="shared" si="86"/>
        <v>0</v>
      </c>
      <c r="AL265" s="1674">
        <f t="shared" si="87"/>
        <v>0</v>
      </c>
      <c r="AM265" s="1674">
        <f t="shared" si="88"/>
        <v>0</v>
      </c>
      <c r="AN265" s="1674">
        <f t="shared" si="89"/>
        <v>0</v>
      </c>
      <c r="AO265" s="1675">
        <f t="shared" si="90"/>
        <v>0</v>
      </c>
      <c r="AP265" s="1676">
        <f t="shared" si="91"/>
        <v>0</v>
      </c>
      <c r="AQ265" s="888"/>
      <c r="AR265" s="231"/>
      <c r="AS265" s="229" t="str">
        <f>VLOOKUP(C266,'[1]NT 2'!$C$2:$J$259,8,0)</f>
        <v>03516</v>
      </c>
      <c r="AT265" s="953">
        <f t="shared" si="74"/>
        <v>0</v>
      </c>
    </row>
    <row r="266" spans="1:46" ht="24.75" customHeight="1">
      <c r="A266" s="1700">
        <v>253</v>
      </c>
      <c r="B266" s="1064">
        <v>27</v>
      </c>
      <c r="C266" s="365" t="s">
        <v>411</v>
      </c>
      <c r="D266" s="31" t="str">
        <f>VLOOKUP(C266,'[1]NT 2'!$C$2:$J$259,8,0)</f>
        <v>03516</v>
      </c>
      <c r="E266" s="1673"/>
      <c r="F266" s="1673"/>
      <c r="G266" s="1673"/>
      <c r="H266" s="1673"/>
      <c r="I266" s="1673"/>
      <c r="J266" s="1673"/>
      <c r="K266" s="1673"/>
      <c r="L266" s="1673"/>
      <c r="M266" s="1673"/>
      <c r="N266" s="1673"/>
      <c r="O266" s="1673"/>
      <c r="P266" s="1673"/>
      <c r="Q266" s="1673"/>
      <c r="R266" s="1673"/>
      <c r="S266" s="1673"/>
      <c r="T266" s="1673"/>
      <c r="U266" s="1673"/>
      <c r="V266" s="1673"/>
      <c r="W266" s="1673"/>
      <c r="X266" s="1673"/>
      <c r="Y266" s="1673"/>
      <c r="Z266" s="1673"/>
      <c r="AA266" s="1673"/>
      <c r="AB266" s="1673"/>
      <c r="AC266" s="1673"/>
      <c r="AD266" s="1673"/>
      <c r="AE266" s="1673"/>
      <c r="AF266" s="1673"/>
      <c r="AG266" s="1464"/>
      <c r="AH266" s="1464"/>
      <c r="AI266" s="1464"/>
      <c r="AJ266" s="1674">
        <f t="shared" si="85"/>
        <v>0</v>
      </c>
      <c r="AK266" s="1675">
        <f t="shared" si="86"/>
        <v>0</v>
      </c>
      <c r="AL266" s="1674">
        <f t="shared" si="87"/>
        <v>0</v>
      </c>
      <c r="AM266" s="1674">
        <f t="shared" si="88"/>
        <v>0</v>
      </c>
      <c r="AN266" s="1674">
        <f t="shared" si="89"/>
        <v>0</v>
      </c>
      <c r="AO266" s="1675">
        <f t="shared" si="90"/>
        <v>0</v>
      </c>
      <c r="AP266" s="1676">
        <f t="shared" si="91"/>
        <v>0</v>
      </c>
      <c r="AQ266" s="888"/>
      <c r="AR266" s="231"/>
      <c r="AS266" s="229" t="str">
        <f>VLOOKUP(C267,'[1]NT 2'!$C$2:$J$259,8,0)</f>
        <v>03672</v>
      </c>
      <c r="AT266" s="953">
        <f t="shared" si="74"/>
        <v>0</v>
      </c>
    </row>
    <row r="267" spans="1:46" ht="24.75" customHeight="1">
      <c r="A267" s="1700">
        <v>254</v>
      </c>
      <c r="B267" s="1064">
        <v>28</v>
      </c>
      <c r="C267" s="365" t="s">
        <v>281</v>
      </c>
      <c r="D267" s="31" t="str">
        <f>VLOOKUP(C267,'[1]NT 2'!$C$2:$J$259,8,0)</f>
        <v>03672</v>
      </c>
      <c r="E267" s="1673"/>
      <c r="F267" s="1673"/>
      <c r="G267" s="1673"/>
      <c r="H267" s="1673"/>
      <c r="I267" s="1673"/>
      <c r="J267" s="1673"/>
      <c r="K267" s="1673"/>
      <c r="L267" s="1673"/>
      <c r="M267" s="1673"/>
      <c r="N267" s="1673"/>
      <c r="O267" s="1673"/>
      <c r="P267" s="1673"/>
      <c r="Q267" s="1673"/>
      <c r="R267" s="1673"/>
      <c r="S267" s="1673"/>
      <c r="T267" s="1673"/>
      <c r="U267" s="1673"/>
      <c r="V267" s="1673"/>
      <c r="W267" s="1673"/>
      <c r="X267" s="1673"/>
      <c r="Y267" s="1673"/>
      <c r="Z267" s="1673"/>
      <c r="AA267" s="1673"/>
      <c r="AB267" s="1673"/>
      <c r="AC267" s="1673"/>
      <c r="AD267" s="1673"/>
      <c r="AE267" s="1673"/>
      <c r="AF267" s="1673"/>
      <c r="AG267" s="1464"/>
      <c r="AH267" s="1464"/>
      <c r="AI267" s="1464"/>
      <c r="AJ267" s="1674">
        <f t="shared" si="85"/>
        <v>0</v>
      </c>
      <c r="AK267" s="1675">
        <f t="shared" si="86"/>
        <v>0</v>
      </c>
      <c r="AL267" s="1674">
        <f t="shared" si="87"/>
        <v>0</v>
      </c>
      <c r="AM267" s="1674">
        <f t="shared" si="88"/>
        <v>0</v>
      </c>
      <c r="AN267" s="1674">
        <f t="shared" si="89"/>
        <v>0</v>
      </c>
      <c r="AO267" s="1675">
        <f t="shared" si="90"/>
        <v>0</v>
      </c>
      <c r="AP267" s="1676">
        <f t="shared" si="91"/>
        <v>0</v>
      </c>
      <c r="AQ267" s="888"/>
      <c r="AR267" s="231"/>
      <c r="AS267" s="229" t="str">
        <f>VLOOKUP(C268,'[1]NT 2'!$C$2:$J$259,8,0)</f>
        <v>03673</v>
      </c>
      <c r="AT267" s="953">
        <f t="shared" si="74"/>
        <v>0</v>
      </c>
    </row>
    <row r="268" spans="1:46" ht="24.75" customHeight="1">
      <c r="A268" s="1700">
        <v>255</v>
      </c>
      <c r="B268" s="1064">
        <v>29</v>
      </c>
      <c r="C268" s="365" t="s">
        <v>367</v>
      </c>
      <c r="D268" s="31" t="str">
        <f>VLOOKUP(C268,'[1]NT 2'!$C$2:$J$259,8,0)</f>
        <v>03673</v>
      </c>
      <c r="E268" s="1673"/>
      <c r="F268" s="1673"/>
      <c r="G268" s="1673"/>
      <c r="H268" s="1673"/>
      <c r="I268" s="1673"/>
      <c r="J268" s="1673"/>
      <c r="K268" s="1673"/>
      <c r="L268" s="1673"/>
      <c r="M268" s="1673"/>
      <c r="N268" s="1673"/>
      <c r="O268" s="1673"/>
      <c r="P268" s="1673"/>
      <c r="Q268" s="1673"/>
      <c r="R268" s="1673"/>
      <c r="S268" s="1673"/>
      <c r="T268" s="1673"/>
      <c r="U268" s="1673"/>
      <c r="V268" s="1673"/>
      <c r="W268" s="1673"/>
      <c r="X268" s="1673"/>
      <c r="Y268" s="1673"/>
      <c r="Z268" s="1673"/>
      <c r="AA268" s="1673"/>
      <c r="AB268" s="1673"/>
      <c r="AC268" s="1673"/>
      <c r="AD268" s="1673"/>
      <c r="AE268" s="1673"/>
      <c r="AF268" s="1673"/>
      <c r="AG268" s="1464"/>
      <c r="AH268" s="1464"/>
      <c r="AI268" s="1464"/>
      <c r="AJ268" s="1674">
        <f t="shared" si="85"/>
        <v>0</v>
      </c>
      <c r="AK268" s="1675">
        <f t="shared" si="86"/>
        <v>0</v>
      </c>
      <c r="AL268" s="1674">
        <f t="shared" si="87"/>
        <v>0</v>
      </c>
      <c r="AM268" s="1674">
        <f t="shared" si="88"/>
        <v>0</v>
      </c>
      <c r="AN268" s="1674">
        <f t="shared" si="89"/>
        <v>0</v>
      </c>
      <c r="AO268" s="1675">
        <f t="shared" si="90"/>
        <v>0</v>
      </c>
      <c r="AP268" s="1676">
        <f t="shared" si="91"/>
        <v>0</v>
      </c>
      <c r="AQ268" s="888"/>
      <c r="AR268" s="231"/>
      <c r="AS268" s="229" t="str">
        <f>VLOOKUP(C269,'[1]NT 2'!$C$2:$J$259,8,0)</f>
        <v>03674</v>
      </c>
      <c r="AT268" s="953">
        <f t="shared" si="74"/>
        <v>0</v>
      </c>
    </row>
    <row r="269" spans="1:46" ht="24.75" customHeight="1">
      <c r="A269" s="1700">
        <v>256</v>
      </c>
      <c r="B269" s="1064">
        <v>30</v>
      </c>
      <c r="C269" s="365" t="s">
        <v>617</v>
      </c>
      <c r="D269" s="31" t="str">
        <f>VLOOKUP(C269,'[1]NT 2'!$C$2:$J$259,8,0)</f>
        <v>03674</v>
      </c>
      <c r="E269" s="1673"/>
      <c r="F269" s="1673"/>
      <c r="G269" s="1673"/>
      <c r="H269" s="1673"/>
      <c r="I269" s="1673"/>
      <c r="J269" s="1673"/>
      <c r="K269" s="1673"/>
      <c r="L269" s="1673"/>
      <c r="M269" s="1673"/>
      <c r="N269" s="1673"/>
      <c r="O269" s="1673"/>
      <c r="P269" s="1673"/>
      <c r="Q269" s="1673"/>
      <c r="R269" s="1673"/>
      <c r="S269" s="1673"/>
      <c r="T269" s="1673"/>
      <c r="U269" s="1673"/>
      <c r="V269" s="1673"/>
      <c r="W269" s="1673"/>
      <c r="X269" s="1673"/>
      <c r="Y269" s="1673"/>
      <c r="Z269" s="1673"/>
      <c r="AA269" s="1673"/>
      <c r="AB269" s="1673"/>
      <c r="AC269" s="1673"/>
      <c r="AD269" s="1673"/>
      <c r="AE269" s="1673"/>
      <c r="AF269" s="1673"/>
      <c r="AG269" s="1464"/>
      <c r="AH269" s="1464"/>
      <c r="AI269" s="1464"/>
      <c r="AJ269" s="1674">
        <f t="shared" si="85"/>
        <v>0</v>
      </c>
      <c r="AK269" s="1675">
        <f t="shared" si="86"/>
        <v>0</v>
      </c>
      <c r="AL269" s="1674">
        <f t="shared" si="87"/>
        <v>0</v>
      </c>
      <c r="AM269" s="1674">
        <f t="shared" si="88"/>
        <v>0</v>
      </c>
      <c r="AN269" s="1674">
        <f t="shared" si="89"/>
        <v>0</v>
      </c>
      <c r="AO269" s="1675">
        <f t="shared" si="90"/>
        <v>0</v>
      </c>
      <c r="AP269" s="1676">
        <f t="shared" si="91"/>
        <v>0</v>
      </c>
      <c r="AQ269" s="888"/>
      <c r="AR269" s="231"/>
      <c r="AS269" s="229" t="str">
        <f>VLOOKUP(C270,'[1]NT 2'!$C$2:$J$259,8,0)</f>
        <v>03675</v>
      </c>
      <c r="AT269" s="953">
        <f t="shared" si="74"/>
        <v>0</v>
      </c>
    </row>
    <row r="270" spans="1:46" ht="24.75" customHeight="1">
      <c r="A270" s="1700">
        <v>257</v>
      </c>
      <c r="B270" s="1064">
        <v>31</v>
      </c>
      <c r="C270" s="365" t="s">
        <v>487</v>
      </c>
      <c r="D270" s="31" t="str">
        <f>VLOOKUP(C270,'[1]NT 2'!$C$2:$J$259,8,0)</f>
        <v>03675</v>
      </c>
      <c r="E270" s="1673"/>
      <c r="F270" s="1673"/>
      <c r="G270" s="1673"/>
      <c r="H270" s="1673"/>
      <c r="I270" s="1673"/>
      <c r="J270" s="1673"/>
      <c r="K270" s="1673"/>
      <c r="L270" s="1673"/>
      <c r="M270" s="1673"/>
      <c r="N270" s="1673"/>
      <c r="O270" s="1673"/>
      <c r="P270" s="1673"/>
      <c r="Q270" s="1673"/>
      <c r="R270" s="1673"/>
      <c r="S270" s="1673"/>
      <c r="T270" s="1673"/>
      <c r="U270" s="1673"/>
      <c r="V270" s="1673"/>
      <c r="W270" s="1673"/>
      <c r="X270" s="1673"/>
      <c r="Y270" s="1673"/>
      <c r="Z270" s="1673"/>
      <c r="AA270" s="1673"/>
      <c r="AB270" s="1673"/>
      <c r="AC270" s="1673"/>
      <c r="AD270" s="1673"/>
      <c r="AE270" s="1673"/>
      <c r="AF270" s="1673"/>
      <c r="AG270" s="1464"/>
      <c r="AH270" s="1464"/>
      <c r="AI270" s="1464"/>
      <c r="AJ270" s="1674">
        <f t="shared" si="85"/>
        <v>0</v>
      </c>
      <c r="AK270" s="1675">
        <f t="shared" si="86"/>
        <v>0</v>
      </c>
      <c r="AL270" s="1674">
        <f t="shared" si="87"/>
        <v>0</v>
      </c>
      <c r="AM270" s="1674">
        <f t="shared" si="88"/>
        <v>0</v>
      </c>
      <c r="AN270" s="1674">
        <f t="shared" si="89"/>
        <v>0</v>
      </c>
      <c r="AO270" s="1675">
        <f t="shared" si="90"/>
        <v>0</v>
      </c>
      <c r="AP270" s="1676">
        <f t="shared" si="91"/>
        <v>0</v>
      </c>
      <c r="AQ270" s="888"/>
      <c r="AR270" s="231"/>
      <c r="AS270" s="229" t="str">
        <f>VLOOKUP(C271,'[1]NT 2'!$C$2:$J$259,8,0)</f>
        <v>03676</v>
      </c>
      <c r="AT270" s="953">
        <f t="shared" si="74"/>
        <v>0</v>
      </c>
    </row>
    <row r="271" spans="1:46" ht="24.75" customHeight="1">
      <c r="A271" s="1700">
        <v>258</v>
      </c>
      <c r="B271" s="1064">
        <v>32</v>
      </c>
      <c r="C271" s="365" t="s">
        <v>456</v>
      </c>
      <c r="D271" s="31" t="str">
        <f>VLOOKUP(C271,'[1]NT 2'!$C$2:$J$259,8,0)</f>
        <v>03676</v>
      </c>
      <c r="E271" s="1673"/>
      <c r="F271" s="1673"/>
      <c r="G271" s="1673"/>
      <c r="H271" s="1673"/>
      <c r="I271" s="1673"/>
      <c r="J271" s="1673"/>
      <c r="K271" s="1673"/>
      <c r="L271" s="1673"/>
      <c r="M271" s="1673"/>
      <c r="N271" s="1673"/>
      <c r="O271" s="1673"/>
      <c r="P271" s="1673"/>
      <c r="Q271" s="1673"/>
      <c r="R271" s="1673"/>
      <c r="S271" s="1673"/>
      <c r="T271" s="1673"/>
      <c r="U271" s="1673"/>
      <c r="V271" s="1673"/>
      <c r="W271" s="1673"/>
      <c r="X271" s="1673"/>
      <c r="Y271" s="1673"/>
      <c r="Z271" s="1673"/>
      <c r="AA271" s="1673"/>
      <c r="AB271" s="1673"/>
      <c r="AC271" s="1673"/>
      <c r="AD271" s="1673"/>
      <c r="AE271" s="1673"/>
      <c r="AF271" s="1673"/>
      <c r="AG271" s="1464"/>
      <c r="AH271" s="1464"/>
      <c r="AI271" s="1464"/>
      <c r="AJ271" s="1674">
        <f t="shared" si="85"/>
        <v>0</v>
      </c>
      <c r="AK271" s="1675">
        <f t="shared" si="86"/>
        <v>0</v>
      </c>
      <c r="AL271" s="1674">
        <f t="shared" si="87"/>
        <v>0</v>
      </c>
      <c r="AM271" s="1674">
        <f t="shared" si="88"/>
        <v>0</v>
      </c>
      <c r="AN271" s="1674">
        <f t="shared" si="89"/>
        <v>0</v>
      </c>
      <c r="AO271" s="1675">
        <f t="shared" si="90"/>
        <v>0</v>
      </c>
      <c r="AP271" s="1676">
        <f t="shared" si="91"/>
        <v>0</v>
      </c>
      <c r="AQ271" s="888"/>
      <c r="AR271" s="231"/>
      <c r="AS271" s="229" t="str">
        <f>VLOOKUP(C272,'[1]NT 2'!$C$2:$J$259,8,0)</f>
        <v>03677</v>
      </c>
      <c r="AT271" s="953">
        <f t="shared" si="74"/>
        <v>0</v>
      </c>
    </row>
    <row r="272" spans="1:46" ht="24.75" customHeight="1">
      <c r="A272" s="1700">
        <v>259</v>
      </c>
      <c r="B272" s="1064">
        <v>33</v>
      </c>
      <c r="C272" s="365" t="s">
        <v>368</v>
      </c>
      <c r="D272" s="31" t="str">
        <f>VLOOKUP(C272,'[1]NT 2'!$C$2:$J$259,8,0)</f>
        <v>03677</v>
      </c>
      <c r="E272" s="1673"/>
      <c r="F272" s="1673"/>
      <c r="G272" s="1673"/>
      <c r="H272" s="1673"/>
      <c r="I272" s="1673"/>
      <c r="J272" s="1673"/>
      <c r="K272" s="1673"/>
      <c r="L272" s="1673"/>
      <c r="M272" s="1673"/>
      <c r="N272" s="1673"/>
      <c r="O272" s="1673"/>
      <c r="P272" s="1673"/>
      <c r="Q272" s="1673"/>
      <c r="R272" s="1673"/>
      <c r="S272" s="1673"/>
      <c r="T272" s="1673"/>
      <c r="U272" s="1673"/>
      <c r="V272" s="1673"/>
      <c r="W272" s="1673"/>
      <c r="X272" s="1673"/>
      <c r="Y272" s="1673"/>
      <c r="Z272" s="1673"/>
      <c r="AA272" s="1673"/>
      <c r="AB272" s="1673"/>
      <c r="AC272" s="1673"/>
      <c r="AD272" s="1673"/>
      <c r="AE272" s="1673"/>
      <c r="AF272" s="1673"/>
      <c r="AG272" s="1464"/>
      <c r="AH272" s="1464"/>
      <c r="AI272" s="1464"/>
      <c r="AJ272" s="1674">
        <f t="shared" si="85"/>
        <v>0</v>
      </c>
      <c r="AK272" s="1675">
        <f t="shared" si="86"/>
        <v>0</v>
      </c>
      <c r="AL272" s="1674">
        <f t="shared" si="87"/>
        <v>0</v>
      </c>
      <c r="AM272" s="1674">
        <f t="shared" si="88"/>
        <v>0</v>
      </c>
      <c r="AN272" s="1674">
        <f t="shared" si="89"/>
        <v>0</v>
      </c>
      <c r="AO272" s="1675">
        <f t="shared" si="90"/>
        <v>0</v>
      </c>
      <c r="AP272" s="1676">
        <f t="shared" si="91"/>
        <v>0</v>
      </c>
      <c r="AQ272" s="888"/>
      <c r="AR272" s="231"/>
      <c r="AS272" s="229" t="str">
        <f>VLOOKUP(C273,'[1]NT 2'!$C$2:$J$259,8,0)</f>
        <v>03678</v>
      </c>
      <c r="AT272" s="953">
        <f t="shared" si="74"/>
        <v>0</v>
      </c>
    </row>
    <row r="273" spans="1:46" ht="24.75" customHeight="1">
      <c r="A273" s="1700">
        <v>260</v>
      </c>
      <c r="B273" s="1064">
        <v>34</v>
      </c>
      <c r="C273" s="365" t="s">
        <v>697</v>
      </c>
      <c r="D273" s="31" t="str">
        <f>VLOOKUP(C273,'[1]NT 2'!$C$2:$J$259,8,0)</f>
        <v>03678</v>
      </c>
      <c r="E273" s="1673"/>
      <c r="F273" s="1673"/>
      <c r="G273" s="1673"/>
      <c r="H273" s="1673"/>
      <c r="I273" s="1673"/>
      <c r="J273" s="1673"/>
      <c r="K273" s="1673"/>
      <c r="L273" s="1673"/>
      <c r="M273" s="1673"/>
      <c r="N273" s="1673"/>
      <c r="O273" s="1673"/>
      <c r="P273" s="1673"/>
      <c r="Q273" s="1673"/>
      <c r="R273" s="1673"/>
      <c r="S273" s="1673"/>
      <c r="T273" s="1673"/>
      <c r="U273" s="1673"/>
      <c r="V273" s="1673"/>
      <c r="W273" s="1673"/>
      <c r="X273" s="1673"/>
      <c r="Y273" s="1673"/>
      <c r="Z273" s="1673"/>
      <c r="AA273" s="1673"/>
      <c r="AB273" s="1673"/>
      <c r="AC273" s="1673"/>
      <c r="AD273" s="1673"/>
      <c r="AE273" s="1673"/>
      <c r="AF273" s="1673"/>
      <c r="AG273" s="1464"/>
      <c r="AH273" s="1464"/>
      <c r="AI273" s="1464"/>
      <c r="AJ273" s="1674">
        <f t="shared" si="85"/>
        <v>0</v>
      </c>
      <c r="AK273" s="1675">
        <f t="shared" si="86"/>
        <v>0</v>
      </c>
      <c r="AL273" s="1674">
        <f t="shared" si="87"/>
        <v>0</v>
      </c>
      <c r="AM273" s="1674">
        <f t="shared" si="88"/>
        <v>0</v>
      </c>
      <c r="AN273" s="1674">
        <f t="shared" si="89"/>
        <v>0</v>
      </c>
      <c r="AO273" s="1675">
        <f t="shared" si="90"/>
        <v>0</v>
      </c>
      <c r="AP273" s="1676">
        <f t="shared" si="91"/>
        <v>0</v>
      </c>
      <c r="AQ273" s="888"/>
      <c r="AR273" s="231"/>
      <c r="AS273" s="229" t="str">
        <f>VLOOKUP(C274,'[1]NT 2'!$C$2:$J$259,8,0)</f>
        <v>03679</v>
      </c>
      <c r="AT273" s="953">
        <f t="shared" si="74"/>
        <v>0</v>
      </c>
    </row>
    <row r="274" spans="1:46" ht="24.75" customHeight="1">
      <c r="A274" s="1700">
        <v>261</v>
      </c>
      <c r="B274" s="1064">
        <v>35</v>
      </c>
      <c r="C274" s="365" t="s">
        <v>153</v>
      </c>
      <c r="D274" s="31" t="str">
        <f>VLOOKUP(C274,'[1]NT 2'!$C$2:$J$259,8,0)</f>
        <v>03679</v>
      </c>
      <c r="E274" s="1673"/>
      <c r="F274" s="1673"/>
      <c r="G274" s="1673"/>
      <c r="H274" s="1673"/>
      <c r="I274" s="1673"/>
      <c r="J274" s="1673"/>
      <c r="K274" s="1673"/>
      <c r="L274" s="1673"/>
      <c r="M274" s="1673"/>
      <c r="N274" s="1673"/>
      <c r="O274" s="1673"/>
      <c r="P274" s="1673"/>
      <c r="Q274" s="1673"/>
      <c r="R274" s="1673"/>
      <c r="S274" s="1673"/>
      <c r="T274" s="1673"/>
      <c r="U274" s="1673"/>
      <c r="V274" s="1673"/>
      <c r="W274" s="1673"/>
      <c r="X274" s="1673"/>
      <c r="Y274" s="1673"/>
      <c r="Z274" s="1673"/>
      <c r="AA274" s="1673"/>
      <c r="AB274" s="1673"/>
      <c r="AC274" s="1673"/>
      <c r="AD274" s="1673"/>
      <c r="AE274" s="1673"/>
      <c r="AF274" s="1673"/>
      <c r="AG274" s="1464"/>
      <c r="AH274" s="1464"/>
      <c r="AI274" s="1464"/>
      <c r="AJ274" s="1674">
        <f t="shared" si="85"/>
        <v>0</v>
      </c>
      <c r="AK274" s="1675">
        <f t="shared" si="86"/>
        <v>0</v>
      </c>
      <c r="AL274" s="1674">
        <f t="shared" si="87"/>
        <v>0</v>
      </c>
      <c r="AM274" s="1674">
        <f t="shared" si="88"/>
        <v>0</v>
      </c>
      <c r="AN274" s="1674">
        <f t="shared" si="89"/>
        <v>0</v>
      </c>
      <c r="AO274" s="1675">
        <f t="shared" si="90"/>
        <v>0</v>
      </c>
      <c r="AP274" s="1676">
        <f t="shared" si="91"/>
        <v>0</v>
      </c>
      <c r="AQ274" s="888"/>
      <c r="AR274" s="231"/>
      <c r="AS274" s="229" t="str">
        <f>VLOOKUP(C275,'[1]NT 2'!$C$2:$J$259,8,0)</f>
        <v>03680</v>
      </c>
      <c r="AT274" s="953">
        <f t="shared" si="74"/>
        <v>0</v>
      </c>
    </row>
    <row r="275" spans="1:46" ht="24.75" customHeight="1">
      <c r="A275" s="1700">
        <v>262</v>
      </c>
      <c r="B275" s="1064">
        <v>36</v>
      </c>
      <c r="C275" s="365" t="s">
        <v>692</v>
      </c>
      <c r="D275" s="31" t="str">
        <f>VLOOKUP(C275,'[1]NT 2'!$C$2:$J$259,8,0)</f>
        <v>03680</v>
      </c>
      <c r="E275" s="1673"/>
      <c r="F275" s="1673"/>
      <c r="G275" s="1673"/>
      <c r="H275" s="1673"/>
      <c r="I275" s="1673"/>
      <c r="J275" s="1673"/>
      <c r="K275" s="1673"/>
      <c r="L275" s="1673"/>
      <c r="M275" s="1673"/>
      <c r="N275" s="1673"/>
      <c r="O275" s="1673"/>
      <c r="P275" s="1673"/>
      <c r="Q275" s="1673"/>
      <c r="R275" s="1673"/>
      <c r="S275" s="1673"/>
      <c r="T275" s="1673"/>
      <c r="U275" s="1673"/>
      <c r="V275" s="1673"/>
      <c r="W275" s="1673"/>
      <c r="X275" s="1673"/>
      <c r="Y275" s="1673"/>
      <c r="Z275" s="1673"/>
      <c r="AA275" s="1673"/>
      <c r="AB275" s="1673"/>
      <c r="AC275" s="1673"/>
      <c r="AD275" s="1673"/>
      <c r="AE275" s="1673"/>
      <c r="AF275" s="1673"/>
      <c r="AG275" s="1464"/>
      <c r="AH275" s="1464"/>
      <c r="AI275" s="1464"/>
      <c r="AJ275" s="1674">
        <f t="shared" si="85"/>
        <v>0</v>
      </c>
      <c r="AK275" s="1675">
        <f t="shared" si="86"/>
        <v>0</v>
      </c>
      <c r="AL275" s="1674">
        <f t="shared" si="87"/>
        <v>0</v>
      </c>
      <c r="AM275" s="1674">
        <f t="shared" si="88"/>
        <v>0</v>
      </c>
      <c r="AN275" s="1674">
        <f t="shared" si="89"/>
        <v>0</v>
      </c>
      <c r="AO275" s="1675">
        <f t="shared" si="90"/>
        <v>0</v>
      </c>
      <c r="AP275" s="1676">
        <f t="shared" si="91"/>
        <v>0</v>
      </c>
      <c r="AQ275" s="888"/>
      <c r="AR275" s="231"/>
      <c r="AS275" s="229" t="str">
        <f>VLOOKUP(C276,'[1]NT 2'!$C$2:$J$259,8,0)</f>
        <v>03681</v>
      </c>
      <c r="AT275" s="953">
        <f t="shared" si="74"/>
        <v>0</v>
      </c>
    </row>
    <row r="276" spans="1:46" ht="24.75" customHeight="1">
      <c r="A276" s="1700">
        <v>263</v>
      </c>
      <c r="B276" s="1064">
        <v>37</v>
      </c>
      <c r="C276" s="365" t="s">
        <v>369</v>
      </c>
      <c r="D276" s="31" t="str">
        <f>VLOOKUP(C276,'[1]NT 2'!$C$2:$J$259,8,0)</f>
        <v>03681</v>
      </c>
      <c r="E276" s="1673"/>
      <c r="F276" s="1673"/>
      <c r="G276" s="1673"/>
      <c r="H276" s="1673"/>
      <c r="I276" s="1673"/>
      <c r="J276" s="1673"/>
      <c r="K276" s="1673"/>
      <c r="L276" s="1673"/>
      <c r="M276" s="1673"/>
      <c r="N276" s="1673"/>
      <c r="O276" s="1673"/>
      <c r="P276" s="1673"/>
      <c r="Q276" s="1673"/>
      <c r="R276" s="1673"/>
      <c r="S276" s="1673"/>
      <c r="T276" s="1673"/>
      <c r="U276" s="1673"/>
      <c r="V276" s="1673"/>
      <c r="W276" s="1673"/>
      <c r="X276" s="1673"/>
      <c r="Y276" s="1673"/>
      <c r="Z276" s="1673"/>
      <c r="AA276" s="1673"/>
      <c r="AB276" s="1673"/>
      <c r="AC276" s="1673"/>
      <c r="AD276" s="1673"/>
      <c r="AE276" s="1673"/>
      <c r="AF276" s="1673"/>
      <c r="AG276" s="1464"/>
      <c r="AH276" s="1464"/>
      <c r="AI276" s="1464"/>
      <c r="AJ276" s="1674">
        <f t="shared" si="85"/>
        <v>0</v>
      </c>
      <c r="AK276" s="1675">
        <f t="shared" si="86"/>
        <v>0</v>
      </c>
      <c r="AL276" s="1674">
        <f t="shared" si="87"/>
        <v>0</v>
      </c>
      <c r="AM276" s="1674">
        <f t="shared" si="88"/>
        <v>0</v>
      </c>
      <c r="AN276" s="1674">
        <f t="shared" si="89"/>
        <v>0</v>
      </c>
      <c r="AO276" s="1675">
        <f t="shared" si="90"/>
        <v>0</v>
      </c>
      <c r="AP276" s="1676">
        <f t="shared" si="91"/>
        <v>0</v>
      </c>
      <c r="AQ276" s="888"/>
      <c r="AR276" s="231"/>
      <c r="AS276" s="229" t="str">
        <f>VLOOKUP(C277,'[1]NT 2'!$C$2:$J$259,8,0)</f>
        <v>03682</v>
      </c>
      <c r="AT276" s="953">
        <f t="shared" si="74"/>
        <v>0</v>
      </c>
    </row>
    <row r="277" spans="1:46" ht="24.75" customHeight="1">
      <c r="A277" s="1700">
        <v>264</v>
      </c>
      <c r="B277" s="1064">
        <v>38</v>
      </c>
      <c r="C277" s="365" t="s">
        <v>370</v>
      </c>
      <c r="D277" s="31" t="str">
        <f>VLOOKUP(C277,'[1]NT 2'!$C$2:$J$259,8,0)</f>
        <v>03682</v>
      </c>
      <c r="E277" s="1673"/>
      <c r="F277" s="1673"/>
      <c r="G277" s="1673"/>
      <c r="H277" s="1673"/>
      <c r="I277" s="1673"/>
      <c r="J277" s="1673"/>
      <c r="K277" s="1673"/>
      <c r="L277" s="1673"/>
      <c r="M277" s="1673"/>
      <c r="N277" s="1673"/>
      <c r="O277" s="1673"/>
      <c r="P277" s="1673"/>
      <c r="Q277" s="1673"/>
      <c r="R277" s="1673"/>
      <c r="S277" s="1673"/>
      <c r="T277" s="1673"/>
      <c r="U277" s="1673"/>
      <c r="V277" s="1673"/>
      <c r="W277" s="1673"/>
      <c r="X277" s="1673"/>
      <c r="Y277" s="1673"/>
      <c r="Z277" s="1673"/>
      <c r="AA277" s="1673"/>
      <c r="AB277" s="1673"/>
      <c r="AC277" s="1673"/>
      <c r="AD277" s="1673"/>
      <c r="AE277" s="1673"/>
      <c r="AF277" s="1673"/>
      <c r="AG277" s="1464"/>
      <c r="AH277" s="1464"/>
      <c r="AI277" s="1464"/>
      <c r="AJ277" s="1674">
        <f t="shared" si="85"/>
        <v>0</v>
      </c>
      <c r="AK277" s="1675">
        <f t="shared" si="86"/>
        <v>0</v>
      </c>
      <c r="AL277" s="1674">
        <f t="shared" si="87"/>
        <v>0</v>
      </c>
      <c r="AM277" s="1674">
        <f t="shared" si="88"/>
        <v>0</v>
      </c>
      <c r="AN277" s="1674">
        <f t="shared" si="89"/>
        <v>0</v>
      </c>
      <c r="AO277" s="1675">
        <f t="shared" si="90"/>
        <v>0</v>
      </c>
      <c r="AP277" s="1676">
        <f t="shared" si="91"/>
        <v>0</v>
      </c>
      <c r="AQ277" s="888"/>
      <c r="AR277" s="231"/>
      <c r="AS277" s="229" t="str">
        <f>VLOOKUP(C278,'[1]NT 2'!$C$2:$J$259,8,0)</f>
        <v>03683</v>
      </c>
      <c r="AT277" s="953">
        <f t="shared" si="74"/>
        <v>0</v>
      </c>
    </row>
    <row r="278" spans="1:46" ht="24.75" customHeight="1">
      <c r="A278" s="1700">
        <v>265</v>
      </c>
      <c r="B278" s="1064">
        <v>39</v>
      </c>
      <c r="C278" s="365" t="s">
        <v>371</v>
      </c>
      <c r="D278" s="31" t="str">
        <f>VLOOKUP(C278,'[1]NT 2'!$C$2:$J$259,8,0)</f>
        <v>03683</v>
      </c>
      <c r="E278" s="1673"/>
      <c r="F278" s="1673"/>
      <c r="G278" s="1673"/>
      <c r="H278" s="1673"/>
      <c r="I278" s="1673"/>
      <c r="J278" s="1673"/>
      <c r="K278" s="1673"/>
      <c r="L278" s="1673"/>
      <c r="M278" s="1673"/>
      <c r="N278" s="1673"/>
      <c r="O278" s="1673"/>
      <c r="P278" s="1673"/>
      <c r="Q278" s="1673"/>
      <c r="R278" s="1673"/>
      <c r="S278" s="1673"/>
      <c r="T278" s="1673"/>
      <c r="U278" s="1673"/>
      <c r="V278" s="1673"/>
      <c r="W278" s="1673"/>
      <c r="X278" s="1673"/>
      <c r="Y278" s="1673"/>
      <c r="Z278" s="1673"/>
      <c r="AA278" s="1673"/>
      <c r="AB278" s="1673"/>
      <c r="AC278" s="1673"/>
      <c r="AD278" s="1673"/>
      <c r="AE278" s="1673"/>
      <c r="AF278" s="1673"/>
      <c r="AG278" s="1464"/>
      <c r="AH278" s="1464"/>
      <c r="AI278" s="1464"/>
      <c r="AJ278" s="1674">
        <f t="shared" si="85"/>
        <v>0</v>
      </c>
      <c r="AK278" s="1675">
        <f t="shared" si="86"/>
        <v>0</v>
      </c>
      <c r="AL278" s="1674">
        <f t="shared" si="87"/>
        <v>0</v>
      </c>
      <c r="AM278" s="1674">
        <f t="shared" si="88"/>
        <v>0</v>
      </c>
      <c r="AN278" s="1674">
        <f t="shared" si="89"/>
        <v>0</v>
      </c>
      <c r="AO278" s="1675">
        <f t="shared" si="90"/>
        <v>0</v>
      </c>
      <c r="AP278" s="1676">
        <f t="shared" si="91"/>
        <v>0</v>
      </c>
      <c r="AQ278" s="888"/>
      <c r="AR278" s="231"/>
      <c r="AS278" s="229" t="str">
        <f>VLOOKUP(C279,'[1]NT 2'!$C$2:$J$259,8,0)</f>
        <v>03684</v>
      </c>
      <c r="AT278" s="953">
        <f t="shared" si="74"/>
        <v>0</v>
      </c>
    </row>
    <row r="279" spans="1:46" ht="24.75" customHeight="1">
      <c r="A279" s="1700">
        <v>266</v>
      </c>
      <c r="B279" s="1064">
        <v>40</v>
      </c>
      <c r="C279" s="365" t="s">
        <v>473</v>
      </c>
      <c r="D279" s="31" t="str">
        <f>VLOOKUP(C279,'[1]NT 2'!$C$2:$J$259,8,0)</f>
        <v>03684</v>
      </c>
      <c r="E279" s="1673"/>
      <c r="F279" s="1673"/>
      <c r="G279" s="1673"/>
      <c r="H279" s="1673"/>
      <c r="I279" s="1673"/>
      <c r="J279" s="1673"/>
      <c r="K279" s="1673"/>
      <c r="L279" s="1673"/>
      <c r="M279" s="1673"/>
      <c r="N279" s="1673"/>
      <c r="O279" s="1673"/>
      <c r="P279" s="1673"/>
      <c r="Q279" s="1673"/>
      <c r="R279" s="1673"/>
      <c r="S279" s="1673"/>
      <c r="T279" s="1673"/>
      <c r="U279" s="1673"/>
      <c r="V279" s="1673"/>
      <c r="W279" s="1673"/>
      <c r="X279" s="1673"/>
      <c r="Y279" s="1673"/>
      <c r="Z279" s="1673"/>
      <c r="AA279" s="1673"/>
      <c r="AB279" s="1673"/>
      <c r="AC279" s="1673"/>
      <c r="AD279" s="1673"/>
      <c r="AE279" s="1673"/>
      <c r="AF279" s="1673"/>
      <c r="AG279" s="1464"/>
      <c r="AH279" s="1464"/>
      <c r="AI279" s="1464"/>
      <c r="AJ279" s="1674">
        <f t="shared" si="85"/>
        <v>0</v>
      </c>
      <c r="AK279" s="1675">
        <f t="shared" si="86"/>
        <v>0</v>
      </c>
      <c r="AL279" s="1674">
        <f t="shared" si="87"/>
        <v>0</v>
      </c>
      <c r="AM279" s="1674">
        <f t="shared" si="88"/>
        <v>0</v>
      </c>
      <c r="AN279" s="1674">
        <f t="shared" si="89"/>
        <v>0</v>
      </c>
      <c r="AO279" s="1675">
        <f t="shared" si="90"/>
        <v>0</v>
      </c>
      <c r="AP279" s="1676">
        <f t="shared" si="91"/>
        <v>0</v>
      </c>
      <c r="AQ279" s="888"/>
      <c r="AR279" s="231"/>
      <c r="AS279" s="229" t="str">
        <f>VLOOKUP(C280,'[1]NT 2'!$C$2:$J$259,8,0)</f>
        <v>03685</v>
      </c>
      <c r="AT279" s="953">
        <f t="shared" si="74"/>
        <v>0</v>
      </c>
    </row>
    <row r="280" spans="1:46" ht="24.75" customHeight="1">
      <c r="A280" s="1700">
        <v>267</v>
      </c>
      <c r="B280" s="1064">
        <v>41</v>
      </c>
      <c r="C280" s="365" t="s">
        <v>480</v>
      </c>
      <c r="D280" s="31" t="str">
        <f>VLOOKUP(C280,'[1]NT 2'!$C$2:$J$259,8,0)</f>
        <v>03685</v>
      </c>
      <c r="E280" s="1673"/>
      <c r="F280" s="1673"/>
      <c r="G280" s="1673"/>
      <c r="H280" s="1673"/>
      <c r="I280" s="1673"/>
      <c r="J280" s="1673"/>
      <c r="K280" s="1673"/>
      <c r="L280" s="1673"/>
      <c r="M280" s="1673"/>
      <c r="N280" s="1673"/>
      <c r="O280" s="1673"/>
      <c r="P280" s="1673"/>
      <c r="Q280" s="1673"/>
      <c r="R280" s="1673"/>
      <c r="S280" s="1673"/>
      <c r="T280" s="1673"/>
      <c r="U280" s="1673"/>
      <c r="V280" s="1673"/>
      <c r="W280" s="1673"/>
      <c r="X280" s="1673"/>
      <c r="Y280" s="1673"/>
      <c r="Z280" s="1673"/>
      <c r="AA280" s="1673"/>
      <c r="AB280" s="1673"/>
      <c r="AC280" s="1673"/>
      <c r="AD280" s="1673"/>
      <c r="AE280" s="1673"/>
      <c r="AF280" s="1673"/>
      <c r="AG280" s="1464"/>
      <c r="AH280" s="1464"/>
      <c r="AI280" s="1464"/>
      <c r="AJ280" s="1674">
        <f t="shared" si="85"/>
        <v>0</v>
      </c>
      <c r="AK280" s="1675">
        <f t="shared" si="86"/>
        <v>0</v>
      </c>
      <c r="AL280" s="1674">
        <f t="shared" si="87"/>
        <v>0</v>
      </c>
      <c r="AM280" s="1674">
        <f t="shared" si="88"/>
        <v>0</v>
      </c>
      <c r="AN280" s="1674">
        <f t="shared" si="89"/>
        <v>0</v>
      </c>
      <c r="AO280" s="1675">
        <f t="shared" si="90"/>
        <v>0</v>
      </c>
      <c r="AP280" s="1676">
        <f t="shared" si="91"/>
        <v>0</v>
      </c>
      <c r="AQ280" s="888"/>
      <c r="AR280" s="231"/>
      <c r="AS280" s="229" t="str">
        <f>VLOOKUP(C281,'[1]NT 2'!$C$2:$J$259,8,0)</f>
        <v>03556</v>
      </c>
      <c r="AT280" s="953">
        <f t="shared" si="74"/>
        <v>0</v>
      </c>
    </row>
    <row r="281" spans="1:46" ht="24.75" customHeight="1">
      <c r="A281" s="1700">
        <v>268</v>
      </c>
      <c r="B281" s="1064">
        <v>42</v>
      </c>
      <c r="C281" s="365" t="s">
        <v>373</v>
      </c>
      <c r="D281" s="31" t="str">
        <f>VLOOKUP(C281,'[1]NT 2'!$C$2:$J$259,8,0)</f>
        <v>03556</v>
      </c>
      <c r="E281" s="1673"/>
      <c r="F281" s="1673"/>
      <c r="G281" s="1673"/>
      <c r="H281" s="1673"/>
      <c r="I281" s="1673"/>
      <c r="J281" s="1673"/>
      <c r="K281" s="1673"/>
      <c r="L281" s="1673"/>
      <c r="M281" s="1673"/>
      <c r="N281" s="1673"/>
      <c r="O281" s="1673"/>
      <c r="P281" s="1673"/>
      <c r="Q281" s="1673"/>
      <c r="R281" s="1673"/>
      <c r="S281" s="1673"/>
      <c r="T281" s="1673"/>
      <c r="U281" s="1673"/>
      <c r="V281" s="1673"/>
      <c r="W281" s="1673"/>
      <c r="X281" s="1673"/>
      <c r="Y281" s="1673"/>
      <c r="Z281" s="1673"/>
      <c r="AA281" s="1673"/>
      <c r="AB281" s="1673"/>
      <c r="AC281" s="1673"/>
      <c r="AD281" s="1673"/>
      <c r="AE281" s="1673"/>
      <c r="AF281" s="1673"/>
      <c r="AG281" s="1464"/>
      <c r="AH281" s="1464"/>
      <c r="AI281" s="1464"/>
      <c r="AJ281" s="1674">
        <f t="shared" si="85"/>
        <v>0</v>
      </c>
      <c r="AK281" s="1675">
        <f t="shared" si="86"/>
        <v>0</v>
      </c>
      <c r="AL281" s="1674">
        <f t="shared" si="87"/>
        <v>0</v>
      </c>
      <c r="AM281" s="1674">
        <f t="shared" si="88"/>
        <v>0</v>
      </c>
      <c r="AN281" s="1674">
        <f t="shared" si="89"/>
        <v>0</v>
      </c>
      <c r="AO281" s="1675">
        <f t="shared" si="90"/>
        <v>0</v>
      </c>
      <c r="AP281" s="1676">
        <f t="shared" si="91"/>
        <v>0</v>
      </c>
      <c r="AQ281" s="888"/>
      <c r="AR281" s="231"/>
      <c r="AS281" s="229" t="str">
        <f>VLOOKUP(C282,'[1]NT 2'!$C$2:$J$259,8,0)</f>
        <v>03687</v>
      </c>
      <c r="AT281" s="953">
        <f t="shared" si="74"/>
        <v>0</v>
      </c>
    </row>
    <row r="282" spans="1:46" ht="24.75" customHeight="1">
      <c r="A282" s="1700">
        <v>269</v>
      </c>
      <c r="B282" s="1064">
        <v>43</v>
      </c>
      <c r="C282" s="365" t="s">
        <v>698</v>
      </c>
      <c r="D282" s="31" t="str">
        <f>VLOOKUP(C282,'[1]NT 2'!$C$2:$J$259,8,0)</f>
        <v>03687</v>
      </c>
      <c r="E282" s="1673"/>
      <c r="F282" s="1673"/>
      <c r="G282" s="1673"/>
      <c r="H282" s="1673"/>
      <c r="I282" s="1673"/>
      <c r="J282" s="1673"/>
      <c r="K282" s="1673"/>
      <c r="L282" s="1673"/>
      <c r="M282" s="1673"/>
      <c r="N282" s="1673"/>
      <c r="O282" s="1673"/>
      <c r="P282" s="1673"/>
      <c r="Q282" s="1673"/>
      <c r="R282" s="1673"/>
      <c r="S282" s="1673"/>
      <c r="T282" s="1673"/>
      <c r="U282" s="1673"/>
      <c r="V282" s="1673"/>
      <c r="W282" s="1673"/>
      <c r="X282" s="1673"/>
      <c r="Y282" s="1673"/>
      <c r="Z282" s="1673"/>
      <c r="AA282" s="1673"/>
      <c r="AB282" s="1673"/>
      <c r="AC282" s="1673"/>
      <c r="AD282" s="1673"/>
      <c r="AE282" s="1673"/>
      <c r="AF282" s="1673"/>
      <c r="AG282" s="1464"/>
      <c r="AH282" s="1464"/>
      <c r="AI282" s="1464"/>
      <c r="AJ282" s="1674">
        <f t="shared" si="85"/>
        <v>0</v>
      </c>
      <c r="AK282" s="1675">
        <f t="shared" si="86"/>
        <v>0</v>
      </c>
      <c r="AL282" s="1674">
        <f t="shared" si="87"/>
        <v>0</v>
      </c>
      <c r="AM282" s="1674">
        <f t="shared" si="88"/>
        <v>0</v>
      </c>
      <c r="AN282" s="1674">
        <f t="shared" si="89"/>
        <v>0</v>
      </c>
      <c r="AO282" s="1675">
        <f t="shared" si="90"/>
        <v>0</v>
      </c>
      <c r="AP282" s="1676">
        <f t="shared" si="91"/>
        <v>0</v>
      </c>
      <c r="AQ282" s="888"/>
      <c r="AR282" s="231"/>
      <c r="AS282" s="229" t="str">
        <f>VLOOKUP(C283,'[1]NT 2'!$C$2:$J$259,8,0)</f>
        <v>03688</v>
      </c>
      <c r="AT282" s="953">
        <f t="shared" si="74"/>
        <v>0</v>
      </c>
    </row>
    <row r="283" spans="1:46" ht="24.75" customHeight="1">
      <c r="A283" s="1700">
        <v>270</v>
      </c>
      <c r="B283" s="1064">
        <v>44</v>
      </c>
      <c r="C283" s="365" t="s">
        <v>474</v>
      </c>
      <c r="D283" s="31" t="str">
        <f>VLOOKUP(C283,'[1]NT 2'!$C$2:$J$259,8,0)</f>
        <v>03688</v>
      </c>
      <c r="E283" s="1673"/>
      <c r="F283" s="1673"/>
      <c r="G283" s="1673"/>
      <c r="H283" s="1673"/>
      <c r="I283" s="1673"/>
      <c r="J283" s="1673"/>
      <c r="K283" s="1673"/>
      <c r="L283" s="1673"/>
      <c r="M283" s="1673"/>
      <c r="N283" s="1673"/>
      <c r="O283" s="1673"/>
      <c r="P283" s="1673"/>
      <c r="Q283" s="1673"/>
      <c r="R283" s="1673"/>
      <c r="S283" s="1673"/>
      <c r="T283" s="1673"/>
      <c r="U283" s="1673"/>
      <c r="V283" s="1673"/>
      <c r="W283" s="1673"/>
      <c r="X283" s="1673"/>
      <c r="Y283" s="1673"/>
      <c r="Z283" s="1673"/>
      <c r="AA283" s="1673"/>
      <c r="AB283" s="1673"/>
      <c r="AC283" s="1673"/>
      <c r="AD283" s="1673"/>
      <c r="AE283" s="1673"/>
      <c r="AF283" s="1673"/>
      <c r="AG283" s="1464"/>
      <c r="AH283" s="1464"/>
      <c r="AI283" s="1464"/>
      <c r="AJ283" s="1674">
        <f t="shared" si="85"/>
        <v>0</v>
      </c>
      <c r="AK283" s="1675">
        <f t="shared" si="86"/>
        <v>0</v>
      </c>
      <c r="AL283" s="1674">
        <f t="shared" si="87"/>
        <v>0</v>
      </c>
      <c r="AM283" s="1674">
        <f t="shared" si="88"/>
        <v>0</v>
      </c>
      <c r="AN283" s="1674">
        <f t="shared" si="89"/>
        <v>0</v>
      </c>
      <c r="AO283" s="1675">
        <f t="shared" si="90"/>
        <v>0</v>
      </c>
      <c r="AP283" s="1676">
        <f t="shared" si="91"/>
        <v>0</v>
      </c>
      <c r="AQ283" s="888"/>
      <c r="AR283" s="231"/>
      <c r="AS283" s="229" t="str">
        <f>VLOOKUP(C284,'[1]NT 2'!$C$2:$J$259,8,0)</f>
        <v>02732</v>
      </c>
      <c r="AT283" s="953">
        <f t="shared" si="74"/>
        <v>0</v>
      </c>
    </row>
    <row r="284" spans="1:46" ht="24.75" customHeight="1">
      <c r="A284" s="1700">
        <v>271</v>
      </c>
      <c r="B284" s="1064">
        <v>45</v>
      </c>
      <c r="C284" s="365" t="s">
        <v>340</v>
      </c>
      <c r="D284" s="31" t="str">
        <f>VLOOKUP(C284,'[1]NT 2'!$C$2:$J$259,8,0)</f>
        <v>02732</v>
      </c>
      <c r="E284" s="1673"/>
      <c r="F284" s="1673"/>
      <c r="G284" s="1673"/>
      <c r="H284" s="1673"/>
      <c r="I284" s="1673"/>
      <c r="J284" s="1673"/>
      <c r="K284" s="1673"/>
      <c r="L284" s="1673"/>
      <c r="M284" s="1673"/>
      <c r="N284" s="1673"/>
      <c r="O284" s="1673"/>
      <c r="P284" s="1673"/>
      <c r="Q284" s="1673"/>
      <c r="R284" s="1673"/>
      <c r="S284" s="1673"/>
      <c r="T284" s="1673"/>
      <c r="U284" s="1673"/>
      <c r="V284" s="1673"/>
      <c r="W284" s="1673"/>
      <c r="X284" s="1673"/>
      <c r="Y284" s="1673"/>
      <c r="Z284" s="1673"/>
      <c r="AA284" s="1673"/>
      <c r="AB284" s="1673"/>
      <c r="AC284" s="1673"/>
      <c r="AD284" s="1673"/>
      <c r="AE284" s="1673"/>
      <c r="AF284" s="1673"/>
      <c r="AG284" s="1464"/>
      <c r="AH284" s="1464"/>
      <c r="AI284" s="1464"/>
      <c r="AJ284" s="1674">
        <f t="shared" si="85"/>
        <v>0</v>
      </c>
      <c r="AK284" s="1675">
        <f t="shared" si="86"/>
        <v>0</v>
      </c>
      <c r="AL284" s="1674">
        <f t="shared" si="87"/>
        <v>0</v>
      </c>
      <c r="AM284" s="1674">
        <f t="shared" si="88"/>
        <v>0</v>
      </c>
      <c r="AN284" s="1674">
        <f t="shared" si="89"/>
        <v>0</v>
      </c>
      <c r="AO284" s="1675">
        <f t="shared" si="90"/>
        <v>0</v>
      </c>
      <c r="AP284" s="1676">
        <f t="shared" si="91"/>
        <v>0</v>
      </c>
      <c r="AQ284" s="888"/>
      <c r="AR284" s="231"/>
      <c r="AS284" s="229" t="str">
        <f>VLOOKUP(C285,'[1]NT 2'!$C$2:$J$259,8,0)</f>
        <v>03690</v>
      </c>
      <c r="AT284" s="953">
        <f t="shared" si="74"/>
        <v>0</v>
      </c>
    </row>
    <row r="285" spans="1:46" ht="24.75" customHeight="1">
      <c r="A285" s="1700">
        <v>272</v>
      </c>
      <c r="B285" s="1064">
        <v>46</v>
      </c>
      <c r="C285" s="365" t="s">
        <v>374</v>
      </c>
      <c r="D285" s="31" t="str">
        <f>VLOOKUP(C285,'[1]NT 2'!$C$2:$J$259,8,0)</f>
        <v>03690</v>
      </c>
      <c r="E285" s="1673"/>
      <c r="F285" s="1673"/>
      <c r="G285" s="1673"/>
      <c r="H285" s="1673"/>
      <c r="I285" s="1673"/>
      <c r="J285" s="1673"/>
      <c r="K285" s="1673"/>
      <c r="L285" s="1673"/>
      <c r="M285" s="1673"/>
      <c r="N285" s="1673"/>
      <c r="O285" s="1673"/>
      <c r="P285" s="1673"/>
      <c r="Q285" s="1673"/>
      <c r="R285" s="1673"/>
      <c r="S285" s="1673"/>
      <c r="T285" s="1673"/>
      <c r="U285" s="1673"/>
      <c r="V285" s="1673"/>
      <c r="W285" s="1673"/>
      <c r="X285" s="1673"/>
      <c r="Y285" s="1673"/>
      <c r="Z285" s="1673"/>
      <c r="AA285" s="1673"/>
      <c r="AB285" s="1673"/>
      <c r="AC285" s="1673"/>
      <c r="AD285" s="1673"/>
      <c r="AE285" s="1673"/>
      <c r="AF285" s="1673"/>
      <c r="AG285" s="1464"/>
      <c r="AH285" s="1464"/>
      <c r="AI285" s="1464"/>
      <c r="AJ285" s="1674">
        <f t="shared" si="85"/>
        <v>0</v>
      </c>
      <c r="AK285" s="1675">
        <f t="shared" si="86"/>
        <v>0</v>
      </c>
      <c r="AL285" s="1674">
        <f t="shared" si="87"/>
        <v>0</v>
      </c>
      <c r="AM285" s="1674">
        <f t="shared" si="88"/>
        <v>0</v>
      </c>
      <c r="AN285" s="1674">
        <f t="shared" si="89"/>
        <v>0</v>
      </c>
      <c r="AO285" s="1675">
        <f t="shared" si="90"/>
        <v>0</v>
      </c>
      <c r="AP285" s="1676">
        <f t="shared" si="91"/>
        <v>0</v>
      </c>
      <c r="AQ285" s="888"/>
      <c r="AR285" s="231"/>
      <c r="AS285" s="229" t="str">
        <f>VLOOKUP(C286,'[1]NT 2'!$C$2:$J$259,8,0)</f>
        <v>03691</v>
      </c>
      <c r="AT285" s="953">
        <f t="shared" si="74"/>
        <v>0</v>
      </c>
    </row>
    <row r="286" spans="1:46" ht="24.75" customHeight="1">
      <c r="A286" s="1700">
        <v>273</v>
      </c>
      <c r="B286" s="1064">
        <v>47</v>
      </c>
      <c r="C286" s="365" t="s">
        <v>693</v>
      </c>
      <c r="D286" s="31" t="str">
        <f>VLOOKUP(C286,'[1]NT 2'!$C$2:$J$259,8,0)</f>
        <v>03691</v>
      </c>
      <c r="E286" s="1673"/>
      <c r="F286" s="1673"/>
      <c r="G286" s="1673"/>
      <c r="H286" s="1673"/>
      <c r="I286" s="1673"/>
      <c r="J286" s="1673"/>
      <c r="K286" s="1673"/>
      <c r="L286" s="1673"/>
      <c r="M286" s="1673"/>
      <c r="N286" s="1673"/>
      <c r="O286" s="1673"/>
      <c r="P286" s="1673"/>
      <c r="Q286" s="1673"/>
      <c r="R286" s="1673"/>
      <c r="S286" s="1673"/>
      <c r="T286" s="1673"/>
      <c r="U286" s="1673"/>
      <c r="V286" s="1673"/>
      <c r="W286" s="1673"/>
      <c r="X286" s="1673"/>
      <c r="Y286" s="1673"/>
      <c r="Z286" s="1673"/>
      <c r="AA286" s="1673"/>
      <c r="AB286" s="1673"/>
      <c r="AC286" s="1673"/>
      <c r="AD286" s="1673"/>
      <c r="AE286" s="1673"/>
      <c r="AF286" s="1673"/>
      <c r="AG286" s="1464"/>
      <c r="AH286" s="1464"/>
      <c r="AI286" s="1464"/>
      <c r="AJ286" s="1674">
        <f t="shared" si="85"/>
        <v>0</v>
      </c>
      <c r="AK286" s="1675">
        <f t="shared" si="86"/>
        <v>0</v>
      </c>
      <c r="AL286" s="1674">
        <f t="shared" si="87"/>
        <v>0</v>
      </c>
      <c r="AM286" s="1674">
        <f t="shared" si="88"/>
        <v>0</v>
      </c>
      <c r="AN286" s="1674">
        <f t="shared" si="89"/>
        <v>0</v>
      </c>
      <c r="AO286" s="1675">
        <f t="shared" si="90"/>
        <v>0</v>
      </c>
      <c r="AP286" s="1676">
        <f t="shared" si="91"/>
        <v>0</v>
      </c>
      <c r="AQ286" s="888"/>
      <c r="AR286" s="231"/>
      <c r="AS286" s="229" t="str">
        <f>VLOOKUP(C287,'[1]NT 2'!$C$2:$J$259,8,0)</f>
        <v>03692</v>
      </c>
      <c r="AT286" s="953">
        <f t="shared" si="74"/>
        <v>0</v>
      </c>
    </row>
    <row r="287" spans="1:46" ht="24.75" customHeight="1">
      <c r="A287" s="1700">
        <v>274</v>
      </c>
      <c r="B287" s="1064">
        <v>48</v>
      </c>
      <c r="C287" s="365" t="s">
        <v>375</v>
      </c>
      <c r="D287" s="31" t="str">
        <f>VLOOKUP(C287,'[1]NT 2'!$C$2:$J$259,8,0)</f>
        <v>03692</v>
      </c>
      <c r="E287" s="1673"/>
      <c r="F287" s="1673"/>
      <c r="G287" s="1673"/>
      <c r="H287" s="1673"/>
      <c r="I287" s="1673"/>
      <c r="J287" s="1673"/>
      <c r="K287" s="1673"/>
      <c r="L287" s="1673"/>
      <c r="M287" s="1673"/>
      <c r="N287" s="1673"/>
      <c r="O287" s="1673"/>
      <c r="P287" s="1673"/>
      <c r="Q287" s="1673"/>
      <c r="R287" s="1673"/>
      <c r="S287" s="1673"/>
      <c r="T287" s="1673"/>
      <c r="U287" s="1673"/>
      <c r="V287" s="1673"/>
      <c r="W287" s="1673"/>
      <c r="X287" s="1673"/>
      <c r="Y287" s="1673"/>
      <c r="Z287" s="1673"/>
      <c r="AA287" s="1673"/>
      <c r="AB287" s="1673"/>
      <c r="AC287" s="1673"/>
      <c r="AD287" s="1673"/>
      <c r="AE287" s="1673"/>
      <c r="AF287" s="1673"/>
      <c r="AG287" s="1464"/>
      <c r="AH287" s="1464"/>
      <c r="AI287" s="1464"/>
      <c r="AJ287" s="1674">
        <f t="shared" si="85"/>
        <v>0</v>
      </c>
      <c r="AK287" s="1675">
        <f t="shared" si="86"/>
        <v>0</v>
      </c>
      <c r="AL287" s="1674">
        <f t="shared" si="87"/>
        <v>0</v>
      </c>
      <c r="AM287" s="1674">
        <f t="shared" si="88"/>
        <v>0</v>
      </c>
      <c r="AN287" s="1674">
        <f t="shared" si="89"/>
        <v>0</v>
      </c>
      <c r="AO287" s="1675">
        <f t="shared" si="90"/>
        <v>0</v>
      </c>
      <c r="AP287" s="1676">
        <f t="shared" si="91"/>
        <v>0</v>
      </c>
      <c r="AQ287" s="888"/>
      <c r="AR287" s="231"/>
      <c r="AS287" s="229" t="str">
        <f>VLOOKUP(C288,'[1]NT 2'!$C$2:$J$259,8,0)</f>
        <v>03693</v>
      </c>
      <c r="AT287" s="953">
        <f t="shared" si="74"/>
        <v>0</v>
      </c>
    </row>
    <row r="288" spans="1:46" ht="24.75" customHeight="1">
      <c r="A288" s="1700">
        <v>275</v>
      </c>
      <c r="B288" s="1064">
        <v>49</v>
      </c>
      <c r="C288" s="840" t="s">
        <v>694</v>
      </c>
      <c r="D288" s="31" t="str">
        <f>VLOOKUP(C288,'[1]NT 2'!$C$2:$J$259,8,0)</f>
        <v>03693</v>
      </c>
      <c r="E288" s="1673"/>
      <c r="F288" s="1673"/>
      <c r="G288" s="1673"/>
      <c r="H288" s="1673"/>
      <c r="I288" s="1673"/>
      <c r="J288" s="1673"/>
      <c r="K288" s="1673"/>
      <c r="L288" s="1673"/>
      <c r="M288" s="1673"/>
      <c r="N288" s="1673"/>
      <c r="O288" s="1673"/>
      <c r="P288" s="1673"/>
      <c r="Q288" s="1673"/>
      <c r="R288" s="1673"/>
      <c r="S288" s="1673"/>
      <c r="T288" s="1673"/>
      <c r="U288" s="1673"/>
      <c r="V288" s="1673"/>
      <c r="W288" s="1673"/>
      <c r="X288" s="1673"/>
      <c r="Y288" s="1673"/>
      <c r="Z288" s="1673"/>
      <c r="AA288" s="1673"/>
      <c r="AB288" s="1673"/>
      <c r="AC288" s="1673"/>
      <c r="AD288" s="1673"/>
      <c r="AE288" s="1673"/>
      <c r="AF288" s="1673"/>
      <c r="AG288" s="1464"/>
      <c r="AH288" s="1464"/>
      <c r="AI288" s="1464"/>
      <c r="AJ288" s="1674">
        <f>SUM(COUNTIF(E288:AI288,"x"))</f>
        <v>0</v>
      </c>
      <c r="AK288" s="1675">
        <f t="shared" si="86"/>
        <v>0</v>
      </c>
      <c r="AL288" s="1674">
        <f t="shared" si="87"/>
        <v>0</v>
      </c>
      <c r="AM288" s="1674">
        <f t="shared" si="88"/>
        <v>0</v>
      </c>
      <c r="AN288" s="1674">
        <f t="shared" si="89"/>
        <v>0</v>
      </c>
      <c r="AO288" s="1675">
        <f t="shared" si="90"/>
        <v>0</v>
      </c>
      <c r="AP288" s="1676">
        <f t="shared" si="91"/>
        <v>0</v>
      </c>
      <c r="AQ288" s="888"/>
      <c r="AR288" s="231"/>
      <c r="AS288" s="229" t="str">
        <f>VLOOKUP(C289,'[1]NT 2'!$C$2:$J$259,8,0)</f>
        <v>03694</v>
      </c>
      <c r="AT288" s="953">
        <f t="shared" ref="AT288:AT297" si="92">D289-AS288</f>
        <v>0</v>
      </c>
    </row>
    <row r="289" spans="1:50" ht="24.75" customHeight="1">
      <c r="A289" s="1700">
        <v>276</v>
      </c>
      <c r="B289" s="1064">
        <v>50</v>
      </c>
      <c r="C289" s="840" t="s">
        <v>376</v>
      </c>
      <c r="D289" s="31" t="str">
        <f>VLOOKUP(C289,'[1]NT 2'!$C$2:$J$259,8,0)</f>
        <v>03694</v>
      </c>
      <c r="E289" s="1673"/>
      <c r="F289" s="1673"/>
      <c r="G289" s="1673"/>
      <c r="H289" s="1673"/>
      <c r="I289" s="1673"/>
      <c r="J289" s="1673"/>
      <c r="K289" s="1673"/>
      <c r="L289" s="1673"/>
      <c r="M289" s="1673"/>
      <c r="N289" s="1673"/>
      <c r="O289" s="1673"/>
      <c r="P289" s="1673"/>
      <c r="Q289" s="1673"/>
      <c r="R289" s="1673"/>
      <c r="S289" s="1673"/>
      <c r="T289" s="1673"/>
      <c r="U289" s="1673"/>
      <c r="V289" s="1673"/>
      <c r="W289" s="1673"/>
      <c r="X289" s="1673"/>
      <c r="Y289" s="1673"/>
      <c r="Z289" s="1673"/>
      <c r="AA289" s="1673"/>
      <c r="AB289" s="1673"/>
      <c r="AC289" s="1673"/>
      <c r="AD289" s="1673"/>
      <c r="AE289" s="1673"/>
      <c r="AF289" s="1673"/>
      <c r="AG289" s="1464"/>
      <c r="AH289" s="1464"/>
      <c r="AI289" s="1464"/>
      <c r="AJ289" s="1674">
        <f t="shared" si="85"/>
        <v>0</v>
      </c>
      <c r="AK289" s="1675">
        <f t="shared" si="86"/>
        <v>0</v>
      </c>
      <c r="AL289" s="1674">
        <f t="shared" si="87"/>
        <v>0</v>
      </c>
      <c r="AM289" s="1674">
        <f t="shared" si="88"/>
        <v>0</v>
      </c>
      <c r="AN289" s="1674">
        <f t="shared" si="89"/>
        <v>0</v>
      </c>
      <c r="AO289" s="1675">
        <f t="shared" si="90"/>
        <v>0</v>
      </c>
      <c r="AP289" s="1676">
        <f t="shared" si="91"/>
        <v>0</v>
      </c>
      <c r="AQ289" s="888"/>
      <c r="AR289" s="231"/>
      <c r="AS289" s="229" t="str">
        <f>VLOOKUP(C290,'[1]NT 2'!$C$2:$J$259,8,0)</f>
        <v>03695</v>
      </c>
      <c r="AT289" s="953">
        <f t="shared" si="92"/>
        <v>0</v>
      </c>
    </row>
    <row r="290" spans="1:50" ht="24.75" customHeight="1">
      <c r="A290" s="1700">
        <v>277</v>
      </c>
      <c r="B290" s="1064">
        <v>51</v>
      </c>
      <c r="C290" s="840" t="s">
        <v>475</v>
      </c>
      <c r="D290" s="31" t="str">
        <f>VLOOKUP(C290,'[1]NT 2'!$C$2:$J$259,8,0)</f>
        <v>03695</v>
      </c>
      <c r="E290" s="1673"/>
      <c r="F290" s="1673"/>
      <c r="G290" s="1673"/>
      <c r="H290" s="1673"/>
      <c r="I290" s="1673"/>
      <c r="J290" s="1673"/>
      <c r="K290" s="1673"/>
      <c r="L290" s="1673"/>
      <c r="M290" s="1673"/>
      <c r="N290" s="1673"/>
      <c r="O290" s="1673"/>
      <c r="P290" s="1673"/>
      <c r="Q290" s="1673"/>
      <c r="R290" s="1673"/>
      <c r="S290" s="1673"/>
      <c r="T290" s="1673"/>
      <c r="U290" s="1673"/>
      <c r="V290" s="1673"/>
      <c r="W290" s="1673"/>
      <c r="X290" s="1673"/>
      <c r="Y290" s="1673"/>
      <c r="Z290" s="1673"/>
      <c r="AA290" s="1673"/>
      <c r="AB290" s="1673"/>
      <c r="AC290" s="1673"/>
      <c r="AD290" s="1673"/>
      <c r="AE290" s="1673"/>
      <c r="AF290" s="1673"/>
      <c r="AG290" s="1464"/>
      <c r="AH290" s="1464"/>
      <c r="AI290" s="1464"/>
      <c r="AJ290" s="1674">
        <f t="shared" si="85"/>
        <v>0</v>
      </c>
      <c r="AK290" s="1675">
        <f t="shared" si="86"/>
        <v>0</v>
      </c>
      <c r="AL290" s="1674">
        <f t="shared" si="87"/>
        <v>0</v>
      </c>
      <c r="AM290" s="1674">
        <f t="shared" si="88"/>
        <v>0</v>
      </c>
      <c r="AN290" s="1674">
        <f t="shared" si="89"/>
        <v>0</v>
      </c>
      <c r="AO290" s="1675">
        <f t="shared" si="90"/>
        <v>0</v>
      </c>
      <c r="AP290" s="1676">
        <f t="shared" si="91"/>
        <v>0</v>
      </c>
      <c r="AQ290" s="888"/>
      <c r="AR290" s="231"/>
      <c r="AS290" s="229" t="str">
        <f>VLOOKUP(C291,'[1]NT 2'!$C$2:$J$259,8,0)</f>
        <v>03696</v>
      </c>
      <c r="AT290" s="953">
        <f t="shared" si="92"/>
        <v>0</v>
      </c>
    </row>
    <row r="291" spans="1:50" ht="24.75" customHeight="1">
      <c r="A291" s="1700">
        <v>278</v>
      </c>
      <c r="B291" s="1064">
        <v>52</v>
      </c>
      <c r="C291" s="840" t="s">
        <v>695</v>
      </c>
      <c r="D291" s="31" t="str">
        <f>VLOOKUP(C291,'[1]NT 2'!$C$2:$J$259,8,0)</f>
        <v>03696</v>
      </c>
      <c r="E291" s="1673"/>
      <c r="F291" s="1673"/>
      <c r="G291" s="1673"/>
      <c r="H291" s="1673"/>
      <c r="I291" s="1673"/>
      <c r="J291" s="1673"/>
      <c r="K291" s="1673"/>
      <c r="L291" s="1673"/>
      <c r="M291" s="1673"/>
      <c r="N291" s="1673"/>
      <c r="O291" s="1673"/>
      <c r="P291" s="1673"/>
      <c r="Q291" s="1673"/>
      <c r="R291" s="1673"/>
      <c r="S291" s="1673"/>
      <c r="T291" s="1673"/>
      <c r="U291" s="1673"/>
      <c r="V291" s="1673"/>
      <c r="W291" s="1673"/>
      <c r="X291" s="1673"/>
      <c r="Y291" s="1673"/>
      <c r="Z291" s="1673"/>
      <c r="AA291" s="1673"/>
      <c r="AB291" s="1673"/>
      <c r="AC291" s="1673"/>
      <c r="AD291" s="1673"/>
      <c r="AE291" s="1673"/>
      <c r="AF291" s="1673"/>
      <c r="AG291" s="1464"/>
      <c r="AH291" s="1464"/>
      <c r="AI291" s="1464"/>
      <c r="AJ291" s="1674">
        <f t="shared" si="85"/>
        <v>0</v>
      </c>
      <c r="AK291" s="1675">
        <f t="shared" si="86"/>
        <v>0</v>
      </c>
      <c r="AL291" s="1674">
        <f t="shared" si="87"/>
        <v>0</v>
      </c>
      <c r="AM291" s="1674">
        <f t="shared" si="88"/>
        <v>0</v>
      </c>
      <c r="AN291" s="1674">
        <f t="shared" si="89"/>
        <v>0</v>
      </c>
      <c r="AO291" s="1675">
        <f t="shared" si="90"/>
        <v>0</v>
      </c>
      <c r="AP291" s="1676">
        <f t="shared" si="91"/>
        <v>0</v>
      </c>
      <c r="AQ291" s="888"/>
      <c r="AR291" s="231"/>
      <c r="AS291" s="229" t="str">
        <f>VLOOKUP(C292,'[1]NT 2'!$C$2:$J$259,8,0)</f>
        <v>03697</v>
      </c>
      <c r="AT291" s="953">
        <f t="shared" si="92"/>
        <v>0</v>
      </c>
    </row>
    <row r="292" spans="1:50" ht="24.75" customHeight="1">
      <c r="A292" s="1700">
        <v>279</v>
      </c>
      <c r="B292" s="1064">
        <v>53</v>
      </c>
      <c r="C292" s="840" t="s">
        <v>696</v>
      </c>
      <c r="D292" s="31" t="str">
        <f>VLOOKUP(C292,'[1]NT 2'!$C$2:$J$259,8,0)</f>
        <v>03697</v>
      </c>
      <c r="E292" s="1673"/>
      <c r="F292" s="1673"/>
      <c r="G292" s="1673"/>
      <c r="H292" s="1673"/>
      <c r="I292" s="1673"/>
      <c r="J292" s="1673"/>
      <c r="K292" s="1673"/>
      <c r="L292" s="1673"/>
      <c r="M292" s="1673"/>
      <c r="N292" s="1673"/>
      <c r="O292" s="1673"/>
      <c r="P292" s="1673"/>
      <c r="Q292" s="1673"/>
      <c r="R292" s="1673"/>
      <c r="S292" s="1673"/>
      <c r="T292" s="1673"/>
      <c r="U292" s="1673"/>
      <c r="V292" s="1673"/>
      <c r="W292" s="1673"/>
      <c r="X292" s="1673"/>
      <c r="Y292" s="1673"/>
      <c r="Z292" s="1673"/>
      <c r="AA292" s="1673"/>
      <c r="AB292" s="1673"/>
      <c r="AC292" s="1673"/>
      <c r="AD292" s="1673"/>
      <c r="AE292" s="1673"/>
      <c r="AF292" s="1673"/>
      <c r="AG292" s="1464"/>
      <c r="AH292" s="1464"/>
      <c r="AI292" s="1464"/>
      <c r="AJ292" s="1674">
        <f t="shared" si="85"/>
        <v>0</v>
      </c>
      <c r="AK292" s="1675">
        <f t="shared" si="86"/>
        <v>0</v>
      </c>
      <c r="AL292" s="1674">
        <f t="shared" si="87"/>
        <v>0</v>
      </c>
      <c r="AM292" s="1674">
        <f t="shared" si="88"/>
        <v>0</v>
      </c>
      <c r="AN292" s="1674">
        <f t="shared" si="89"/>
        <v>0</v>
      </c>
      <c r="AO292" s="1675">
        <f t="shared" si="90"/>
        <v>0</v>
      </c>
      <c r="AP292" s="1676">
        <f t="shared" si="91"/>
        <v>0</v>
      </c>
      <c r="AQ292" s="888"/>
      <c r="AR292" s="231"/>
      <c r="AT292" s="953">
        <f t="shared" si="92"/>
        <v>0</v>
      </c>
      <c r="AU292" s="229">
        <v>1749</v>
      </c>
      <c r="AV292" s="229">
        <v>1474</v>
      </c>
      <c r="AW292" s="229">
        <v>1297</v>
      </c>
      <c r="AX292" s="229">
        <f>SUM(AT292:AW292)</f>
        <v>4520</v>
      </c>
    </row>
    <row r="293" spans="1:50" ht="24.75" customHeight="1">
      <c r="A293" s="1700">
        <v>280</v>
      </c>
      <c r="B293" s="1064">
        <v>54</v>
      </c>
      <c r="C293" s="840" t="s">
        <v>731</v>
      </c>
      <c r="D293" s="1665"/>
      <c r="E293" s="1673"/>
      <c r="F293" s="1673"/>
      <c r="G293" s="1673"/>
      <c r="H293" s="1673"/>
      <c r="I293" s="1673"/>
      <c r="J293" s="1673"/>
      <c r="K293" s="1673"/>
      <c r="L293" s="1673"/>
      <c r="M293" s="1673"/>
      <c r="N293" s="1673"/>
      <c r="O293" s="1673"/>
      <c r="P293" s="1673"/>
      <c r="Q293" s="1673"/>
      <c r="R293" s="1673"/>
      <c r="S293" s="1673"/>
      <c r="T293" s="1673"/>
      <c r="U293" s="1673"/>
      <c r="V293" s="1673"/>
      <c r="W293" s="1673"/>
      <c r="X293" s="1673"/>
      <c r="Y293" s="1673"/>
      <c r="Z293" s="1673"/>
      <c r="AA293" s="1673"/>
      <c r="AB293" s="1673"/>
      <c r="AC293" s="1673"/>
      <c r="AD293" s="1673"/>
      <c r="AE293" s="1673"/>
      <c r="AF293" s="1673"/>
      <c r="AG293" s="1464"/>
      <c r="AH293" s="1464"/>
      <c r="AI293" s="1464"/>
      <c r="AJ293" s="1674">
        <f t="shared" si="85"/>
        <v>0</v>
      </c>
      <c r="AK293" s="1675">
        <f t="shared" si="86"/>
        <v>0</v>
      </c>
      <c r="AL293" s="1674">
        <f t="shared" si="87"/>
        <v>0</v>
      </c>
      <c r="AM293" s="1674">
        <f t="shared" si="88"/>
        <v>0</v>
      </c>
      <c r="AN293" s="1674">
        <f t="shared" si="89"/>
        <v>0</v>
      </c>
      <c r="AO293" s="1675">
        <f t="shared" si="90"/>
        <v>0</v>
      </c>
      <c r="AP293" s="1676">
        <f t="shared" si="91"/>
        <v>0</v>
      </c>
      <c r="AQ293" s="888"/>
      <c r="AR293" s="231"/>
      <c r="AT293" s="953">
        <f t="shared" si="92"/>
        <v>0</v>
      </c>
      <c r="AU293" s="229">
        <v>231</v>
      </c>
      <c r="AV293" s="229">
        <v>204</v>
      </c>
      <c r="AW293" s="229">
        <v>197</v>
      </c>
      <c r="AX293" s="229">
        <f t="shared" ref="AX293:AX294" si="93">SUM(AT293:AW293)</f>
        <v>632</v>
      </c>
    </row>
    <row r="294" spans="1:50" ht="24.75" customHeight="1">
      <c r="A294" s="1700">
        <v>281</v>
      </c>
      <c r="B294" s="1064">
        <v>55</v>
      </c>
      <c r="C294" s="840" t="s">
        <v>732</v>
      </c>
      <c r="D294" s="1665"/>
      <c r="E294" s="1673"/>
      <c r="F294" s="1673"/>
      <c r="G294" s="1673"/>
      <c r="H294" s="1673"/>
      <c r="I294" s="1673"/>
      <c r="J294" s="1673"/>
      <c r="K294" s="1673"/>
      <c r="L294" s="1673"/>
      <c r="M294" s="1673"/>
      <c r="N294" s="1673"/>
      <c r="O294" s="1673"/>
      <c r="P294" s="1673"/>
      <c r="Q294" s="1673"/>
      <c r="R294" s="1673"/>
      <c r="S294" s="1673"/>
      <c r="T294" s="1673"/>
      <c r="U294" s="1673"/>
      <c r="V294" s="1673"/>
      <c r="W294" s="1673"/>
      <c r="X294" s="1673"/>
      <c r="Y294" s="1673"/>
      <c r="Z294" s="1673"/>
      <c r="AA294" s="1673"/>
      <c r="AB294" s="1673"/>
      <c r="AC294" s="1673"/>
      <c r="AD294" s="1673"/>
      <c r="AE294" s="1673"/>
      <c r="AF294" s="1673"/>
      <c r="AG294" s="1464"/>
      <c r="AH294" s="1464"/>
      <c r="AI294" s="1464"/>
      <c r="AJ294" s="1674">
        <f t="shared" si="85"/>
        <v>0</v>
      </c>
      <c r="AK294" s="1675">
        <f t="shared" si="86"/>
        <v>0</v>
      </c>
      <c r="AL294" s="1674">
        <f t="shared" si="87"/>
        <v>0</v>
      </c>
      <c r="AM294" s="1674">
        <f t="shared" si="88"/>
        <v>0</v>
      </c>
      <c r="AN294" s="1674">
        <f t="shared" si="89"/>
        <v>0</v>
      </c>
      <c r="AO294" s="1675">
        <f t="shared" si="90"/>
        <v>0</v>
      </c>
      <c r="AP294" s="1676">
        <f t="shared" si="91"/>
        <v>0</v>
      </c>
      <c r="AQ294" s="888"/>
      <c r="AR294" s="231"/>
      <c r="AT294" s="953">
        <f t="shared" si="92"/>
        <v>0</v>
      </c>
      <c r="AU294" s="229">
        <v>1980</v>
      </c>
      <c r="AV294" s="229">
        <v>1678</v>
      </c>
      <c r="AW294" s="229">
        <v>1494</v>
      </c>
      <c r="AX294" s="229">
        <f t="shared" si="93"/>
        <v>5152</v>
      </c>
    </row>
    <row r="295" spans="1:50" ht="24.75" customHeight="1">
      <c r="A295" s="1700">
        <v>282</v>
      </c>
      <c r="B295" s="1064">
        <v>56</v>
      </c>
      <c r="C295" s="840" t="s">
        <v>733</v>
      </c>
      <c r="D295" s="1665"/>
      <c r="E295" s="1673"/>
      <c r="F295" s="1673"/>
      <c r="G295" s="1673"/>
      <c r="H295" s="1673"/>
      <c r="I295" s="1673"/>
      <c r="J295" s="1673"/>
      <c r="K295" s="1673"/>
      <c r="L295" s="1673"/>
      <c r="M295" s="1673"/>
      <c r="N295" s="1673"/>
      <c r="O295" s="1673"/>
      <c r="P295" s="1673"/>
      <c r="Q295" s="1673"/>
      <c r="R295" s="1673"/>
      <c r="S295" s="1673"/>
      <c r="T295" s="1673"/>
      <c r="U295" s="1673"/>
      <c r="V295" s="1673"/>
      <c r="W295" s="1673"/>
      <c r="X295" s="1673"/>
      <c r="Y295" s="1673"/>
      <c r="Z295" s="1673"/>
      <c r="AA295" s="1673"/>
      <c r="AB295" s="1673"/>
      <c r="AC295" s="1673"/>
      <c r="AD295" s="1673"/>
      <c r="AE295" s="1673"/>
      <c r="AF295" s="1673"/>
      <c r="AG295" s="1464"/>
      <c r="AH295" s="1464"/>
      <c r="AI295" s="1464"/>
      <c r="AJ295" s="1674">
        <f t="shared" si="85"/>
        <v>0</v>
      </c>
      <c r="AK295" s="1675">
        <f t="shared" si="86"/>
        <v>0</v>
      </c>
      <c r="AL295" s="1674">
        <f t="shared" si="87"/>
        <v>0</v>
      </c>
      <c r="AM295" s="1674">
        <f t="shared" si="88"/>
        <v>0</v>
      </c>
      <c r="AN295" s="1674">
        <f t="shared" si="89"/>
        <v>0</v>
      </c>
      <c r="AO295" s="1675">
        <f t="shared" si="90"/>
        <v>0</v>
      </c>
      <c r="AP295" s="1676">
        <f t="shared" si="91"/>
        <v>0</v>
      </c>
      <c r="AQ295" s="888"/>
      <c r="AR295" s="231"/>
      <c r="AT295" s="953">
        <f t="shared" si="92"/>
        <v>0</v>
      </c>
    </row>
    <row r="296" spans="1:50" ht="24.75" customHeight="1">
      <c r="A296" s="1700">
        <v>283</v>
      </c>
      <c r="B296" s="1064">
        <v>57</v>
      </c>
      <c r="C296" s="840" t="s">
        <v>734</v>
      </c>
      <c r="D296" s="1665"/>
      <c r="E296" s="1673"/>
      <c r="F296" s="1673"/>
      <c r="G296" s="1673"/>
      <c r="H296" s="1673"/>
      <c r="I296" s="1673"/>
      <c r="J296" s="1673"/>
      <c r="K296" s="1673"/>
      <c r="L296" s="1673"/>
      <c r="M296" s="1673"/>
      <c r="N296" s="1673"/>
      <c r="O296" s="1673"/>
      <c r="P296" s="1673"/>
      <c r="Q296" s="1673"/>
      <c r="R296" s="1673"/>
      <c r="S296" s="1673"/>
      <c r="T296" s="1673"/>
      <c r="U296" s="1673"/>
      <c r="V296" s="1673"/>
      <c r="W296" s="1673"/>
      <c r="X296" s="1673"/>
      <c r="Y296" s="1673"/>
      <c r="Z296" s="1673"/>
      <c r="AA296" s="1673"/>
      <c r="AB296" s="1673"/>
      <c r="AC296" s="1673"/>
      <c r="AD296" s="1673"/>
      <c r="AE296" s="1673"/>
      <c r="AF296" s="1673"/>
      <c r="AG296" s="1464"/>
      <c r="AH296" s="1464"/>
      <c r="AI296" s="1464"/>
      <c r="AJ296" s="1674">
        <f t="shared" si="85"/>
        <v>0</v>
      </c>
      <c r="AK296" s="1675">
        <f t="shared" si="86"/>
        <v>0</v>
      </c>
      <c r="AL296" s="1674">
        <f t="shared" si="87"/>
        <v>0</v>
      </c>
      <c r="AM296" s="1674">
        <f t="shared" si="88"/>
        <v>0</v>
      </c>
      <c r="AN296" s="1674">
        <f t="shared" si="89"/>
        <v>0</v>
      </c>
      <c r="AO296" s="1675">
        <f t="shared" si="90"/>
        <v>0</v>
      </c>
      <c r="AP296" s="1676">
        <f t="shared" si="91"/>
        <v>0</v>
      </c>
      <c r="AQ296" s="888"/>
      <c r="AR296" s="231"/>
      <c r="AT296" s="953">
        <f t="shared" si="92"/>
        <v>0</v>
      </c>
    </row>
    <row r="297" spans="1:50" ht="24.75" customHeight="1">
      <c r="A297" s="1700">
        <v>284</v>
      </c>
      <c r="B297" s="1064">
        <v>58</v>
      </c>
      <c r="C297" s="840" t="s">
        <v>834</v>
      </c>
      <c r="D297" s="1665"/>
      <c r="E297" s="1673"/>
      <c r="F297" s="1673"/>
      <c r="G297" s="1673"/>
      <c r="H297" s="1673"/>
      <c r="I297" s="1673"/>
      <c r="J297" s="1673"/>
      <c r="K297" s="1673"/>
      <c r="L297" s="1673"/>
      <c r="M297" s="1673"/>
      <c r="N297" s="1673"/>
      <c r="O297" s="1673"/>
      <c r="P297" s="1673"/>
      <c r="Q297" s="1673"/>
      <c r="R297" s="1673"/>
      <c r="S297" s="1673"/>
      <c r="T297" s="1673"/>
      <c r="U297" s="1673"/>
      <c r="V297" s="1673"/>
      <c r="W297" s="1673"/>
      <c r="X297" s="1673"/>
      <c r="Y297" s="1673"/>
      <c r="Z297" s="1673"/>
      <c r="AA297" s="1673"/>
      <c r="AB297" s="1673"/>
      <c r="AC297" s="1673"/>
      <c r="AD297" s="1673"/>
      <c r="AE297" s="1673"/>
      <c r="AF297" s="1673"/>
      <c r="AG297" s="1464"/>
      <c r="AH297" s="1464"/>
      <c r="AI297" s="1464"/>
      <c r="AJ297" s="1674">
        <f t="shared" si="85"/>
        <v>0</v>
      </c>
      <c r="AK297" s="1675">
        <f t="shared" si="86"/>
        <v>0</v>
      </c>
      <c r="AL297" s="1674">
        <f t="shared" si="87"/>
        <v>0</v>
      </c>
      <c r="AM297" s="1674">
        <f t="shared" si="88"/>
        <v>0</v>
      </c>
      <c r="AN297" s="1674">
        <f t="shared" si="89"/>
        <v>0</v>
      </c>
      <c r="AO297" s="1675">
        <f t="shared" si="90"/>
        <v>0</v>
      </c>
      <c r="AP297" s="1676">
        <f t="shared" si="91"/>
        <v>0</v>
      </c>
      <c r="AQ297" s="888"/>
      <c r="AR297" s="231"/>
      <c r="AT297" s="953">
        <f t="shared" si="92"/>
        <v>0</v>
      </c>
    </row>
    <row r="298" spans="1:50" ht="24.75" customHeight="1">
      <c r="A298" s="1700">
        <v>285</v>
      </c>
      <c r="B298" s="1064">
        <v>59</v>
      </c>
      <c r="C298" s="840" t="s">
        <v>735</v>
      </c>
      <c r="D298" s="1665"/>
      <c r="E298" s="1673"/>
      <c r="F298" s="1673"/>
      <c r="G298" s="1673"/>
      <c r="H298" s="1673"/>
      <c r="I298" s="1673"/>
      <c r="J298" s="1673"/>
      <c r="K298" s="1673"/>
      <c r="L298" s="1673"/>
      <c r="M298" s="1673"/>
      <c r="N298" s="1673"/>
      <c r="O298" s="1673"/>
      <c r="P298" s="1673"/>
      <c r="Q298" s="1673"/>
      <c r="R298" s="1673"/>
      <c r="S298" s="1673"/>
      <c r="T298" s="1673"/>
      <c r="U298" s="1673"/>
      <c r="V298" s="1673"/>
      <c r="W298" s="1673"/>
      <c r="X298" s="1673"/>
      <c r="Y298" s="1673"/>
      <c r="Z298" s="1673"/>
      <c r="AA298" s="1673"/>
      <c r="AB298" s="1673"/>
      <c r="AC298" s="1673"/>
      <c r="AD298" s="1673"/>
      <c r="AE298" s="1673"/>
      <c r="AF298" s="1673"/>
      <c r="AG298" s="1464"/>
      <c r="AH298" s="1464"/>
      <c r="AI298" s="1464"/>
      <c r="AJ298" s="1674">
        <f t="shared" si="85"/>
        <v>0</v>
      </c>
      <c r="AK298" s="1675">
        <f t="shared" si="86"/>
        <v>0</v>
      </c>
      <c r="AL298" s="1674">
        <f t="shared" si="87"/>
        <v>0</v>
      </c>
      <c r="AM298" s="1674">
        <f t="shared" si="88"/>
        <v>0</v>
      </c>
      <c r="AN298" s="1674">
        <f t="shared" si="89"/>
        <v>0</v>
      </c>
      <c r="AO298" s="1675">
        <f t="shared" si="90"/>
        <v>0</v>
      </c>
      <c r="AP298" s="1676">
        <f t="shared" si="91"/>
        <v>0</v>
      </c>
      <c r="AQ298" s="888"/>
      <c r="AR298" s="231"/>
      <c r="AT298" s="953">
        <f>D306-AS298</f>
        <v>0</v>
      </c>
    </row>
    <row r="299" spans="1:50" ht="24.75" customHeight="1">
      <c r="A299" s="1700">
        <v>286</v>
      </c>
      <c r="B299" s="1064">
        <v>60</v>
      </c>
      <c r="C299" s="1272" t="s">
        <v>980</v>
      </c>
      <c r="D299" s="1665"/>
      <c r="E299" s="1673"/>
      <c r="F299" s="1673"/>
      <c r="G299" s="1673"/>
      <c r="H299" s="1673"/>
      <c r="I299" s="1673"/>
      <c r="J299" s="1673"/>
      <c r="K299" s="1673"/>
      <c r="L299" s="1673"/>
      <c r="M299" s="1673"/>
      <c r="N299" s="1673"/>
      <c r="O299" s="1673"/>
      <c r="P299" s="1673"/>
      <c r="Q299" s="1673"/>
      <c r="R299" s="1673"/>
      <c r="S299" s="1673"/>
      <c r="T299" s="1673"/>
      <c r="U299" s="1673"/>
      <c r="V299" s="1673"/>
      <c r="W299" s="1673"/>
      <c r="X299" s="1673"/>
      <c r="Y299" s="1673"/>
      <c r="Z299" s="1673"/>
      <c r="AA299" s="1673"/>
      <c r="AB299" s="1673"/>
      <c r="AC299" s="1673"/>
      <c r="AD299" s="1673"/>
      <c r="AE299" s="1673"/>
      <c r="AF299" s="1673"/>
      <c r="AG299" s="1677"/>
      <c r="AH299" s="1677"/>
      <c r="AI299" s="1677"/>
      <c r="AJ299" s="1674">
        <f t="shared" ref="AJ299:AJ305" si="94">SUM(COUNTIF(E299:AI299,"x"))</f>
        <v>0</v>
      </c>
      <c r="AK299" s="1675">
        <f t="shared" ref="AK299:AK305" si="95">SUM(COUNTIF(E299:AI299,"cn"))</f>
        <v>0</v>
      </c>
      <c r="AL299" s="1674">
        <f t="shared" ref="AL299:AL305" si="96">SUM(COUNTIF(E299:AI299,"đ"))</f>
        <v>0</v>
      </c>
      <c r="AM299" s="1674">
        <f t="shared" ref="AM299:AM305" si="97">SUM(COUNTIF(E299:AI299,"đc"))</f>
        <v>0</v>
      </c>
      <c r="AN299" s="1674">
        <f t="shared" ref="AN299:AN305" si="98">SUM(COUNTIF(E299:AI299,"gt"))</f>
        <v>0</v>
      </c>
      <c r="AO299" s="1675">
        <f t="shared" ref="AO299:AO305" si="99">SUM(COUNTIF(E299:AI299,"ct"))</f>
        <v>0</v>
      </c>
      <c r="AP299" s="1676">
        <f t="shared" ref="AP299:AP305" si="100">AJ299+AK299+AL299+AM299+AN299+AO299</f>
        <v>0</v>
      </c>
      <c r="AQ299" s="888"/>
      <c r="AR299" s="231"/>
    </row>
    <row r="300" spans="1:50" ht="24.75" customHeight="1">
      <c r="A300" s="1700">
        <v>287</v>
      </c>
      <c r="B300" s="1064">
        <v>61</v>
      </c>
      <c r="C300" s="1272" t="s">
        <v>981</v>
      </c>
      <c r="D300" s="1665"/>
      <c r="E300" s="1673"/>
      <c r="F300" s="1673"/>
      <c r="G300" s="1673"/>
      <c r="H300" s="1673"/>
      <c r="I300" s="1673"/>
      <c r="J300" s="1673"/>
      <c r="K300" s="1673"/>
      <c r="L300" s="1673"/>
      <c r="M300" s="1673"/>
      <c r="N300" s="1673"/>
      <c r="O300" s="1673"/>
      <c r="P300" s="1673"/>
      <c r="Q300" s="1673"/>
      <c r="R300" s="1673"/>
      <c r="S300" s="1673"/>
      <c r="T300" s="1673"/>
      <c r="U300" s="1673"/>
      <c r="V300" s="1673"/>
      <c r="W300" s="1673"/>
      <c r="X300" s="1673"/>
      <c r="Y300" s="1673"/>
      <c r="Z300" s="1673"/>
      <c r="AA300" s="1673"/>
      <c r="AB300" s="1673"/>
      <c r="AC300" s="1673"/>
      <c r="AD300" s="1673"/>
      <c r="AE300" s="1673"/>
      <c r="AF300" s="1673"/>
      <c r="AG300" s="1677"/>
      <c r="AH300" s="1677"/>
      <c r="AI300" s="1677"/>
      <c r="AJ300" s="1674">
        <f t="shared" si="94"/>
        <v>0</v>
      </c>
      <c r="AK300" s="1675">
        <f t="shared" si="95"/>
        <v>0</v>
      </c>
      <c r="AL300" s="1674">
        <f t="shared" si="96"/>
        <v>0</v>
      </c>
      <c r="AM300" s="1674">
        <f t="shared" si="97"/>
        <v>0</v>
      </c>
      <c r="AN300" s="1674">
        <f t="shared" si="98"/>
        <v>0</v>
      </c>
      <c r="AO300" s="1675">
        <f t="shared" si="99"/>
        <v>0</v>
      </c>
      <c r="AP300" s="1676">
        <f t="shared" si="100"/>
        <v>0</v>
      </c>
      <c r="AQ300" s="888"/>
      <c r="AR300" s="231"/>
    </row>
    <row r="301" spans="1:50" ht="24.75" customHeight="1">
      <c r="A301" s="1700">
        <v>288</v>
      </c>
      <c r="B301" s="1064">
        <v>62</v>
      </c>
      <c r="C301" s="1272" t="s">
        <v>982</v>
      </c>
      <c r="D301" s="1665"/>
      <c r="E301" s="1673"/>
      <c r="F301" s="1673"/>
      <c r="G301" s="1673"/>
      <c r="H301" s="1673"/>
      <c r="I301" s="1673"/>
      <c r="J301" s="1673"/>
      <c r="K301" s="1673"/>
      <c r="L301" s="1673"/>
      <c r="M301" s="1673"/>
      <c r="N301" s="1673"/>
      <c r="O301" s="1673"/>
      <c r="P301" s="1673"/>
      <c r="Q301" s="1673"/>
      <c r="R301" s="1673"/>
      <c r="S301" s="1673"/>
      <c r="T301" s="1673"/>
      <c r="U301" s="1673"/>
      <c r="V301" s="1673"/>
      <c r="W301" s="1673"/>
      <c r="X301" s="1673"/>
      <c r="Y301" s="1673"/>
      <c r="Z301" s="1673"/>
      <c r="AA301" s="1673"/>
      <c r="AB301" s="1673"/>
      <c r="AC301" s="1673"/>
      <c r="AD301" s="1673"/>
      <c r="AE301" s="1673"/>
      <c r="AF301" s="1673"/>
      <c r="AG301" s="1677"/>
      <c r="AH301" s="1677"/>
      <c r="AI301" s="1677"/>
      <c r="AJ301" s="1674">
        <f t="shared" si="94"/>
        <v>0</v>
      </c>
      <c r="AK301" s="1675">
        <f t="shared" si="95"/>
        <v>0</v>
      </c>
      <c r="AL301" s="1674">
        <f t="shared" si="96"/>
        <v>0</v>
      </c>
      <c r="AM301" s="1674">
        <f t="shared" si="97"/>
        <v>0</v>
      </c>
      <c r="AN301" s="1674">
        <f t="shared" si="98"/>
        <v>0</v>
      </c>
      <c r="AO301" s="1675">
        <f t="shared" si="99"/>
        <v>0</v>
      </c>
      <c r="AP301" s="1676">
        <f t="shared" si="100"/>
        <v>0</v>
      </c>
      <c r="AQ301" s="888"/>
      <c r="AR301" s="231"/>
    </row>
    <row r="302" spans="1:50" ht="24.75" customHeight="1">
      <c r="A302" s="1700">
        <v>289</v>
      </c>
      <c r="B302" s="1064">
        <v>63</v>
      </c>
      <c r="C302" s="1272" t="s">
        <v>983</v>
      </c>
      <c r="D302" s="1665"/>
      <c r="E302" s="1673"/>
      <c r="F302" s="1673"/>
      <c r="G302" s="1673"/>
      <c r="H302" s="1673"/>
      <c r="I302" s="1673"/>
      <c r="J302" s="1673"/>
      <c r="K302" s="1673"/>
      <c r="L302" s="1673"/>
      <c r="M302" s="1673"/>
      <c r="N302" s="1673"/>
      <c r="O302" s="1673"/>
      <c r="P302" s="1673"/>
      <c r="Q302" s="1673"/>
      <c r="R302" s="1673"/>
      <c r="S302" s="1673"/>
      <c r="T302" s="1673"/>
      <c r="U302" s="1673"/>
      <c r="V302" s="1673"/>
      <c r="W302" s="1673"/>
      <c r="X302" s="1673"/>
      <c r="Y302" s="1673"/>
      <c r="Z302" s="1673"/>
      <c r="AA302" s="1673"/>
      <c r="AB302" s="1673"/>
      <c r="AC302" s="1673"/>
      <c r="AD302" s="1673"/>
      <c r="AE302" s="1673"/>
      <c r="AF302" s="1673"/>
      <c r="AG302" s="1677"/>
      <c r="AH302" s="1677"/>
      <c r="AI302" s="1677"/>
      <c r="AJ302" s="1674">
        <f t="shared" si="94"/>
        <v>0</v>
      </c>
      <c r="AK302" s="1675">
        <f t="shared" si="95"/>
        <v>0</v>
      </c>
      <c r="AL302" s="1674">
        <f t="shared" si="96"/>
        <v>0</v>
      </c>
      <c r="AM302" s="1674">
        <f t="shared" si="97"/>
        <v>0</v>
      </c>
      <c r="AN302" s="1674">
        <f t="shared" si="98"/>
        <v>0</v>
      </c>
      <c r="AO302" s="1675">
        <f t="shared" si="99"/>
        <v>0</v>
      </c>
      <c r="AP302" s="1676">
        <f t="shared" si="100"/>
        <v>0</v>
      </c>
      <c r="AQ302" s="888"/>
      <c r="AR302" s="231"/>
    </row>
    <row r="303" spans="1:50" ht="24.75" customHeight="1">
      <c r="A303" s="1700">
        <v>290</v>
      </c>
      <c r="B303" s="1064">
        <v>64</v>
      </c>
      <c r="C303" s="1272" t="s">
        <v>984</v>
      </c>
      <c r="D303" s="1665"/>
      <c r="E303" s="1673"/>
      <c r="F303" s="1673"/>
      <c r="G303" s="1673"/>
      <c r="H303" s="1673"/>
      <c r="I303" s="1673"/>
      <c r="J303" s="1673"/>
      <c r="K303" s="1673"/>
      <c r="L303" s="1673"/>
      <c r="M303" s="1673"/>
      <c r="N303" s="1673"/>
      <c r="O303" s="1673"/>
      <c r="P303" s="1673"/>
      <c r="Q303" s="1673"/>
      <c r="R303" s="1673"/>
      <c r="S303" s="1673"/>
      <c r="T303" s="1673"/>
      <c r="U303" s="1673"/>
      <c r="V303" s="1673"/>
      <c r="W303" s="1673"/>
      <c r="X303" s="1673"/>
      <c r="Y303" s="1673"/>
      <c r="Z303" s="1673"/>
      <c r="AA303" s="1673"/>
      <c r="AB303" s="1673"/>
      <c r="AC303" s="1673"/>
      <c r="AD303" s="1673"/>
      <c r="AE303" s="1673"/>
      <c r="AF303" s="1673"/>
      <c r="AG303" s="1677"/>
      <c r="AH303" s="1677"/>
      <c r="AI303" s="1677"/>
      <c r="AJ303" s="1674">
        <f t="shared" si="94"/>
        <v>0</v>
      </c>
      <c r="AK303" s="1675">
        <f t="shared" si="95"/>
        <v>0</v>
      </c>
      <c r="AL303" s="1674">
        <f t="shared" si="96"/>
        <v>0</v>
      </c>
      <c r="AM303" s="1674">
        <f t="shared" si="97"/>
        <v>0</v>
      </c>
      <c r="AN303" s="1674">
        <f t="shared" si="98"/>
        <v>0</v>
      </c>
      <c r="AO303" s="1675">
        <f t="shared" si="99"/>
        <v>0</v>
      </c>
      <c r="AP303" s="1676">
        <f t="shared" si="100"/>
        <v>0</v>
      </c>
      <c r="AQ303" s="888"/>
      <c r="AR303" s="231"/>
    </row>
    <row r="304" spans="1:50" ht="24.75" customHeight="1">
      <c r="A304" s="1700">
        <v>291</v>
      </c>
      <c r="B304" s="1064">
        <v>65</v>
      </c>
      <c r="C304" s="1272" t="s">
        <v>985</v>
      </c>
      <c r="D304" s="1665"/>
      <c r="E304" s="1678"/>
      <c r="F304" s="1677"/>
      <c r="G304" s="1677"/>
      <c r="H304" s="1677"/>
      <c r="I304" s="1677"/>
      <c r="J304" s="1677"/>
      <c r="K304" s="1677"/>
      <c r="L304" s="1677"/>
      <c r="M304" s="1677"/>
      <c r="N304" s="1677"/>
      <c r="O304" s="1677"/>
      <c r="P304" s="1677"/>
      <c r="Q304" s="1677"/>
      <c r="R304" s="1677"/>
      <c r="S304" s="1677"/>
      <c r="T304" s="1677"/>
      <c r="U304" s="1677"/>
      <c r="V304" s="1677"/>
      <c r="W304" s="1677"/>
      <c r="X304" s="1677"/>
      <c r="Y304" s="1677"/>
      <c r="Z304" s="1677"/>
      <c r="AA304" s="1677"/>
      <c r="AB304" s="1677"/>
      <c r="AC304" s="1677"/>
      <c r="AD304" s="1677"/>
      <c r="AE304" s="1677"/>
      <c r="AF304" s="1677"/>
      <c r="AG304" s="1677"/>
      <c r="AH304" s="1677"/>
      <c r="AI304" s="1677"/>
      <c r="AJ304" s="1674">
        <f t="shared" si="94"/>
        <v>0</v>
      </c>
      <c r="AK304" s="1675">
        <f t="shared" si="95"/>
        <v>0</v>
      </c>
      <c r="AL304" s="1674">
        <f t="shared" si="96"/>
        <v>0</v>
      </c>
      <c r="AM304" s="1674">
        <f t="shared" si="97"/>
        <v>0</v>
      </c>
      <c r="AN304" s="1674">
        <f t="shared" si="98"/>
        <v>0</v>
      </c>
      <c r="AO304" s="1675">
        <f t="shared" si="99"/>
        <v>0</v>
      </c>
      <c r="AP304" s="1676">
        <f t="shared" si="100"/>
        <v>0</v>
      </c>
      <c r="AQ304" s="888"/>
      <c r="AR304" s="231"/>
    </row>
    <row r="305" spans="1:50" ht="24.75" customHeight="1">
      <c r="A305" s="1700">
        <v>292</v>
      </c>
      <c r="B305" s="1064">
        <v>66</v>
      </c>
      <c r="C305" s="1272" t="s">
        <v>986</v>
      </c>
      <c r="D305" s="1665"/>
      <c r="E305" s="1678"/>
      <c r="F305" s="1677"/>
      <c r="G305" s="1677"/>
      <c r="H305" s="1677"/>
      <c r="I305" s="1677"/>
      <c r="J305" s="1677"/>
      <c r="K305" s="1677"/>
      <c r="L305" s="1677"/>
      <c r="M305" s="1677"/>
      <c r="N305" s="1677"/>
      <c r="O305" s="1677"/>
      <c r="P305" s="1677"/>
      <c r="Q305" s="1677"/>
      <c r="R305" s="1677"/>
      <c r="S305" s="1677"/>
      <c r="T305" s="1677"/>
      <c r="U305" s="1677"/>
      <c r="V305" s="1677"/>
      <c r="W305" s="1677"/>
      <c r="X305" s="1677"/>
      <c r="Y305" s="1677"/>
      <c r="Z305" s="1677"/>
      <c r="AA305" s="1677"/>
      <c r="AB305" s="1677"/>
      <c r="AC305" s="1677"/>
      <c r="AD305" s="1677"/>
      <c r="AE305" s="1677"/>
      <c r="AF305" s="1677"/>
      <c r="AG305" s="1677"/>
      <c r="AH305" s="1677"/>
      <c r="AI305" s="1677"/>
      <c r="AJ305" s="1674">
        <f t="shared" si="94"/>
        <v>0</v>
      </c>
      <c r="AK305" s="1675">
        <f t="shared" si="95"/>
        <v>0</v>
      </c>
      <c r="AL305" s="1674">
        <f t="shared" si="96"/>
        <v>0</v>
      </c>
      <c r="AM305" s="1674">
        <f t="shared" si="97"/>
        <v>0</v>
      </c>
      <c r="AN305" s="1674">
        <f t="shared" si="98"/>
        <v>0</v>
      </c>
      <c r="AO305" s="1675">
        <f t="shared" si="99"/>
        <v>0</v>
      </c>
      <c r="AP305" s="1676">
        <f t="shared" si="100"/>
        <v>0</v>
      </c>
      <c r="AQ305" s="888"/>
      <c r="AR305" s="231"/>
    </row>
    <row r="306" spans="1:50" ht="24.75" customHeight="1">
      <c r="A306" s="1894" t="s">
        <v>95</v>
      </c>
      <c r="B306" s="1894"/>
      <c r="C306" s="1894"/>
      <c r="D306" s="1894"/>
      <c r="E306" s="1266">
        <f t="shared" ref="E306:AI306" si="101">E239+E176+E91+E10</f>
        <v>0</v>
      </c>
      <c r="F306" s="1266">
        <f t="shared" si="101"/>
        <v>0</v>
      </c>
      <c r="G306" s="1266">
        <f t="shared" si="101"/>
        <v>0</v>
      </c>
      <c r="H306" s="1266">
        <f t="shared" si="101"/>
        <v>0</v>
      </c>
      <c r="I306" s="1266">
        <f t="shared" si="101"/>
        <v>0</v>
      </c>
      <c r="J306" s="1266">
        <f t="shared" si="101"/>
        <v>0</v>
      </c>
      <c r="K306" s="1266">
        <f t="shared" si="101"/>
        <v>0</v>
      </c>
      <c r="L306" s="1266">
        <f t="shared" si="101"/>
        <v>0</v>
      </c>
      <c r="M306" s="1266">
        <f t="shared" si="101"/>
        <v>0</v>
      </c>
      <c r="N306" s="1266">
        <f t="shared" si="101"/>
        <v>0</v>
      </c>
      <c r="O306" s="1266">
        <f t="shared" si="101"/>
        <v>0</v>
      </c>
      <c r="P306" s="1266">
        <f t="shared" si="101"/>
        <v>0</v>
      </c>
      <c r="Q306" s="1266">
        <f t="shared" si="101"/>
        <v>0</v>
      </c>
      <c r="R306" s="1266">
        <f t="shared" si="101"/>
        <v>0</v>
      </c>
      <c r="S306" s="1266">
        <f t="shared" si="101"/>
        <v>0</v>
      </c>
      <c r="T306" s="1266">
        <f t="shared" si="101"/>
        <v>0</v>
      </c>
      <c r="U306" s="1266">
        <f t="shared" si="101"/>
        <v>0</v>
      </c>
      <c r="V306" s="1266">
        <f t="shared" si="101"/>
        <v>0</v>
      </c>
      <c r="W306" s="1266">
        <f t="shared" si="101"/>
        <v>0</v>
      </c>
      <c r="X306" s="1266">
        <f t="shared" si="101"/>
        <v>0</v>
      </c>
      <c r="Y306" s="1266">
        <f t="shared" si="101"/>
        <v>0</v>
      </c>
      <c r="Z306" s="1266">
        <f t="shared" si="101"/>
        <v>0</v>
      </c>
      <c r="AA306" s="1266">
        <f t="shared" si="101"/>
        <v>0</v>
      </c>
      <c r="AB306" s="1266">
        <f t="shared" si="101"/>
        <v>0</v>
      </c>
      <c r="AC306" s="1266">
        <f t="shared" si="101"/>
        <v>0</v>
      </c>
      <c r="AD306" s="1266">
        <f t="shared" si="101"/>
        <v>0</v>
      </c>
      <c r="AE306" s="1266">
        <f t="shared" si="101"/>
        <v>0</v>
      </c>
      <c r="AF306" s="1266">
        <f t="shared" si="101"/>
        <v>0</v>
      </c>
      <c r="AG306" s="1266">
        <f t="shared" si="101"/>
        <v>0</v>
      </c>
      <c r="AH306" s="1266">
        <f t="shared" si="101"/>
        <v>0</v>
      </c>
      <c r="AI306" s="1267">
        <f t="shared" si="101"/>
        <v>0</v>
      </c>
      <c r="AJ306" s="350">
        <f t="shared" ref="AJ306:AP306" si="102">SUM(AJ10+AJ91+AJ176+AJ239)</f>
        <v>0</v>
      </c>
      <c r="AK306" s="350">
        <f t="shared" si="102"/>
        <v>0</v>
      </c>
      <c r="AL306" s="350">
        <f t="shared" si="102"/>
        <v>0</v>
      </c>
      <c r="AM306" s="350">
        <f t="shared" si="102"/>
        <v>0</v>
      </c>
      <c r="AN306" s="350">
        <f t="shared" si="102"/>
        <v>0</v>
      </c>
      <c r="AO306" s="350">
        <f t="shared" si="102"/>
        <v>0</v>
      </c>
      <c r="AP306" s="350">
        <f t="shared" si="102"/>
        <v>0</v>
      </c>
      <c r="AQ306" s="940"/>
    </row>
    <row r="307" spans="1:50" ht="16.5">
      <c r="B307" s="233"/>
      <c r="C307" s="1521"/>
      <c r="D307" s="32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1890" t="s">
        <v>1119</v>
      </c>
      <c r="Y307" s="1890"/>
      <c r="Z307" s="1890"/>
      <c r="AA307" s="1890"/>
      <c r="AB307" s="1890"/>
      <c r="AC307" s="1890"/>
      <c r="AD307" s="1890"/>
      <c r="AE307" s="1890"/>
      <c r="AF307" s="1890"/>
      <c r="AG307" s="1890"/>
      <c r="AH307" s="1890"/>
      <c r="AI307" s="1890"/>
      <c r="AJ307" s="1890"/>
      <c r="AK307" s="1890"/>
      <c r="AL307" s="1890"/>
      <c r="AM307" s="1890"/>
      <c r="AN307" s="1890"/>
      <c r="AO307" s="1890"/>
      <c r="AP307" s="1890"/>
      <c r="AX307" s="229">
        <f t="shared" ref="AX307" si="103">SUM(AT307:AW307)</f>
        <v>0</v>
      </c>
    </row>
    <row r="308" spans="1:50" ht="16.5">
      <c r="B308" s="1888" t="s">
        <v>47</v>
      </c>
      <c r="C308" s="1888"/>
      <c r="D308" s="1888"/>
      <c r="E308" s="1888"/>
      <c r="F308" s="1888"/>
      <c r="G308" s="360"/>
      <c r="H308" s="346"/>
      <c r="I308" s="346" t="s">
        <v>788</v>
      </c>
      <c r="J308" s="347"/>
      <c r="K308" s="347"/>
      <c r="L308" s="360"/>
      <c r="N308" s="361"/>
      <c r="O308" s="361"/>
      <c r="P308" s="361"/>
      <c r="Q308" s="361" t="s">
        <v>197</v>
      </c>
      <c r="R308" s="361"/>
      <c r="S308" s="361"/>
      <c r="T308" s="347"/>
      <c r="V308" s="346"/>
      <c r="W308" s="346"/>
      <c r="Y308" s="346" t="s">
        <v>789</v>
      </c>
      <c r="Z308" s="346"/>
      <c r="AA308" s="346"/>
      <c r="AB308" s="346"/>
      <c r="AC308" s="347"/>
      <c r="AE308" s="361"/>
      <c r="AF308" s="1896" t="s">
        <v>841</v>
      </c>
      <c r="AG308" s="1896"/>
      <c r="AH308" s="1896"/>
      <c r="AI308" s="1896"/>
      <c r="AJ308" s="1896"/>
      <c r="AK308" s="1896"/>
      <c r="AL308" s="1896"/>
      <c r="AM308" s="1896"/>
      <c r="AN308" s="1896"/>
      <c r="AO308" s="1896"/>
      <c r="AP308" s="1896"/>
      <c r="AQ308" s="1896"/>
    </row>
    <row r="309" spans="1:50" ht="16.5">
      <c r="B309" s="230"/>
      <c r="C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8"/>
    </row>
    <row r="310" spans="1:50" ht="16.5">
      <c r="C310" s="235"/>
      <c r="E310" s="235"/>
      <c r="F310" s="235"/>
      <c r="G310" s="235"/>
      <c r="H310" s="235"/>
      <c r="I310" s="239"/>
      <c r="J310" s="239"/>
      <c r="K310" s="239"/>
      <c r="L310" s="235"/>
      <c r="M310" s="239"/>
      <c r="N310" s="239"/>
      <c r="O310" s="239"/>
      <c r="P310" s="235"/>
      <c r="Q310" s="239"/>
      <c r="R310" s="235"/>
      <c r="S310" s="235"/>
      <c r="T310" s="238"/>
      <c r="U310" s="235"/>
      <c r="V310" s="235"/>
      <c r="W310" s="235"/>
      <c r="X310" s="235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8"/>
      <c r="AK310" s="238"/>
      <c r="AL310" s="238"/>
      <c r="AM310" s="238"/>
      <c r="AN310" s="238"/>
      <c r="AO310" s="238"/>
      <c r="AP310" s="235"/>
    </row>
    <row r="311" spans="1:50" ht="15.75" customHeight="1">
      <c r="C311" s="235"/>
      <c r="E311" s="235"/>
      <c r="F311" s="235"/>
      <c r="G311" s="235"/>
      <c r="H311" s="235"/>
      <c r="I311" s="239"/>
      <c r="J311" s="239"/>
      <c r="K311" s="235"/>
      <c r="L311" s="235"/>
      <c r="M311" s="239"/>
      <c r="N311" s="239"/>
      <c r="O311" s="235"/>
      <c r="P311" s="235"/>
      <c r="Q311" s="239"/>
      <c r="R311" s="235"/>
      <c r="S311" s="235"/>
      <c r="T311" s="238"/>
      <c r="U311" s="235"/>
      <c r="V311" s="235"/>
      <c r="W311" s="235"/>
      <c r="X311" s="235"/>
      <c r="Y311" s="235"/>
      <c r="Z311" s="235"/>
      <c r="AA311" s="235"/>
      <c r="AB311" s="235"/>
      <c r="AC311" s="235"/>
      <c r="AD311" s="235"/>
      <c r="AE311" s="235"/>
      <c r="AF311" s="235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S311" s="231">
        <f>AL306-1227</f>
        <v>-1227</v>
      </c>
    </row>
    <row r="312" spans="1:50" ht="16.5">
      <c r="C312" s="235"/>
      <c r="E312" s="235"/>
      <c r="F312" s="235"/>
      <c r="G312" s="235"/>
      <c r="H312" s="235"/>
      <c r="I312" s="239"/>
      <c r="J312" s="239"/>
      <c r="K312" s="239"/>
      <c r="L312" s="235"/>
      <c r="M312" s="235"/>
      <c r="N312" s="235"/>
      <c r="O312" s="235"/>
      <c r="P312" s="235"/>
      <c r="Q312" s="239"/>
      <c r="R312" s="235"/>
      <c r="S312" s="235"/>
      <c r="T312" s="238"/>
      <c r="U312" s="235"/>
      <c r="V312" s="235"/>
      <c r="W312" s="235"/>
      <c r="X312" s="235"/>
      <c r="Y312" s="235"/>
      <c r="Z312" s="235"/>
      <c r="AA312" s="235"/>
      <c r="AB312" s="235"/>
      <c r="AC312" s="235"/>
      <c r="AD312" s="235"/>
      <c r="AE312" s="235"/>
      <c r="AF312" s="235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</row>
    <row r="313" spans="1:50" ht="16.5">
      <c r="C313" s="235"/>
      <c r="D313" s="1892"/>
      <c r="E313" s="1892"/>
      <c r="F313" s="1892"/>
      <c r="G313" s="1892"/>
      <c r="H313" s="1892"/>
      <c r="I313" s="239"/>
      <c r="J313" s="239"/>
      <c r="K313" s="239"/>
      <c r="L313" s="235"/>
      <c r="M313" s="1892"/>
      <c r="N313" s="1892"/>
      <c r="O313" s="1892"/>
      <c r="P313" s="1892"/>
      <c r="Q313" s="1892"/>
      <c r="R313" s="1892"/>
      <c r="S313" s="1892"/>
      <c r="T313" s="238"/>
      <c r="U313" s="1892"/>
      <c r="V313" s="1892"/>
      <c r="W313" s="1892"/>
      <c r="X313" s="1892"/>
      <c r="Y313" s="1892"/>
      <c r="Z313" s="1892"/>
      <c r="AA313" s="1892"/>
      <c r="AB313" s="1892"/>
      <c r="AC313" s="235"/>
      <c r="AE313" s="237"/>
      <c r="AP313" s="235"/>
    </row>
    <row r="314" spans="1:50">
      <c r="I314" s="234"/>
      <c r="J314" s="234"/>
      <c r="K314" s="234"/>
      <c r="L314" s="230"/>
      <c r="M314" s="230"/>
      <c r="N314" s="230"/>
      <c r="O314" s="230"/>
      <c r="P314" s="230"/>
      <c r="T314" s="232"/>
      <c r="AQ314" s="229"/>
    </row>
    <row r="315" spans="1:50" ht="16.5">
      <c r="AF315" s="1892" t="s">
        <v>76</v>
      </c>
      <c r="AG315" s="1892"/>
      <c r="AH315" s="1892"/>
      <c r="AI315" s="1892"/>
      <c r="AJ315" s="1892"/>
      <c r="AK315" s="1892"/>
      <c r="AL315" s="1892"/>
      <c r="AM315" s="1892"/>
      <c r="AN315" s="1892"/>
      <c r="AO315" s="1892"/>
      <c r="AP315" s="1892"/>
      <c r="AQ315" s="1892"/>
    </row>
    <row r="318" spans="1:50" ht="16.5">
      <c r="B318" s="1895"/>
      <c r="C318" s="1895"/>
    </row>
    <row r="319" spans="1:50" ht="16.5">
      <c r="B319" s="1141"/>
      <c r="C319" s="1893" t="s">
        <v>914</v>
      </c>
      <c r="D319" s="1893"/>
      <c r="E319" s="1142"/>
      <c r="F319" s="1142"/>
      <c r="G319" s="1142"/>
      <c r="H319" s="1142"/>
      <c r="I319" s="363"/>
      <c r="J319" s="235"/>
      <c r="K319" s="1889"/>
      <c r="L319" s="1889"/>
      <c r="M319" s="1889"/>
      <c r="N319" s="1889"/>
      <c r="O319" s="1889"/>
      <c r="P319" s="1889"/>
    </row>
    <row r="320" spans="1:50" ht="16.5">
      <c r="B320" s="889"/>
      <c r="C320" s="1273" t="s">
        <v>915</v>
      </c>
      <c r="D320" s="1142"/>
      <c r="E320" s="1142"/>
      <c r="F320" s="1142"/>
      <c r="G320" s="1142"/>
      <c r="H320" s="1142"/>
      <c r="I320" s="363"/>
      <c r="J320" s="235"/>
      <c r="K320" s="1889"/>
      <c r="L320" s="1889"/>
      <c r="M320" s="1889"/>
      <c r="N320" s="1889"/>
      <c r="O320" s="1889"/>
      <c r="P320" s="1889"/>
    </row>
    <row r="321" spans="2:43" ht="16.5">
      <c r="B321" s="889"/>
      <c r="C321" s="1273" t="s">
        <v>916</v>
      </c>
      <c r="D321" s="1142"/>
      <c r="E321" s="1142"/>
      <c r="F321" s="1142"/>
      <c r="G321" s="1142"/>
      <c r="H321" s="1142"/>
      <c r="I321" s="363"/>
      <c r="J321" s="235"/>
      <c r="K321" s="1518"/>
      <c r="L321" s="1518"/>
      <c r="M321" s="1518"/>
      <c r="N321" s="1518"/>
      <c r="O321" s="1518"/>
      <c r="P321" s="1518"/>
    </row>
    <row r="322" spans="2:43" ht="16.5">
      <c r="B322" s="1520"/>
      <c r="C322" s="1273" t="s">
        <v>920</v>
      </c>
      <c r="D322" s="1142"/>
      <c r="E322" s="1142"/>
      <c r="F322" s="1142"/>
      <c r="G322" s="1142"/>
      <c r="H322" s="1142"/>
      <c r="I322" s="363"/>
      <c r="J322" s="235"/>
      <c r="K322" s="1889"/>
      <c r="L322" s="1889"/>
      <c r="M322" s="1889"/>
      <c r="N322" s="1889"/>
      <c r="O322" s="1889"/>
      <c r="P322" s="1889"/>
    </row>
    <row r="323" spans="2:43" ht="16.5">
      <c r="B323" s="1520"/>
      <c r="C323" s="1273" t="s">
        <v>921</v>
      </c>
      <c r="D323" s="1142"/>
      <c r="E323" s="1142"/>
      <c r="F323" s="1142"/>
      <c r="G323" s="1142"/>
      <c r="H323" s="1142"/>
      <c r="I323" s="363"/>
      <c r="J323" s="235"/>
      <c r="K323" s="1518"/>
      <c r="L323" s="1518"/>
      <c r="M323" s="1518"/>
      <c r="N323" s="1518"/>
      <c r="O323" s="1518"/>
      <c r="P323" s="1518"/>
    </row>
    <row r="324" spans="2:43" ht="16.5">
      <c r="B324" s="1520"/>
      <c r="C324" s="1273" t="s">
        <v>922</v>
      </c>
      <c r="D324" s="1142"/>
      <c r="E324" s="1142"/>
      <c r="F324" s="1142"/>
      <c r="G324" s="1142"/>
      <c r="H324" s="1142"/>
      <c r="I324" s="363"/>
      <c r="J324" s="235"/>
      <c r="K324" s="1889"/>
      <c r="L324" s="1889"/>
      <c r="M324" s="1889"/>
      <c r="N324" s="1889"/>
      <c r="O324" s="1889"/>
      <c r="P324" s="1889"/>
    </row>
    <row r="325" spans="2:43" ht="16.5">
      <c r="B325" s="1141"/>
      <c r="C325" s="1273" t="s">
        <v>923</v>
      </c>
      <c r="D325" s="1142"/>
      <c r="E325" s="1142"/>
      <c r="F325" s="1142"/>
      <c r="G325" s="1142"/>
      <c r="H325" s="1142"/>
      <c r="AQ325" s="229"/>
    </row>
    <row r="326" spans="2:43" ht="16.5">
      <c r="B326" s="889"/>
      <c r="C326" s="1895"/>
      <c r="D326" s="1895"/>
      <c r="E326" s="1895"/>
      <c r="F326" s="1895"/>
      <c r="G326" s="1895"/>
      <c r="H326" s="1895"/>
      <c r="AQ326" s="229"/>
    </row>
    <row r="327" spans="2:43" ht="16.5">
      <c r="B327" s="1520"/>
      <c r="C327" s="1889"/>
      <c r="D327" s="1889"/>
      <c r="E327" s="1889"/>
      <c r="F327" s="1889"/>
      <c r="G327" s="1889"/>
      <c r="H327" s="1889"/>
      <c r="AQ327" s="229"/>
    </row>
    <row r="328" spans="2:43" ht="16.5">
      <c r="B328" s="1520"/>
      <c r="C328" s="1889"/>
      <c r="D328" s="1889"/>
      <c r="E328" s="1889"/>
      <c r="F328" s="1889"/>
      <c r="G328" s="1889"/>
      <c r="H328" s="1889"/>
      <c r="AQ328" s="229"/>
    </row>
    <row r="329" spans="2:43" ht="16.5">
      <c r="B329" s="362"/>
      <c r="C329" s="1889"/>
      <c r="D329" s="1889"/>
      <c r="E329" s="1889"/>
      <c r="F329" s="1889"/>
      <c r="G329" s="1889"/>
      <c r="H329" s="1889"/>
    </row>
  </sheetData>
  <mergeCells count="41">
    <mergeCell ref="AQ8:AQ9"/>
    <mergeCell ref="AF308:AQ308"/>
    <mergeCell ref="AF315:AQ315"/>
    <mergeCell ref="AP8:AP9"/>
    <mergeCell ref="B239:D239"/>
    <mergeCell ref="E8:AI8"/>
    <mergeCell ref="B10:D10"/>
    <mergeCell ref="AJ8:AJ9"/>
    <mergeCell ref="D8:D9"/>
    <mergeCell ref="B8:B9"/>
    <mergeCell ref="C8:C9"/>
    <mergeCell ref="AL8:AL9"/>
    <mergeCell ref="B91:D91"/>
    <mergeCell ref="M313:S313"/>
    <mergeCell ref="D313:H313"/>
    <mergeCell ref="AK8:AK9"/>
    <mergeCell ref="B7:AP7"/>
    <mergeCell ref="B1:AP1"/>
    <mergeCell ref="B2:AP2"/>
    <mergeCell ref="B3:AP3"/>
    <mergeCell ref="B5:O5"/>
    <mergeCell ref="B6:O6"/>
    <mergeCell ref="C329:H329"/>
    <mergeCell ref="A306:D306"/>
    <mergeCell ref="C328:H328"/>
    <mergeCell ref="C326:H326"/>
    <mergeCell ref="C327:H327"/>
    <mergeCell ref="B318:C318"/>
    <mergeCell ref="K324:P324"/>
    <mergeCell ref="X307:AP307"/>
    <mergeCell ref="B176:C176"/>
    <mergeCell ref="U313:AB313"/>
    <mergeCell ref="K319:P319"/>
    <mergeCell ref="K320:P320"/>
    <mergeCell ref="C319:D319"/>
    <mergeCell ref="AO8:AO9"/>
    <mergeCell ref="A8:A9"/>
    <mergeCell ref="B308:F308"/>
    <mergeCell ref="K322:P322"/>
    <mergeCell ref="AM8:AM9"/>
    <mergeCell ref="AN8:AN9"/>
  </mergeCells>
  <phoneticPr fontId="26" type="noConversion"/>
  <conditionalFormatting sqref="U11:AH90">
    <cfRule type="containsBlanks" dxfId="14530" priority="10267">
      <formula>LEN(TRIM(U11))=0</formula>
    </cfRule>
  </conditionalFormatting>
  <conditionalFormatting sqref="U11:AH90">
    <cfRule type="containsBlanks" dxfId="14529" priority="10266">
      <formula>LEN(TRIM(U11))=0</formula>
    </cfRule>
  </conditionalFormatting>
  <conditionalFormatting sqref="E11:AH90 O74:AI74">
    <cfRule type="containsBlanks" dxfId="14528" priority="9795">
      <formula>LEN(TRIM(E11))=0</formula>
    </cfRule>
    <cfRule type="containsBlanks" dxfId="14527" priority="9796">
      <formula>LEN(TRIM(E11))=0</formula>
    </cfRule>
  </conditionalFormatting>
  <conditionalFormatting sqref="AC11:AC83">
    <cfRule type="containsBlanks" dxfId="14526" priority="9668">
      <formula>LEN(TRIM(AC11))=0</formula>
    </cfRule>
    <cfRule type="containsBlanks" dxfId="14525" priority="9669">
      <formula>LEN(TRIM(AC11))=0</formula>
    </cfRule>
    <cfRule type="containsBlanks" dxfId="14524" priority="9670">
      <formula>LEN(TRIM(AC11))=0</formula>
    </cfRule>
    <cfRule type="containsBlanks" dxfId="14523" priority="9671">
      <formula>LEN(TRIM(AC11))=0</formula>
    </cfRule>
  </conditionalFormatting>
  <conditionalFormatting sqref="E11:AI90">
    <cfRule type="containsBlanks" dxfId="14522" priority="9604">
      <formula>LEN(TRIM(E11))=0</formula>
    </cfRule>
    <cfRule type="containsBlanks" dxfId="14521" priority="9605">
      <formula>LEN(TRIM(E11))=0</formula>
    </cfRule>
  </conditionalFormatting>
  <conditionalFormatting sqref="AC11:AC13 AB52 AF11:AF83">
    <cfRule type="containsBlanks" dxfId="14520" priority="9598">
      <formula>LEN(TRIM(AB11))=0</formula>
    </cfRule>
    <cfRule type="containsBlanks" dxfId="14519" priority="9599">
      <formula>LEN(TRIM(AB11))=0</formula>
    </cfRule>
    <cfRule type="containsBlanks" dxfId="14518" priority="9600">
      <formula>LEN(TRIM(AB11))=0</formula>
    </cfRule>
    <cfRule type="containsBlanks" dxfId="14517" priority="9601">
      <formula>LEN(TRIM(AB11))=0</formula>
    </cfRule>
  </conditionalFormatting>
  <conditionalFormatting sqref="AD11:AH13 AE11:AH51 AG52:AH90 AE52:AF83 AF84:AF90 AE84:AH84">
    <cfRule type="containsBlanks" dxfId="14516" priority="9592">
      <formula>LEN(TRIM(AD11))=0</formula>
    </cfRule>
  </conditionalFormatting>
  <conditionalFormatting sqref="AC11:AC83 AH11:AH82">
    <cfRule type="containsBlanks" dxfId="14515" priority="9525">
      <formula>LEN(TRIM(AC11))=0</formula>
    </cfRule>
    <cfRule type="containsBlanks" dxfId="14514" priority="9526">
      <formula>LEN(TRIM(AC11))=0</formula>
    </cfRule>
    <cfRule type="containsBlanks" dxfId="14513" priority="9527">
      <formula>LEN(TRIM(AC11))=0</formula>
    </cfRule>
    <cfRule type="containsBlanks" dxfId="14512" priority="9528">
      <formula>LEN(TRIM(AC11))=0</formula>
    </cfRule>
    <cfRule type="containsBlanks" dxfId="14511" priority="9529">
      <formula>LEN(TRIM(AC11))=0</formula>
    </cfRule>
    <cfRule type="containsBlanks" dxfId="14510" priority="9530">
      <formula>LEN(TRIM(AC11))=0</formula>
    </cfRule>
    <cfRule type="containsBlanks" dxfId="14509" priority="9531">
      <formula>LEN(TRIM(AC11))=0</formula>
    </cfRule>
    <cfRule type="containsBlanks" dxfId="14508" priority="9532">
      <formula>LEN(TRIM(AC11))=0</formula>
    </cfRule>
  </conditionalFormatting>
  <conditionalFormatting sqref="AD11:AE83 AG11:AG82">
    <cfRule type="containsBlanks" dxfId="14507" priority="9507">
      <formula>LEN(TRIM(AD11))=0</formula>
    </cfRule>
    <cfRule type="containsBlanks" dxfId="14506" priority="9508">
      <formula>LEN(TRIM(AD11))=0</formula>
    </cfRule>
    <cfRule type="containsBlanks" dxfId="14505" priority="9509">
      <formula>LEN(TRIM(AD11))=0</formula>
    </cfRule>
    <cfRule type="containsBlanks" dxfId="14504" priority="9510">
      <formula>LEN(TRIM(AD11))=0</formula>
    </cfRule>
    <cfRule type="containsBlanks" dxfId="14503" priority="9511">
      <formula>LEN(TRIM(AD11))=0</formula>
    </cfRule>
    <cfRule type="containsBlanks" dxfId="14502" priority="9512">
      <formula>LEN(TRIM(AD11))=0</formula>
    </cfRule>
  </conditionalFormatting>
  <conditionalFormatting sqref="E92:AI175">
    <cfRule type="containsBlanks" dxfId="14501" priority="9465">
      <formula>LEN(TRIM(E92))=0</formula>
    </cfRule>
    <cfRule type="containsBlanks" dxfId="14500" priority="9466">
      <formula>LEN(TRIM(E92))=0</formula>
    </cfRule>
  </conditionalFormatting>
  <conditionalFormatting sqref="U170:AH170 V175:AH175 V165:W166 U167:W169 V171:W174 U171:U175 AD92:AH164 AF165:AG167 AH165:AH169 AH171:AH174 AE165:AE166">
    <cfRule type="containsBlanks" dxfId="14499" priority="9464">
      <formula>LEN(TRIM(U92))=0</formula>
    </cfRule>
  </conditionalFormatting>
  <conditionalFormatting sqref="V165:W166 U167:W169 U170:AH170 U171:W175 X175:AH175 AD92:AH164 AF165:AG167 AH165:AH169 AH171:AH174 AE165:AE166">
    <cfRule type="containsBlanks" dxfId="14498" priority="9463">
      <formula>LEN(TRIM(U92))=0</formula>
    </cfRule>
  </conditionalFormatting>
  <conditionalFormatting sqref="AC92:AD165">
    <cfRule type="containsBlanks" dxfId="14497" priority="9457">
      <formula>LEN(TRIM(AC92))=0</formula>
    </cfRule>
    <cfRule type="containsBlanks" dxfId="14496" priority="9458">
      <formula>LEN(TRIM(AC92))=0</formula>
    </cfRule>
    <cfRule type="containsBlanks" dxfId="14495" priority="9459">
      <formula>LEN(TRIM(AC92))=0</formula>
    </cfRule>
    <cfRule type="containsBlanks" dxfId="14494" priority="9460">
      <formula>LEN(TRIM(AC92))=0</formula>
    </cfRule>
    <cfRule type="containsBlanks" dxfId="14493" priority="9461">
      <formula>LEN(TRIM(AC92))=0</formula>
    </cfRule>
    <cfRule type="containsBlanks" dxfId="14492" priority="9462">
      <formula>LEN(TRIM(AC92))=0</formula>
    </cfRule>
  </conditionalFormatting>
  <conditionalFormatting sqref="AD92:AE165 AG92:AG167">
    <cfRule type="containsBlanks" dxfId="14491" priority="9453">
      <formula>LEN(TRIM(AD92))=0</formula>
    </cfRule>
    <cfRule type="containsBlanks" dxfId="14490" priority="9454">
      <formula>LEN(TRIM(AD92))=0</formula>
    </cfRule>
    <cfRule type="containsBlanks" dxfId="14489" priority="9455">
      <formula>LEN(TRIM(AD92))=0</formula>
    </cfRule>
    <cfRule type="containsBlanks" dxfId="14488" priority="9456">
      <formula>LEN(TRIM(AD92))=0</formula>
    </cfRule>
  </conditionalFormatting>
  <conditionalFormatting sqref="AE92:AE165">
    <cfRule type="containsBlanks" dxfId="14487" priority="9437">
      <formula>LEN(TRIM(AE92))=0</formula>
    </cfRule>
    <cfRule type="containsBlanks" dxfId="14486" priority="9438">
      <formula>LEN(TRIM(AE92))=0</formula>
    </cfRule>
    <cfRule type="containsBlanks" dxfId="14485" priority="9439">
      <formula>LEN(TRIM(AE92))=0</formula>
    </cfRule>
    <cfRule type="containsBlanks" dxfId="14484" priority="9440">
      <formula>LEN(TRIM(AE92))=0</formula>
    </cfRule>
    <cfRule type="containsBlanks" dxfId="14483" priority="9441">
      <formula>LEN(TRIM(AE92))=0</formula>
    </cfRule>
    <cfRule type="containsBlanks" dxfId="14482" priority="9442">
      <formula>LEN(TRIM(AE92))=0</formula>
    </cfRule>
    <cfRule type="containsBlanks" dxfId="14481" priority="9443">
      <formula>LEN(TRIM(AE92))=0</formula>
    </cfRule>
    <cfRule type="containsBlanks" dxfId="14480" priority="9444">
      <formula>LEN(TRIM(AE92))=0</formula>
    </cfRule>
    <cfRule type="containsBlanks" dxfId="14479" priority="9445">
      <formula>LEN(TRIM(AE92))=0</formula>
    </cfRule>
    <cfRule type="containsBlanks" dxfId="14478" priority="9446">
      <formula>LEN(TRIM(AE92))=0</formula>
    </cfRule>
    <cfRule type="containsBlanks" dxfId="14477" priority="9447">
      <formula>LEN(TRIM(AE92))=0</formula>
    </cfRule>
    <cfRule type="containsBlanks" dxfId="14476" priority="9448">
      <formula>LEN(TRIM(AE92))=0</formula>
    </cfRule>
    <cfRule type="containsBlanks" dxfId="14475" priority="9449">
      <formula>LEN(TRIM(AE92))=0</formula>
    </cfRule>
    <cfRule type="containsBlanks" dxfId="14474" priority="9450">
      <formula>LEN(TRIM(AE92))=0</formula>
    </cfRule>
    <cfRule type="containsBlanks" dxfId="14473" priority="9451">
      <formula>LEN(TRIM(AE92))=0</formula>
    </cfRule>
    <cfRule type="containsBlanks" dxfId="14472" priority="9452">
      <formula>LEN(TRIM(AE92))=0</formula>
    </cfRule>
  </conditionalFormatting>
  <conditionalFormatting sqref="AE92:AE166">
    <cfRule type="containsBlanks" dxfId="14471" priority="9429">
      <formula>LEN(TRIM(AE92))=0</formula>
    </cfRule>
    <cfRule type="containsBlanks" dxfId="14470" priority="9430">
      <formula>LEN(TRIM(AE92))=0</formula>
    </cfRule>
    <cfRule type="containsBlanks" dxfId="14469" priority="9431">
      <formula>LEN(TRIM(AE92))=0</formula>
    </cfRule>
    <cfRule type="containsBlanks" dxfId="14468" priority="9432">
      <formula>LEN(TRIM(AE92))=0</formula>
    </cfRule>
    <cfRule type="containsBlanks" dxfId="14467" priority="9433">
      <formula>LEN(TRIM(AE92))=0</formula>
    </cfRule>
    <cfRule type="containsBlanks" dxfId="14466" priority="9434">
      <formula>LEN(TRIM(AE92))=0</formula>
    </cfRule>
    <cfRule type="containsBlanks" dxfId="14465" priority="9435">
      <formula>LEN(TRIM(AE92))=0</formula>
    </cfRule>
    <cfRule type="containsBlanks" dxfId="14464" priority="9436">
      <formula>LEN(TRIM(AE92))=0</formula>
    </cfRule>
  </conditionalFormatting>
  <conditionalFormatting sqref="AF92:AF164">
    <cfRule type="containsBlanks" dxfId="14463" priority="9397">
      <formula>LEN(TRIM(AF92))=0</formula>
    </cfRule>
    <cfRule type="containsBlanks" dxfId="14462" priority="9398">
      <formula>LEN(TRIM(AF92))=0</formula>
    </cfRule>
    <cfRule type="containsBlanks" dxfId="14461" priority="9399">
      <formula>LEN(TRIM(AF92))=0</formula>
    </cfRule>
    <cfRule type="containsBlanks" dxfId="14460" priority="9400">
      <formula>LEN(TRIM(AF92))=0</formula>
    </cfRule>
    <cfRule type="containsBlanks" dxfId="14459" priority="9401">
      <formula>LEN(TRIM(AF92))=0</formula>
    </cfRule>
    <cfRule type="containsBlanks" dxfId="14458" priority="9402">
      <formula>LEN(TRIM(AF92))=0</formula>
    </cfRule>
    <cfRule type="containsBlanks" dxfId="14457" priority="9403">
      <formula>LEN(TRIM(AF92))=0</formula>
    </cfRule>
    <cfRule type="containsBlanks" dxfId="14456" priority="9404">
      <formula>LEN(TRIM(AF92))=0</formula>
    </cfRule>
    <cfRule type="containsBlanks" dxfId="14455" priority="9405">
      <formula>LEN(TRIM(AF92))=0</formula>
    </cfRule>
    <cfRule type="containsBlanks" dxfId="14454" priority="9406">
      <formula>LEN(TRIM(AF92))=0</formula>
    </cfRule>
    <cfRule type="containsBlanks" dxfId="14453" priority="9407">
      <formula>LEN(TRIM(AF92))=0</formula>
    </cfRule>
    <cfRule type="containsBlanks" dxfId="14452" priority="9408">
      <formula>LEN(TRIM(AF92))=0</formula>
    </cfRule>
    <cfRule type="containsBlanks" dxfId="14451" priority="9409">
      <formula>LEN(TRIM(AF92))=0</formula>
    </cfRule>
    <cfRule type="containsBlanks" dxfId="14450" priority="9410">
      <formula>LEN(TRIM(AF92))=0</formula>
    </cfRule>
    <cfRule type="containsBlanks" dxfId="14449" priority="9411">
      <formula>LEN(TRIM(AF92))=0</formula>
    </cfRule>
    <cfRule type="containsBlanks" dxfId="14448" priority="9412">
      <formula>LEN(TRIM(AF92))=0</formula>
    </cfRule>
    <cfRule type="containsBlanks" dxfId="14447" priority="9413">
      <formula>LEN(TRIM(AF92))=0</formula>
    </cfRule>
    <cfRule type="containsBlanks" dxfId="14446" priority="9414">
      <formula>LEN(TRIM(AF92))=0</formula>
    </cfRule>
    <cfRule type="containsBlanks" dxfId="14445" priority="9415">
      <formula>LEN(TRIM(AF92))=0</formula>
    </cfRule>
    <cfRule type="containsBlanks" dxfId="14444" priority="9416">
      <formula>LEN(TRIM(AF92))=0</formula>
    </cfRule>
    <cfRule type="containsBlanks" dxfId="14443" priority="9417">
      <formula>LEN(TRIM(AF92))=0</formula>
    </cfRule>
    <cfRule type="containsBlanks" dxfId="14442" priority="9418">
      <formula>LEN(TRIM(AF92))=0</formula>
    </cfRule>
    <cfRule type="containsBlanks" dxfId="14441" priority="9419">
      <formula>LEN(TRIM(AF92))=0</formula>
    </cfRule>
    <cfRule type="containsBlanks" dxfId="14440" priority="9420">
      <formula>LEN(TRIM(AF92))=0</formula>
    </cfRule>
    <cfRule type="containsBlanks" dxfId="14439" priority="9421">
      <formula>LEN(TRIM(AF92))=0</formula>
    </cfRule>
    <cfRule type="containsBlanks" dxfId="14438" priority="9422">
      <formula>LEN(TRIM(AF92))=0</formula>
    </cfRule>
    <cfRule type="containsBlanks" dxfId="14437" priority="9423">
      <formula>LEN(TRIM(AF92))=0</formula>
    </cfRule>
    <cfRule type="containsBlanks" dxfId="14436" priority="9424">
      <formula>LEN(TRIM(AF92))=0</formula>
    </cfRule>
    <cfRule type="containsBlanks" dxfId="14435" priority="9425">
      <formula>LEN(TRIM(AF92))=0</formula>
    </cfRule>
    <cfRule type="containsBlanks" dxfId="14434" priority="9426">
      <formula>LEN(TRIM(AF92))=0</formula>
    </cfRule>
    <cfRule type="containsBlanks" dxfId="14433" priority="9427">
      <formula>LEN(TRIM(AF92))=0</formula>
    </cfRule>
    <cfRule type="containsBlanks" dxfId="14432" priority="9428">
      <formula>LEN(TRIM(AF92))=0</formula>
    </cfRule>
  </conditionalFormatting>
  <conditionalFormatting sqref="AF92:AF165 AG92:AG166">
    <cfRule type="containsBlanks" dxfId="14431" priority="9357">
      <formula>LEN(TRIM(AF92))=0</formula>
    </cfRule>
    <cfRule type="containsBlanks" dxfId="14430" priority="9358">
      <formula>LEN(TRIM(AF92))=0</formula>
    </cfRule>
    <cfRule type="containsBlanks" dxfId="14429" priority="9359">
      <formula>LEN(TRIM(AF92))=0</formula>
    </cfRule>
    <cfRule type="containsBlanks" dxfId="14428" priority="9360">
      <formula>LEN(TRIM(AF92))=0</formula>
    </cfRule>
    <cfRule type="containsBlanks" dxfId="14427" priority="9361">
      <formula>LEN(TRIM(AF92))=0</formula>
    </cfRule>
    <cfRule type="containsBlanks" dxfId="14426" priority="9362">
      <formula>LEN(TRIM(AF92))=0</formula>
    </cfRule>
    <cfRule type="containsBlanks" dxfId="14425" priority="9363">
      <formula>LEN(TRIM(AF92))=0</formula>
    </cfRule>
    <cfRule type="containsBlanks" dxfId="14424" priority="9364">
      <formula>LEN(TRIM(AF92))=0</formula>
    </cfRule>
    <cfRule type="containsBlanks" dxfId="14423" priority="9365">
      <formula>LEN(TRIM(AF92))=0</formula>
    </cfRule>
    <cfRule type="containsBlanks" dxfId="14422" priority="9366">
      <formula>LEN(TRIM(AF92))=0</formula>
    </cfRule>
    <cfRule type="containsBlanks" dxfId="14421" priority="9367">
      <formula>LEN(TRIM(AF92))=0</formula>
    </cfRule>
    <cfRule type="containsBlanks" dxfId="14420" priority="9368">
      <formula>LEN(TRIM(AF92))=0</formula>
    </cfRule>
    <cfRule type="containsBlanks" dxfId="14419" priority="9369">
      <formula>LEN(TRIM(AF92))=0</formula>
    </cfRule>
    <cfRule type="containsBlanks" dxfId="14418" priority="9370">
      <formula>LEN(TRIM(AF92))=0</formula>
    </cfRule>
    <cfRule type="containsBlanks" dxfId="14417" priority="9371">
      <formula>LEN(TRIM(AF92))=0</formula>
    </cfRule>
    <cfRule type="containsBlanks" dxfId="14416" priority="9372">
      <formula>LEN(TRIM(AF92))=0</formula>
    </cfRule>
    <cfRule type="containsBlanks" dxfId="14415" priority="9373">
      <formula>LEN(TRIM(AF92))=0</formula>
    </cfRule>
    <cfRule type="containsBlanks" dxfId="14414" priority="9374">
      <formula>LEN(TRIM(AF92))=0</formula>
    </cfRule>
    <cfRule type="containsBlanks" dxfId="14413" priority="9375">
      <formula>LEN(TRIM(AF92))=0</formula>
    </cfRule>
    <cfRule type="containsBlanks" dxfId="14412" priority="9376">
      <formula>LEN(TRIM(AF92))=0</formula>
    </cfRule>
    <cfRule type="containsBlanks" dxfId="14411" priority="9377">
      <formula>LEN(TRIM(AF92))=0</formula>
    </cfRule>
    <cfRule type="containsBlanks" dxfId="14410" priority="9378">
      <formula>LEN(TRIM(AF92))=0</formula>
    </cfRule>
    <cfRule type="containsBlanks" dxfId="14409" priority="9379">
      <formula>LEN(TRIM(AF92))=0</formula>
    </cfRule>
    <cfRule type="containsBlanks" dxfId="14408" priority="9380">
      <formula>LEN(TRIM(AF92))=0</formula>
    </cfRule>
    <cfRule type="containsBlanks" dxfId="14407" priority="9381">
      <formula>LEN(TRIM(AF92))=0</formula>
    </cfRule>
    <cfRule type="containsBlanks" dxfId="14406" priority="9382">
      <formula>LEN(TRIM(AF92))=0</formula>
    </cfRule>
    <cfRule type="containsBlanks" dxfId="14405" priority="9383">
      <formula>LEN(TRIM(AF92))=0</formula>
    </cfRule>
    <cfRule type="containsBlanks" dxfId="14404" priority="9384">
      <formula>LEN(TRIM(AF92))=0</formula>
    </cfRule>
    <cfRule type="containsBlanks" dxfId="14403" priority="9385">
      <formula>LEN(TRIM(AF92))=0</formula>
    </cfRule>
    <cfRule type="containsBlanks" dxfId="14402" priority="9386">
      <formula>LEN(TRIM(AF92))=0</formula>
    </cfRule>
    <cfRule type="containsBlanks" dxfId="14401" priority="9387">
      <formula>LEN(TRIM(AF92))=0</formula>
    </cfRule>
    <cfRule type="containsBlanks" dxfId="14400" priority="9388">
      <formula>LEN(TRIM(AF92))=0</formula>
    </cfRule>
    <cfRule type="containsBlanks" dxfId="14399" priority="9389">
      <formula>LEN(TRIM(AF92))=0</formula>
    </cfRule>
    <cfRule type="containsBlanks" dxfId="14398" priority="9390">
      <formula>LEN(TRIM(AF92))=0</formula>
    </cfRule>
    <cfRule type="containsBlanks" dxfId="14397" priority="9391">
      <formula>LEN(TRIM(AF92))=0</formula>
    </cfRule>
    <cfRule type="containsBlanks" dxfId="14396" priority="9392">
      <formula>LEN(TRIM(AF92))=0</formula>
    </cfRule>
    <cfRule type="containsBlanks" dxfId="14395" priority="9393">
      <formula>LEN(TRIM(AF92))=0</formula>
    </cfRule>
    <cfRule type="containsBlanks" dxfId="14394" priority="9394">
      <formula>LEN(TRIM(AF92))=0</formula>
    </cfRule>
    <cfRule type="containsBlanks" dxfId="14393" priority="9395">
      <formula>LEN(TRIM(AF92))=0</formula>
    </cfRule>
    <cfRule type="containsBlanks" dxfId="14392" priority="9396">
      <formula>LEN(TRIM(AF92))=0</formula>
    </cfRule>
  </conditionalFormatting>
  <conditionalFormatting sqref="AF92:AF166">
    <cfRule type="containsBlanks" dxfId="14391" priority="9337">
      <formula>LEN(TRIM(AF92))=0</formula>
    </cfRule>
    <cfRule type="containsBlanks" dxfId="14390" priority="9338">
      <formula>LEN(TRIM(AF92))=0</formula>
    </cfRule>
    <cfRule type="containsBlanks" dxfId="14389" priority="9339">
      <formula>LEN(TRIM(AF92))=0</formula>
    </cfRule>
    <cfRule type="containsBlanks" dxfId="14388" priority="9340">
      <formula>LEN(TRIM(AF92))=0</formula>
    </cfRule>
    <cfRule type="containsBlanks" dxfId="14387" priority="9341">
      <formula>LEN(TRIM(AF92))=0</formula>
    </cfRule>
    <cfRule type="containsBlanks" dxfId="14386" priority="9342">
      <formula>LEN(TRIM(AF92))=0</formula>
    </cfRule>
    <cfRule type="containsBlanks" dxfId="14385" priority="9343">
      <formula>LEN(TRIM(AF92))=0</formula>
    </cfRule>
    <cfRule type="containsBlanks" dxfId="14384" priority="9344">
      <formula>LEN(TRIM(AF92))=0</formula>
    </cfRule>
    <cfRule type="containsBlanks" dxfId="14383" priority="9345">
      <formula>LEN(TRIM(AF92))=0</formula>
    </cfRule>
    <cfRule type="containsBlanks" dxfId="14382" priority="9346">
      <formula>LEN(TRIM(AF92))=0</formula>
    </cfRule>
    <cfRule type="containsBlanks" dxfId="14381" priority="9347">
      <formula>LEN(TRIM(AF92))=0</formula>
    </cfRule>
    <cfRule type="containsBlanks" dxfId="14380" priority="9348">
      <formula>LEN(TRIM(AF92))=0</formula>
    </cfRule>
    <cfRule type="containsBlanks" dxfId="14379" priority="9349">
      <formula>LEN(TRIM(AF92))=0</formula>
    </cfRule>
    <cfRule type="containsBlanks" dxfId="14378" priority="9350">
      <formula>LEN(TRIM(AF92))=0</formula>
    </cfRule>
    <cfRule type="containsBlanks" dxfId="14377" priority="9351">
      <formula>LEN(TRIM(AF92))=0</formula>
    </cfRule>
    <cfRule type="containsBlanks" dxfId="14376" priority="9352">
      <formula>LEN(TRIM(AF92))=0</formula>
    </cfRule>
    <cfRule type="containsBlanks" dxfId="14375" priority="9353">
      <formula>LEN(TRIM(AF92))=0</formula>
    </cfRule>
    <cfRule type="containsBlanks" dxfId="14374" priority="9354">
      <formula>LEN(TRIM(AF92))=0</formula>
    </cfRule>
    <cfRule type="containsBlanks" dxfId="14373" priority="9355">
      <formula>LEN(TRIM(AF92))=0</formula>
    </cfRule>
    <cfRule type="containsBlanks" dxfId="14372" priority="9356">
      <formula>LEN(TRIM(AF92))=0</formula>
    </cfRule>
  </conditionalFormatting>
  <conditionalFormatting sqref="AF92:AF167">
    <cfRule type="containsBlanks" dxfId="14371" priority="9323">
      <formula>LEN(TRIM(AF92))=0</formula>
    </cfRule>
    <cfRule type="containsBlanks" dxfId="14370" priority="9324">
      <formula>LEN(TRIM(AF92))=0</formula>
    </cfRule>
    <cfRule type="containsBlanks" dxfId="14369" priority="9325">
      <formula>LEN(TRIM(AF92))=0</formula>
    </cfRule>
    <cfRule type="containsBlanks" dxfId="14368" priority="9326">
      <formula>LEN(TRIM(AF92))=0</formula>
    </cfRule>
    <cfRule type="containsBlanks" dxfId="14367" priority="9327">
      <formula>LEN(TRIM(AF92))=0</formula>
    </cfRule>
    <cfRule type="containsBlanks" dxfId="14366" priority="9328">
      <formula>LEN(TRIM(AF92))=0</formula>
    </cfRule>
    <cfRule type="containsBlanks" dxfId="14365" priority="9329">
      <formula>LEN(TRIM(AF92))=0</formula>
    </cfRule>
    <cfRule type="containsBlanks" dxfId="14364" priority="9330">
      <formula>LEN(TRIM(AF92))=0</formula>
    </cfRule>
    <cfRule type="containsBlanks" dxfId="14363" priority="9331">
      <formula>LEN(TRIM(AF92))=0</formula>
    </cfRule>
    <cfRule type="containsBlanks" dxfId="14362" priority="9332">
      <formula>LEN(TRIM(AF92))=0</formula>
    </cfRule>
    <cfRule type="containsBlanks" dxfId="14361" priority="9333">
      <formula>LEN(TRIM(AF92))=0</formula>
    </cfRule>
    <cfRule type="containsBlanks" dxfId="14360" priority="9334">
      <formula>LEN(TRIM(AF92))=0</formula>
    </cfRule>
    <cfRule type="containsBlanks" dxfId="14359" priority="9335">
      <formula>LEN(TRIM(AF92))=0</formula>
    </cfRule>
    <cfRule type="containsBlanks" dxfId="14358" priority="9336">
      <formula>LEN(TRIM(AF92))=0</formula>
    </cfRule>
  </conditionalFormatting>
  <conditionalFormatting sqref="AG92:AG165">
    <cfRule type="containsBlanks" dxfId="14357" priority="9289">
      <formula>LEN(TRIM(AG92))=0</formula>
    </cfRule>
    <cfRule type="containsBlanks" dxfId="14356" priority="9290">
      <formula>LEN(TRIM(AG92))=0</formula>
    </cfRule>
    <cfRule type="containsBlanks" dxfId="14355" priority="9291">
      <formula>LEN(TRIM(AG92))=0</formula>
    </cfRule>
    <cfRule type="containsBlanks" dxfId="14354" priority="9292">
      <formula>LEN(TRIM(AG92))=0</formula>
    </cfRule>
    <cfRule type="containsBlanks" dxfId="14353" priority="9293">
      <formula>LEN(TRIM(AG92))=0</formula>
    </cfRule>
    <cfRule type="containsBlanks" dxfId="14352" priority="9294">
      <formula>LEN(TRIM(AG92))=0</formula>
    </cfRule>
    <cfRule type="containsBlanks" dxfId="14351" priority="9295">
      <formula>LEN(TRIM(AG92))=0</formula>
    </cfRule>
    <cfRule type="containsBlanks" dxfId="14350" priority="9296">
      <formula>LEN(TRIM(AG92))=0</formula>
    </cfRule>
    <cfRule type="containsBlanks" dxfId="14349" priority="9297">
      <formula>LEN(TRIM(AG92))=0</formula>
    </cfRule>
    <cfRule type="containsBlanks" dxfId="14348" priority="9298">
      <formula>LEN(TRIM(AG92))=0</formula>
    </cfRule>
    <cfRule type="containsBlanks" dxfId="14347" priority="9299">
      <formula>LEN(TRIM(AG92))=0</formula>
    </cfRule>
    <cfRule type="containsBlanks" dxfId="14346" priority="9300">
      <formula>LEN(TRIM(AG92))=0</formula>
    </cfRule>
    <cfRule type="containsBlanks" dxfId="14345" priority="9301">
      <formula>LEN(TRIM(AG92))=0</formula>
    </cfRule>
    <cfRule type="containsBlanks" dxfId="14344" priority="9302">
      <formula>LEN(TRIM(AG92))=0</formula>
    </cfRule>
    <cfRule type="containsBlanks" dxfId="14343" priority="9303">
      <formula>LEN(TRIM(AG92))=0</formula>
    </cfRule>
    <cfRule type="containsBlanks" dxfId="14342" priority="9304">
      <formula>LEN(TRIM(AG92))=0</formula>
    </cfRule>
    <cfRule type="containsBlanks" dxfId="14341" priority="9305">
      <formula>LEN(TRIM(AG92))=0</formula>
    </cfRule>
    <cfRule type="containsBlanks" dxfId="14340" priority="9306">
      <formula>LEN(TRIM(AG92))=0</formula>
    </cfRule>
    <cfRule type="containsBlanks" dxfId="14339" priority="9307">
      <formula>LEN(TRIM(AG92))=0</formula>
    </cfRule>
    <cfRule type="containsBlanks" dxfId="14338" priority="9308">
      <formula>LEN(TRIM(AG92))=0</formula>
    </cfRule>
    <cfRule type="containsBlanks" dxfId="14337" priority="9309">
      <formula>LEN(TRIM(AG92))=0</formula>
    </cfRule>
    <cfRule type="containsBlanks" dxfId="14336" priority="9310">
      <formula>LEN(TRIM(AG92))=0</formula>
    </cfRule>
    <cfRule type="containsBlanks" dxfId="14335" priority="9311">
      <formula>LEN(TRIM(AG92))=0</formula>
    </cfRule>
    <cfRule type="containsBlanks" dxfId="14334" priority="9312">
      <formula>LEN(TRIM(AG92))=0</formula>
    </cfRule>
    <cfRule type="containsBlanks" dxfId="14333" priority="9313">
      <formula>LEN(TRIM(AG92))=0</formula>
    </cfRule>
    <cfRule type="containsBlanks" dxfId="14332" priority="9314">
      <formula>LEN(TRIM(AG92))=0</formula>
    </cfRule>
    <cfRule type="containsBlanks" dxfId="14331" priority="9315">
      <formula>LEN(TRIM(AG92))=0</formula>
    </cfRule>
    <cfRule type="containsBlanks" dxfId="14330" priority="9316">
      <formula>LEN(TRIM(AG92))=0</formula>
    </cfRule>
    <cfRule type="containsBlanks" dxfId="14329" priority="9317">
      <formula>LEN(TRIM(AG92))=0</formula>
    </cfRule>
    <cfRule type="containsBlanks" dxfId="14328" priority="9318">
      <formula>LEN(TRIM(AG92))=0</formula>
    </cfRule>
    <cfRule type="containsBlanks" dxfId="14327" priority="9319">
      <formula>LEN(TRIM(AG92))=0</formula>
    </cfRule>
    <cfRule type="containsBlanks" dxfId="14326" priority="9320">
      <formula>LEN(TRIM(AG92))=0</formula>
    </cfRule>
    <cfRule type="containsBlanks" dxfId="14325" priority="9321">
      <formula>LEN(TRIM(AG92))=0</formula>
    </cfRule>
    <cfRule type="containsBlanks" dxfId="14324" priority="9322">
      <formula>LEN(TRIM(AG92))=0</formula>
    </cfRule>
  </conditionalFormatting>
  <conditionalFormatting sqref="AG93:AG165">
    <cfRule type="containsBlanks" dxfId="14323" priority="9259">
      <formula>LEN(TRIM(AG93))=0</formula>
    </cfRule>
    <cfRule type="containsBlanks" dxfId="14322" priority="9260">
      <formula>LEN(TRIM(AG93))=0</formula>
    </cfRule>
    <cfRule type="containsBlanks" dxfId="14321" priority="9261">
      <formula>LEN(TRIM(AG93))=0</formula>
    </cfRule>
    <cfRule type="containsBlanks" dxfId="14320" priority="9262">
      <formula>LEN(TRIM(AG93))=0</formula>
    </cfRule>
    <cfRule type="containsBlanks" dxfId="14319" priority="9263">
      <formula>LEN(TRIM(AG93))=0</formula>
    </cfRule>
    <cfRule type="containsBlanks" dxfId="14318" priority="9264">
      <formula>LEN(TRIM(AG93))=0</formula>
    </cfRule>
    <cfRule type="containsBlanks" dxfId="14317" priority="9265">
      <formula>LEN(TRIM(AG93))=0</formula>
    </cfRule>
    <cfRule type="containsBlanks" dxfId="14316" priority="9266">
      <formula>LEN(TRIM(AG93))=0</formula>
    </cfRule>
    <cfRule type="containsBlanks" dxfId="14315" priority="9267">
      <formula>LEN(TRIM(AG93))=0</formula>
    </cfRule>
    <cfRule type="containsBlanks" dxfId="14314" priority="9268">
      <formula>LEN(TRIM(AG93))=0</formula>
    </cfRule>
    <cfRule type="containsBlanks" dxfId="14313" priority="9269">
      <formula>LEN(TRIM(AG93))=0</formula>
    </cfRule>
    <cfRule type="containsBlanks" dxfId="14312" priority="9270">
      <formula>LEN(TRIM(AG93))=0</formula>
    </cfRule>
    <cfRule type="containsBlanks" dxfId="14311" priority="9271">
      <formula>LEN(TRIM(AG93))=0</formula>
    </cfRule>
    <cfRule type="containsBlanks" dxfId="14310" priority="9272">
      <formula>LEN(TRIM(AG93))=0</formula>
    </cfRule>
    <cfRule type="containsBlanks" dxfId="14309" priority="9273">
      <formula>LEN(TRIM(AG93))=0</formula>
    </cfRule>
    <cfRule type="containsBlanks" dxfId="14308" priority="9274">
      <formula>LEN(TRIM(AG93))=0</formula>
    </cfRule>
    <cfRule type="containsBlanks" dxfId="14307" priority="9275">
      <formula>LEN(TRIM(AG93))=0</formula>
    </cfRule>
    <cfRule type="containsBlanks" dxfId="14306" priority="9276">
      <formula>LEN(TRIM(AG93))=0</formula>
    </cfRule>
    <cfRule type="containsBlanks" dxfId="14305" priority="9277">
      <formula>LEN(TRIM(AG93))=0</formula>
    </cfRule>
    <cfRule type="containsBlanks" dxfId="14304" priority="9278">
      <formula>LEN(TRIM(AG93))=0</formula>
    </cfRule>
    <cfRule type="containsBlanks" dxfId="14303" priority="9279">
      <formula>LEN(TRIM(AG93))=0</formula>
    </cfRule>
    <cfRule type="containsBlanks" dxfId="14302" priority="9280">
      <formula>LEN(TRIM(AG93))=0</formula>
    </cfRule>
    <cfRule type="containsBlanks" dxfId="14301" priority="9281">
      <formula>LEN(TRIM(AG93))=0</formula>
    </cfRule>
    <cfRule type="containsBlanks" dxfId="14300" priority="9282">
      <formula>LEN(TRIM(AG93))=0</formula>
    </cfRule>
    <cfRule type="containsBlanks" dxfId="14299" priority="9283">
      <formula>LEN(TRIM(AG93))=0</formula>
    </cfRule>
    <cfRule type="containsBlanks" dxfId="14298" priority="9284">
      <formula>LEN(TRIM(AG93))=0</formula>
    </cfRule>
    <cfRule type="containsBlanks" dxfId="14297" priority="9285">
      <formula>LEN(TRIM(AG93))=0</formula>
    </cfRule>
    <cfRule type="containsBlanks" dxfId="14296" priority="9286">
      <formula>LEN(TRIM(AG93))=0</formula>
    </cfRule>
    <cfRule type="containsBlanks" dxfId="14295" priority="9287">
      <formula>LEN(TRIM(AG93))=0</formula>
    </cfRule>
    <cfRule type="containsBlanks" dxfId="14294" priority="9288">
      <formula>LEN(TRIM(AG93))=0</formula>
    </cfRule>
  </conditionalFormatting>
  <conditionalFormatting sqref="AH92:AH165">
    <cfRule type="containsBlanks" dxfId="14293" priority="9193">
      <formula>LEN(TRIM(AH92))=0</formula>
    </cfRule>
    <cfRule type="containsBlanks" dxfId="14292" priority="9194">
      <formula>LEN(TRIM(AH92))=0</formula>
    </cfRule>
    <cfRule type="containsBlanks" dxfId="14291" priority="9195">
      <formula>LEN(TRIM(AH92))=0</formula>
    </cfRule>
    <cfRule type="containsBlanks" dxfId="14290" priority="9196">
      <formula>LEN(TRIM(AH92))=0</formula>
    </cfRule>
    <cfRule type="containsBlanks" dxfId="14289" priority="9197">
      <formula>LEN(TRIM(AH92))=0</formula>
    </cfRule>
    <cfRule type="containsBlanks" dxfId="14288" priority="9198">
      <formula>LEN(TRIM(AH92))=0</formula>
    </cfRule>
    <cfRule type="containsBlanks" dxfId="14287" priority="9199">
      <formula>LEN(TRIM(AH92))=0</formula>
    </cfRule>
    <cfRule type="containsBlanks" dxfId="14286" priority="9200">
      <formula>LEN(TRIM(AH92))=0</formula>
    </cfRule>
    <cfRule type="containsBlanks" dxfId="14285" priority="9201">
      <formula>LEN(TRIM(AH92))=0</formula>
    </cfRule>
    <cfRule type="containsBlanks" dxfId="14284" priority="9202">
      <formula>LEN(TRIM(AH92))=0</formula>
    </cfRule>
    <cfRule type="containsBlanks" dxfId="14283" priority="9203">
      <formula>LEN(TRIM(AH92))=0</formula>
    </cfRule>
    <cfRule type="containsBlanks" dxfId="14282" priority="9204">
      <formula>LEN(TRIM(AH92))=0</formula>
    </cfRule>
    <cfRule type="containsBlanks" dxfId="14281" priority="9205">
      <formula>LEN(TRIM(AH92))=0</formula>
    </cfRule>
    <cfRule type="containsBlanks" dxfId="14280" priority="9206">
      <formula>LEN(TRIM(AH92))=0</formula>
    </cfRule>
    <cfRule type="containsBlanks" dxfId="14279" priority="9207">
      <formula>LEN(TRIM(AH92))=0</formula>
    </cfRule>
    <cfRule type="containsBlanks" dxfId="14278" priority="9208">
      <formula>LEN(TRIM(AH92))=0</formula>
    </cfRule>
    <cfRule type="containsBlanks" dxfId="14277" priority="9209">
      <formula>LEN(TRIM(AH92))=0</formula>
    </cfRule>
    <cfRule type="containsBlanks" dxfId="14276" priority="9210">
      <formula>LEN(TRIM(AH92))=0</formula>
    </cfRule>
    <cfRule type="containsBlanks" dxfId="14275" priority="9211">
      <formula>LEN(TRIM(AH92))=0</formula>
    </cfRule>
    <cfRule type="containsBlanks" dxfId="14274" priority="9212">
      <formula>LEN(TRIM(AH92))=0</formula>
    </cfRule>
    <cfRule type="containsBlanks" dxfId="14273" priority="9213">
      <formula>LEN(TRIM(AH92))=0</formula>
    </cfRule>
    <cfRule type="containsBlanks" dxfId="14272" priority="9214">
      <formula>LEN(TRIM(AH92))=0</formula>
    </cfRule>
    <cfRule type="containsBlanks" dxfId="14271" priority="9215">
      <formula>LEN(TRIM(AH92))=0</formula>
    </cfRule>
    <cfRule type="containsBlanks" dxfId="14270" priority="9216">
      <formula>LEN(TRIM(AH92))=0</formula>
    </cfRule>
    <cfRule type="containsBlanks" dxfId="14269" priority="9217">
      <formula>LEN(TRIM(AH92))=0</formula>
    </cfRule>
    <cfRule type="containsBlanks" dxfId="14268" priority="9218">
      <formula>LEN(TRIM(AH92))=0</formula>
    </cfRule>
    <cfRule type="containsBlanks" dxfId="14267" priority="9219">
      <formula>LEN(TRIM(AH92))=0</formula>
    </cfRule>
    <cfRule type="containsBlanks" dxfId="14266" priority="9220">
      <formula>LEN(TRIM(AH92))=0</formula>
    </cfRule>
    <cfRule type="containsBlanks" dxfId="14265" priority="9221">
      <formula>LEN(TRIM(AH92))=0</formula>
    </cfRule>
    <cfRule type="containsBlanks" dxfId="14264" priority="9222">
      <formula>LEN(TRIM(AH92))=0</formula>
    </cfRule>
    <cfRule type="containsBlanks" dxfId="14263" priority="9223">
      <formula>LEN(TRIM(AH92))=0</formula>
    </cfRule>
    <cfRule type="containsBlanks" dxfId="14262" priority="9224">
      <formula>LEN(TRIM(AH92))=0</formula>
    </cfRule>
    <cfRule type="containsBlanks" dxfId="14261" priority="9225">
      <formula>LEN(TRIM(AH92))=0</formula>
    </cfRule>
    <cfRule type="containsBlanks" dxfId="14260" priority="9226">
      <formula>LEN(TRIM(AH92))=0</formula>
    </cfRule>
    <cfRule type="containsBlanks" dxfId="14259" priority="9227">
      <formula>LEN(TRIM(AH92))=0</formula>
    </cfRule>
    <cfRule type="containsBlanks" dxfId="14258" priority="9228">
      <formula>LEN(TRIM(AH92))=0</formula>
    </cfRule>
    <cfRule type="containsBlanks" dxfId="14257" priority="9229">
      <formula>LEN(TRIM(AH92))=0</formula>
    </cfRule>
    <cfRule type="containsBlanks" dxfId="14256" priority="9230">
      <formula>LEN(TRIM(AH92))=0</formula>
    </cfRule>
    <cfRule type="containsBlanks" dxfId="14255" priority="9231">
      <formula>LEN(TRIM(AH92))=0</formula>
    </cfRule>
    <cfRule type="containsBlanks" dxfId="14254" priority="9232">
      <formula>LEN(TRIM(AH92))=0</formula>
    </cfRule>
    <cfRule type="containsBlanks" dxfId="14253" priority="9233">
      <formula>LEN(TRIM(AH92))=0</formula>
    </cfRule>
    <cfRule type="containsBlanks" dxfId="14252" priority="9234">
      <formula>LEN(TRIM(AH92))=0</formula>
    </cfRule>
    <cfRule type="containsBlanks" dxfId="14251" priority="9235">
      <formula>LEN(TRIM(AH92))=0</formula>
    </cfRule>
    <cfRule type="containsBlanks" dxfId="14250" priority="9236">
      <formula>LEN(TRIM(AH92))=0</formula>
    </cfRule>
    <cfRule type="containsBlanks" dxfId="14249" priority="9237">
      <formula>LEN(TRIM(AH92))=0</formula>
    </cfRule>
    <cfRule type="containsBlanks" dxfId="14248" priority="9238">
      <formula>LEN(TRIM(AH92))=0</formula>
    </cfRule>
    <cfRule type="containsBlanks" dxfId="14247" priority="9239">
      <formula>LEN(TRIM(AH92))=0</formula>
    </cfRule>
    <cfRule type="containsBlanks" dxfId="14246" priority="9240">
      <formula>LEN(TRIM(AH92))=0</formula>
    </cfRule>
    <cfRule type="containsBlanks" dxfId="14245" priority="9241">
      <formula>LEN(TRIM(AH92))=0</formula>
    </cfRule>
    <cfRule type="containsBlanks" dxfId="14244" priority="9242">
      <formula>LEN(TRIM(AH92))=0</formula>
    </cfRule>
    <cfRule type="containsBlanks" dxfId="14243" priority="9243">
      <formula>LEN(TRIM(AH92))=0</formula>
    </cfRule>
    <cfRule type="containsBlanks" dxfId="14242" priority="9244">
      <formula>LEN(TRIM(AH92))=0</formula>
    </cfRule>
    <cfRule type="containsBlanks" dxfId="14241" priority="9245">
      <formula>LEN(TRIM(AH92))=0</formula>
    </cfRule>
    <cfRule type="containsBlanks" dxfId="14240" priority="9246">
      <formula>LEN(TRIM(AH92))=0</formula>
    </cfRule>
    <cfRule type="containsBlanks" dxfId="14239" priority="9247">
      <formula>LEN(TRIM(AH92))=0</formula>
    </cfRule>
    <cfRule type="containsBlanks" dxfId="14238" priority="9248">
      <formula>LEN(TRIM(AH92))=0</formula>
    </cfRule>
    <cfRule type="containsBlanks" dxfId="14237" priority="9249">
      <formula>LEN(TRIM(AH92))=0</formula>
    </cfRule>
    <cfRule type="containsBlanks" dxfId="14236" priority="9250">
      <formula>LEN(TRIM(AH92))=0</formula>
    </cfRule>
    <cfRule type="containsBlanks" dxfId="14235" priority="9251">
      <formula>LEN(TRIM(AH92))=0</formula>
    </cfRule>
    <cfRule type="containsBlanks" dxfId="14234" priority="9252">
      <formula>LEN(TRIM(AH92))=0</formula>
    </cfRule>
    <cfRule type="containsBlanks" dxfId="14233" priority="9253">
      <formula>LEN(TRIM(AH92))=0</formula>
    </cfRule>
    <cfRule type="containsBlanks" dxfId="14232" priority="9254">
      <formula>LEN(TRIM(AH92))=0</formula>
    </cfRule>
    <cfRule type="containsBlanks" dxfId="14231" priority="9255">
      <formula>LEN(TRIM(AH92))=0</formula>
    </cfRule>
    <cfRule type="containsBlanks" dxfId="14230" priority="9256">
      <formula>LEN(TRIM(AH92))=0</formula>
    </cfRule>
    <cfRule type="containsBlanks" dxfId="14229" priority="9257">
      <formula>LEN(TRIM(AH92))=0</formula>
    </cfRule>
    <cfRule type="containsBlanks" dxfId="14228" priority="9258">
      <formula>LEN(TRIM(AH92))=0</formula>
    </cfRule>
  </conditionalFormatting>
  <conditionalFormatting sqref="AH92:AH166">
    <cfRule type="containsBlanks" dxfId="14227" priority="9138">
      <formula>LEN(TRIM(AH92))=0</formula>
    </cfRule>
    <cfRule type="containsBlanks" dxfId="14226" priority="9139">
      <formula>LEN(TRIM(AH92))=0</formula>
    </cfRule>
    <cfRule type="containsBlanks" dxfId="14225" priority="9140">
      <formula>LEN(TRIM(AH92))=0</formula>
    </cfRule>
    <cfRule type="containsBlanks" dxfId="14224" priority="9141">
      <formula>LEN(TRIM(AH92))=0</formula>
    </cfRule>
    <cfRule type="containsBlanks" dxfId="14223" priority="9142">
      <formula>LEN(TRIM(AH92))=0</formula>
    </cfRule>
    <cfRule type="containsBlanks" dxfId="14222" priority="9143">
      <formula>LEN(TRIM(AH92))=0</formula>
    </cfRule>
    <cfRule type="containsBlanks" dxfId="14221" priority="9144">
      <formula>LEN(TRIM(AH92))=0</formula>
    </cfRule>
    <cfRule type="containsBlanks" dxfId="14220" priority="9145">
      <formula>LEN(TRIM(AH92))=0</formula>
    </cfRule>
    <cfRule type="containsBlanks" dxfId="14219" priority="9146">
      <formula>LEN(TRIM(AH92))=0</formula>
    </cfRule>
    <cfRule type="containsBlanks" dxfId="14218" priority="9147">
      <formula>LEN(TRIM(AH92))=0</formula>
    </cfRule>
    <cfRule type="containsBlanks" dxfId="14217" priority="9148">
      <formula>LEN(TRIM(AH92))=0</formula>
    </cfRule>
    <cfRule type="containsBlanks" dxfId="14216" priority="9149">
      <formula>LEN(TRIM(AH92))=0</formula>
    </cfRule>
    <cfRule type="containsBlanks" dxfId="14215" priority="9150">
      <formula>LEN(TRIM(AH92))=0</formula>
    </cfRule>
    <cfRule type="containsBlanks" dxfId="14214" priority="9151">
      <formula>LEN(TRIM(AH92))=0</formula>
    </cfRule>
    <cfRule type="containsBlanks" dxfId="14213" priority="9152">
      <formula>LEN(TRIM(AH92))=0</formula>
    </cfRule>
    <cfRule type="containsBlanks" dxfId="14212" priority="9153">
      <formula>LEN(TRIM(AH92))=0</formula>
    </cfRule>
    <cfRule type="containsBlanks" dxfId="14211" priority="9154">
      <formula>LEN(TRIM(AH92))=0</formula>
    </cfRule>
    <cfRule type="containsBlanks" dxfId="14210" priority="9155">
      <formula>LEN(TRIM(AH92))=0</formula>
    </cfRule>
    <cfRule type="containsBlanks" dxfId="14209" priority="9156">
      <formula>LEN(TRIM(AH92))=0</formula>
    </cfRule>
    <cfRule type="containsBlanks" dxfId="14208" priority="9157">
      <formula>LEN(TRIM(AH92))=0</formula>
    </cfRule>
    <cfRule type="containsBlanks" dxfId="14207" priority="9158">
      <formula>LEN(TRIM(AH92))=0</formula>
    </cfRule>
    <cfRule type="containsBlanks" dxfId="14206" priority="9159">
      <formula>LEN(TRIM(AH92))=0</formula>
    </cfRule>
    <cfRule type="containsBlanks" dxfId="14205" priority="9160">
      <formula>LEN(TRIM(AH92))=0</formula>
    </cfRule>
    <cfRule type="containsBlanks" dxfId="14204" priority="9161">
      <formula>LEN(TRIM(AH92))=0</formula>
    </cfRule>
    <cfRule type="containsBlanks" dxfId="14203" priority="9162">
      <formula>LEN(TRIM(AH92))=0</formula>
    </cfRule>
    <cfRule type="containsBlanks" dxfId="14202" priority="9163">
      <formula>LEN(TRIM(AH92))=0</formula>
    </cfRule>
    <cfRule type="containsBlanks" dxfId="14201" priority="9164">
      <formula>LEN(TRIM(AH92))=0</formula>
    </cfRule>
    <cfRule type="containsBlanks" dxfId="14200" priority="9165">
      <formula>LEN(TRIM(AH92))=0</formula>
    </cfRule>
    <cfRule type="containsBlanks" dxfId="14199" priority="9166">
      <formula>LEN(TRIM(AH92))=0</formula>
    </cfRule>
    <cfRule type="containsBlanks" dxfId="14198" priority="9167">
      <formula>LEN(TRIM(AH92))=0</formula>
    </cfRule>
    <cfRule type="containsBlanks" dxfId="14197" priority="9168">
      <formula>LEN(TRIM(AH92))=0</formula>
    </cfRule>
    <cfRule type="containsBlanks" dxfId="14196" priority="9169">
      <formula>LEN(TRIM(AH92))=0</formula>
    </cfRule>
    <cfRule type="containsBlanks" dxfId="14195" priority="9170">
      <formula>LEN(TRIM(AH92))=0</formula>
    </cfRule>
    <cfRule type="containsBlanks" dxfId="14194" priority="9171">
      <formula>LEN(TRIM(AH92))=0</formula>
    </cfRule>
    <cfRule type="containsBlanks" dxfId="14193" priority="9172">
      <formula>LEN(TRIM(AH92))=0</formula>
    </cfRule>
    <cfRule type="containsBlanks" dxfId="14192" priority="9173">
      <formula>LEN(TRIM(AH92))=0</formula>
    </cfRule>
    <cfRule type="containsBlanks" dxfId="14191" priority="9174">
      <formula>LEN(TRIM(AH92))=0</formula>
    </cfRule>
    <cfRule type="containsBlanks" dxfId="14190" priority="9175">
      <formula>LEN(TRIM(AH92))=0</formula>
    </cfRule>
    <cfRule type="containsBlanks" dxfId="14189" priority="9176">
      <formula>LEN(TRIM(AH92))=0</formula>
    </cfRule>
    <cfRule type="containsBlanks" dxfId="14188" priority="9177">
      <formula>LEN(TRIM(AH92))=0</formula>
    </cfRule>
    <cfRule type="containsBlanks" dxfId="14187" priority="9178">
      <formula>LEN(TRIM(AH92))=0</formula>
    </cfRule>
    <cfRule type="containsBlanks" dxfId="14186" priority="9179">
      <formula>LEN(TRIM(AH92))=0</formula>
    </cfRule>
    <cfRule type="containsBlanks" dxfId="14185" priority="9180">
      <formula>LEN(TRIM(AH92))=0</formula>
    </cfRule>
    <cfRule type="containsBlanks" dxfId="14184" priority="9181">
      <formula>LEN(TRIM(AH92))=0</formula>
    </cfRule>
    <cfRule type="containsBlanks" dxfId="14183" priority="9182">
      <formula>LEN(TRIM(AH92))=0</formula>
    </cfRule>
    <cfRule type="containsBlanks" dxfId="14182" priority="9183">
      <formula>LEN(TRIM(AH92))=0</formula>
    </cfRule>
    <cfRule type="containsBlanks" dxfId="14181" priority="9184">
      <formula>LEN(TRIM(AH92))=0</formula>
    </cfRule>
    <cfRule type="containsBlanks" dxfId="14180" priority="9185">
      <formula>LEN(TRIM(AH92))=0</formula>
    </cfRule>
    <cfRule type="containsBlanks" dxfId="14179" priority="9186">
      <formula>LEN(TRIM(AH92))=0</formula>
    </cfRule>
    <cfRule type="containsBlanks" dxfId="14178" priority="9187">
      <formula>LEN(TRIM(AH92))=0</formula>
    </cfRule>
    <cfRule type="containsBlanks" dxfId="14177" priority="9188">
      <formula>LEN(TRIM(AH92))=0</formula>
    </cfRule>
    <cfRule type="containsBlanks" dxfId="14176" priority="9189">
      <formula>LEN(TRIM(AH92))=0</formula>
    </cfRule>
    <cfRule type="containsBlanks" dxfId="14175" priority="9190">
      <formula>LEN(TRIM(AH92))=0</formula>
    </cfRule>
    <cfRule type="containsBlanks" dxfId="14174" priority="9191">
      <formula>LEN(TRIM(AH92))=0</formula>
    </cfRule>
    <cfRule type="containsBlanks" dxfId="14173" priority="9192">
      <formula>LEN(TRIM(AH92))=0</formula>
    </cfRule>
  </conditionalFormatting>
  <conditionalFormatting sqref="AH92:AH175">
    <cfRule type="containsBlanks" dxfId="14172" priority="9054">
      <formula>LEN(TRIM(AH92))=0</formula>
    </cfRule>
    <cfRule type="containsBlanks" dxfId="14171" priority="9055">
      <formula>LEN(TRIM(AH92))=0</formula>
    </cfRule>
    <cfRule type="containsBlanks" dxfId="14170" priority="9056">
      <formula>LEN(TRIM(AH92))=0</formula>
    </cfRule>
    <cfRule type="containsBlanks" dxfId="14169" priority="9057">
      <formula>LEN(TRIM(AH92))=0</formula>
    </cfRule>
    <cfRule type="containsBlanks" dxfId="14168" priority="9058">
      <formula>LEN(TRIM(AH92))=0</formula>
    </cfRule>
    <cfRule type="containsBlanks" dxfId="14167" priority="9059">
      <formula>LEN(TRIM(AH92))=0</formula>
    </cfRule>
    <cfRule type="containsBlanks" dxfId="14166" priority="9060">
      <formula>LEN(TRIM(AH92))=0</formula>
    </cfRule>
    <cfRule type="containsBlanks" dxfId="14165" priority="9061">
      <formula>LEN(TRIM(AH92))=0</formula>
    </cfRule>
    <cfRule type="containsBlanks" dxfId="14164" priority="9062">
      <formula>LEN(TRIM(AH92))=0</formula>
    </cfRule>
    <cfRule type="containsBlanks" dxfId="14163" priority="9063">
      <formula>LEN(TRIM(AH92))=0</formula>
    </cfRule>
    <cfRule type="containsBlanks" dxfId="14162" priority="9064">
      <formula>LEN(TRIM(AH92))=0</formula>
    </cfRule>
    <cfRule type="containsBlanks" dxfId="14161" priority="9065">
      <formula>LEN(TRIM(AH92))=0</formula>
    </cfRule>
    <cfRule type="containsBlanks" dxfId="14160" priority="9066">
      <formula>LEN(TRIM(AH92))=0</formula>
    </cfRule>
    <cfRule type="containsBlanks" dxfId="14159" priority="9067">
      <formula>LEN(TRIM(AH92))=0</formula>
    </cfRule>
    <cfRule type="containsBlanks" dxfId="14158" priority="9068">
      <formula>LEN(TRIM(AH92))=0</formula>
    </cfRule>
    <cfRule type="containsBlanks" dxfId="14157" priority="9069">
      <formula>LEN(TRIM(AH92))=0</formula>
    </cfRule>
    <cfRule type="containsBlanks" dxfId="14156" priority="9070">
      <formula>LEN(TRIM(AH92))=0</formula>
    </cfRule>
    <cfRule type="containsBlanks" dxfId="14155" priority="9071">
      <formula>LEN(TRIM(AH92))=0</formula>
    </cfRule>
    <cfRule type="containsBlanks" dxfId="14154" priority="9072">
      <formula>LEN(TRIM(AH92))=0</formula>
    </cfRule>
    <cfRule type="containsBlanks" dxfId="14153" priority="9073">
      <formula>LEN(TRIM(AH92))=0</formula>
    </cfRule>
    <cfRule type="containsBlanks" dxfId="14152" priority="9074">
      <formula>LEN(TRIM(AH92))=0</formula>
    </cfRule>
    <cfRule type="containsBlanks" dxfId="14151" priority="9075">
      <formula>LEN(TRIM(AH92))=0</formula>
    </cfRule>
    <cfRule type="containsBlanks" dxfId="14150" priority="9076">
      <formula>LEN(TRIM(AH92))=0</formula>
    </cfRule>
    <cfRule type="containsBlanks" dxfId="14149" priority="9077">
      <formula>LEN(TRIM(AH92))=0</formula>
    </cfRule>
    <cfRule type="containsBlanks" dxfId="14148" priority="9078">
      <formula>LEN(TRIM(AH92))=0</formula>
    </cfRule>
    <cfRule type="containsBlanks" dxfId="14147" priority="9079">
      <formula>LEN(TRIM(AH92))=0</formula>
    </cfRule>
    <cfRule type="containsBlanks" dxfId="14146" priority="9080">
      <formula>LEN(TRIM(AH92))=0</formula>
    </cfRule>
    <cfRule type="containsBlanks" dxfId="14145" priority="9081">
      <formula>LEN(TRIM(AH92))=0</formula>
    </cfRule>
    <cfRule type="containsBlanks" dxfId="14144" priority="9082">
      <formula>LEN(TRIM(AH92))=0</formula>
    </cfRule>
    <cfRule type="containsBlanks" dxfId="14143" priority="9083">
      <formula>LEN(TRIM(AH92))=0</formula>
    </cfRule>
    <cfRule type="containsBlanks" dxfId="14142" priority="9084">
      <formula>LEN(TRIM(AH92))=0</formula>
    </cfRule>
    <cfRule type="containsBlanks" dxfId="14141" priority="9085">
      <formula>LEN(TRIM(AH92))=0</formula>
    </cfRule>
    <cfRule type="containsBlanks" dxfId="14140" priority="9086">
      <formula>LEN(TRIM(AH92))=0</formula>
    </cfRule>
    <cfRule type="containsBlanks" dxfId="14139" priority="9087">
      <formula>LEN(TRIM(AH92))=0</formula>
    </cfRule>
    <cfRule type="containsBlanks" dxfId="14138" priority="9088">
      <formula>LEN(TRIM(AH92))=0</formula>
    </cfRule>
    <cfRule type="containsBlanks" dxfId="14137" priority="9089">
      <formula>LEN(TRIM(AH92))=0</formula>
    </cfRule>
    <cfRule type="containsBlanks" dxfId="14136" priority="9090">
      <formula>LEN(TRIM(AH92))=0</formula>
    </cfRule>
    <cfRule type="containsBlanks" dxfId="14135" priority="9091">
      <formula>LEN(TRIM(AH92))=0</formula>
    </cfRule>
    <cfRule type="containsBlanks" dxfId="14134" priority="9092">
      <formula>LEN(TRIM(AH92))=0</formula>
    </cfRule>
    <cfRule type="containsBlanks" dxfId="14133" priority="9093">
      <formula>LEN(TRIM(AH92))=0</formula>
    </cfRule>
    <cfRule type="containsBlanks" dxfId="14132" priority="9094">
      <formula>LEN(TRIM(AH92))=0</formula>
    </cfRule>
    <cfRule type="containsBlanks" dxfId="14131" priority="9095">
      <formula>LEN(TRIM(AH92))=0</formula>
    </cfRule>
    <cfRule type="containsBlanks" dxfId="14130" priority="9096">
      <formula>LEN(TRIM(AH92))=0</formula>
    </cfRule>
    <cfRule type="containsBlanks" dxfId="14129" priority="9097">
      <formula>LEN(TRIM(AH92))=0</formula>
    </cfRule>
    <cfRule type="containsBlanks" dxfId="14128" priority="9098">
      <formula>LEN(TRIM(AH92))=0</formula>
    </cfRule>
    <cfRule type="containsBlanks" dxfId="14127" priority="9099">
      <formula>LEN(TRIM(AH92))=0</formula>
    </cfRule>
    <cfRule type="containsBlanks" dxfId="14126" priority="9100">
      <formula>LEN(TRIM(AH92))=0</formula>
    </cfRule>
    <cfRule type="containsBlanks" dxfId="14125" priority="9101">
      <formula>LEN(TRIM(AH92))=0</formula>
    </cfRule>
    <cfRule type="containsBlanks" dxfId="14124" priority="9102">
      <formula>LEN(TRIM(AH92))=0</formula>
    </cfRule>
    <cfRule type="containsBlanks" dxfId="14123" priority="9103">
      <formula>LEN(TRIM(AH92))=0</formula>
    </cfRule>
    <cfRule type="containsBlanks" dxfId="14122" priority="9104">
      <formula>LEN(TRIM(AH92))=0</formula>
    </cfRule>
    <cfRule type="containsBlanks" dxfId="14121" priority="9105">
      <formula>LEN(TRIM(AH92))=0</formula>
    </cfRule>
    <cfRule type="containsBlanks" dxfId="14120" priority="9106">
      <formula>LEN(TRIM(AH92))=0</formula>
    </cfRule>
    <cfRule type="containsBlanks" dxfId="14119" priority="9107">
      <formula>LEN(TRIM(AH92))=0</formula>
    </cfRule>
    <cfRule type="containsBlanks" dxfId="14118" priority="9108">
      <formula>LEN(TRIM(AH92))=0</formula>
    </cfRule>
    <cfRule type="containsBlanks" dxfId="14117" priority="9109">
      <formula>LEN(TRIM(AH92))=0</formula>
    </cfRule>
    <cfRule type="containsBlanks" dxfId="14116" priority="9110">
      <formula>LEN(TRIM(AH92))=0</formula>
    </cfRule>
    <cfRule type="containsBlanks" dxfId="14115" priority="9111">
      <formula>LEN(TRIM(AH92))=0</formula>
    </cfRule>
    <cfRule type="containsBlanks" dxfId="14114" priority="9112">
      <formula>LEN(TRIM(AH92))=0</formula>
    </cfRule>
    <cfRule type="containsBlanks" dxfId="14113" priority="9113">
      <formula>LEN(TRIM(AH92))=0</formula>
    </cfRule>
    <cfRule type="containsBlanks" dxfId="14112" priority="9114">
      <formula>LEN(TRIM(AH92))=0</formula>
    </cfRule>
    <cfRule type="containsBlanks" dxfId="14111" priority="9115">
      <formula>LEN(TRIM(AH92))=0</formula>
    </cfRule>
    <cfRule type="containsBlanks" dxfId="14110" priority="9116">
      <formula>LEN(TRIM(AH92))=0</formula>
    </cfRule>
    <cfRule type="containsBlanks" dxfId="14109" priority="9117">
      <formula>LEN(TRIM(AH92))=0</formula>
    </cfRule>
    <cfRule type="containsBlanks" dxfId="14108" priority="9118">
      <formula>LEN(TRIM(AH92))=0</formula>
    </cfRule>
    <cfRule type="containsBlanks" dxfId="14107" priority="9119">
      <formula>LEN(TRIM(AH92))=0</formula>
    </cfRule>
    <cfRule type="containsBlanks" dxfId="14106" priority="9120">
      <formula>LEN(TRIM(AH92))=0</formula>
    </cfRule>
    <cfRule type="containsBlanks" dxfId="14105" priority="9121">
      <formula>LEN(TRIM(AH92))=0</formula>
    </cfRule>
    <cfRule type="containsBlanks" dxfId="14104" priority="9122">
      <formula>LEN(TRIM(AH92))=0</formula>
    </cfRule>
    <cfRule type="containsBlanks" dxfId="14103" priority="9123">
      <formula>LEN(TRIM(AH92))=0</formula>
    </cfRule>
    <cfRule type="containsBlanks" dxfId="14102" priority="9124">
      <formula>LEN(TRIM(AH92))=0</formula>
    </cfRule>
    <cfRule type="containsBlanks" dxfId="14101" priority="9125">
      <formula>LEN(TRIM(AH92))=0</formula>
    </cfRule>
    <cfRule type="containsBlanks" dxfId="14100" priority="9126">
      <formula>LEN(TRIM(AH92))=0</formula>
    </cfRule>
    <cfRule type="containsBlanks" dxfId="14099" priority="9127">
      <formula>LEN(TRIM(AH92))=0</formula>
    </cfRule>
    <cfRule type="containsBlanks" dxfId="14098" priority="9128">
      <formula>LEN(TRIM(AH92))=0</formula>
    </cfRule>
    <cfRule type="containsBlanks" dxfId="14097" priority="9129">
      <formula>LEN(TRIM(AH92))=0</formula>
    </cfRule>
    <cfRule type="containsBlanks" dxfId="14096" priority="9130">
      <formula>LEN(TRIM(AH92))=0</formula>
    </cfRule>
    <cfRule type="containsBlanks" dxfId="14095" priority="9131">
      <formula>LEN(TRIM(AH92))=0</formula>
    </cfRule>
    <cfRule type="containsBlanks" dxfId="14094" priority="9132">
      <formula>LEN(TRIM(AH92))=0</formula>
    </cfRule>
    <cfRule type="containsBlanks" dxfId="14093" priority="9133">
      <formula>LEN(TRIM(AH92))=0</formula>
    </cfRule>
    <cfRule type="containsBlanks" dxfId="14092" priority="9134">
      <formula>LEN(TRIM(AH92))=0</formula>
    </cfRule>
    <cfRule type="containsBlanks" dxfId="14091" priority="9135">
      <formula>LEN(TRIM(AH92))=0</formula>
    </cfRule>
    <cfRule type="containsBlanks" dxfId="14090" priority="9136">
      <formula>LEN(TRIM(AH92))=0</formula>
    </cfRule>
    <cfRule type="containsBlanks" dxfId="14089" priority="9137">
      <formula>LEN(TRIM(AH92))=0</formula>
    </cfRule>
  </conditionalFormatting>
  <conditionalFormatting sqref="AI92:AI165">
    <cfRule type="containsBlanks" dxfId="14088" priority="8804">
      <formula>LEN(TRIM(AI92))=0</formula>
    </cfRule>
    <cfRule type="containsBlanks" dxfId="14087" priority="8805">
      <formula>LEN(TRIM(AI92))=0</formula>
    </cfRule>
    <cfRule type="containsBlanks" dxfId="14086" priority="8806">
      <formula>LEN(TRIM(AI92))=0</formula>
    </cfRule>
    <cfRule type="containsBlanks" dxfId="14085" priority="8807">
      <formula>LEN(TRIM(AI92))=0</formula>
    </cfRule>
    <cfRule type="containsBlanks" dxfId="14084" priority="8808">
      <formula>LEN(TRIM(AI92))=0</formula>
    </cfRule>
    <cfRule type="containsBlanks" dxfId="14083" priority="8809">
      <formula>LEN(TRIM(AI92))=0</formula>
    </cfRule>
    <cfRule type="containsBlanks" dxfId="14082" priority="8810">
      <formula>LEN(TRIM(AI92))=0</formula>
    </cfRule>
    <cfRule type="containsBlanks" dxfId="14081" priority="8811">
      <formula>LEN(TRIM(AI92))=0</formula>
    </cfRule>
    <cfRule type="containsBlanks" dxfId="14080" priority="8812">
      <formula>LEN(TRIM(AI92))=0</formula>
    </cfRule>
    <cfRule type="containsBlanks" dxfId="14079" priority="8813">
      <formula>LEN(TRIM(AI92))=0</formula>
    </cfRule>
    <cfRule type="containsBlanks" dxfId="14078" priority="8814">
      <formula>LEN(TRIM(AI92))=0</formula>
    </cfRule>
    <cfRule type="containsBlanks" dxfId="14077" priority="8815">
      <formula>LEN(TRIM(AI92))=0</formula>
    </cfRule>
    <cfRule type="containsBlanks" dxfId="14076" priority="8816">
      <formula>LEN(TRIM(AI92))=0</formula>
    </cfRule>
    <cfRule type="containsBlanks" dxfId="14075" priority="8817">
      <formula>LEN(TRIM(AI92))=0</formula>
    </cfRule>
    <cfRule type="containsBlanks" dxfId="14074" priority="8818">
      <formula>LEN(TRIM(AI92))=0</formula>
    </cfRule>
    <cfRule type="containsBlanks" dxfId="14073" priority="8819">
      <formula>LEN(TRIM(AI92))=0</formula>
    </cfRule>
    <cfRule type="containsBlanks" dxfId="14072" priority="8820">
      <formula>LEN(TRIM(AI92))=0</formula>
    </cfRule>
    <cfRule type="containsBlanks" dxfId="14071" priority="8821">
      <formula>LEN(TRIM(AI92))=0</formula>
    </cfRule>
    <cfRule type="containsBlanks" dxfId="14070" priority="8822">
      <formula>LEN(TRIM(AI92))=0</formula>
    </cfRule>
    <cfRule type="containsBlanks" dxfId="14069" priority="8823">
      <formula>LEN(TRIM(AI92))=0</formula>
    </cfRule>
    <cfRule type="containsBlanks" dxfId="14068" priority="8824">
      <formula>LEN(TRIM(AI92))=0</formula>
    </cfRule>
    <cfRule type="containsBlanks" dxfId="14067" priority="8825">
      <formula>LEN(TRIM(AI92))=0</formula>
    </cfRule>
    <cfRule type="containsBlanks" dxfId="14066" priority="8826">
      <formula>LEN(TRIM(AI92))=0</formula>
    </cfRule>
    <cfRule type="containsBlanks" dxfId="14065" priority="8827">
      <formula>LEN(TRIM(AI92))=0</formula>
    </cfRule>
    <cfRule type="containsBlanks" dxfId="14064" priority="8828">
      <formula>LEN(TRIM(AI92))=0</formula>
    </cfRule>
    <cfRule type="containsBlanks" dxfId="14063" priority="8829">
      <formula>LEN(TRIM(AI92))=0</formula>
    </cfRule>
    <cfRule type="containsBlanks" dxfId="14062" priority="8830">
      <formula>LEN(TRIM(AI92))=0</formula>
    </cfRule>
    <cfRule type="containsBlanks" dxfId="14061" priority="8831">
      <formula>LEN(TRIM(AI92))=0</formula>
    </cfRule>
    <cfRule type="containsBlanks" dxfId="14060" priority="8832">
      <formula>LEN(TRIM(AI92))=0</formula>
    </cfRule>
    <cfRule type="containsBlanks" dxfId="14059" priority="8833">
      <formula>LEN(TRIM(AI92))=0</formula>
    </cfRule>
    <cfRule type="containsBlanks" dxfId="14058" priority="8834">
      <formula>LEN(TRIM(AI92))=0</formula>
    </cfRule>
    <cfRule type="containsBlanks" dxfId="14057" priority="8835">
      <formula>LEN(TRIM(AI92))=0</formula>
    </cfRule>
    <cfRule type="containsBlanks" dxfId="14056" priority="8836">
      <formula>LEN(TRIM(AI92))=0</formula>
    </cfRule>
    <cfRule type="containsBlanks" dxfId="14055" priority="8837">
      <formula>LEN(TRIM(AI92))=0</formula>
    </cfRule>
    <cfRule type="containsBlanks" dxfId="14054" priority="8838">
      <formula>LEN(TRIM(AI92))=0</formula>
    </cfRule>
    <cfRule type="containsBlanks" dxfId="14053" priority="8839">
      <formula>LEN(TRIM(AI92))=0</formula>
    </cfRule>
    <cfRule type="containsBlanks" dxfId="14052" priority="8840">
      <formula>LEN(TRIM(AI92))=0</formula>
    </cfRule>
    <cfRule type="containsBlanks" dxfId="14051" priority="8841">
      <formula>LEN(TRIM(AI92))=0</formula>
    </cfRule>
    <cfRule type="containsBlanks" dxfId="14050" priority="8842">
      <formula>LEN(TRIM(AI92))=0</formula>
    </cfRule>
    <cfRule type="containsBlanks" dxfId="14049" priority="8843">
      <formula>LEN(TRIM(AI92))=0</formula>
    </cfRule>
    <cfRule type="containsBlanks" dxfId="14048" priority="8844">
      <formula>LEN(TRIM(AI92))=0</formula>
    </cfRule>
    <cfRule type="containsBlanks" dxfId="14047" priority="8845">
      <formula>LEN(TRIM(AI92))=0</formula>
    </cfRule>
    <cfRule type="containsBlanks" dxfId="14046" priority="8846">
      <formula>LEN(TRIM(AI92))=0</formula>
    </cfRule>
    <cfRule type="containsBlanks" dxfId="14045" priority="8847">
      <formula>LEN(TRIM(AI92))=0</formula>
    </cfRule>
    <cfRule type="containsBlanks" dxfId="14044" priority="8848">
      <formula>LEN(TRIM(AI92))=0</formula>
    </cfRule>
    <cfRule type="containsBlanks" dxfId="14043" priority="8849">
      <formula>LEN(TRIM(AI92))=0</formula>
    </cfRule>
    <cfRule type="containsBlanks" dxfId="14042" priority="8850">
      <formula>LEN(TRIM(AI92))=0</formula>
    </cfRule>
    <cfRule type="containsBlanks" dxfId="14041" priority="8851">
      <formula>LEN(TRIM(AI92))=0</formula>
    </cfRule>
    <cfRule type="containsBlanks" dxfId="14040" priority="8852">
      <formula>LEN(TRIM(AI92))=0</formula>
    </cfRule>
    <cfRule type="containsBlanks" dxfId="14039" priority="8853">
      <formula>LEN(TRIM(AI92))=0</formula>
    </cfRule>
    <cfRule type="containsBlanks" dxfId="14038" priority="8854">
      <formula>LEN(TRIM(AI92))=0</formula>
    </cfRule>
    <cfRule type="containsBlanks" dxfId="14037" priority="8855">
      <formula>LEN(TRIM(AI92))=0</formula>
    </cfRule>
    <cfRule type="containsBlanks" dxfId="14036" priority="8856">
      <formula>LEN(TRIM(AI92))=0</formula>
    </cfRule>
    <cfRule type="containsBlanks" dxfId="14035" priority="8857">
      <formula>LEN(TRIM(AI92))=0</formula>
    </cfRule>
    <cfRule type="containsBlanks" dxfId="14034" priority="8858">
      <formula>LEN(TRIM(AI92))=0</formula>
    </cfRule>
    <cfRule type="containsBlanks" dxfId="14033" priority="8859">
      <formula>LEN(TRIM(AI92))=0</formula>
    </cfRule>
    <cfRule type="containsBlanks" dxfId="14032" priority="8860">
      <formula>LEN(TRIM(AI92))=0</formula>
    </cfRule>
    <cfRule type="containsBlanks" dxfId="14031" priority="8861">
      <formula>LEN(TRIM(AI92))=0</formula>
    </cfRule>
    <cfRule type="containsBlanks" dxfId="14030" priority="8862">
      <formula>LEN(TRIM(AI92))=0</formula>
    </cfRule>
    <cfRule type="containsBlanks" dxfId="14029" priority="8863">
      <formula>LEN(TRIM(AI92))=0</formula>
    </cfRule>
    <cfRule type="containsBlanks" dxfId="14028" priority="8864">
      <formula>LEN(TRIM(AI92))=0</formula>
    </cfRule>
    <cfRule type="containsBlanks" dxfId="14027" priority="8865">
      <formula>LEN(TRIM(AI92))=0</formula>
    </cfRule>
    <cfRule type="containsBlanks" dxfId="14026" priority="8866">
      <formula>LEN(TRIM(AI92))=0</formula>
    </cfRule>
    <cfRule type="containsBlanks" dxfId="14025" priority="8867">
      <formula>LEN(TRIM(AI92))=0</formula>
    </cfRule>
    <cfRule type="containsBlanks" dxfId="14024" priority="8868">
      <formula>LEN(TRIM(AI92))=0</formula>
    </cfRule>
    <cfRule type="containsBlanks" dxfId="14023" priority="8869">
      <formula>LEN(TRIM(AI92))=0</formula>
    </cfRule>
    <cfRule type="containsBlanks" dxfId="14022" priority="8870">
      <formula>LEN(TRIM(AI92))=0</formula>
    </cfRule>
    <cfRule type="containsBlanks" dxfId="14021" priority="8871">
      <formula>LEN(TRIM(AI92))=0</formula>
    </cfRule>
    <cfRule type="containsBlanks" dxfId="14020" priority="8872">
      <formula>LEN(TRIM(AI92))=0</formula>
    </cfRule>
    <cfRule type="containsBlanks" dxfId="14019" priority="8873">
      <formula>LEN(TRIM(AI92))=0</formula>
    </cfRule>
    <cfRule type="containsBlanks" dxfId="14018" priority="8874">
      <formula>LEN(TRIM(AI92))=0</formula>
    </cfRule>
    <cfRule type="containsBlanks" dxfId="14017" priority="8875">
      <formula>LEN(TRIM(AI92))=0</formula>
    </cfRule>
    <cfRule type="containsBlanks" dxfId="14016" priority="8876">
      <formula>LEN(TRIM(AI92))=0</formula>
    </cfRule>
    <cfRule type="containsBlanks" dxfId="14015" priority="8877">
      <formula>LEN(TRIM(AI92))=0</formula>
    </cfRule>
    <cfRule type="containsBlanks" dxfId="14014" priority="8878">
      <formula>LEN(TRIM(AI92))=0</formula>
    </cfRule>
    <cfRule type="containsBlanks" dxfId="14013" priority="8879">
      <formula>LEN(TRIM(AI92))=0</formula>
    </cfRule>
    <cfRule type="containsBlanks" dxfId="14012" priority="8880">
      <formula>LEN(TRIM(AI92))=0</formula>
    </cfRule>
    <cfRule type="containsBlanks" dxfId="14011" priority="8881">
      <formula>LEN(TRIM(AI92))=0</formula>
    </cfRule>
    <cfRule type="containsBlanks" dxfId="14010" priority="8882">
      <formula>LEN(TRIM(AI92))=0</formula>
    </cfRule>
    <cfRule type="containsBlanks" dxfId="14009" priority="8883">
      <formula>LEN(TRIM(AI92))=0</formula>
    </cfRule>
    <cfRule type="containsBlanks" dxfId="14008" priority="8884">
      <formula>LEN(TRIM(AI92))=0</formula>
    </cfRule>
    <cfRule type="containsBlanks" dxfId="14007" priority="8885">
      <formula>LEN(TRIM(AI92))=0</formula>
    </cfRule>
    <cfRule type="containsBlanks" dxfId="14006" priority="8886">
      <formula>LEN(TRIM(AI92))=0</formula>
    </cfRule>
    <cfRule type="containsBlanks" dxfId="14005" priority="8887">
      <formula>LEN(TRIM(AI92))=0</formula>
    </cfRule>
    <cfRule type="containsBlanks" dxfId="14004" priority="8888">
      <formula>LEN(TRIM(AI92))=0</formula>
    </cfRule>
    <cfRule type="containsBlanks" dxfId="14003" priority="8889">
      <formula>LEN(TRIM(AI92))=0</formula>
    </cfRule>
    <cfRule type="containsBlanks" dxfId="14002" priority="8890">
      <formula>LEN(TRIM(AI92))=0</formula>
    </cfRule>
    <cfRule type="containsBlanks" dxfId="14001" priority="8891">
      <formula>LEN(TRIM(AI92))=0</formula>
    </cfRule>
    <cfRule type="containsBlanks" dxfId="14000" priority="8892">
      <formula>LEN(TRIM(AI92))=0</formula>
    </cfRule>
    <cfRule type="containsBlanks" dxfId="13999" priority="8893">
      <formula>LEN(TRIM(AI92))=0</formula>
    </cfRule>
    <cfRule type="containsBlanks" dxfId="13998" priority="8894">
      <formula>LEN(TRIM(AI92))=0</formula>
    </cfRule>
    <cfRule type="containsBlanks" dxfId="13997" priority="8895">
      <formula>LEN(TRIM(AI92))=0</formula>
    </cfRule>
    <cfRule type="containsBlanks" dxfId="13996" priority="8896">
      <formula>LEN(TRIM(AI92))=0</formula>
    </cfRule>
    <cfRule type="containsBlanks" dxfId="13995" priority="8897">
      <formula>LEN(TRIM(AI92))=0</formula>
    </cfRule>
    <cfRule type="containsBlanks" dxfId="13994" priority="8898">
      <formula>LEN(TRIM(AI92))=0</formula>
    </cfRule>
    <cfRule type="containsBlanks" dxfId="13993" priority="8899">
      <formula>LEN(TRIM(AI92))=0</formula>
    </cfRule>
    <cfRule type="containsBlanks" dxfId="13992" priority="8900">
      <formula>LEN(TRIM(AI92))=0</formula>
    </cfRule>
    <cfRule type="containsBlanks" dxfId="13991" priority="8901">
      <formula>LEN(TRIM(AI92))=0</formula>
    </cfRule>
    <cfRule type="containsBlanks" dxfId="13990" priority="8902">
      <formula>LEN(TRIM(AI92))=0</formula>
    </cfRule>
    <cfRule type="containsBlanks" dxfId="13989" priority="8903">
      <formula>LEN(TRIM(AI92))=0</formula>
    </cfRule>
    <cfRule type="containsBlanks" dxfId="13988" priority="8904">
      <formula>LEN(TRIM(AI92))=0</formula>
    </cfRule>
    <cfRule type="containsBlanks" dxfId="13987" priority="8905">
      <formula>LEN(TRIM(AI92))=0</formula>
    </cfRule>
    <cfRule type="containsBlanks" dxfId="13986" priority="8906">
      <formula>LEN(TRIM(AI92))=0</formula>
    </cfRule>
    <cfRule type="containsBlanks" dxfId="13985" priority="8907">
      <formula>LEN(TRIM(AI92))=0</formula>
    </cfRule>
    <cfRule type="containsBlanks" dxfId="13984" priority="8908">
      <formula>LEN(TRIM(AI92))=0</formula>
    </cfRule>
    <cfRule type="containsBlanks" dxfId="13983" priority="8909">
      <formula>LEN(TRIM(AI92))=0</formula>
    </cfRule>
    <cfRule type="containsBlanks" dxfId="13982" priority="8910">
      <formula>LEN(TRIM(AI92))=0</formula>
    </cfRule>
    <cfRule type="containsBlanks" dxfId="13981" priority="8911">
      <formula>LEN(TRIM(AI92))=0</formula>
    </cfRule>
    <cfRule type="containsBlanks" dxfId="13980" priority="8912">
      <formula>LEN(TRIM(AI92))=0</formula>
    </cfRule>
    <cfRule type="containsBlanks" dxfId="13979" priority="8913">
      <formula>LEN(TRIM(AI92))=0</formula>
    </cfRule>
    <cfRule type="containsBlanks" dxfId="13978" priority="8914">
      <formula>LEN(TRIM(AI92))=0</formula>
    </cfRule>
    <cfRule type="containsBlanks" dxfId="13977" priority="8915">
      <formula>LEN(TRIM(AI92))=0</formula>
    </cfRule>
    <cfRule type="containsBlanks" dxfId="13976" priority="8916">
      <formula>LEN(TRIM(AI92))=0</formula>
    </cfRule>
    <cfRule type="containsBlanks" dxfId="13975" priority="8917">
      <formula>LEN(TRIM(AI92))=0</formula>
    </cfRule>
    <cfRule type="containsBlanks" dxfId="13974" priority="8918">
      <formula>LEN(TRIM(AI92))=0</formula>
    </cfRule>
    <cfRule type="containsBlanks" dxfId="13973" priority="8919">
      <formula>LEN(TRIM(AI92))=0</formula>
    </cfRule>
    <cfRule type="containsBlanks" dxfId="13972" priority="8920">
      <formula>LEN(TRIM(AI92))=0</formula>
    </cfRule>
    <cfRule type="containsBlanks" dxfId="13971" priority="8921">
      <formula>LEN(TRIM(AI92))=0</formula>
    </cfRule>
    <cfRule type="containsBlanks" dxfId="13970" priority="8922">
      <formula>LEN(TRIM(AI92))=0</formula>
    </cfRule>
    <cfRule type="containsBlanks" dxfId="13969" priority="8923">
      <formula>LEN(TRIM(AI92))=0</formula>
    </cfRule>
    <cfRule type="containsBlanks" dxfId="13968" priority="8924">
      <formula>LEN(TRIM(AI92))=0</formula>
    </cfRule>
    <cfRule type="containsBlanks" dxfId="13967" priority="8925">
      <formula>LEN(TRIM(AI92))=0</formula>
    </cfRule>
    <cfRule type="containsBlanks" dxfId="13966" priority="8926">
      <formula>LEN(TRIM(AI92))=0</formula>
    </cfRule>
    <cfRule type="containsBlanks" dxfId="13965" priority="8927">
      <formula>LEN(TRIM(AI92))=0</formula>
    </cfRule>
    <cfRule type="containsBlanks" dxfId="13964" priority="8928">
      <formula>LEN(TRIM(AI92))=0</formula>
    </cfRule>
    <cfRule type="containsBlanks" dxfId="13963" priority="8929">
      <formula>LEN(TRIM(AI92))=0</formula>
    </cfRule>
    <cfRule type="containsBlanks" dxfId="13962" priority="8930">
      <formula>LEN(TRIM(AI92))=0</formula>
    </cfRule>
    <cfRule type="containsBlanks" dxfId="13961" priority="8931">
      <formula>LEN(TRIM(AI92))=0</formula>
    </cfRule>
    <cfRule type="containsBlanks" dxfId="13960" priority="8932">
      <formula>LEN(TRIM(AI92))=0</formula>
    </cfRule>
    <cfRule type="containsBlanks" dxfId="13959" priority="8933">
      <formula>LEN(TRIM(AI92))=0</formula>
    </cfRule>
    <cfRule type="containsBlanks" dxfId="13958" priority="8934">
      <formula>LEN(TRIM(AI92))=0</formula>
    </cfRule>
    <cfRule type="containsBlanks" dxfId="13957" priority="8935">
      <formula>LEN(TRIM(AI92))=0</formula>
    </cfRule>
    <cfRule type="containsBlanks" dxfId="13956" priority="8936">
      <formula>LEN(TRIM(AI92))=0</formula>
    </cfRule>
    <cfRule type="containsBlanks" dxfId="13955" priority="8937">
      <formula>LEN(TRIM(AI92))=0</formula>
    </cfRule>
    <cfRule type="containsBlanks" dxfId="13954" priority="8938">
      <formula>LEN(TRIM(AI92))=0</formula>
    </cfRule>
    <cfRule type="containsBlanks" dxfId="13953" priority="8939">
      <formula>LEN(TRIM(AI92))=0</formula>
    </cfRule>
    <cfRule type="containsBlanks" dxfId="13952" priority="8940">
      <formula>LEN(TRIM(AI92))=0</formula>
    </cfRule>
    <cfRule type="containsBlanks" dxfId="13951" priority="8941">
      <formula>LEN(TRIM(AI92))=0</formula>
    </cfRule>
    <cfRule type="containsBlanks" dxfId="13950" priority="8942">
      <formula>LEN(TRIM(AI92))=0</formula>
    </cfRule>
    <cfRule type="containsBlanks" dxfId="13949" priority="8943">
      <formula>LEN(TRIM(AI92))=0</formula>
    </cfRule>
    <cfRule type="containsBlanks" dxfId="13948" priority="8944">
      <formula>LEN(TRIM(AI92))=0</formula>
    </cfRule>
    <cfRule type="containsBlanks" dxfId="13947" priority="8945">
      <formula>LEN(TRIM(AI92))=0</formula>
    </cfRule>
    <cfRule type="containsBlanks" dxfId="13946" priority="8946">
      <formula>LEN(TRIM(AI92))=0</formula>
    </cfRule>
    <cfRule type="containsBlanks" dxfId="13945" priority="8947">
      <formula>LEN(TRIM(AI92))=0</formula>
    </cfRule>
    <cfRule type="containsBlanks" dxfId="13944" priority="8948">
      <formula>LEN(TRIM(AI92))=0</formula>
    </cfRule>
    <cfRule type="containsBlanks" dxfId="13943" priority="8949">
      <formula>LEN(TRIM(AI92))=0</formula>
    </cfRule>
    <cfRule type="containsBlanks" dxfId="13942" priority="8950">
      <formula>LEN(TRIM(AI92))=0</formula>
    </cfRule>
    <cfRule type="containsBlanks" dxfId="13941" priority="8951">
      <formula>LEN(TRIM(AI92))=0</formula>
    </cfRule>
    <cfRule type="containsBlanks" dxfId="13940" priority="8952">
      <formula>LEN(TRIM(AI92))=0</formula>
    </cfRule>
    <cfRule type="containsBlanks" dxfId="13939" priority="8953">
      <formula>LEN(TRIM(AI92))=0</formula>
    </cfRule>
    <cfRule type="containsBlanks" dxfId="13938" priority="8954">
      <formula>LEN(TRIM(AI92))=0</formula>
    </cfRule>
    <cfRule type="containsBlanks" dxfId="13937" priority="8955">
      <formula>LEN(TRIM(AI92))=0</formula>
    </cfRule>
    <cfRule type="containsBlanks" dxfId="13936" priority="8956">
      <formula>LEN(TRIM(AI92))=0</formula>
    </cfRule>
    <cfRule type="containsBlanks" dxfId="13935" priority="8957">
      <formula>LEN(TRIM(AI92))=0</formula>
    </cfRule>
    <cfRule type="containsBlanks" dxfId="13934" priority="8958">
      <formula>LEN(TRIM(AI92))=0</formula>
    </cfRule>
    <cfRule type="containsBlanks" dxfId="13933" priority="8959">
      <formula>LEN(TRIM(AI92))=0</formula>
    </cfRule>
    <cfRule type="containsBlanks" dxfId="13932" priority="8960">
      <formula>LEN(TRIM(AI92))=0</formula>
    </cfRule>
    <cfRule type="containsBlanks" dxfId="13931" priority="8961">
      <formula>LEN(TRIM(AI92))=0</formula>
    </cfRule>
    <cfRule type="containsBlanks" dxfId="13930" priority="8962">
      <formula>LEN(TRIM(AI92))=0</formula>
    </cfRule>
    <cfRule type="containsBlanks" dxfId="13929" priority="8963">
      <formula>LEN(TRIM(AI92))=0</formula>
    </cfRule>
    <cfRule type="containsBlanks" dxfId="13928" priority="8964">
      <formula>LEN(TRIM(AI92))=0</formula>
    </cfRule>
    <cfRule type="containsBlanks" dxfId="13927" priority="8965">
      <formula>LEN(TRIM(AI92))=0</formula>
    </cfRule>
    <cfRule type="containsBlanks" dxfId="13926" priority="8966">
      <formula>LEN(TRIM(AI92))=0</formula>
    </cfRule>
    <cfRule type="containsBlanks" dxfId="13925" priority="8967">
      <formula>LEN(TRIM(AI92))=0</formula>
    </cfRule>
    <cfRule type="containsBlanks" dxfId="13924" priority="8968">
      <formula>LEN(TRIM(AI92))=0</formula>
    </cfRule>
    <cfRule type="containsBlanks" dxfId="13923" priority="8969">
      <formula>LEN(TRIM(AI92))=0</formula>
    </cfRule>
    <cfRule type="containsBlanks" dxfId="13922" priority="8970">
      <formula>LEN(TRIM(AI92))=0</formula>
    </cfRule>
    <cfRule type="containsBlanks" dxfId="13921" priority="8971">
      <formula>LEN(TRIM(AI92))=0</formula>
    </cfRule>
    <cfRule type="containsBlanks" dxfId="13920" priority="8972">
      <formula>LEN(TRIM(AI92))=0</formula>
    </cfRule>
    <cfRule type="containsBlanks" dxfId="13919" priority="8973">
      <formula>LEN(TRIM(AI92))=0</formula>
    </cfRule>
    <cfRule type="containsBlanks" dxfId="13918" priority="8974">
      <formula>LEN(TRIM(AI92))=0</formula>
    </cfRule>
    <cfRule type="containsBlanks" dxfId="13917" priority="8975">
      <formula>LEN(TRIM(AI92))=0</formula>
    </cfRule>
    <cfRule type="containsBlanks" dxfId="13916" priority="8976">
      <formula>LEN(TRIM(AI92))=0</formula>
    </cfRule>
    <cfRule type="containsBlanks" dxfId="13915" priority="8977">
      <formula>LEN(TRIM(AI92))=0</formula>
    </cfRule>
    <cfRule type="containsBlanks" dxfId="13914" priority="8978">
      <formula>LEN(TRIM(AI92))=0</formula>
    </cfRule>
    <cfRule type="containsBlanks" dxfId="13913" priority="8979">
      <formula>LEN(TRIM(AI92))=0</formula>
    </cfRule>
    <cfRule type="containsBlanks" dxfId="13912" priority="8980">
      <formula>LEN(TRIM(AI92))=0</formula>
    </cfRule>
    <cfRule type="containsBlanks" dxfId="13911" priority="8981">
      <formula>LEN(TRIM(AI92))=0</formula>
    </cfRule>
    <cfRule type="containsBlanks" dxfId="13910" priority="8982">
      <formula>LEN(TRIM(AI92))=0</formula>
    </cfRule>
    <cfRule type="containsBlanks" dxfId="13909" priority="8983">
      <formula>LEN(TRIM(AI92))=0</formula>
    </cfRule>
    <cfRule type="containsBlanks" dxfId="13908" priority="8984">
      <formula>LEN(TRIM(AI92))=0</formula>
    </cfRule>
    <cfRule type="containsBlanks" dxfId="13907" priority="8985">
      <formula>LEN(TRIM(AI92))=0</formula>
    </cfRule>
    <cfRule type="containsBlanks" dxfId="13906" priority="8986">
      <formula>LEN(TRIM(AI92))=0</formula>
    </cfRule>
    <cfRule type="containsBlanks" dxfId="13905" priority="8987">
      <formula>LEN(TRIM(AI92))=0</formula>
    </cfRule>
    <cfRule type="containsBlanks" dxfId="13904" priority="8988">
      <formula>LEN(TRIM(AI92))=0</formula>
    </cfRule>
    <cfRule type="containsBlanks" dxfId="13903" priority="8989">
      <formula>LEN(TRIM(AI92))=0</formula>
    </cfRule>
    <cfRule type="containsBlanks" dxfId="13902" priority="8990">
      <formula>LEN(TRIM(AI92))=0</formula>
    </cfRule>
    <cfRule type="containsBlanks" dxfId="13901" priority="8991">
      <formula>LEN(TRIM(AI92))=0</formula>
    </cfRule>
    <cfRule type="containsBlanks" dxfId="13900" priority="8992">
      <formula>LEN(TRIM(AI92))=0</formula>
    </cfRule>
    <cfRule type="containsBlanks" dxfId="13899" priority="8993">
      <formula>LEN(TRIM(AI92))=0</formula>
    </cfRule>
    <cfRule type="containsBlanks" dxfId="13898" priority="8994">
      <formula>LEN(TRIM(AI92))=0</formula>
    </cfRule>
    <cfRule type="containsBlanks" dxfId="13897" priority="8995">
      <formula>LEN(TRIM(AI92))=0</formula>
    </cfRule>
    <cfRule type="containsBlanks" dxfId="13896" priority="8996">
      <formula>LEN(TRIM(AI92))=0</formula>
    </cfRule>
    <cfRule type="containsBlanks" dxfId="13895" priority="8997">
      <formula>LEN(TRIM(AI92))=0</formula>
    </cfRule>
    <cfRule type="containsBlanks" dxfId="13894" priority="8998">
      <formula>LEN(TRIM(AI92))=0</formula>
    </cfRule>
    <cfRule type="containsBlanks" dxfId="13893" priority="8999">
      <formula>LEN(TRIM(AI92))=0</formula>
    </cfRule>
    <cfRule type="containsBlanks" dxfId="13892" priority="9000">
      <formula>LEN(TRIM(AI92))=0</formula>
    </cfRule>
    <cfRule type="containsBlanks" dxfId="13891" priority="9001">
      <formula>LEN(TRIM(AI92))=0</formula>
    </cfRule>
    <cfRule type="containsBlanks" dxfId="13890" priority="9002">
      <formula>LEN(TRIM(AI92))=0</formula>
    </cfRule>
    <cfRule type="containsBlanks" dxfId="13889" priority="9003">
      <formula>LEN(TRIM(AI92))=0</formula>
    </cfRule>
    <cfRule type="containsBlanks" dxfId="13888" priority="9004">
      <formula>LEN(TRIM(AI92))=0</formula>
    </cfRule>
    <cfRule type="containsBlanks" dxfId="13887" priority="9005">
      <formula>LEN(TRIM(AI92))=0</formula>
    </cfRule>
    <cfRule type="containsBlanks" dxfId="13886" priority="9006">
      <formula>LEN(TRIM(AI92))=0</formula>
    </cfRule>
    <cfRule type="containsBlanks" dxfId="13885" priority="9007">
      <formula>LEN(TRIM(AI92))=0</formula>
    </cfRule>
    <cfRule type="containsBlanks" dxfId="13884" priority="9008">
      <formula>LEN(TRIM(AI92))=0</formula>
    </cfRule>
    <cfRule type="containsBlanks" dxfId="13883" priority="9009">
      <formula>LEN(TRIM(AI92))=0</formula>
    </cfRule>
    <cfRule type="containsBlanks" dxfId="13882" priority="9010">
      <formula>LEN(TRIM(AI92))=0</formula>
    </cfRule>
    <cfRule type="containsBlanks" dxfId="13881" priority="9011">
      <formula>LEN(TRIM(AI92))=0</formula>
    </cfRule>
    <cfRule type="containsBlanks" dxfId="13880" priority="9012">
      <formula>LEN(TRIM(AI92))=0</formula>
    </cfRule>
    <cfRule type="containsBlanks" dxfId="13879" priority="9013">
      <formula>LEN(TRIM(AI92))=0</formula>
    </cfRule>
    <cfRule type="containsBlanks" dxfId="13878" priority="9014">
      <formula>LEN(TRIM(AI92))=0</formula>
    </cfRule>
    <cfRule type="containsBlanks" dxfId="13877" priority="9015">
      <formula>LEN(TRIM(AI92))=0</formula>
    </cfRule>
    <cfRule type="containsBlanks" dxfId="13876" priority="9016">
      <formula>LEN(TRIM(AI92))=0</formula>
    </cfRule>
    <cfRule type="containsBlanks" dxfId="13875" priority="9017">
      <formula>LEN(TRIM(AI92))=0</formula>
    </cfRule>
    <cfRule type="containsBlanks" dxfId="13874" priority="9018">
      <formula>LEN(TRIM(AI92))=0</formula>
    </cfRule>
    <cfRule type="containsBlanks" dxfId="13873" priority="9019">
      <formula>LEN(TRIM(AI92))=0</formula>
    </cfRule>
    <cfRule type="containsBlanks" dxfId="13872" priority="9020">
      <formula>LEN(TRIM(AI92))=0</formula>
    </cfRule>
    <cfRule type="containsBlanks" dxfId="13871" priority="9021">
      <formula>LEN(TRIM(AI92))=0</formula>
    </cfRule>
    <cfRule type="containsBlanks" dxfId="13870" priority="9022">
      <formula>LEN(TRIM(AI92))=0</formula>
    </cfRule>
    <cfRule type="containsBlanks" dxfId="13869" priority="9023">
      <formula>LEN(TRIM(AI92))=0</formula>
    </cfRule>
    <cfRule type="containsBlanks" dxfId="13868" priority="9024">
      <formula>LEN(TRIM(AI92))=0</formula>
    </cfRule>
    <cfRule type="containsBlanks" dxfId="13867" priority="9025">
      <formula>LEN(TRIM(AI92))=0</formula>
    </cfRule>
    <cfRule type="containsBlanks" dxfId="13866" priority="9026">
      <formula>LEN(TRIM(AI92))=0</formula>
    </cfRule>
    <cfRule type="containsBlanks" dxfId="13865" priority="9027">
      <formula>LEN(TRIM(AI92))=0</formula>
    </cfRule>
    <cfRule type="containsBlanks" dxfId="13864" priority="9028">
      <formula>LEN(TRIM(AI92))=0</formula>
    </cfRule>
    <cfRule type="containsBlanks" dxfId="13863" priority="9029">
      <formula>LEN(TRIM(AI92))=0</formula>
    </cfRule>
    <cfRule type="containsBlanks" dxfId="13862" priority="9030">
      <formula>LEN(TRIM(AI92))=0</formula>
    </cfRule>
    <cfRule type="containsBlanks" dxfId="13861" priority="9031">
      <formula>LEN(TRIM(AI92))=0</formula>
    </cfRule>
    <cfRule type="containsBlanks" dxfId="13860" priority="9032">
      <formula>LEN(TRIM(AI92))=0</formula>
    </cfRule>
    <cfRule type="containsBlanks" dxfId="13859" priority="9033">
      <formula>LEN(TRIM(AI92))=0</formula>
    </cfRule>
    <cfRule type="containsBlanks" dxfId="13858" priority="9034">
      <formula>LEN(TRIM(AI92))=0</formula>
    </cfRule>
    <cfRule type="containsBlanks" dxfId="13857" priority="9035">
      <formula>LEN(TRIM(AI92))=0</formula>
    </cfRule>
    <cfRule type="containsBlanks" dxfId="13856" priority="9036">
      <formula>LEN(TRIM(AI92))=0</formula>
    </cfRule>
    <cfRule type="containsBlanks" dxfId="13855" priority="9037">
      <formula>LEN(TRIM(AI92))=0</formula>
    </cfRule>
    <cfRule type="containsBlanks" dxfId="13854" priority="9038">
      <formula>LEN(TRIM(AI92))=0</formula>
    </cfRule>
    <cfRule type="containsBlanks" dxfId="13853" priority="9039">
      <formula>LEN(TRIM(AI92))=0</formula>
    </cfRule>
    <cfRule type="containsBlanks" dxfId="13852" priority="9040">
      <formula>LEN(TRIM(AI92))=0</formula>
    </cfRule>
    <cfRule type="containsBlanks" dxfId="13851" priority="9041">
      <formula>LEN(TRIM(AI92))=0</formula>
    </cfRule>
    <cfRule type="containsBlanks" dxfId="13850" priority="9042">
      <formula>LEN(TRIM(AI92))=0</formula>
    </cfRule>
    <cfRule type="containsBlanks" dxfId="13849" priority="9043">
      <formula>LEN(TRIM(AI92))=0</formula>
    </cfRule>
    <cfRule type="containsBlanks" dxfId="13848" priority="9044">
      <formula>LEN(TRIM(AI92))=0</formula>
    </cfRule>
    <cfRule type="containsBlanks" dxfId="13847" priority="9045">
      <formula>LEN(TRIM(AI92))=0</formula>
    </cfRule>
    <cfRule type="containsBlanks" dxfId="13846" priority="9046">
      <formula>LEN(TRIM(AI92))=0</formula>
    </cfRule>
    <cfRule type="containsBlanks" dxfId="13845" priority="9047">
      <formula>LEN(TRIM(AI92))=0</formula>
    </cfRule>
    <cfRule type="containsBlanks" dxfId="13844" priority="9048">
      <formula>LEN(TRIM(AI92))=0</formula>
    </cfRule>
    <cfRule type="containsBlanks" dxfId="13843" priority="9049">
      <formula>LEN(TRIM(AI92))=0</formula>
    </cfRule>
    <cfRule type="containsBlanks" dxfId="13842" priority="9050">
      <formula>LEN(TRIM(AI92))=0</formula>
    </cfRule>
    <cfRule type="containsBlanks" dxfId="13841" priority="9051">
      <formula>LEN(TRIM(AI92))=0</formula>
    </cfRule>
    <cfRule type="containsBlanks" dxfId="13840" priority="9052">
      <formula>LEN(TRIM(AI92))=0</formula>
    </cfRule>
    <cfRule type="containsBlanks" dxfId="13839" priority="9053">
      <formula>LEN(TRIM(AI92))=0</formula>
    </cfRule>
  </conditionalFormatting>
  <conditionalFormatting sqref="AI93">
    <cfRule type="containsBlanks" dxfId="13838" priority="8803">
      <formula>LEN(TRIM(AI93))=0</formula>
    </cfRule>
  </conditionalFormatting>
  <conditionalFormatting sqref="AI93">
    <cfRule type="containsBlanks" dxfId="13837" priority="8802">
      <formula>LEN(TRIM(AI93))=0</formula>
    </cfRule>
  </conditionalFormatting>
  <conditionalFormatting sqref="AI93">
    <cfRule type="containsBlanks" dxfId="13836" priority="8800">
      <formula>LEN(TRIM(AI93))=0</formula>
    </cfRule>
    <cfRule type="containsBlanks" dxfId="13835" priority="8801">
      <formula>LEN(TRIM(AI93))=0</formula>
    </cfRule>
  </conditionalFormatting>
  <conditionalFormatting sqref="AI93">
    <cfRule type="containsBlanks" dxfId="13834" priority="8799">
      <formula>LEN(TRIM(AI93))=0</formula>
    </cfRule>
  </conditionalFormatting>
  <conditionalFormatting sqref="AI93">
    <cfRule type="containsBlanks" dxfId="13833" priority="8798">
      <formula>LEN(TRIM(AI93))=0</formula>
    </cfRule>
  </conditionalFormatting>
  <conditionalFormatting sqref="AI93">
    <cfRule type="containsBlanks" dxfId="13832" priority="8797">
      <formula>LEN(TRIM(AI93))=0</formula>
    </cfRule>
  </conditionalFormatting>
  <conditionalFormatting sqref="AI93">
    <cfRule type="containsBlanks" dxfId="13831" priority="8795">
      <formula>LEN(TRIM(AI93))=0</formula>
    </cfRule>
    <cfRule type="containsBlanks" dxfId="13830" priority="8796">
      <formula>LEN(TRIM(AI93))=0</formula>
    </cfRule>
  </conditionalFormatting>
  <conditionalFormatting sqref="AI93">
    <cfRule type="containsBlanks" dxfId="13829" priority="8793">
      <formula>LEN(TRIM(AI93))=0</formula>
    </cfRule>
    <cfRule type="containsBlanks" dxfId="13828" priority="8794">
      <formula>LEN(TRIM(AI93))=0</formula>
    </cfRule>
  </conditionalFormatting>
  <conditionalFormatting sqref="AI93">
    <cfRule type="containsBlanks" dxfId="13827" priority="8791">
      <formula>LEN(TRIM(AI93))=0</formula>
    </cfRule>
    <cfRule type="containsBlanks" dxfId="13826" priority="8792">
      <formula>LEN(TRIM(AI93))=0</formula>
    </cfRule>
  </conditionalFormatting>
  <conditionalFormatting sqref="AI93">
    <cfRule type="containsBlanks" dxfId="13825" priority="8789">
      <formula>LEN(TRIM(AI93))=0</formula>
    </cfRule>
    <cfRule type="containsBlanks" dxfId="13824" priority="8790">
      <formula>LEN(TRIM(AI93))=0</formula>
    </cfRule>
  </conditionalFormatting>
  <conditionalFormatting sqref="AI93">
    <cfRule type="containsBlanks" dxfId="13823" priority="8723">
      <formula>LEN(TRIM(AI93))=0</formula>
    </cfRule>
    <cfRule type="containsBlanks" dxfId="13822" priority="8724">
      <formula>LEN(TRIM(AI93))=0</formula>
    </cfRule>
    <cfRule type="containsBlanks" dxfId="13821" priority="8725">
      <formula>LEN(TRIM(AI93))=0</formula>
    </cfRule>
    <cfRule type="containsBlanks" dxfId="13820" priority="8726">
      <formula>LEN(TRIM(AI93))=0</formula>
    </cfRule>
    <cfRule type="containsBlanks" dxfId="13819" priority="8727">
      <formula>LEN(TRIM(AI93))=0</formula>
    </cfRule>
    <cfRule type="containsBlanks" dxfId="13818" priority="8728">
      <formula>LEN(TRIM(AI93))=0</formula>
    </cfRule>
    <cfRule type="containsBlanks" dxfId="13817" priority="8729">
      <formula>LEN(TRIM(AI93))=0</formula>
    </cfRule>
    <cfRule type="containsBlanks" dxfId="13816" priority="8730">
      <formula>LEN(TRIM(AI93))=0</formula>
    </cfRule>
    <cfRule type="containsBlanks" dxfId="13815" priority="8731">
      <formula>LEN(TRIM(AI93))=0</formula>
    </cfRule>
    <cfRule type="containsBlanks" dxfId="13814" priority="8732">
      <formula>LEN(TRIM(AI93))=0</formula>
    </cfRule>
    <cfRule type="containsBlanks" dxfId="13813" priority="8733">
      <formula>LEN(TRIM(AI93))=0</formula>
    </cfRule>
    <cfRule type="containsBlanks" dxfId="13812" priority="8734">
      <formula>LEN(TRIM(AI93))=0</formula>
    </cfRule>
    <cfRule type="containsBlanks" dxfId="13811" priority="8735">
      <formula>LEN(TRIM(AI93))=0</formula>
    </cfRule>
    <cfRule type="containsBlanks" dxfId="13810" priority="8736">
      <formula>LEN(TRIM(AI93))=0</formula>
    </cfRule>
    <cfRule type="containsBlanks" dxfId="13809" priority="8737">
      <formula>LEN(TRIM(AI93))=0</formula>
    </cfRule>
    <cfRule type="containsBlanks" dxfId="13808" priority="8738">
      <formula>LEN(TRIM(AI93))=0</formula>
    </cfRule>
    <cfRule type="containsBlanks" dxfId="13807" priority="8739">
      <formula>LEN(TRIM(AI93))=0</formula>
    </cfRule>
    <cfRule type="containsBlanks" dxfId="13806" priority="8740">
      <formula>LEN(TRIM(AI93))=0</formula>
    </cfRule>
    <cfRule type="containsBlanks" dxfId="13805" priority="8741">
      <formula>LEN(TRIM(AI93))=0</formula>
    </cfRule>
    <cfRule type="containsBlanks" dxfId="13804" priority="8742">
      <formula>LEN(TRIM(AI93))=0</formula>
    </cfRule>
    <cfRule type="containsBlanks" dxfId="13803" priority="8743">
      <formula>LEN(TRIM(AI93))=0</formula>
    </cfRule>
    <cfRule type="containsBlanks" dxfId="13802" priority="8744">
      <formula>LEN(TRIM(AI93))=0</formula>
    </cfRule>
    <cfRule type="containsBlanks" dxfId="13801" priority="8745">
      <formula>LEN(TRIM(AI93))=0</formula>
    </cfRule>
    <cfRule type="containsBlanks" dxfId="13800" priority="8746">
      <formula>LEN(TRIM(AI93))=0</formula>
    </cfRule>
    <cfRule type="containsBlanks" dxfId="13799" priority="8747">
      <formula>LEN(TRIM(AI93))=0</formula>
    </cfRule>
    <cfRule type="containsBlanks" dxfId="13798" priority="8748">
      <formula>LEN(TRIM(AI93))=0</formula>
    </cfRule>
    <cfRule type="containsBlanks" dxfId="13797" priority="8749">
      <formula>LEN(TRIM(AI93))=0</formula>
    </cfRule>
    <cfRule type="containsBlanks" dxfId="13796" priority="8750">
      <formula>LEN(TRIM(AI93))=0</formula>
    </cfRule>
    <cfRule type="containsBlanks" dxfId="13795" priority="8751">
      <formula>LEN(TRIM(AI93))=0</formula>
    </cfRule>
    <cfRule type="containsBlanks" dxfId="13794" priority="8752">
      <formula>LEN(TRIM(AI93))=0</formula>
    </cfRule>
    <cfRule type="containsBlanks" dxfId="13793" priority="8753">
      <formula>LEN(TRIM(AI93))=0</formula>
    </cfRule>
    <cfRule type="containsBlanks" dxfId="13792" priority="8754">
      <formula>LEN(TRIM(AI93))=0</formula>
    </cfRule>
    <cfRule type="containsBlanks" dxfId="13791" priority="8755">
      <formula>LEN(TRIM(AI93))=0</formula>
    </cfRule>
    <cfRule type="containsBlanks" dxfId="13790" priority="8756">
      <formula>LEN(TRIM(AI93))=0</formula>
    </cfRule>
    <cfRule type="containsBlanks" dxfId="13789" priority="8757">
      <formula>LEN(TRIM(AI93))=0</formula>
    </cfRule>
    <cfRule type="containsBlanks" dxfId="13788" priority="8758">
      <formula>LEN(TRIM(AI93))=0</formula>
    </cfRule>
    <cfRule type="containsBlanks" dxfId="13787" priority="8759">
      <formula>LEN(TRIM(AI93))=0</formula>
    </cfRule>
    <cfRule type="containsBlanks" dxfId="13786" priority="8760">
      <formula>LEN(TRIM(AI93))=0</formula>
    </cfRule>
    <cfRule type="containsBlanks" dxfId="13785" priority="8761">
      <formula>LEN(TRIM(AI93))=0</formula>
    </cfRule>
    <cfRule type="containsBlanks" dxfId="13784" priority="8762">
      <formula>LEN(TRIM(AI93))=0</formula>
    </cfRule>
    <cfRule type="containsBlanks" dxfId="13783" priority="8763">
      <formula>LEN(TRIM(AI93))=0</formula>
    </cfRule>
    <cfRule type="containsBlanks" dxfId="13782" priority="8764">
      <formula>LEN(TRIM(AI93))=0</formula>
    </cfRule>
    <cfRule type="containsBlanks" dxfId="13781" priority="8765">
      <formula>LEN(TRIM(AI93))=0</formula>
    </cfRule>
    <cfRule type="containsBlanks" dxfId="13780" priority="8766">
      <formula>LEN(TRIM(AI93))=0</formula>
    </cfRule>
    <cfRule type="containsBlanks" dxfId="13779" priority="8767">
      <formula>LEN(TRIM(AI93))=0</formula>
    </cfRule>
    <cfRule type="containsBlanks" dxfId="13778" priority="8768">
      <formula>LEN(TRIM(AI93))=0</formula>
    </cfRule>
    <cfRule type="containsBlanks" dxfId="13777" priority="8769">
      <formula>LEN(TRIM(AI93))=0</formula>
    </cfRule>
    <cfRule type="containsBlanks" dxfId="13776" priority="8770">
      <formula>LEN(TRIM(AI93))=0</formula>
    </cfRule>
    <cfRule type="containsBlanks" dxfId="13775" priority="8771">
      <formula>LEN(TRIM(AI93))=0</formula>
    </cfRule>
    <cfRule type="containsBlanks" dxfId="13774" priority="8772">
      <formula>LEN(TRIM(AI93))=0</formula>
    </cfRule>
    <cfRule type="containsBlanks" dxfId="13773" priority="8773">
      <formula>LEN(TRIM(AI93))=0</formula>
    </cfRule>
    <cfRule type="containsBlanks" dxfId="13772" priority="8774">
      <formula>LEN(TRIM(AI93))=0</formula>
    </cfRule>
    <cfRule type="containsBlanks" dxfId="13771" priority="8775">
      <formula>LEN(TRIM(AI93))=0</formula>
    </cfRule>
    <cfRule type="containsBlanks" dxfId="13770" priority="8776">
      <formula>LEN(TRIM(AI93))=0</formula>
    </cfRule>
    <cfRule type="containsBlanks" dxfId="13769" priority="8777">
      <formula>LEN(TRIM(AI93))=0</formula>
    </cfRule>
    <cfRule type="containsBlanks" dxfId="13768" priority="8778">
      <formula>LEN(TRIM(AI93))=0</formula>
    </cfRule>
    <cfRule type="containsBlanks" dxfId="13767" priority="8779">
      <formula>LEN(TRIM(AI93))=0</formula>
    </cfRule>
    <cfRule type="containsBlanks" dxfId="13766" priority="8780">
      <formula>LEN(TRIM(AI93))=0</formula>
    </cfRule>
    <cfRule type="containsBlanks" dxfId="13765" priority="8781">
      <formula>LEN(TRIM(AI93))=0</formula>
    </cfRule>
    <cfRule type="containsBlanks" dxfId="13764" priority="8782">
      <formula>LEN(TRIM(AI93))=0</formula>
    </cfRule>
    <cfRule type="containsBlanks" dxfId="13763" priority="8783">
      <formula>LEN(TRIM(AI93))=0</formula>
    </cfRule>
    <cfRule type="containsBlanks" dxfId="13762" priority="8784">
      <formula>LEN(TRIM(AI93))=0</formula>
    </cfRule>
    <cfRule type="containsBlanks" dxfId="13761" priority="8785">
      <formula>LEN(TRIM(AI93))=0</formula>
    </cfRule>
    <cfRule type="containsBlanks" dxfId="13760" priority="8786">
      <formula>LEN(TRIM(AI93))=0</formula>
    </cfRule>
    <cfRule type="containsBlanks" dxfId="13759" priority="8787">
      <formula>LEN(TRIM(AI93))=0</formula>
    </cfRule>
    <cfRule type="containsBlanks" dxfId="13758" priority="8788">
      <formula>LEN(TRIM(AI93))=0</formula>
    </cfRule>
  </conditionalFormatting>
  <conditionalFormatting sqref="AI93">
    <cfRule type="containsBlanks" dxfId="13757" priority="8668">
      <formula>LEN(TRIM(AI93))=0</formula>
    </cfRule>
    <cfRule type="containsBlanks" dxfId="13756" priority="8669">
      <formula>LEN(TRIM(AI93))=0</formula>
    </cfRule>
    <cfRule type="containsBlanks" dxfId="13755" priority="8670">
      <formula>LEN(TRIM(AI93))=0</formula>
    </cfRule>
    <cfRule type="containsBlanks" dxfId="13754" priority="8671">
      <formula>LEN(TRIM(AI93))=0</formula>
    </cfRule>
    <cfRule type="containsBlanks" dxfId="13753" priority="8672">
      <formula>LEN(TRIM(AI93))=0</formula>
    </cfRule>
    <cfRule type="containsBlanks" dxfId="13752" priority="8673">
      <formula>LEN(TRIM(AI93))=0</formula>
    </cfRule>
    <cfRule type="containsBlanks" dxfId="13751" priority="8674">
      <formula>LEN(TRIM(AI93))=0</formula>
    </cfRule>
    <cfRule type="containsBlanks" dxfId="13750" priority="8675">
      <formula>LEN(TRIM(AI93))=0</formula>
    </cfRule>
    <cfRule type="containsBlanks" dxfId="13749" priority="8676">
      <formula>LEN(TRIM(AI93))=0</formula>
    </cfRule>
    <cfRule type="containsBlanks" dxfId="13748" priority="8677">
      <formula>LEN(TRIM(AI93))=0</formula>
    </cfRule>
    <cfRule type="containsBlanks" dxfId="13747" priority="8678">
      <formula>LEN(TRIM(AI93))=0</formula>
    </cfRule>
    <cfRule type="containsBlanks" dxfId="13746" priority="8679">
      <formula>LEN(TRIM(AI93))=0</formula>
    </cfRule>
    <cfRule type="containsBlanks" dxfId="13745" priority="8680">
      <formula>LEN(TRIM(AI93))=0</formula>
    </cfRule>
    <cfRule type="containsBlanks" dxfId="13744" priority="8681">
      <formula>LEN(TRIM(AI93))=0</formula>
    </cfRule>
    <cfRule type="containsBlanks" dxfId="13743" priority="8682">
      <formula>LEN(TRIM(AI93))=0</formula>
    </cfRule>
    <cfRule type="containsBlanks" dxfId="13742" priority="8683">
      <formula>LEN(TRIM(AI93))=0</formula>
    </cfRule>
    <cfRule type="containsBlanks" dxfId="13741" priority="8684">
      <formula>LEN(TRIM(AI93))=0</formula>
    </cfRule>
    <cfRule type="containsBlanks" dxfId="13740" priority="8685">
      <formula>LEN(TRIM(AI93))=0</formula>
    </cfRule>
    <cfRule type="containsBlanks" dxfId="13739" priority="8686">
      <formula>LEN(TRIM(AI93))=0</formula>
    </cfRule>
    <cfRule type="containsBlanks" dxfId="13738" priority="8687">
      <formula>LEN(TRIM(AI93))=0</formula>
    </cfRule>
    <cfRule type="containsBlanks" dxfId="13737" priority="8688">
      <formula>LEN(TRIM(AI93))=0</formula>
    </cfRule>
    <cfRule type="containsBlanks" dxfId="13736" priority="8689">
      <formula>LEN(TRIM(AI93))=0</formula>
    </cfRule>
    <cfRule type="containsBlanks" dxfId="13735" priority="8690">
      <formula>LEN(TRIM(AI93))=0</formula>
    </cfRule>
    <cfRule type="containsBlanks" dxfId="13734" priority="8691">
      <formula>LEN(TRIM(AI93))=0</formula>
    </cfRule>
    <cfRule type="containsBlanks" dxfId="13733" priority="8692">
      <formula>LEN(TRIM(AI93))=0</formula>
    </cfRule>
    <cfRule type="containsBlanks" dxfId="13732" priority="8693">
      <formula>LEN(TRIM(AI93))=0</formula>
    </cfRule>
    <cfRule type="containsBlanks" dxfId="13731" priority="8694">
      <formula>LEN(TRIM(AI93))=0</formula>
    </cfRule>
    <cfRule type="containsBlanks" dxfId="13730" priority="8695">
      <formula>LEN(TRIM(AI93))=0</formula>
    </cfRule>
    <cfRule type="containsBlanks" dxfId="13729" priority="8696">
      <formula>LEN(TRIM(AI93))=0</formula>
    </cfRule>
    <cfRule type="containsBlanks" dxfId="13728" priority="8697">
      <formula>LEN(TRIM(AI93))=0</formula>
    </cfRule>
    <cfRule type="containsBlanks" dxfId="13727" priority="8698">
      <formula>LEN(TRIM(AI93))=0</formula>
    </cfRule>
    <cfRule type="containsBlanks" dxfId="13726" priority="8699">
      <formula>LEN(TRIM(AI93))=0</formula>
    </cfRule>
    <cfRule type="containsBlanks" dxfId="13725" priority="8700">
      <formula>LEN(TRIM(AI93))=0</formula>
    </cfRule>
    <cfRule type="containsBlanks" dxfId="13724" priority="8701">
      <formula>LEN(TRIM(AI93))=0</formula>
    </cfRule>
    <cfRule type="containsBlanks" dxfId="13723" priority="8702">
      <formula>LEN(TRIM(AI93))=0</formula>
    </cfRule>
    <cfRule type="containsBlanks" dxfId="13722" priority="8703">
      <formula>LEN(TRIM(AI93))=0</formula>
    </cfRule>
    <cfRule type="containsBlanks" dxfId="13721" priority="8704">
      <formula>LEN(TRIM(AI93))=0</formula>
    </cfRule>
    <cfRule type="containsBlanks" dxfId="13720" priority="8705">
      <formula>LEN(TRIM(AI93))=0</formula>
    </cfRule>
    <cfRule type="containsBlanks" dxfId="13719" priority="8706">
      <formula>LEN(TRIM(AI93))=0</formula>
    </cfRule>
    <cfRule type="containsBlanks" dxfId="13718" priority="8707">
      <formula>LEN(TRIM(AI93))=0</formula>
    </cfRule>
    <cfRule type="containsBlanks" dxfId="13717" priority="8708">
      <formula>LEN(TRIM(AI93))=0</formula>
    </cfRule>
    <cfRule type="containsBlanks" dxfId="13716" priority="8709">
      <formula>LEN(TRIM(AI93))=0</formula>
    </cfRule>
    <cfRule type="containsBlanks" dxfId="13715" priority="8710">
      <formula>LEN(TRIM(AI93))=0</formula>
    </cfRule>
    <cfRule type="containsBlanks" dxfId="13714" priority="8711">
      <formula>LEN(TRIM(AI93))=0</formula>
    </cfRule>
    <cfRule type="containsBlanks" dxfId="13713" priority="8712">
      <formula>LEN(TRIM(AI93))=0</formula>
    </cfRule>
    <cfRule type="containsBlanks" dxfId="13712" priority="8713">
      <formula>LEN(TRIM(AI93))=0</formula>
    </cfRule>
    <cfRule type="containsBlanks" dxfId="13711" priority="8714">
      <formula>LEN(TRIM(AI93))=0</formula>
    </cfRule>
    <cfRule type="containsBlanks" dxfId="13710" priority="8715">
      <formula>LEN(TRIM(AI93))=0</formula>
    </cfRule>
    <cfRule type="containsBlanks" dxfId="13709" priority="8716">
      <formula>LEN(TRIM(AI93))=0</formula>
    </cfRule>
    <cfRule type="containsBlanks" dxfId="13708" priority="8717">
      <formula>LEN(TRIM(AI93))=0</formula>
    </cfRule>
    <cfRule type="containsBlanks" dxfId="13707" priority="8718">
      <formula>LEN(TRIM(AI93))=0</formula>
    </cfRule>
    <cfRule type="containsBlanks" dxfId="13706" priority="8719">
      <formula>LEN(TRIM(AI93))=0</formula>
    </cfRule>
    <cfRule type="containsBlanks" dxfId="13705" priority="8720">
      <formula>LEN(TRIM(AI93))=0</formula>
    </cfRule>
    <cfRule type="containsBlanks" dxfId="13704" priority="8721">
      <formula>LEN(TRIM(AI93))=0</formula>
    </cfRule>
    <cfRule type="containsBlanks" dxfId="13703" priority="8722">
      <formula>LEN(TRIM(AI93))=0</formula>
    </cfRule>
  </conditionalFormatting>
  <conditionalFormatting sqref="AI93">
    <cfRule type="containsBlanks" dxfId="13702" priority="8584">
      <formula>LEN(TRIM(AI93))=0</formula>
    </cfRule>
    <cfRule type="containsBlanks" dxfId="13701" priority="8585">
      <formula>LEN(TRIM(AI93))=0</formula>
    </cfRule>
    <cfRule type="containsBlanks" dxfId="13700" priority="8586">
      <formula>LEN(TRIM(AI93))=0</formula>
    </cfRule>
    <cfRule type="containsBlanks" dxfId="13699" priority="8587">
      <formula>LEN(TRIM(AI93))=0</formula>
    </cfRule>
    <cfRule type="containsBlanks" dxfId="13698" priority="8588">
      <formula>LEN(TRIM(AI93))=0</formula>
    </cfRule>
    <cfRule type="containsBlanks" dxfId="13697" priority="8589">
      <formula>LEN(TRIM(AI93))=0</formula>
    </cfRule>
    <cfRule type="containsBlanks" dxfId="13696" priority="8590">
      <formula>LEN(TRIM(AI93))=0</formula>
    </cfRule>
    <cfRule type="containsBlanks" dxfId="13695" priority="8591">
      <formula>LEN(TRIM(AI93))=0</formula>
    </cfRule>
    <cfRule type="containsBlanks" dxfId="13694" priority="8592">
      <formula>LEN(TRIM(AI93))=0</formula>
    </cfRule>
    <cfRule type="containsBlanks" dxfId="13693" priority="8593">
      <formula>LEN(TRIM(AI93))=0</formula>
    </cfRule>
    <cfRule type="containsBlanks" dxfId="13692" priority="8594">
      <formula>LEN(TRIM(AI93))=0</formula>
    </cfRule>
    <cfRule type="containsBlanks" dxfId="13691" priority="8595">
      <formula>LEN(TRIM(AI93))=0</formula>
    </cfRule>
    <cfRule type="containsBlanks" dxfId="13690" priority="8596">
      <formula>LEN(TRIM(AI93))=0</formula>
    </cfRule>
    <cfRule type="containsBlanks" dxfId="13689" priority="8597">
      <formula>LEN(TRIM(AI93))=0</formula>
    </cfRule>
    <cfRule type="containsBlanks" dxfId="13688" priority="8598">
      <formula>LEN(TRIM(AI93))=0</formula>
    </cfRule>
    <cfRule type="containsBlanks" dxfId="13687" priority="8599">
      <formula>LEN(TRIM(AI93))=0</formula>
    </cfRule>
    <cfRule type="containsBlanks" dxfId="13686" priority="8600">
      <formula>LEN(TRIM(AI93))=0</formula>
    </cfRule>
    <cfRule type="containsBlanks" dxfId="13685" priority="8601">
      <formula>LEN(TRIM(AI93))=0</formula>
    </cfRule>
    <cfRule type="containsBlanks" dxfId="13684" priority="8602">
      <formula>LEN(TRIM(AI93))=0</formula>
    </cfRule>
    <cfRule type="containsBlanks" dxfId="13683" priority="8603">
      <formula>LEN(TRIM(AI93))=0</formula>
    </cfRule>
    <cfRule type="containsBlanks" dxfId="13682" priority="8604">
      <formula>LEN(TRIM(AI93))=0</formula>
    </cfRule>
    <cfRule type="containsBlanks" dxfId="13681" priority="8605">
      <formula>LEN(TRIM(AI93))=0</formula>
    </cfRule>
    <cfRule type="containsBlanks" dxfId="13680" priority="8606">
      <formula>LEN(TRIM(AI93))=0</formula>
    </cfRule>
    <cfRule type="containsBlanks" dxfId="13679" priority="8607">
      <formula>LEN(TRIM(AI93))=0</formula>
    </cfRule>
    <cfRule type="containsBlanks" dxfId="13678" priority="8608">
      <formula>LEN(TRIM(AI93))=0</formula>
    </cfRule>
    <cfRule type="containsBlanks" dxfId="13677" priority="8609">
      <formula>LEN(TRIM(AI93))=0</formula>
    </cfRule>
    <cfRule type="containsBlanks" dxfId="13676" priority="8610">
      <formula>LEN(TRIM(AI93))=0</formula>
    </cfRule>
    <cfRule type="containsBlanks" dxfId="13675" priority="8611">
      <formula>LEN(TRIM(AI93))=0</formula>
    </cfRule>
    <cfRule type="containsBlanks" dxfId="13674" priority="8612">
      <formula>LEN(TRIM(AI93))=0</formula>
    </cfRule>
    <cfRule type="containsBlanks" dxfId="13673" priority="8613">
      <formula>LEN(TRIM(AI93))=0</formula>
    </cfRule>
    <cfRule type="containsBlanks" dxfId="13672" priority="8614">
      <formula>LEN(TRIM(AI93))=0</formula>
    </cfRule>
    <cfRule type="containsBlanks" dxfId="13671" priority="8615">
      <formula>LEN(TRIM(AI93))=0</formula>
    </cfRule>
    <cfRule type="containsBlanks" dxfId="13670" priority="8616">
      <formula>LEN(TRIM(AI93))=0</formula>
    </cfRule>
    <cfRule type="containsBlanks" dxfId="13669" priority="8617">
      <formula>LEN(TRIM(AI93))=0</formula>
    </cfRule>
    <cfRule type="containsBlanks" dxfId="13668" priority="8618">
      <formula>LEN(TRIM(AI93))=0</formula>
    </cfRule>
    <cfRule type="containsBlanks" dxfId="13667" priority="8619">
      <formula>LEN(TRIM(AI93))=0</formula>
    </cfRule>
    <cfRule type="containsBlanks" dxfId="13666" priority="8620">
      <formula>LEN(TRIM(AI93))=0</formula>
    </cfRule>
    <cfRule type="containsBlanks" dxfId="13665" priority="8621">
      <formula>LEN(TRIM(AI93))=0</formula>
    </cfRule>
    <cfRule type="containsBlanks" dxfId="13664" priority="8622">
      <formula>LEN(TRIM(AI93))=0</formula>
    </cfRule>
    <cfRule type="containsBlanks" dxfId="13663" priority="8623">
      <formula>LEN(TRIM(AI93))=0</formula>
    </cfRule>
    <cfRule type="containsBlanks" dxfId="13662" priority="8624">
      <formula>LEN(TRIM(AI93))=0</formula>
    </cfRule>
    <cfRule type="containsBlanks" dxfId="13661" priority="8625">
      <formula>LEN(TRIM(AI93))=0</formula>
    </cfRule>
    <cfRule type="containsBlanks" dxfId="13660" priority="8626">
      <formula>LEN(TRIM(AI93))=0</formula>
    </cfRule>
    <cfRule type="containsBlanks" dxfId="13659" priority="8627">
      <formula>LEN(TRIM(AI93))=0</formula>
    </cfRule>
    <cfRule type="containsBlanks" dxfId="13658" priority="8628">
      <formula>LEN(TRIM(AI93))=0</formula>
    </cfRule>
    <cfRule type="containsBlanks" dxfId="13657" priority="8629">
      <formula>LEN(TRIM(AI93))=0</formula>
    </cfRule>
    <cfRule type="containsBlanks" dxfId="13656" priority="8630">
      <formula>LEN(TRIM(AI93))=0</formula>
    </cfRule>
    <cfRule type="containsBlanks" dxfId="13655" priority="8631">
      <formula>LEN(TRIM(AI93))=0</formula>
    </cfRule>
    <cfRule type="containsBlanks" dxfId="13654" priority="8632">
      <formula>LEN(TRIM(AI93))=0</formula>
    </cfRule>
    <cfRule type="containsBlanks" dxfId="13653" priority="8633">
      <formula>LEN(TRIM(AI93))=0</formula>
    </cfRule>
    <cfRule type="containsBlanks" dxfId="13652" priority="8634">
      <formula>LEN(TRIM(AI93))=0</formula>
    </cfRule>
    <cfRule type="containsBlanks" dxfId="13651" priority="8635">
      <formula>LEN(TRIM(AI93))=0</formula>
    </cfRule>
    <cfRule type="containsBlanks" dxfId="13650" priority="8636">
      <formula>LEN(TRIM(AI93))=0</formula>
    </cfRule>
    <cfRule type="containsBlanks" dxfId="13649" priority="8637">
      <formula>LEN(TRIM(AI93))=0</formula>
    </cfRule>
    <cfRule type="containsBlanks" dxfId="13648" priority="8638">
      <formula>LEN(TRIM(AI93))=0</formula>
    </cfRule>
    <cfRule type="containsBlanks" dxfId="13647" priority="8639">
      <formula>LEN(TRIM(AI93))=0</formula>
    </cfRule>
    <cfRule type="containsBlanks" dxfId="13646" priority="8640">
      <formula>LEN(TRIM(AI93))=0</formula>
    </cfRule>
    <cfRule type="containsBlanks" dxfId="13645" priority="8641">
      <formula>LEN(TRIM(AI93))=0</formula>
    </cfRule>
    <cfRule type="containsBlanks" dxfId="13644" priority="8642">
      <formula>LEN(TRIM(AI93))=0</formula>
    </cfRule>
    <cfRule type="containsBlanks" dxfId="13643" priority="8643">
      <formula>LEN(TRIM(AI93))=0</formula>
    </cfRule>
    <cfRule type="containsBlanks" dxfId="13642" priority="8644">
      <formula>LEN(TRIM(AI93))=0</formula>
    </cfRule>
    <cfRule type="containsBlanks" dxfId="13641" priority="8645">
      <formula>LEN(TRIM(AI93))=0</formula>
    </cfRule>
    <cfRule type="containsBlanks" dxfId="13640" priority="8646">
      <formula>LEN(TRIM(AI93))=0</formula>
    </cfRule>
    <cfRule type="containsBlanks" dxfId="13639" priority="8647">
      <formula>LEN(TRIM(AI93))=0</formula>
    </cfRule>
    <cfRule type="containsBlanks" dxfId="13638" priority="8648">
      <formula>LEN(TRIM(AI93))=0</formula>
    </cfRule>
    <cfRule type="containsBlanks" dxfId="13637" priority="8649">
      <formula>LEN(TRIM(AI93))=0</formula>
    </cfRule>
    <cfRule type="containsBlanks" dxfId="13636" priority="8650">
      <formula>LEN(TRIM(AI93))=0</formula>
    </cfRule>
    <cfRule type="containsBlanks" dxfId="13635" priority="8651">
      <formula>LEN(TRIM(AI93))=0</formula>
    </cfRule>
    <cfRule type="containsBlanks" dxfId="13634" priority="8652">
      <formula>LEN(TRIM(AI93))=0</formula>
    </cfRule>
    <cfRule type="containsBlanks" dxfId="13633" priority="8653">
      <formula>LEN(TRIM(AI93))=0</formula>
    </cfRule>
    <cfRule type="containsBlanks" dxfId="13632" priority="8654">
      <formula>LEN(TRIM(AI93))=0</formula>
    </cfRule>
    <cfRule type="containsBlanks" dxfId="13631" priority="8655">
      <formula>LEN(TRIM(AI93))=0</formula>
    </cfRule>
    <cfRule type="containsBlanks" dxfId="13630" priority="8656">
      <formula>LEN(TRIM(AI93))=0</formula>
    </cfRule>
    <cfRule type="containsBlanks" dxfId="13629" priority="8657">
      <formula>LEN(TRIM(AI93))=0</formula>
    </cfRule>
    <cfRule type="containsBlanks" dxfId="13628" priority="8658">
      <formula>LEN(TRIM(AI93))=0</formula>
    </cfRule>
    <cfRule type="containsBlanks" dxfId="13627" priority="8659">
      <formula>LEN(TRIM(AI93))=0</formula>
    </cfRule>
    <cfRule type="containsBlanks" dxfId="13626" priority="8660">
      <formula>LEN(TRIM(AI93))=0</formula>
    </cfRule>
    <cfRule type="containsBlanks" dxfId="13625" priority="8661">
      <formula>LEN(TRIM(AI93))=0</formula>
    </cfRule>
    <cfRule type="containsBlanks" dxfId="13624" priority="8662">
      <formula>LEN(TRIM(AI93))=0</formula>
    </cfRule>
    <cfRule type="containsBlanks" dxfId="13623" priority="8663">
      <formula>LEN(TRIM(AI93))=0</formula>
    </cfRule>
    <cfRule type="containsBlanks" dxfId="13622" priority="8664">
      <formula>LEN(TRIM(AI93))=0</formula>
    </cfRule>
    <cfRule type="containsBlanks" dxfId="13621" priority="8665">
      <formula>LEN(TRIM(AI93))=0</formula>
    </cfRule>
    <cfRule type="containsBlanks" dxfId="13620" priority="8666">
      <formula>LEN(TRIM(AI93))=0</formula>
    </cfRule>
    <cfRule type="containsBlanks" dxfId="13619" priority="8667">
      <formula>LEN(TRIM(AI93))=0</formula>
    </cfRule>
  </conditionalFormatting>
  <conditionalFormatting sqref="AI94">
    <cfRule type="containsBlanks" dxfId="13618" priority="8583">
      <formula>LEN(TRIM(AI94))=0</formula>
    </cfRule>
  </conditionalFormatting>
  <conditionalFormatting sqref="AI94">
    <cfRule type="containsBlanks" dxfId="13617" priority="8582">
      <formula>LEN(TRIM(AI94))=0</formula>
    </cfRule>
  </conditionalFormatting>
  <conditionalFormatting sqref="AI94">
    <cfRule type="containsBlanks" dxfId="13616" priority="8580">
      <formula>LEN(TRIM(AI94))=0</formula>
    </cfRule>
    <cfRule type="containsBlanks" dxfId="13615" priority="8581">
      <formula>LEN(TRIM(AI94))=0</formula>
    </cfRule>
  </conditionalFormatting>
  <conditionalFormatting sqref="AI94">
    <cfRule type="containsBlanks" dxfId="13614" priority="8579">
      <formula>LEN(TRIM(AI94))=0</formula>
    </cfRule>
  </conditionalFormatting>
  <conditionalFormatting sqref="AI94">
    <cfRule type="containsBlanks" dxfId="13613" priority="8578">
      <formula>LEN(TRIM(AI94))=0</formula>
    </cfRule>
  </conditionalFormatting>
  <conditionalFormatting sqref="AI94">
    <cfRule type="containsBlanks" dxfId="13612" priority="8577">
      <formula>LEN(TRIM(AI94))=0</formula>
    </cfRule>
  </conditionalFormatting>
  <conditionalFormatting sqref="AI94">
    <cfRule type="containsBlanks" dxfId="13611" priority="8575">
      <formula>LEN(TRIM(AI94))=0</formula>
    </cfRule>
    <cfRule type="containsBlanks" dxfId="13610" priority="8576">
      <formula>LEN(TRIM(AI94))=0</formula>
    </cfRule>
  </conditionalFormatting>
  <conditionalFormatting sqref="AI94">
    <cfRule type="containsBlanks" dxfId="13609" priority="8573">
      <formula>LEN(TRIM(AI94))=0</formula>
    </cfRule>
    <cfRule type="containsBlanks" dxfId="13608" priority="8574">
      <formula>LEN(TRIM(AI94))=0</formula>
    </cfRule>
  </conditionalFormatting>
  <conditionalFormatting sqref="AI94">
    <cfRule type="containsBlanks" dxfId="13607" priority="8571">
      <formula>LEN(TRIM(AI94))=0</formula>
    </cfRule>
    <cfRule type="containsBlanks" dxfId="13606" priority="8572">
      <formula>LEN(TRIM(AI94))=0</formula>
    </cfRule>
  </conditionalFormatting>
  <conditionalFormatting sqref="AI94">
    <cfRule type="containsBlanks" dxfId="13605" priority="8569">
      <formula>LEN(TRIM(AI94))=0</formula>
    </cfRule>
    <cfRule type="containsBlanks" dxfId="13604" priority="8570">
      <formula>LEN(TRIM(AI94))=0</formula>
    </cfRule>
  </conditionalFormatting>
  <conditionalFormatting sqref="AI94">
    <cfRule type="containsBlanks" dxfId="13603" priority="8503">
      <formula>LEN(TRIM(AI94))=0</formula>
    </cfRule>
    <cfRule type="containsBlanks" dxfId="13602" priority="8504">
      <formula>LEN(TRIM(AI94))=0</formula>
    </cfRule>
    <cfRule type="containsBlanks" dxfId="13601" priority="8505">
      <formula>LEN(TRIM(AI94))=0</formula>
    </cfRule>
    <cfRule type="containsBlanks" dxfId="13600" priority="8506">
      <formula>LEN(TRIM(AI94))=0</formula>
    </cfRule>
    <cfRule type="containsBlanks" dxfId="13599" priority="8507">
      <formula>LEN(TRIM(AI94))=0</formula>
    </cfRule>
    <cfRule type="containsBlanks" dxfId="13598" priority="8508">
      <formula>LEN(TRIM(AI94))=0</formula>
    </cfRule>
    <cfRule type="containsBlanks" dxfId="13597" priority="8509">
      <formula>LEN(TRIM(AI94))=0</formula>
    </cfRule>
    <cfRule type="containsBlanks" dxfId="13596" priority="8510">
      <formula>LEN(TRIM(AI94))=0</formula>
    </cfRule>
    <cfRule type="containsBlanks" dxfId="13595" priority="8511">
      <formula>LEN(TRIM(AI94))=0</formula>
    </cfRule>
    <cfRule type="containsBlanks" dxfId="13594" priority="8512">
      <formula>LEN(TRIM(AI94))=0</formula>
    </cfRule>
    <cfRule type="containsBlanks" dxfId="13593" priority="8513">
      <formula>LEN(TRIM(AI94))=0</formula>
    </cfRule>
    <cfRule type="containsBlanks" dxfId="13592" priority="8514">
      <formula>LEN(TRIM(AI94))=0</formula>
    </cfRule>
    <cfRule type="containsBlanks" dxfId="13591" priority="8515">
      <formula>LEN(TRIM(AI94))=0</formula>
    </cfRule>
    <cfRule type="containsBlanks" dxfId="13590" priority="8516">
      <formula>LEN(TRIM(AI94))=0</formula>
    </cfRule>
    <cfRule type="containsBlanks" dxfId="13589" priority="8517">
      <formula>LEN(TRIM(AI94))=0</formula>
    </cfRule>
    <cfRule type="containsBlanks" dxfId="13588" priority="8518">
      <formula>LEN(TRIM(AI94))=0</formula>
    </cfRule>
    <cfRule type="containsBlanks" dxfId="13587" priority="8519">
      <formula>LEN(TRIM(AI94))=0</formula>
    </cfRule>
    <cfRule type="containsBlanks" dxfId="13586" priority="8520">
      <formula>LEN(TRIM(AI94))=0</formula>
    </cfRule>
    <cfRule type="containsBlanks" dxfId="13585" priority="8521">
      <formula>LEN(TRIM(AI94))=0</formula>
    </cfRule>
    <cfRule type="containsBlanks" dxfId="13584" priority="8522">
      <formula>LEN(TRIM(AI94))=0</formula>
    </cfRule>
    <cfRule type="containsBlanks" dxfId="13583" priority="8523">
      <formula>LEN(TRIM(AI94))=0</formula>
    </cfRule>
    <cfRule type="containsBlanks" dxfId="13582" priority="8524">
      <formula>LEN(TRIM(AI94))=0</formula>
    </cfRule>
    <cfRule type="containsBlanks" dxfId="13581" priority="8525">
      <formula>LEN(TRIM(AI94))=0</formula>
    </cfRule>
    <cfRule type="containsBlanks" dxfId="13580" priority="8526">
      <formula>LEN(TRIM(AI94))=0</formula>
    </cfRule>
    <cfRule type="containsBlanks" dxfId="13579" priority="8527">
      <formula>LEN(TRIM(AI94))=0</formula>
    </cfRule>
    <cfRule type="containsBlanks" dxfId="13578" priority="8528">
      <formula>LEN(TRIM(AI94))=0</formula>
    </cfRule>
    <cfRule type="containsBlanks" dxfId="13577" priority="8529">
      <formula>LEN(TRIM(AI94))=0</formula>
    </cfRule>
    <cfRule type="containsBlanks" dxfId="13576" priority="8530">
      <formula>LEN(TRIM(AI94))=0</formula>
    </cfRule>
    <cfRule type="containsBlanks" dxfId="13575" priority="8531">
      <formula>LEN(TRIM(AI94))=0</formula>
    </cfRule>
    <cfRule type="containsBlanks" dxfId="13574" priority="8532">
      <formula>LEN(TRIM(AI94))=0</formula>
    </cfRule>
    <cfRule type="containsBlanks" dxfId="13573" priority="8533">
      <formula>LEN(TRIM(AI94))=0</formula>
    </cfRule>
    <cfRule type="containsBlanks" dxfId="13572" priority="8534">
      <formula>LEN(TRIM(AI94))=0</formula>
    </cfRule>
    <cfRule type="containsBlanks" dxfId="13571" priority="8535">
      <formula>LEN(TRIM(AI94))=0</formula>
    </cfRule>
    <cfRule type="containsBlanks" dxfId="13570" priority="8536">
      <formula>LEN(TRIM(AI94))=0</formula>
    </cfRule>
    <cfRule type="containsBlanks" dxfId="13569" priority="8537">
      <formula>LEN(TRIM(AI94))=0</formula>
    </cfRule>
    <cfRule type="containsBlanks" dxfId="13568" priority="8538">
      <formula>LEN(TRIM(AI94))=0</formula>
    </cfRule>
    <cfRule type="containsBlanks" dxfId="13567" priority="8539">
      <formula>LEN(TRIM(AI94))=0</formula>
    </cfRule>
    <cfRule type="containsBlanks" dxfId="13566" priority="8540">
      <formula>LEN(TRIM(AI94))=0</formula>
    </cfRule>
    <cfRule type="containsBlanks" dxfId="13565" priority="8541">
      <formula>LEN(TRIM(AI94))=0</formula>
    </cfRule>
    <cfRule type="containsBlanks" dxfId="13564" priority="8542">
      <formula>LEN(TRIM(AI94))=0</formula>
    </cfRule>
    <cfRule type="containsBlanks" dxfId="13563" priority="8543">
      <formula>LEN(TRIM(AI94))=0</formula>
    </cfRule>
    <cfRule type="containsBlanks" dxfId="13562" priority="8544">
      <formula>LEN(TRIM(AI94))=0</formula>
    </cfRule>
    <cfRule type="containsBlanks" dxfId="13561" priority="8545">
      <formula>LEN(TRIM(AI94))=0</formula>
    </cfRule>
    <cfRule type="containsBlanks" dxfId="13560" priority="8546">
      <formula>LEN(TRIM(AI94))=0</formula>
    </cfRule>
    <cfRule type="containsBlanks" dxfId="13559" priority="8547">
      <formula>LEN(TRIM(AI94))=0</formula>
    </cfRule>
    <cfRule type="containsBlanks" dxfId="13558" priority="8548">
      <formula>LEN(TRIM(AI94))=0</formula>
    </cfRule>
    <cfRule type="containsBlanks" dxfId="13557" priority="8549">
      <formula>LEN(TRIM(AI94))=0</formula>
    </cfRule>
    <cfRule type="containsBlanks" dxfId="13556" priority="8550">
      <formula>LEN(TRIM(AI94))=0</formula>
    </cfRule>
    <cfRule type="containsBlanks" dxfId="13555" priority="8551">
      <formula>LEN(TRIM(AI94))=0</formula>
    </cfRule>
    <cfRule type="containsBlanks" dxfId="13554" priority="8552">
      <formula>LEN(TRIM(AI94))=0</formula>
    </cfRule>
    <cfRule type="containsBlanks" dxfId="13553" priority="8553">
      <formula>LEN(TRIM(AI94))=0</formula>
    </cfRule>
    <cfRule type="containsBlanks" dxfId="13552" priority="8554">
      <formula>LEN(TRIM(AI94))=0</formula>
    </cfRule>
    <cfRule type="containsBlanks" dxfId="13551" priority="8555">
      <formula>LEN(TRIM(AI94))=0</formula>
    </cfRule>
    <cfRule type="containsBlanks" dxfId="13550" priority="8556">
      <formula>LEN(TRIM(AI94))=0</formula>
    </cfRule>
    <cfRule type="containsBlanks" dxfId="13549" priority="8557">
      <formula>LEN(TRIM(AI94))=0</formula>
    </cfRule>
    <cfRule type="containsBlanks" dxfId="13548" priority="8558">
      <formula>LEN(TRIM(AI94))=0</formula>
    </cfRule>
    <cfRule type="containsBlanks" dxfId="13547" priority="8559">
      <formula>LEN(TRIM(AI94))=0</formula>
    </cfRule>
    <cfRule type="containsBlanks" dxfId="13546" priority="8560">
      <formula>LEN(TRIM(AI94))=0</formula>
    </cfRule>
    <cfRule type="containsBlanks" dxfId="13545" priority="8561">
      <formula>LEN(TRIM(AI94))=0</formula>
    </cfRule>
    <cfRule type="containsBlanks" dxfId="13544" priority="8562">
      <formula>LEN(TRIM(AI94))=0</formula>
    </cfRule>
    <cfRule type="containsBlanks" dxfId="13543" priority="8563">
      <formula>LEN(TRIM(AI94))=0</formula>
    </cfRule>
    <cfRule type="containsBlanks" dxfId="13542" priority="8564">
      <formula>LEN(TRIM(AI94))=0</formula>
    </cfRule>
    <cfRule type="containsBlanks" dxfId="13541" priority="8565">
      <formula>LEN(TRIM(AI94))=0</formula>
    </cfRule>
    <cfRule type="containsBlanks" dxfId="13540" priority="8566">
      <formula>LEN(TRIM(AI94))=0</formula>
    </cfRule>
    <cfRule type="containsBlanks" dxfId="13539" priority="8567">
      <formula>LEN(TRIM(AI94))=0</formula>
    </cfRule>
    <cfRule type="containsBlanks" dxfId="13538" priority="8568">
      <formula>LEN(TRIM(AI94))=0</formula>
    </cfRule>
  </conditionalFormatting>
  <conditionalFormatting sqref="AI94">
    <cfRule type="containsBlanks" dxfId="13537" priority="8448">
      <formula>LEN(TRIM(AI94))=0</formula>
    </cfRule>
    <cfRule type="containsBlanks" dxfId="13536" priority="8449">
      <formula>LEN(TRIM(AI94))=0</formula>
    </cfRule>
    <cfRule type="containsBlanks" dxfId="13535" priority="8450">
      <formula>LEN(TRIM(AI94))=0</formula>
    </cfRule>
    <cfRule type="containsBlanks" dxfId="13534" priority="8451">
      <formula>LEN(TRIM(AI94))=0</formula>
    </cfRule>
    <cfRule type="containsBlanks" dxfId="13533" priority="8452">
      <formula>LEN(TRIM(AI94))=0</formula>
    </cfRule>
    <cfRule type="containsBlanks" dxfId="13532" priority="8453">
      <formula>LEN(TRIM(AI94))=0</formula>
    </cfRule>
    <cfRule type="containsBlanks" dxfId="13531" priority="8454">
      <formula>LEN(TRIM(AI94))=0</formula>
    </cfRule>
    <cfRule type="containsBlanks" dxfId="13530" priority="8455">
      <formula>LEN(TRIM(AI94))=0</formula>
    </cfRule>
    <cfRule type="containsBlanks" dxfId="13529" priority="8456">
      <formula>LEN(TRIM(AI94))=0</formula>
    </cfRule>
    <cfRule type="containsBlanks" dxfId="13528" priority="8457">
      <formula>LEN(TRIM(AI94))=0</formula>
    </cfRule>
    <cfRule type="containsBlanks" dxfId="13527" priority="8458">
      <formula>LEN(TRIM(AI94))=0</formula>
    </cfRule>
    <cfRule type="containsBlanks" dxfId="13526" priority="8459">
      <formula>LEN(TRIM(AI94))=0</formula>
    </cfRule>
    <cfRule type="containsBlanks" dxfId="13525" priority="8460">
      <formula>LEN(TRIM(AI94))=0</formula>
    </cfRule>
    <cfRule type="containsBlanks" dxfId="13524" priority="8461">
      <formula>LEN(TRIM(AI94))=0</formula>
    </cfRule>
    <cfRule type="containsBlanks" dxfId="13523" priority="8462">
      <formula>LEN(TRIM(AI94))=0</formula>
    </cfRule>
    <cfRule type="containsBlanks" dxfId="13522" priority="8463">
      <formula>LEN(TRIM(AI94))=0</formula>
    </cfRule>
    <cfRule type="containsBlanks" dxfId="13521" priority="8464">
      <formula>LEN(TRIM(AI94))=0</formula>
    </cfRule>
    <cfRule type="containsBlanks" dxfId="13520" priority="8465">
      <formula>LEN(TRIM(AI94))=0</formula>
    </cfRule>
    <cfRule type="containsBlanks" dxfId="13519" priority="8466">
      <formula>LEN(TRIM(AI94))=0</formula>
    </cfRule>
    <cfRule type="containsBlanks" dxfId="13518" priority="8467">
      <formula>LEN(TRIM(AI94))=0</formula>
    </cfRule>
    <cfRule type="containsBlanks" dxfId="13517" priority="8468">
      <formula>LEN(TRIM(AI94))=0</formula>
    </cfRule>
    <cfRule type="containsBlanks" dxfId="13516" priority="8469">
      <formula>LEN(TRIM(AI94))=0</formula>
    </cfRule>
    <cfRule type="containsBlanks" dxfId="13515" priority="8470">
      <formula>LEN(TRIM(AI94))=0</formula>
    </cfRule>
    <cfRule type="containsBlanks" dxfId="13514" priority="8471">
      <formula>LEN(TRIM(AI94))=0</formula>
    </cfRule>
    <cfRule type="containsBlanks" dxfId="13513" priority="8472">
      <formula>LEN(TRIM(AI94))=0</formula>
    </cfRule>
    <cfRule type="containsBlanks" dxfId="13512" priority="8473">
      <formula>LEN(TRIM(AI94))=0</formula>
    </cfRule>
    <cfRule type="containsBlanks" dxfId="13511" priority="8474">
      <formula>LEN(TRIM(AI94))=0</formula>
    </cfRule>
    <cfRule type="containsBlanks" dxfId="13510" priority="8475">
      <formula>LEN(TRIM(AI94))=0</formula>
    </cfRule>
    <cfRule type="containsBlanks" dxfId="13509" priority="8476">
      <formula>LEN(TRIM(AI94))=0</formula>
    </cfRule>
    <cfRule type="containsBlanks" dxfId="13508" priority="8477">
      <formula>LEN(TRIM(AI94))=0</formula>
    </cfRule>
    <cfRule type="containsBlanks" dxfId="13507" priority="8478">
      <formula>LEN(TRIM(AI94))=0</formula>
    </cfRule>
    <cfRule type="containsBlanks" dxfId="13506" priority="8479">
      <formula>LEN(TRIM(AI94))=0</formula>
    </cfRule>
    <cfRule type="containsBlanks" dxfId="13505" priority="8480">
      <formula>LEN(TRIM(AI94))=0</formula>
    </cfRule>
    <cfRule type="containsBlanks" dxfId="13504" priority="8481">
      <formula>LEN(TRIM(AI94))=0</formula>
    </cfRule>
    <cfRule type="containsBlanks" dxfId="13503" priority="8482">
      <formula>LEN(TRIM(AI94))=0</formula>
    </cfRule>
    <cfRule type="containsBlanks" dxfId="13502" priority="8483">
      <formula>LEN(TRIM(AI94))=0</formula>
    </cfRule>
    <cfRule type="containsBlanks" dxfId="13501" priority="8484">
      <formula>LEN(TRIM(AI94))=0</formula>
    </cfRule>
    <cfRule type="containsBlanks" dxfId="13500" priority="8485">
      <formula>LEN(TRIM(AI94))=0</formula>
    </cfRule>
    <cfRule type="containsBlanks" dxfId="13499" priority="8486">
      <formula>LEN(TRIM(AI94))=0</formula>
    </cfRule>
    <cfRule type="containsBlanks" dxfId="13498" priority="8487">
      <formula>LEN(TRIM(AI94))=0</formula>
    </cfRule>
    <cfRule type="containsBlanks" dxfId="13497" priority="8488">
      <formula>LEN(TRIM(AI94))=0</formula>
    </cfRule>
    <cfRule type="containsBlanks" dxfId="13496" priority="8489">
      <formula>LEN(TRIM(AI94))=0</formula>
    </cfRule>
    <cfRule type="containsBlanks" dxfId="13495" priority="8490">
      <formula>LEN(TRIM(AI94))=0</formula>
    </cfRule>
    <cfRule type="containsBlanks" dxfId="13494" priority="8491">
      <formula>LEN(TRIM(AI94))=0</formula>
    </cfRule>
    <cfRule type="containsBlanks" dxfId="13493" priority="8492">
      <formula>LEN(TRIM(AI94))=0</formula>
    </cfRule>
    <cfRule type="containsBlanks" dxfId="13492" priority="8493">
      <formula>LEN(TRIM(AI94))=0</formula>
    </cfRule>
    <cfRule type="containsBlanks" dxfId="13491" priority="8494">
      <formula>LEN(TRIM(AI94))=0</formula>
    </cfRule>
    <cfRule type="containsBlanks" dxfId="13490" priority="8495">
      <formula>LEN(TRIM(AI94))=0</formula>
    </cfRule>
    <cfRule type="containsBlanks" dxfId="13489" priority="8496">
      <formula>LEN(TRIM(AI94))=0</formula>
    </cfRule>
    <cfRule type="containsBlanks" dxfId="13488" priority="8497">
      <formula>LEN(TRIM(AI94))=0</formula>
    </cfRule>
    <cfRule type="containsBlanks" dxfId="13487" priority="8498">
      <formula>LEN(TRIM(AI94))=0</formula>
    </cfRule>
    <cfRule type="containsBlanks" dxfId="13486" priority="8499">
      <formula>LEN(TRIM(AI94))=0</formula>
    </cfRule>
    <cfRule type="containsBlanks" dxfId="13485" priority="8500">
      <formula>LEN(TRIM(AI94))=0</formula>
    </cfRule>
    <cfRule type="containsBlanks" dxfId="13484" priority="8501">
      <formula>LEN(TRIM(AI94))=0</formula>
    </cfRule>
    <cfRule type="containsBlanks" dxfId="13483" priority="8502">
      <formula>LEN(TRIM(AI94))=0</formula>
    </cfRule>
  </conditionalFormatting>
  <conditionalFormatting sqref="AI94">
    <cfRule type="containsBlanks" dxfId="13482" priority="8364">
      <formula>LEN(TRIM(AI94))=0</formula>
    </cfRule>
    <cfRule type="containsBlanks" dxfId="13481" priority="8365">
      <formula>LEN(TRIM(AI94))=0</formula>
    </cfRule>
    <cfRule type="containsBlanks" dxfId="13480" priority="8366">
      <formula>LEN(TRIM(AI94))=0</formula>
    </cfRule>
    <cfRule type="containsBlanks" dxfId="13479" priority="8367">
      <formula>LEN(TRIM(AI94))=0</formula>
    </cfRule>
    <cfRule type="containsBlanks" dxfId="13478" priority="8368">
      <formula>LEN(TRIM(AI94))=0</formula>
    </cfRule>
    <cfRule type="containsBlanks" dxfId="13477" priority="8369">
      <formula>LEN(TRIM(AI94))=0</formula>
    </cfRule>
    <cfRule type="containsBlanks" dxfId="13476" priority="8370">
      <formula>LEN(TRIM(AI94))=0</formula>
    </cfRule>
    <cfRule type="containsBlanks" dxfId="13475" priority="8371">
      <formula>LEN(TRIM(AI94))=0</formula>
    </cfRule>
    <cfRule type="containsBlanks" dxfId="13474" priority="8372">
      <formula>LEN(TRIM(AI94))=0</formula>
    </cfRule>
    <cfRule type="containsBlanks" dxfId="13473" priority="8373">
      <formula>LEN(TRIM(AI94))=0</formula>
    </cfRule>
    <cfRule type="containsBlanks" dxfId="13472" priority="8374">
      <formula>LEN(TRIM(AI94))=0</formula>
    </cfRule>
    <cfRule type="containsBlanks" dxfId="13471" priority="8375">
      <formula>LEN(TRIM(AI94))=0</formula>
    </cfRule>
    <cfRule type="containsBlanks" dxfId="13470" priority="8376">
      <formula>LEN(TRIM(AI94))=0</formula>
    </cfRule>
    <cfRule type="containsBlanks" dxfId="13469" priority="8377">
      <formula>LEN(TRIM(AI94))=0</formula>
    </cfRule>
    <cfRule type="containsBlanks" dxfId="13468" priority="8378">
      <formula>LEN(TRIM(AI94))=0</formula>
    </cfRule>
    <cfRule type="containsBlanks" dxfId="13467" priority="8379">
      <formula>LEN(TRIM(AI94))=0</formula>
    </cfRule>
    <cfRule type="containsBlanks" dxfId="13466" priority="8380">
      <formula>LEN(TRIM(AI94))=0</formula>
    </cfRule>
    <cfRule type="containsBlanks" dxfId="13465" priority="8381">
      <formula>LEN(TRIM(AI94))=0</formula>
    </cfRule>
    <cfRule type="containsBlanks" dxfId="13464" priority="8382">
      <formula>LEN(TRIM(AI94))=0</formula>
    </cfRule>
    <cfRule type="containsBlanks" dxfId="13463" priority="8383">
      <formula>LEN(TRIM(AI94))=0</formula>
    </cfRule>
    <cfRule type="containsBlanks" dxfId="13462" priority="8384">
      <formula>LEN(TRIM(AI94))=0</formula>
    </cfRule>
    <cfRule type="containsBlanks" dxfId="13461" priority="8385">
      <formula>LEN(TRIM(AI94))=0</formula>
    </cfRule>
    <cfRule type="containsBlanks" dxfId="13460" priority="8386">
      <formula>LEN(TRIM(AI94))=0</formula>
    </cfRule>
    <cfRule type="containsBlanks" dxfId="13459" priority="8387">
      <formula>LEN(TRIM(AI94))=0</formula>
    </cfRule>
    <cfRule type="containsBlanks" dxfId="13458" priority="8388">
      <formula>LEN(TRIM(AI94))=0</formula>
    </cfRule>
    <cfRule type="containsBlanks" dxfId="13457" priority="8389">
      <formula>LEN(TRIM(AI94))=0</formula>
    </cfRule>
    <cfRule type="containsBlanks" dxfId="13456" priority="8390">
      <formula>LEN(TRIM(AI94))=0</formula>
    </cfRule>
    <cfRule type="containsBlanks" dxfId="13455" priority="8391">
      <formula>LEN(TRIM(AI94))=0</formula>
    </cfRule>
    <cfRule type="containsBlanks" dxfId="13454" priority="8392">
      <formula>LEN(TRIM(AI94))=0</formula>
    </cfRule>
    <cfRule type="containsBlanks" dxfId="13453" priority="8393">
      <formula>LEN(TRIM(AI94))=0</formula>
    </cfRule>
    <cfRule type="containsBlanks" dxfId="13452" priority="8394">
      <formula>LEN(TRIM(AI94))=0</formula>
    </cfRule>
    <cfRule type="containsBlanks" dxfId="13451" priority="8395">
      <formula>LEN(TRIM(AI94))=0</formula>
    </cfRule>
    <cfRule type="containsBlanks" dxfId="13450" priority="8396">
      <formula>LEN(TRIM(AI94))=0</formula>
    </cfRule>
    <cfRule type="containsBlanks" dxfId="13449" priority="8397">
      <formula>LEN(TRIM(AI94))=0</formula>
    </cfRule>
    <cfRule type="containsBlanks" dxfId="13448" priority="8398">
      <formula>LEN(TRIM(AI94))=0</formula>
    </cfRule>
    <cfRule type="containsBlanks" dxfId="13447" priority="8399">
      <formula>LEN(TRIM(AI94))=0</formula>
    </cfRule>
    <cfRule type="containsBlanks" dxfId="13446" priority="8400">
      <formula>LEN(TRIM(AI94))=0</formula>
    </cfRule>
    <cfRule type="containsBlanks" dxfId="13445" priority="8401">
      <formula>LEN(TRIM(AI94))=0</formula>
    </cfRule>
    <cfRule type="containsBlanks" dxfId="13444" priority="8402">
      <formula>LEN(TRIM(AI94))=0</formula>
    </cfRule>
    <cfRule type="containsBlanks" dxfId="13443" priority="8403">
      <formula>LEN(TRIM(AI94))=0</formula>
    </cfRule>
    <cfRule type="containsBlanks" dxfId="13442" priority="8404">
      <formula>LEN(TRIM(AI94))=0</formula>
    </cfRule>
    <cfRule type="containsBlanks" dxfId="13441" priority="8405">
      <formula>LEN(TRIM(AI94))=0</formula>
    </cfRule>
    <cfRule type="containsBlanks" dxfId="13440" priority="8406">
      <formula>LEN(TRIM(AI94))=0</formula>
    </cfRule>
    <cfRule type="containsBlanks" dxfId="13439" priority="8407">
      <formula>LEN(TRIM(AI94))=0</formula>
    </cfRule>
    <cfRule type="containsBlanks" dxfId="13438" priority="8408">
      <formula>LEN(TRIM(AI94))=0</formula>
    </cfRule>
    <cfRule type="containsBlanks" dxfId="13437" priority="8409">
      <formula>LEN(TRIM(AI94))=0</formula>
    </cfRule>
    <cfRule type="containsBlanks" dxfId="13436" priority="8410">
      <formula>LEN(TRIM(AI94))=0</formula>
    </cfRule>
    <cfRule type="containsBlanks" dxfId="13435" priority="8411">
      <formula>LEN(TRIM(AI94))=0</formula>
    </cfRule>
    <cfRule type="containsBlanks" dxfId="13434" priority="8412">
      <formula>LEN(TRIM(AI94))=0</formula>
    </cfRule>
    <cfRule type="containsBlanks" dxfId="13433" priority="8413">
      <formula>LEN(TRIM(AI94))=0</formula>
    </cfRule>
    <cfRule type="containsBlanks" dxfId="13432" priority="8414">
      <formula>LEN(TRIM(AI94))=0</formula>
    </cfRule>
    <cfRule type="containsBlanks" dxfId="13431" priority="8415">
      <formula>LEN(TRIM(AI94))=0</formula>
    </cfRule>
    <cfRule type="containsBlanks" dxfId="13430" priority="8416">
      <formula>LEN(TRIM(AI94))=0</formula>
    </cfRule>
    <cfRule type="containsBlanks" dxfId="13429" priority="8417">
      <formula>LEN(TRIM(AI94))=0</formula>
    </cfRule>
    <cfRule type="containsBlanks" dxfId="13428" priority="8418">
      <formula>LEN(TRIM(AI94))=0</formula>
    </cfRule>
    <cfRule type="containsBlanks" dxfId="13427" priority="8419">
      <formula>LEN(TRIM(AI94))=0</formula>
    </cfRule>
    <cfRule type="containsBlanks" dxfId="13426" priority="8420">
      <formula>LEN(TRIM(AI94))=0</formula>
    </cfRule>
    <cfRule type="containsBlanks" dxfId="13425" priority="8421">
      <formula>LEN(TRIM(AI94))=0</formula>
    </cfRule>
    <cfRule type="containsBlanks" dxfId="13424" priority="8422">
      <formula>LEN(TRIM(AI94))=0</formula>
    </cfRule>
    <cfRule type="containsBlanks" dxfId="13423" priority="8423">
      <formula>LEN(TRIM(AI94))=0</formula>
    </cfRule>
    <cfRule type="containsBlanks" dxfId="13422" priority="8424">
      <formula>LEN(TRIM(AI94))=0</formula>
    </cfRule>
    <cfRule type="containsBlanks" dxfId="13421" priority="8425">
      <formula>LEN(TRIM(AI94))=0</formula>
    </cfRule>
    <cfRule type="containsBlanks" dxfId="13420" priority="8426">
      <formula>LEN(TRIM(AI94))=0</formula>
    </cfRule>
    <cfRule type="containsBlanks" dxfId="13419" priority="8427">
      <formula>LEN(TRIM(AI94))=0</formula>
    </cfRule>
    <cfRule type="containsBlanks" dxfId="13418" priority="8428">
      <formula>LEN(TRIM(AI94))=0</formula>
    </cfRule>
    <cfRule type="containsBlanks" dxfId="13417" priority="8429">
      <formula>LEN(TRIM(AI94))=0</formula>
    </cfRule>
    <cfRule type="containsBlanks" dxfId="13416" priority="8430">
      <formula>LEN(TRIM(AI94))=0</formula>
    </cfRule>
    <cfRule type="containsBlanks" dxfId="13415" priority="8431">
      <formula>LEN(TRIM(AI94))=0</formula>
    </cfRule>
    <cfRule type="containsBlanks" dxfId="13414" priority="8432">
      <formula>LEN(TRIM(AI94))=0</formula>
    </cfRule>
    <cfRule type="containsBlanks" dxfId="13413" priority="8433">
      <formula>LEN(TRIM(AI94))=0</formula>
    </cfRule>
    <cfRule type="containsBlanks" dxfId="13412" priority="8434">
      <formula>LEN(TRIM(AI94))=0</formula>
    </cfRule>
    <cfRule type="containsBlanks" dxfId="13411" priority="8435">
      <formula>LEN(TRIM(AI94))=0</formula>
    </cfRule>
    <cfRule type="containsBlanks" dxfId="13410" priority="8436">
      <formula>LEN(TRIM(AI94))=0</formula>
    </cfRule>
    <cfRule type="containsBlanks" dxfId="13409" priority="8437">
      <formula>LEN(TRIM(AI94))=0</formula>
    </cfRule>
    <cfRule type="containsBlanks" dxfId="13408" priority="8438">
      <formula>LEN(TRIM(AI94))=0</formula>
    </cfRule>
    <cfRule type="containsBlanks" dxfId="13407" priority="8439">
      <formula>LEN(TRIM(AI94))=0</formula>
    </cfRule>
    <cfRule type="containsBlanks" dxfId="13406" priority="8440">
      <formula>LEN(TRIM(AI94))=0</formula>
    </cfRule>
    <cfRule type="containsBlanks" dxfId="13405" priority="8441">
      <formula>LEN(TRIM(AI94))=0</formula>
    </cfRule>
    <cfRule type="containsBlanks" dxfId="13404" priority="8442">
      <formula>LEN(TRIM(AI94))=0</formula>
    </cfRule>
    <cfRule type="containsBlanks" dxfId="13403" priority="8443">
      <formula>LEN(TRIM(AI94))=0</formula>
    </cfRule>
    <cfRule type="containsBlanks" dxfId="13402" priority="8444">
      <formula>LEN(TRIM(AI94))=0</formula>
    </cfRule>
    <cfRule type="containsBlanks" dxfId="13401" priority="8445">
      <formula>LEN(TRIM(AI94))=0</formula>
    </cfRule>
    <cfRule type="containsBlanks" dxfId="13400" priority="8446">
      <formula>LEN(TRIM(AI94))=0</formula>
    </cfRule>
    <cfRule type="containsBlanks" dxfId="13399" priority="8447">
      <formula>LEN(TRIM(AI94))=0</formula>
    </cfRule>
  </conditionalFormatting>
  <conditionalFormatting sqref="AI97">
    <cfRule type="containsBlanks" dxfId="13398" priority="8363">
      <formula>LEN(TRIM(AI97))=0</formula>
    </cfRule>
  </conditionalFormatting>
  <conditionalFormatting sqref="AI97">
    <cfRule type="containsBlanks" dxfId="13397" priority="8362">
      <formula>LEN(TRIM(AI97))=0</formula>
    </cfRule>
  </conditionalFormatting>
  <conditionalFormatting sqref="AI97">
    <cfRule type="containsBlanks" dxfId="13396" priority="8360">
      <formula>LEN(TRIM(AI97))=0</formula>
    </cfRule>
    <cfRule type="containsBlanks" dxfId="13395" priority="8361">
      <formula>LEN(TRIM(AI97))=0</formula>
    </cfRule>
  </conditionalFormatting>
  <conditionalFormatting sqref="AI97">
    <cfRule type="containsBlanks" dxfId="13394" priority="8359">
      <formula>LEN(TRIM(AI97))=0</formula>
    </cfRule>
  </conditionalFormatting>
  <conditionalFormatting sqref="AI97">
    <cfRule type="containsBlanks" dxfId="13393" priority="8358">
      <formula>LEN(TRIM(AI97))=0</formula>
    </cfRule>
  </conditionalFormatting>
  <conditionalFormatting sqref="AI97">
    <cfRule type="containsBlanks" dxfId="13392" priority="8357">
      <formula>LEN(TRIM(AI97))=0</formula>
    </cfRule>
  </conditionalFormatting>
  <conditionalFormatting sqref="AI97">
    <cfRule type="containsBlanks" dxfId="13391" priority="8355">
      <formula>LEN(TRIM(AI97))=0</formula>
    </cfRule>
    <cfRule type="containsBlanks" dxfId="13390" priority="8356">
      <formula>LEN(TRIM(AI97))=0</formula>
    </cfRule>
  </conditionalFormatting>
  <conditionalFormatting sqref="AI97">
    <cfRule type="containsBlanks" dxfId="13389" priority="8353">
      <formula>LEN(TRIM(AI97))=0</formula>
    </cfRule>
    <cfRule type="containsBlanks" dxfId="13388" priority="8354">
      <formula>LEN(TRIM(AI97))=0</formula>
    </cfRule>
  </conditionalFormatting>
  <conditionalFormatting sqref="AI97">
    <cfRule type="containsBlanks" dxfId="13387" priority="8351">
      <formula>LEN(TRIM(AI97))=0</formula>
    </cfRule>
    <cfRule type="containsBlanks" dxfId="13386" priority="8352">
      <formula>LEN(TRIM(AI97))=0</formula>
    </cfRule>
  </conditionalFormatting>
  <conditionalFormatting sqref="AI97">
    <cfRule type="containsBlanks" dxfId="13385" priority="8349">
      <formula>LEN(TRIM(AI97))=0</formula>
    </cfRule>
    <cfRule type="containsBlanks" dxfId="13384" priority="8350">
      <formula>LEN(TRIM(AI97))=0</formula>
    </cfRule>
  </conditionalFormatting>
  <conditionalFormatting sqref="AI97">
    <cfRule type="containsBlanks" dxfId="13383" priority="8283">
      <formula>LEN(TRIM(AI97))=0</formula>
    </cfRule>
    <cfRule type="containsBlanks" dxfId="13382" priority="8284">
      <formula>LEN(TRIM(AI97))=0</formula>
    </cfRule>
    <cfRule type="containsBlanks" dxfId="13381" priority="8285">
      <formula>LEN(TRIM(AI97))=0</formula>
    </cfRule>
    <cfRule type="containsBlanks" dxfId="13380" priority="8286">
      <formula>LEN(TRIM(AI97))=0</formula>
    </cfRule>
    <cfRule type="containsBlanks" dxfId="13379" priority="8287">
      <formula>LEN(TRIM(AI97))=0</formula>
    </cfRule>
    <cfRule type="containsBlanks" dxfId="13378" priority="8288">
      <formula>LEN(TRIM(AI97))=0</formula>
    </cfRule>
    <cfRule type="containsBlanks" dxfId="13377" priority="8289">
      <formula>LEN(TRIM(AI97))=0</formula>
    </cfRule>
    <cfRule type="containsBlanks" dxfId="13376" priority="8290">
      <formula>LEN(TRIM(AI97))=0</formula>
    </cfRule>
    <cfRule type="containsBlanks" dxfId="13375" priority="8291">
      <formula>LEN(TRIM(AI97))=0</formula>
    </cfRule>
    <cfRule type="containsBlanks" dxfId="13374" priority="8292">
      <formula>LEN(TRIM(AI97))=0</formula>
    </cfRule>
    <cfRule type="containsBlanks" dxfId="13373" priority="8293">
      <formula>LEN(TRIM(AI97))=0</formula>
    </cfRule>
    <cfRule type="containsBlanks" dxfId="13372" priority="8294">
      <formula>LEN(TRIM(AI97))=0</formula>
    </cfRule>
    <cfRule type="containsBlanks" dxfId="13371" priority="8295">
      <formula>LEN(TRIM(AI97))=0</formula>
    </cfRule>
    <cfRule type="containsBlanks" dxfId="13370" priority="8296">
      <formula>LEN(TRIM(AI97))=0</formula>
    </cfRule>
    <cfRule type="containsBlanks" dxfId="13369" priority="8297">
      <formula>LEN(TRIM(AI97))=0</formula>
    </cfRule>
    <cfRule type="containsBlanks" dxfId="13368" priority="8298">
      <formula>LEN(TRIM(AI97))=0</formula>
    </cfRule>
    <cfRule type="containsBlanks" dxfId="13367" priority="8299">
      <formula>LEN(TRIM(AI97))=0</formula>
    </cfRule>
    <cfRule type="containsBlanks" dxfId="13366" priority="8300">
      <formula>LEN(TRIM(AI97))=0</formula>
    </cfRule>
    <cfRule type="containsBlanks" dxfId="13365" priority="8301">
      <formula>LEN(TRIM(AI97))=0</formula>
    </cfRule>
    <cfRule type="containsBlanks" dxfId="13364" priority="8302">
      <formula>LEN(TRIM(AI97))=0</formula>
    </cfRule>
    <cfRule type="containsBlanks" dxfId="13363" priority="8303">
      <formula>LEN(TRIM(AI97))=0</formula>
    </cfRule>
    <cfRule type="containsBlanks" dxfId="13362" priority="8304">
      <formula>LEN(TRIM(AI97))=0</formula>
    </cfRule>
    <cfRule type="containsBlanks" dxfId="13361" priority="8305">
      <formula>LEN(TRIM(AI97))=0</formula>
    </cfRule>
    <cfRule type="containsBlanks" dxfId="13360" priority="8306">
      <formula>LEN(TRIM(AI97))=0</formula>
    </cfRule>
    <cfRule type="containsBlanks" dxfId="13359" priority="8307">
      <formula>LEN(TRIM(AI97))=0</formula>
    </cfRule>
    <cfRule type="containsBlanks" dxfId="13358" priority="8308">
      <formula>LEN(TRIM(AI97))=0</formula>
    </cfRule>
    <cfRule type="containsBlanks" dxfId="13357" priority="8309">
      <formula>LEN(TRIM(AI97))=0</formula>
    </cfRule>
    <cfRule type="containsBlanks" dxfId="13356" priority="8310">
      <formula>LEN(TRIM(AI97))=0</formula>
    </cfRule>
    <cfRule type="containsBlanks" dxfId="13355" priority="8311">
      <formula>LEN(TRIM(AI97))=0</formula>
    </cfRule>
    <cfRule type="containsBlanks" dxfId="13354" priority="8312">
      <formula>LEN(TRIM(AI97))=0</formula>
    </cfRule>
    <cfRule type="containsBlanks" dxfId="13353" priority="8313">
      <formula>LEN(TRIM(AI97))=0</formula>
    </cfRule>
    <cfRule type="containsBlanks" dxfId="13352" priority="8314">
      <formula>LEN(TRIM(AI97))=0</formula>
    </cfRule>
    <cfRule type="containsBlanks" dxfId="13351" priority="8315">
      <formula>LEN(TRIM(AI97))=0</formula>
    </cfRule>
    <cfRule type="containsBlanks" dxfId="13350" priority="8316">
      <formula>LEN(TRIM(AI97))=0</formula>
    </cfRule>
    <cfRule type="containsBlanks" dxfId="13349" priority="8317">
      <formula>LEN(TRIM(AI97))=0</formula>
    </cfRule>
    <cfRule type="containsBlanks" dxfId="13348" priority="8318">
      <formula>LEN(TRIM(AI97))=0</formula>
    </cfRule>
    <cfRule type="containsBlanks" dxfId="13347" priority="8319">
      <formula>LEN(TRIM(AI97))=0</formula>
    </cfRule>
    <cfRule type="containsBlanks" dxfId="13346" priority="8320">
      <formula>LEN(TRIM(AI97))=0</formula>
    </cfRule>
    <cfRule type="containsBlanks" dxfId="13345" priority="8321">
      <formula>LEN(TRIM(AI97))=0</formula>
    </cfRule>
    <cfRule type="containsBlanks" dxfId="13344" priority="8322">
      <formula>LEN(TRIM(AI97))=0</formula>
    </cfRule>
    <cfRule type="containsBlanks" dxfId="13343" priority="8323">
      <formula>LEN(TRIM(AI97))=0</formula>
    </cfRule>
    <cfRule type="containsBlanks" dxfId="13342" priority="8324">
      <formula>LEN(TRIM(AI97))=0</formula>
    </cfRule>
    <cfRule type="containsBlanks" dxfId="13341" priority="8325">
      <formula>LEN(TRIM(AI97))=0</formula>
    </cfRule>
    <cfRule type="containsBlanks" dxfId="13340" priority="8326">
      <formula>LEN(TRIM(AI97))=0</formula>
    </cfRule>
    <cfRule type="containsBlanks" dxfId="13339" priority="8327">
      <formula>LEN(TRIM(AI97))=0</formula>
    </cfRule>
    <cfRule type="containsBlanks" dxfId="13338" priority="8328">
      <formula>LEN(TRIM(AI97))=0</formula>
    </cfRule>
    <cfRule type="containsBlanks" dxfId="13337" priority="8329">
      <formula>LEN(TRIM(AI97))=0</formula>
    </cfRule>
    <cfRule type="containsBlanks" dxfId="13336" priority="8330">
      <formula>LEN(TRIM(AI97))=0</formula>
    </cfRule>
    <cfRule type="containsBlanks" dxfId="13335" priority="8331">
      <formula>LEN(TRIM(AI97))=0</formula>
    </cfRule>
    <cfRule type="containsBlanks" dxfId="13334" priority="8332">
      <formula>LEN(TRIM(AI97))=0</formula>
    </cfRule>
    <cfRule type="containsBlanks" dxfId="13333" priority="8333">
      <formula>LEN(TRIM(AI97))=0</formula>
    </cfRule>
    <cfRule type="containsBlanks" dxfId="13332" priority="8334">
      <formula>LEN(TRIM(AI97))=0</formula>
    </cfRule>
    <cfRule type="containsBlanks" dxfId="13331" priority="8335">
      <formula>LEN(TRIM(AI97))=0</formula>
    </cfRule>
    <cfRule type="containsBlanks" dxfId="13330" priority="8336">
      <formula>LEN(TRIM(AI97))=0</formula>
    </cfRule>
    <cfRule type="containsBlanks" dxfId="13329" priority="8337">
      <formula>LEN(TRIM(AI97))=0</formula>
    </cfRule>
    <cfRule type="containsBlanks" dxfId="13328" priority="8338">
      <formula>LEN(TRIM(AI97))=0</formula>
    </cfRule>
    <cfRule type="containsBlanks" dxfId="13327" priority="8339">
      <formula>LEN(TRIM(AI97))=0</formula>
    </cfRule>
    <cfRule type="containsBlanks" dxfId="13326" priority="8340">
      <formula>LEN(TRIM(AI97))=0</formula>
    </cfRule>
    <cfRule type="containsBlanks" dxfId="13325" priority="8341">
      <formula>LEN(TRIM(AI97))=0</formula>
    </cfRule>
    <cfRule type="containsBlanks" dxfId="13324" priority="8342">
      <formula>LEN(TRIM(AI97))=0</formula>
    </cfRule>
    <cfRule type="containsBlanks" dxfId="13323" priority="8343">
      <formula>LEN(TRIM(AI97))=0</formula>
    </cfRule>
    <cfRule type="containsBlanks" dxfId="13322" priority="8344">
      <formula>LEN(TRIM(AI97))=0</formula>
    </cfRule>
    <cfRule type="containsBlanks" dxfId="13321" priority="8345">
      <formula>LEN(TRIM(AI97))=0</formula>
    </cfRule>
    <cfRule type="containsBlanks" dxfId="13320" priority="8346">
      <formula>LEN(TRIM(AI97))=0</formula>
    </cfRule>
    <cfRule type="containsBlanks" dxfId="13319" priority="8347">
      <formula>LEN(TRIM(AI97))=0</formula>
    </cfRule>
    <cfRule type="containsBlanks" dxfId="13318" priority="8348">
      <formula>LEN(TRIM(AI97))=0</formula>
    </cfRule>
  </conditionalFormatting>
  <conditionalFormatting sqref="AI97">
    <cfRule type="containsBlanks" dxfId="13317" priority="8228">
      <formula>LEN(TRIM(AI97))=0</formula>
    </cfRule>
    <cfRule type="containsBlanks" dxfId="13316" priority="8229">
      <formula>LEN(TRIM(AI97))=0</formula>
    </cfRule>
    <cfRule type="containsBlanks" dxfId="13315" priority="8230">
      <formula>LEN(TRIM(AI97))=0</formula>
    </cfRule>
    <cfRule type="containsBlanks" dxfId="13314" priority="8231">
      <formula>LEN(TRIM(AI97))=0</formula>
    </cfRule>
    <cfRule type="containsBlanks" dxfId="13313" priority="8232">
      <formula>LEN(TRIM(AI97))=0</formula>
    </cfRule>
    <cfRule type="containsBlanks" dxfId="13312" priority="8233">
      <formula>LEN(TRIM(AI97))=0</formula>
    </cfRule>
    <cfRule type="containsBlanks" dxfId="13311" priority="8234">
      <formula>LEN(TRIM(AI97))=0</formula>
    </cfRule>
    <cfRule type="containsBlanks" dxfId="13310" priority="8235">
      <formula>LEN(TRIM(AI97))=0</formula>
    </cfRule>
    <cfRule type="containsBlanks" dxfId="13309" priority="8236">
      <formula>LEN(TRIM(AI97))=0</formula>
    </cfRule>
    <cfRule type="containsBlanks" dxfId="13308" priority="8237">
      <formula>LEN(TRIM(AI97))=0</formula>
    </cfRule>
    <cfRule type="containsBlanks" dxfId="13307" priority="8238">
      <formula>LEN(TRIM(AI97))=0</formula>
    </cfRule>
    <cfRule type="containsBlanks" dxfId="13306" priority="8239">
      <formula>LEN(TRIM(AI97))=0</formula>
    </cfRule>
    <cfRule type="containsBlanks" dxfId="13305" priority="8240">
      <formula>LEN(TRIM(AI97))=0</formula>
    </cfRule>
    <cfRule type="containsBlanks" dxfId="13304" priority="8241">
      <formula>LEN(TRIM(AI97))=0</formula>
    </cfRule>
    <cfRule type="containsBlanks" dxfId="13303" priority="8242">
      <formula>LEN(TRIM(AI97))=0</formula>
    </cfRule>
    <cfRule type="containsBlanks" dxfId="13302" priority="8243">
      <formula>LEN(TRIM(AI97))=0</formula>
    </cfRule>
    <cfRule type="containsBlanks" dxfId="13301" priority="8244">
      <formula>LEN(TRIM(AI97))=0</formula>
    </cfRule>
    <cfRule type="containsBlanks" dxfId="13300" priority="8245">
      <formula>LEN(TRIM(AI97))=0</formula>
    </cfRule>
    <cfRule type="containsBlanks" dxfId="13299" priority="8246">
      <formula>LEN(TRIM(AI97))=0</formula>
    </cfRule>
    <cfRule type="containsBlanks" dxfId="13298" priority="8247">
      <formula>LEN(TRIM(AI97))=0</formula>
    </cfRule>
    <cfRule type="containsBlanks" dxfId="13297" priority="8248">
      <formula>LEN(TRIM(AI97))=0</formula>
    </cfRule>
    <cfRule type="containsBlanks" dxfId="13296" priority="8249">
      <formula>LEN(TRIM(AI97))=0</formula>
    </cfRule>
    <cfRule type="containsBlanks" dxfId="13295" priority="8250">
      <formula>LEN(TRIM(AI97))=0</formula>
    </cfRule>
    <cfRule type="containsBlanks" dxfId="13294" priority="8251">
      <formula>LEN(TRIM(AI97))=0</formula>
    </cfRule>
    <cfRule type="containsBlanks" dxfId="13293" priority="8252">
      <formula>LEN(TRIM(AI97))=0</formula>
    </cfRule>
    <cfRule type="containsBlanks" dxfId="13292" priority="8253">
      <formula>LEN(TRIM(AI97))=0</formula>
    </cfRule>
    <cfRule type="containsBlanks" dxfId="13291" priority="8254">
      <formula>LEN(TRIM(AI97))=0</formula>
    </cfRule>
    <cfRule type="containsBlanks" dxfId="13290" priority="8255">
      <formula>LEN(TRIM(AI97))=0</formula>
    </cfRule>
    <cfRule type="containsBlanks" dxfId="13289" priority="8256">
      <formula>LEN(TRIM(AI97))=0</formula>
    </cfRule>
    <cfRule type="containsBlanks" dxfId="13288" priority="8257">
      <formula>LEN(TRIM(AI97))=0</formula>
    </cfRule>
    <cfRule type="containsBlanks" dxfId="13287" priority="8258">
      <formula>LEN(TRIM(AI97))=0</formula>
    </cfRule>
    <cfRule type="containsBlanks" dxfId="13286" priority="8259">
      <formula>LEN(TRIM(AI97))=0</formula>
    </cfRule>
    <cfRule type="containsBlanks" dxfId="13285" priority="8260">
      <formula>LEN(TRIM(AI97))=0</formula>
    </cfRule>
    <cfRule type="containsBlanks" dxfId="13284" priority="8261">
      <formula>LEN(TRIM(AI97))=0</formula>
    </cfRule>
    <cfRule type="containsBlanks" dxfId="13283" priority="8262">
      <formula>LEN(TRIM(AI97))=0</formula>
    </cfRule>
    <cfRule type="containsBlanks" dxfId="13282" priority="8263">
      <formula>LEN(TRIM(AI97))=0</formula>
    </cfRule>
    <cfRule type="containsBlanks" dxfId="13281" priority="8264">
      <formula>LEN(TRIM(AI97))=0</formula>
    </cfRule>
    <cfRule type="containsBlanks" dxfId="13280" priority="8265">
      <formula>LEN(TRIM(AI97))=0</formula>
    </cfRule>
    <cfRule type="containsBlanks" dxfId="13279" priority="8266">
      <formula>LEN(TRIM(AI97))=0</formula>
    </cfRule>
    <cfRule type="containsBlanks" dxfId="13278" priority="8267">
      <formula>LEN(TRIM(AI97))=0</formula>
    </cfRule>
    <cfRule type="containsBlanks" dxfId="13277" priority="8268">
      <formula>LEN(TRIM(AI97))=0</formula>
    </cfRule>
    <cfRule type="containsBlanks" dxfId="13276" priority="8269">
      <formula>LEN(TRIM(AI97))=0</formula>
    </cfRule>
    <cfRule type="containsBlanks" dxfId="13275" priority="8270">
      <formula>LEN(TRIM(AI97))=0</formula>
    </cfRule>
    <cfRule type="containsBlanks" dxfId="13274" priority="8271">
      <formula>LEN(TRIM(AI97))=0</formula>
    </cfRule>
    <cfRule type="containsBlanks" dxfId="13273" priority="8272">
      <formula>LEN(TRIM(AI97))=0</formula>
    </cfRule>
    <cfRule type="containsBlanks" dxfId="13272" priority="8273">
      <formula>LEN(TRIM(AI97))=0</formula>
    </cfRule>
    <cfRule type="containsBlanks" dxfId="13271" priority="8274">
      <formula>LEN(TRIM(AI97))=0</formula>
    </cfRule>
    <cfRule type="containsBlanks" dxfId="13270" priority="8275">
      <formula>LEN(TRIM(AI97))=0</formula>
    </cfRule>
    <cfRule type="containsBlanks" dxfId="13269" priority="8276">
      <formula>LEN(TRIM(AI97))=0</formula>
    </cfRule>
    <cfRule type="containsBlanks" dxfId="13268" priority="8277">
      <formula>LEN(TRIM(AI97))=0</formula>
    </cfRule>
    <cfRule type="containsBlanks" dxfId="13267" priority="8278">
      <formula>LEN(TRIM(AI97))=0</formula>
    </cfRule>
    <cfRule type="containsBlanks" dxfId="13266" priority="8279">
      <formula>LEN(TRIM(AI97))=0</formula>
    </cfRule>
    <cfRule type="containsBlanks" dxfId="13265" priority="8280">
      <formula>LEN(TRIM(AI97))=0</formula>
    </cfRule>
    <cfRule type="containsBlanks" dxfId="13264" priority="8281">
      <formula>LEN(TRIM(AI97))=0</formula>
    </cfRule>
    <cfRule type="containsBlanks" dxfId="13263" priority="8282">
      <formula>LEN(TRIM(AI97))=0</formula>
    </cfRule>
  </conditionalFormatting>
  <conditionalFormatting sqref="AI97">
    <cfRule type="containsBlanks" dxfId="13262" priority="8144">
      <formula>LEN(TRIM(AI97))=0</formula>
    </cfRule>
    <cfRule type="containsBlanks" dxfId="13261" priority="8145">
      <formula>LEN(TRIM(AI97))=0</formula>
    </cfRule>
    <cfRule type="containsBlanks" dxfId="13260" priority="8146">
      <formula>LEN(TRIM(AI97))=0</formula>
    </cfRule>
    <cfRule type="containsBlanks" dxfId="13259" priority="8147">
      <formula>LEN(TRIM(AI97))=0</formula>
    </cfRule>
    <cfRule type="containsBlanks" dxfId="13258" priority="8148">
      <formula>LEN(TRIM(AI97))=0</formula>
    </cfRule>
    <cfRule type="containsBlanks" dxfId="13257" priority="8149">
      <formula>LEN(TRIM(AI97))=0</formula>
    </cfRule>
    <cfRule type="containsBlanks" dxfId="13256" priority="8150">
      <formula>LEN(TRIM(AI97))=0</formula>
    </cfRule>
    <cfRule type="containsBlanks" dxfId="13255" priority="8151">
      <formula>LEN(TRIM(AI97))=0</formula>
    </cfRule>
    <cfRule type="containsBlanks" dxfId="13254" priority="8152">
      <formula>LEN(TRIM(AI97))=0</formula>
    </cfRule>
    <cfRule type="containsBlanks" dxfId="13253" priority="8153">
      <formula>LEN(TRIM(AI97))=0</formula>
    </cfRule>
    <cfRule type="containsBlanks" dxfId="13252" priority="8154">
      <formula>LEN(TRIM(AI97))=0</formula>
    </cfRule>
    <cfRule type="containsBlanks" dxfId="13251" priority="8155">
      <formula>LEN(TRIM(AI97))=0</formula>
    </cfRule>
    <cfRule type="containsBlanks" dxfId="13250" priority="8156">
      <formula>LEN(TRIM(AI97))=0</formula>
    </cfRule>
    <cfRule type="containsBlanks" dxfId="13249" priority="8157">
      <formula>LEN(TRIM(AI97))=0</formula>
    </cfRule>
    <cfRule type="containsBlanks" dxfId="13248" priority="8158">
      <formula>LEN(TRIM(AI97))=0</formula>
    </cfRule>
    <cfRule type="containsBlanks" dxfId="13247" priority="8159">
      <formula>LEN(TRIM(AI97))=0</formula>
    </cfRule>
    <cfRule type="containsBlanks" dxfId="13246" priority="8160">
      <formula>LEN(TRIM(AI97))=0</formula>
    </cfRule>
    <cfRule type="containsBlanks" dxfId="13245" priority="8161">
      <formula>LEN(TRIM(AI97))=0</formula>
    </cfRule>
    <cfRule type="containsBlanks" dxfId="13244" priority="8162">
      <formula>LEN(TRIM(AI97))=0</formula>
    </cfRule>
    <cfRule type="containsBlanks" dxfId="13243" priority="8163">
      <formula>LEN(TRIM(AI97))=0</formula>
    </cfRule>
    <cfRule type="containsBlanks" dxfId="13242" priority="8164">
      <formula>LEN(TRIM(AI97))=0</formula>
    </cfRule>
    <cfRule type="containsBlanks" dxfId="13241" priority="8165">
      <formula>LEN(TRIM(AI97))=0</formula>
    </cfRule>
    <cfRule type="containsBlanks" dxfId="13240" priority="8166">
      <formula>LEN(TRIM(AI97))=0</formula>
    </cfRule>
    <cfRule type="containsBlanks" dxfId="13239" priority="8167">
      <formula>LEN(TRIM(AI97))=0</formula>
    </cfRule>
    <cfRule type="containsBlanks" dxfId="13238" priority="8168">
      <formula>LEN(TRIM(AI97))=0</formula>
    </cfRule>
    <cfRule type="containsBlanks" dxfId="13237" priority="8169">
      <formula>LEN(TRIM(AI97))=0</formula>
    </cfRule>
    <cfRule type="containsBlanks" dxfId="13236" priority="8170">
      <formula>LEN(TRIM(AI97))=0</formula>
    </cfRule>
    <cfRule type="containsBlanks" dxfId="13235" priority="8171">
      <formula>LEN(TRIM(AI97))=0</formula>
    </cfRule>
    <cfRule type="containsBlanks" dxfId="13234" priority="8172">
      <formula>LEN(TRIM(AI97))=0</formula>
    </cfRule>
    <cfRule type="containsBlanks" dxfId="13233" priority="8173">
      <formula>LEN(TRIM(AI97))=0</formula>
    </cfRule>
    <cfRule type="containsBlanks" dxfId="13232" priority="8174">
      <formula>LEN(TRIM(AI97))=0</formula>
    </cfRule>
    <cfRule type="containsBlanks" dxfId="13231" priority="8175">
      <formula>LEN(TRIM(AI97))=0</formula>
    </cfRule>
    <cfRule type="containsBlanks" dxfId="13230" priority="8176">
      <formula>LEN(TRIM(AI97))=0</formula>
    </cfRule>
    <cfRule type="containsBlanks" dxfId="13229" priority="8177">
      <formula>LEN(TRIM(AI97))=0</formula>
    </cfRule>
    <cfRule type="containsBlanks" dxfId="13228" priority="8178">
      <formula>LEN(TRIM(AI97))=0</formula>
    </cfRule>
    <cfRule type="containsBlanks" dxfId="13227" priority="8179">
      <formula>LEN(TRIM(AI97))=0</formula>
    </cfRule>
    <cfRule type="containsBlanks" dxfId="13226" priority="8180">
      <formula>LEN(TRIM(AI97))=0</formula>
    </cfRule>
    <cfRule type="containsBlanks" dxfId="13225" priority="8181">
      <formula>LEN(TRIM(AI97))=0</formula>
    </cfRule>
    <cfRule type="containsBlanks" dxfId="13224" priority="8182">
      <formula>LEN(TRIM(AI97))=0</formula>
    </cfRule>
    <cfRule type="containsBlanks" dxfId="13223" priority="8183">
      <formula>LEN(TRIM(AI97))=0</formula>
    </cfRule>
    <cfRule type="containsBlanks" dxfId="13222" priority="8184">
      <formula>LEN(TRIM(AI97))=0</formula>
    </cfRule>
    <cfRule type="containsBlanks" dxfId="13221" priority="8185">
      <formula>LEN(TRIM(AI97))=0</formula>
    </cfRule>
    <cfRule type="containsBlanks" dxfId="13220" priority="8186">
      <formula>LEN(TRIM(AI97))=0</formula>
    </cfRule>
    <cfRule type="containsBlanks" dxfId="13219" priority="8187">
      <formula>LEN(TRIM(AI97))=0</formula>
    </cfRule>
    <cfRule type="containsBlanks" dxfId="13218" priority="8188">
      <formula>LEN(TRIM(AI97))=0</formula>
    </cfRule>
    <cfRule type="containsBlanks" dxfId="13217" priority="8189">
      <formula>LEN(TRIM(AI97))=0</formula>
    </cfRule>
    <cfRule type="containsBlanks" dxfId="13216" priority="8190">
      <formula>LEN(TRIM(AI97))=0</formula>
    </cfRule>
    <cfRule type="containsBlanks" dxfId="13215" priority="8191">
      <formula>LEN(TRIM(AI97))=0</formula>
    </cfRule>
    <cfRule type="containsBlanks" dxfId="13214" priority="8192">
      <formula>LEN(TRIM(AI97))=0</formula>
    </cfRule>
    <cfRule type="containsBlanks" dxfId="13213" priority="8193">
      <formula>LEN(TRIM(AI97))=0</formula>
    </cfRule>
    <cfRule type="containsBlanks" dxfId="13212" priority="8194">
      <formula>LEN(TRIM(AI97))=0</formula>
    </cfRule>
    <cfRule type="containsBlanks" dxfId="13211" priority="8195">
      <formula>LEN(TRIM(AI97))=0</formula>
    </cfRule>
    <cfRule type="containsBlanks" dxfId="13210" priority="8196">
      <formula>LEN(TRIM(AI97))=0</formula>
    </cfRule>
    <cfRule type="containsBlanks" dxfId="13209" priority="8197">
      <formula>LEN(TRIM(AI97))=0</formula>
    </cfRule>
    <cfRule type="containsBlanks" dxfId="13208" priority="8198">
      <formula>LEN(TRIM(AI97))=0</formula>
    </cfRule>
    <cfRule type="containsBlanks" dxfId="13207" priority="8199">
      <formula>LEN(TRIM(AI97))=0</formula>
    </cfRule>
    <cfRule type="containsBlanks" dxfId="13206" priority="8200">
      <formula>LEN(TRIM(AI97))=0</formula>
    </cfRule>
    <cfRule type="containsBlanks" dxfId="13205" priority="8201">
      <formula>LEN(TRIM(AI97))=0</formula>
    </cfRule>
    <cfRule type="containsBlanks" dxfId="13204" priority="8202">
      <formula>LEN(TRIM(AI97))=0</formula>
    </cfRule>
    <cfRule type="containsBlanks" dxfId="13203" priority="8203">
      <formula>LEN(TRIM(AI97))=0</formula>
    </cfRule>
    <cfRule type="containsBlanks" dxfId="13202" priority="8204">
      <formula>LEN(TRIM(AI97))=0</formula>
    </cfRule>
    <cfRule type="containsBlanks" dxfId="13201" priority="8205">
      <formula>LEN(TRIM(AI97))=0</formula>
    </cfRule>
    <cfRule type="containsBlanks" dxfId="13200" priority="8206">
      <formula>LEN(TRIM(AI97))=0</formula>
    </cfRule>
    <cfRule type="containsBlanks" dxfId="13199" priority="8207">
      <formula>LEN(TRIM(AI97))=0</formula>
    </cfRule>
    <cfRule type="containsBlanks" dxfId="13198" priority="8208">
      <formula>LEN(TRIM(AI97))=0</formula>
    </cfRule>
    <cfRule type="containsBlanks" dxfId="13197" priority="8209">
      <formula>LEN(TRIM(AI97))=0</formula>
    </cfRule>
    <cfRule type="containsBlanks" dxfId="13196" priority="8210">
      <formula>LEN(TRIM(AI97))=0</formula>
    </cfRule>
    <cfRule type="containsBlanks" dxfId="13195" priority="8211">
      <formula>LEN(TRIM(AI97))=0</formula>
    </cfRule>
    <cfRule type="containsBlanks" dxfId="13194" priority="8212">
      <formula>LEN(TRIM(AI97))=0</formula>
    </cfRule>
    <cfRule type="containsBlanks" dxfId="13193" priority="8213">
      <formula>LEN(TRIM(AI97))=0</formula>
    </cfRule>
    <cfRule type="containsBlanks" dxfId="13192" priority="8214">
      <formula>LEN(TRIM(AI97))=0</formula>
    </cfRule>
    <cfRule type="containsBlanks" dxfId="13191" priority="8215">
      <formula>LEN(TRIM(AI97))=0</formula>
    </cfRule>
    <cfRule type="containsBlanks" dxfId="13190" priority="8216">
      <formula>LEN(TRIM(AI97))=0</formula>
    </cfRule>
    <cfRule type="containsBlanks" dxfId="13189" priority="8217">
      <formula>LEN(TRIM(AI97))=0</formula>
    </cfRule>
    <cfRule type="containsBlanks" dxfId="13188" priority="8218">
      <formula>LEN(TRIM(AI97))=0</formula>
    </cfRule>
    <cfRule type="containsBlanks" dxfId="13187" priority="8219">
      <formula>LEN(TRIM(AI97))=0</formula>
    </cfRule>
    <cfRule type="containsBlanks" dxfId="13186" priority="8220">
      <formula>LEN(TRIM(AI97))=0</formula>
    </cfRule>
    <cfRule type="containsBlanks" dxfId="13185" priority="8221">
      <formula>LEN(TRIM(AI97))=0</formula>
    </cfRule>
    <cfRule type="containsBlanks" dxfId="13184" priority="8222">
      <formula>LEN(TRIM(AI97))=0</formula>
    </cfRule>
    <cfRule type="containsBlanks" dxfId="13183" priority="8223">
      <formula>LEN(TRIM(AI97))=0</formula>
    </cfRule>
    <cfRule type="containsBlanks" dxfId="13182" priority="8224">
      <formula>LEN(TRIM(AI97))=0</formula>
    </cfRule>
    <cfRule type="containsBlanks" dxfId="13181" priority="8225">
      <formula>LEN(TRIM(AI97))=0</formula>
    </cfRule>
    <cfRule type="containsBlanks" dxfId="13180" priority="8226">
      <formula>LEN(TRIM(AI97))=0</formula>
    </cfRule>
    <cfRule type="containsBlanks" dxfId="13179" priority="8227">
      <formula>LEN(TRIM(AI97))=0</formula>
    </cfRule>
  </conditionalFormatting>
  <conditionalFormatting sqref="AI98">
    <cfRule type="containsBlanks" dxfId="13178" priority="8143">
      <formula>LEN(TRIM(AI98))=0</formula>
    </cfRule>
  </conditionalFormatting>
  <conditionalFormatting sqref="AI98">
    <cfRule type="containsBlanks" dxfId="13177" priority="8142">
      <formula>LEN(TRIM(AI98))=0</formula>
    </cfRule>
  </conditionalFormatting>
  <conditionalFormatting sqref="AI98">
    <cfRule type="containsBlanks" dxfId="13176" priority="8140">
      <formula>LEN(TRIM(AI98))=0</formula>
    </cfRule>
    <cfRule type="containsBlanks" dxfId="13175" priority="8141">
      <formula>LEN(TRIM(AI98))=0</formula>
    </cfRule>
  </conditionalFormatting>
  <conditionalFormatting sqref="AI98">
    <cfRule type="containsBlanks" dxfId="13174" priority="8139">
      <formula>LEN(TRIM(AI98))=0</formula>
    </cfRule>
  </conditionalFormatting>
  <conditionalFormatting sqref="AI98">
    <cfRule type="containsBlanks" dxfId="13173" priority="8138">
      <formula>LEN(TRIM(AI98))=0</formula>
    </cfRule>
  </conditionalFormatting>
  <conditionalFormatting sqref="AI98">
    <cfRule type="containsBlanks" dxfId="13172" priority="8137">
      <formula>LEN(TRIM(AI98))=0</formula>
    </cfRule>
  </conditionalFormatting>
  <conditionalFormatting sqref="AI98">
    <cfRule type="containsBlanks" dxfId="13171" priority="8135">
      <formula>LEN(TRIM(AI98))=0</formula>
    </cfRule>
    <cfRule type="containsBlanks" dxfId="13170" priority="8136">
      <formula>LEN(TRIM(AI98))=0</formula>
    </cfRule>
  </conditionalFormatting>
  <conditionalFormatting sqref="AI98">
    <cfRule type="containsBlanks" dxfId="13169" priority="8133">
      <formula>LEN(TRIM(AI98))=0</formula>
    </cfRule>
    <cfRule type="containsBlanks" dxfId="13168" priority="8134">
      <formula>LEN(TRIM(AI98))=0</formula>
    </cfRule>
  </conditionalFormatting>
  <conditionalFormatting sqref="AI98">
    <cfRule type="containsBlanks" dxfId="13167" priority="8131">
      <formula>LEN(TRIM(AI98))=0</formula>
    </cfRule>
    <cfRule type="containsBlanks" dxfId="13166" priority="8132">
      <formula>LEN(TRIM(AI98))=0</formula>
    </cfRule>
  </conditionalFormatting>
  <conditionalFormatting sqref="AI98">
    <cfRule type="containsBlanks" dxfId="13165" priority="8129">
      <formula>LEN(TRIM(AI98))=0</formula>
    </cfRule>
    <cfRule type="containsBlanks" dxfId="13164" priority="8130">
      <formula>LEN(TRIM(AI98))=0</formula>
    </cfRule>
  </conditionalFormatting>
  <conditionalFormatting sqref="AI98">
    <cfRule type="containsBlanks" dxfId="13163" priority="8063">
      <formula>LEN(TRIM(AI98))=0</formula>
    </cfRule>
    <cfRule type="containsBlanks" dxfId="13162" priority="8064">
      <formula>LEN(TRIM(AI98))=0</formula>
    </cfRule>
    <cfRule type="containsBlanks" dxfId="13161" priority="8065">
      <formula>LEN(TRIM(AI98))=0</formula>
    </cfRule>
    <cfRule type="containsBlanks" dxfId="13160" priority="8066">
      <formula>LEN(TRIM(AI98))=0</formula>
    </cfRule>
    <cfRule type="containsBlanks" dxfId="13159" priority="8067">
      <formula>LEN(TRIM(AI98))=0</formula>
    </cfRule>
    <cfRule type="containsBlanks" dxfId="13158" priority="8068">
      <formula>LEN(TRIM(AI98))=0</formula>
    </cfRule>
    <cfRule type="containsBlanks" dxfId="13157" priority="8069">
      <formula>LEN(TRIM(AI98))=0</formula>
    </cfRule>
    <cfRule type="containsBlanks" dxfId="13156" priority="8070">
      <formula>LEN(TRIM(AI98))=0</formula>
    </cfRule>
    <cfRule type="containsBlanks" dxfId="13155" priority="8071">
      <formula>LEN(TRIM(AI98))=0</formula>
    </cfRule>
    <cfRule type="containsBlanks" dxfId="13154" priority="8072">
      <formula>LEN(TRIM(AI98))=0</formula>
    </cfRule>
    <cfRule type="containsBlanks" dxfId="13153" priority="8073">
      <formula>LEN(TRIM(AI98))=0</formula>
    </cfRule>
    <cfRule type="containsBlanks" dxfId="13152" priority="8074">
      <formula>LEN(TRIM(AI98))=0</formula>
    </cfRule>
    <cfRule type="containsBlanks" dxfId="13151" priority="8075">
      <formula>LEN(TRIM(AI98))=0</formula>
    </cfRule>
    <cfRule type="containsBlanks" dxfId="13150" priority="8076">
      <formula>LEN(TRIM(AI98))=0</formula>
    </cfRule>
    <cfRule type="containsBlanks" dxfId="13149" priority="8077">
      <formula>LEN(TRIM(AI98))=0</formula>
    </cfRule>
    <cfRule type="containsBlanks" dxfId="13148" priority="8078">
      <formula>LEN(TRIM(AI98))=0</formula>
    </cfRule>
    <cfRule type="containsBlanks" dxfId="13147" priority="8079">
      <formula>LEN(TRIM(AI98))=0</formula>
    </cfRule>
    <cfRule type="containsBlanks" dxfId="13146" priority="8080">
      <formula>LEN(TRIM(AI98))=0</formula>
    </cfRule>
    <cfRule type="containsBlanks" dxfId="13145" priority="8081">
      <formula>LEN(TRIM(AI98))=0</formula>
    </cfRule>
    <cfRule type="containsBlanks" dxfId="13144" priority="8082">
      <formula>LEN(TRIM(AI98))=0</formula>
    </cfRule>
    <cfRule type="containsBlanks" dxfId="13143" priority="8083">
      <formula>LEN(TRIM(AI98))=0</formula>
    </cfRule>
    <cfRule type="containsBlanks" dxfId="13142" priority="8084">
      <formula>LEN(TRIM(AI98))=0</formula>
    </cfRule>
    <cfRule type="containsBlanks" dxfId="13141" priority="8085">
      <formula>LEN(TRIM(AI98))=0</formula>
    </cfRule>
    <cfRule type="containsBlanks" dxfId="13140" priority="8086">
      <formula>LEN(TRIM(AI98))=0</formula>
    </cfRule>
    <cfRule type="containsBlanks" dxfId="13139" priority="8087">
      <formula>LEN(TRIM(AI98))=0</formula>
    </cfRule>
    <cfRule type="containsBlanks" dxfId="13138" priority="8088">
      <formula>LEN(TRIM(AI98))=0</formula>
    </cfRule>
    <cfRule type="containsBlanks" dxfId="13137" priority="8089">
      <formula>LEN(TRIM(AI98))=0</formula>
    </cfRule>
    <cfRule type="containsBlanks" dxfId="13136" priority="8090">
      <formula>LEN(TRIM(AI98))=0</formula>
    </cfRule>
    <cfRule type="containsBlanks" dxfId="13135" priority="8091">
      <formula>LEN(TRIM(AI98))=0</formula>
    </cfRule>
    <cfRule type="containsBlanks" dxfId="13134" priority="8092">
      <formula>LEN(TRIM(AI98))=0</formula>
    </cfRule>
    <cfRule type="containsBlanks" dxfId="13133" priority="8093">
      <formula>LEN(TRIM(AI98))=0</formula>
    </cfRule>
    <cfRule type="containsBlanks" dxfId="13132" priority="8094">
      <formula>LEN(TRIM(AI98))=0</formula>
    </cfRule>
    <cfRule type="containsBlanks" dxfId="13131" priority="8095">
      <formula>LEN(TRIM(AI98))=0</formula>
    </cfRule>
    <cfRule type="containsBlanks" dxfId="13130" priority="8096">
      <formula>LEN(TRIM(AI98))=0</formula>
    </cfRule>
    <cfRule type="containsBlanks" dxfId="13129" priority="8097">
      <formula>LEN(TRIM(AI98))=0</formula>
    </cfRule>
    <cfRule type="containsBlanks" dxfId="13128" priority="8098">
      <formula>LEN(TRIM(AI98))=0</formula>
    </cfRule>
    <cfRule type="containsBlanks" dxfId="13127" priority="8099">
      <formula>LEN(TRIM(AI98))=0</formula>
    </cfRule>
    <cfRule type="containsBlanks" dxfId="13126" priority="8100">
      <formula>LEN(TRIM(AI98))=0</formula>
    </cfRule>
    <cfRule type="containsBlanks" dxfId="13125" priority="8101">
      <formula>LEN(TRIM(AI98))=0</formula>
    </cfRule>
    <cfRule type="containsBlanks" dxfId="13124" priority="8102">
      <formula>LEN(TRIM(AI98))=0</formula>
    </cfRule>
    <cfRule type="containsBlanks" dxfId="13123" priority="8103">
      <formula>LEN(TRIM(AI98))=0</formula>
    </cfRule>
    <cfRule type="containsBlanks" dxfId="13122" priority="8104">
      <formula>LEN(TRIM(AI98))=0</formula>
    </cfRule>
    <cfRule type="containsBlanks" dxfId="13121" priority="8105">
      <formula>LEN(TRIM(AI98))=0</formula>
    </cfRule>
    <cfRule type="containsBlanks" dxfId="13120" priority="8106">
      <formula>LEN(TRIM(AI98))=0</formula>
    </cfRule>
    <cfRule type="containsBlanks" dxfId="13119" priority="8107">
      <formula>LEN(TRIM(AI98))=0</formula>
    </cfRule>
    <cfRule type="containsBlanks" dxfId="13118" priority="8108">
      <formula>LEN(TRIM(AI98))=0</formula>
    </cfRule>
    <cfRule type="containsBlanks" dxfId="13117" priority="8109">
      <formula>LEN(TRIM(AI98))=0</formula>
    </cfRule>
    <cfRule type="containsBlanks" dxfId="13116" priority="8110">
      <formula>LEN(TRIM(AI98))=0</formula>
    </cfRule>
    <cfRule type="containsBlanks" dxfId="13115" priority="8111">
      <formula>LEN(TRIM(AI98))=0</formula>
    </cfRule>
    <cfRule type="containsBlanks" dxfId="13114" priority="8112">
      <formula>LEN(TRIM(AI98))=0</formula>
    </cfRule>
    <cfRule type="containsBlanks" dxfId="13113" priority="8113">
      <formula>LEN(TRIM(AI98))=0</formula>
    </cfRule>
    <cfRule type="containsBlanks" dxfId="13112" priority="8114">
      <formula>LEN(TRIM(AI98))=0</formula>
    </cfRule>
    <cfRule type="containsBlanks" dxfId="13111" priority="8115">
      <formula>LEN(TRIM(AI98))=0</formula>
    </cfRule>
    <cfRule type="containsBlanks" dxfId="13110" priority="8116">
      <formula>LEN(TRIM(AI98))=0</formula>
    </cfRule>
    <cfRule type="containsBlanks" dxfId="13109" priority="8117">
      <formula>LEN(TRIM(AI98))=0</formula>
    </cfRule>
    <cfRule type="containsBlanks" dxfId="13108" priority="8118">
      <formula>LEN(TRIM(AI98))=0</formula>
    </cfRule>
    <cfRule type="containsBlanks" dxfId="13107" priority="8119">
      <formula>LEN(TRIM(AI98))=0</formula>
    </cfRule>
    <cfRule type="containsBlanks" dxfId="13106" priority="8120">
      <formula>LEN(TRIM(AI98))=0</formula>
    </cfRule>
    <cfRule type="containsBlanks" dxfId="13105" priority="8121">
      <formula>LEN(TRIM(AI98))=0</formula>
    </cfRule>
    <cfRule type="containsBlanks" dxfId="13104" priority="8122">
      <formula>LEN(TRIM(AI98))=0</formula>
    </cfRule>
    <cfRule type="containsBlanks" dxfId="13103" priority="8123">
      <formula>LEN(TRIM(AI98))=0</formula>
    </cfRule>
    <cfRule type="containsBlanks" dxfId="13102" priority="8124">
      <formula>LEN(TRIM(AI98))=0</formula>
    </cfRule>
    <cfRule type="containsBlanks" dxfId="13101" priority="8125">
      <formula>LEN(TRIM(AI98))=0</formula>
    </cfRule>
    <cfRule type="containsBlanks" dxfId="13100" priority="8126">
      <formula>LEN(TRIM(AI98))=0</formula>
    </cfRule>
    <cfRule type="containsBlanks" dxfId="13099" priority="8127">
      <formula>LEN(TRIM(AI98))=0</formula>
    </cfRule>
    <cfRule type="containsBlanks" dxfId="13098" priority="8128">
      <formula>LEN(TRIM(AI98))=0</formula>
    </cfRule>
  </conditionalFormatting>
  <conditionalFormatting sqref="AI98">
    <cfRule type="containsBlanks" dxfId="13097" priority="8008">
      <formula>LEN(TRIM(AI98))=0</formula>
    </cfRule>
    <cfRule type="containsBlanks" dxfId="13096" priority="8009">
      <formula>LEN(TRIM(AI98))=0</formula>
    </cfRule>
    <cfRule type="containsBlanks" dxfId="13095" priority="8010">
      <formula>LEN(TRIM(AI98))=0</formula>
    </cfRule>
    <cfRule type="containsBlanks" dxfId="13094" priority="8011">
      <formula>LEN(TRIM(AI98))=0</formula>
    </cfRule>
    <cfRule type="containsBlanks" dxfId="13093" priority="8012">
      <formula>LEN(TRIM(AI98))=0</formula>
    </cfRule>
    <cfRule type="containsBlanks" dxfId="13092" priority="8013">
      <formula>LEN(TRIM(AI98))=0</formula>
    </cfRule>
    <cfRule type="containsBlanks" dxfId="13091" priority="8014">
      <formula>LEN(TRIM(AI98))=0</formula>
    </cfRule>
    <cfRule type="containsBlanks" dxfId="13090" priority="8015">
      <formula>LEN(TRIM(AI98))=0</formula>
    </cfRule>
    <cfRule type="containsBlanks" dxfId="13089" priority="8016">
      <formula>LEN(TRIM(AI98))=0</formula>
    </cfRule>
    <cfRule type="containsBlanks" dxfId="13088" priority="8017">
      <formula>LEN(TRIM(AI98))=0</formula>
    </cfRule>
    <cfRule type="containsBlanks" dxfId="13087" priority="8018">
      <formula>LEN(TRIM(AI98))=0</formula>
    </cfRule>
    <cfRule type="containsBlanks" dxfId="13086" priority="8019">
      <formula>LEN(TRIM(AI98))=0</formula>
    </cfRule>
    <cfRule type="containsBlanks" dxfId="13085" priority="8020">
      <formula>LEN(TRIM(AI98))=0</formula>
    </cfRule>
    <cfRule type="containsBlanks" dxfId="13084" priority="8021">
      <formula>LEN(TRIM(AI98))=0</formula>
    </cfRule>
    <cfRule type="containsBlanks" dxfId="13083" priority="8022">
      <formula>LEN(TRIM(AI98))=0</formula>
    </cfRule>
    <cfRule type="containsBlanks" dxfId="13082" priority="8023">
      <formula>LEN(TRIM(AI98))=0</formula>
    </cfRule>
    <cfRule type="containsBlanks" dxfId="13081" priority="8024">
      <formula>LEN(TRIM(AI98))=0</formula>
    </cfRule>
    <cfRule type="containsBlanks" dxfId="13080" priority="8025">
      <formula>LEN(TRIM(AI98))=0</formula>
    </cfRule>
    <cfRule type="containsBlanks" dxfId="13079" priority="8026">
      <formula>LEN(TRIM(AI98))=0</formula>
    </cfRule>
    <cfRule type="containsBlanks" dxfId="13078" priority="8027">
      <formula>LEN(TRIM(AI98))=0</formula>
    </cfRule>
    <cfRule type="containsBlanks" dxfId="13077" priority="8028">
      <formula>LEN(TRIM(AI98))=0</formula>
    </cfRule>
    <cfRule type="containsBlanks" dxfId="13076" priority="8029">
      <formula>LEN(TRIM(AI98))=0</formula>
    </cfRule>
    <cfRule type="containsBlanks" dxfId="13075" priority="8030">
      <formula>LEN(TRIM(AI98))=0</formula>
    </cfRule>
    <cfRule type="containsBlanks" dxfId="13074" priority="8031">
      <formula>LEN(TRIM(AI98))=0</formula>
    </cfRule>
    <cfRule type="containsBlanks" dxfId="13073" priority="8032">
      <formula>LEN(TRIM(AI98))=0</formula>
    </cfRule>
    <cfRule type="containsBlanks" dxfId="13072" priority="8033">
      <formula>LEN(TRIM(AI98))=0</formula>
    </cfRule>
    <cfRule type="containsBlanks" dxfId="13071" priority="8034">
      <formula>LEN(TRIM(AI98))=0</formula>
    </cfRule>
    <cfRule type="containsBlanks" dxfId="13070" priority="8035">
      <formula>LEN(TRIM(AI98))=0</formula>
    </cfRule>
    <cfRule type="containsBlanks" dxfId="13069" priority="8036">
      <formula>LEN(TRIM(AI98))=0</formula>
    </cfRule>
    <cfRule type="containsBlanks" dxfId="13068" priority="8037">
      <formula>LEN(TRIM(AI98))=0</formula>
    </cfRule>
    <cfRule type="containsBlanks" dxfId="13067" priority="8038">
      <formula>LEN(TRIM(AI98))=0</formula>
    </cfRule>
    <cfRule type="containsBlanks" dxfId="13066" priority="8039">
      <formula>LEN(TRIM(AI98))=0</formula>
    </cfRule>
    <cfRule type="containsBlanks" dxfId="13065" priority="8040">
      <formula>LEN(TRIM(AI98))=0</formula>
    </cfRule>
    <cfRule type="containsBlanks" dxfId="13064" priority="8041">
      <formula>LEN(TRIM(AI98))=0</formula>
    </cfRule>
    <cfRule type="containsBlanks" dxfId="13063" priority="8042">
      <formula>LEN(TRIM(AI98))=0</formula>
    </cfRule>
    <cfRule type="containsBlanks" dxfId="13062" priority="8043">
      <formula>LEN(TRIM(AI98))=0</formula>
    </cfRule>
    <cfRule type="containsBlanks" dxfId="13061" priority="8044">
      <formula>LEN(TRIM(AI98))=0</formula>
    </cfRule>
    <cfRule type="containsBlanks" dxfId="13060" priority="8045">
      <formula>LEN(TRIM(AI98))=0</formula>
    </cfRule>
    <cfRule type="containsBlanks" dxfId="13059" priority="8046">
      <formula>LEN(TRIM(AI98))=0</formula>
    </cfRule>
    <cfRule type="containsBlanks" dxfId="13058" priority="8047">
      <formula>LEN(TRIM(AI98))=0</formula>
    </cfRule>
    <cfRule type="containsBlanks" dxfId="13057" priority="8048">
      <formula>LEN(TRIM(AI98))=0</formula>
    </cfRule>
    <cfRule type="containsBlanks" dxfId="13056" priority="8049">
      <formula>LEN(TRIM(AI98))=0</formula>
    </cfRule>
    <cfRule type="containsBlanks" dxfId="13055" priority="8050">
      <formula>LEN(TRIM(AI98))=0</formula>
    </cfRule>
    <cfRule type="containsBlanks" dxfId="13054" priority="8051">
      <formula>LEN(TRIM(AI98))=0</formula>
    </cfRule>
    <cfRule type="containsBlanks" dxfId="13053" priority="8052">
      <formula>LEN(TRIM(AI98))=0</formula>
    </cfRule>
    <cfRule type="containsBlanks" dxfId="13052" priority="8053">
      <formula>LEN(TRIM(AI98))=0</formula>
    </cfRule>
    <cfRule type="containsBlanks" dxfId="13051" priority="8054">
      <formula>LEN(TRIM(AI98))=0</formula>
    </cfRule>
    <cfRule type="containsBlanks" dxfId="13050" priority="8055">
      <formula>LEN(TRIM(AI98))=0</formula>
    </cfRule>
    <cfRule type="containsBlanks" dxfId="13049" priority="8056">
      <formula>LEN(TRIM(AI98))=0</formula>
    </cfRule>
    <cfRule type="containsBlanks" dxfId="13048" priority="8057">
      <formula>LEN(TRIM(AI98))=0</formula>
    </cfRule>
    <cfRule type="containsBlanks" dxfId="13047" priority="8058">
      <formula>LEN(TRIM(AI98))=0</formula>
    </cfRule>
    <cfRule type="containsBlanks" dxfId="13046" priority="8059">
      <formula>LEN(TRIM(AI98))=0</formula>
    </cfRule>
    <cfRule type="containsBlanks" dxfId="13045" priority="8060">
      <formula>LEN(TRIM(AI98))=0</formula>
    </cfRule>
    <cfRule type="containsBlanks" dxfId="13044" priority="8061">
      <formula>LEN(TRIM(AI98))=0</formula>
    </cfRule>
    <cfRule type="containsBlanks" dxfId="13043" priority="8062">
      <formula>LEN(TRIM(AI98))=0</formula>
    </cfRule>
  </conditionalFormatting>
  <conditionalFormatting sqref="AI98">
    <cfRule type="containsBlanks" dxfId="13042" priority="7924">
      <formula>LEN(TRIM(AI98))=0</formula>
    </cfRule>
    <cfRule type="containsBlanks" dxfId="13041" priority="7925">
      <formula>LEN(TRIM(AI98))=0</formula>
    </cfRule>
    <cfRule type="containsBlanks" dxfId="13040" priority="7926">
      <formula>LEN(TRIM(AI98))=0</formula>
    </cfRule>
    <cfRule type="containsBlanks" dxfId="13039" priority="7927">
      <formula>LEN(TRIM(AI98))=0</formula>
    </cfRule>
    <cfRule type="containsBlanks" dxfId="13038" priority="7928">
      <formula>LEN(TRIM(AI98))=0</formula>
    </cfRule>
    <cfRule type="containsBlanks" dxfId="13037" priority="7929">
      <formula>LEN(TRIM(AI98))=0</formula>
    </cfRule>
    <cfRule type="containsBlanks" dxfId="13036" priority="7930">
      <formula>LEN(TRIM(AI98))=0</formula>
    </cfRule>
    <cfRule type="containsBlanks" dxfId="13035" priority="7931">
      <formula>LEN(TRIM(AI98))=0</formula>
    </cfRule>
    <cfRule type="containsBlanks" dxfId="13034" priority="7932">
      <formula>LEN(TRIM(AI98))=0</formula>
    </cfRule>
    <cfRule type="containsBlanks" dxfId="13033" priority="7933">
      <formula>LEN(TRIM(AI98))=0</formula>
    </cfRule>
    <cfRule type="containsBlanks" dxfId="13032" priority="7934">
      <formula>LEN(TRIM(AI98))=0</formula>
    </cfRule>
    <cfRule type="containsBlanks" dxfId="13031" priority="7935">
      <formula>LEN(TRIM(AI98))=0</formula>
    </cfRule>
    <cfRule type="containsBlanks" dxfId="13030" priority="7936">
      <formula>LEN(TRIM(AI98))=0</formula>
    </cfRule>
    <cfRule type="containsBlanks" dxfId="13029" priority="7937">
      <formula>LEN(TRIM(AI98))=0</formula>
    </cfRule>
    <cfRule type="containsBlanks" dxfId="13028" priority="7938">
      <formula>LEN(TRIM(AI98))=0</formula>
    </cfRule>
    <cfRule type="containsBlanks" dxfId="13027" priority="7939">
      <formula>LEN(TRIM(AI98))=0</formula>
    </cfRule>
    <cfRule type="containsBlanks" dxfId="13026" priority="7940">
      <formula>LEN(TRIM(AI98))=0</formula>
    </cfRule>
    <cfRule type="containsBlanks" dxfId="13025" priority="7941">
      <formula>LEN(TRIM(AI98))=0</formula>
    </cfRule>
    <cfRule type="containsBlanks" dxfId="13024" priority="7942">
      <formula>LEN(TRIM(AI98))=0</formula>
    </cfRule>
    <cfRule type="containsBlanks" dxfId="13023" priority="7943">
      <formula>LEN(TRIM(AI98))=0</formula>
    </cfRule>
    <cfRule type="containsBlanks" dxfId="13022" priority="7944">
      <formula>LEN(TRIM(AI98))=0</formula>
    </cfRule>
    <cfRule type="containsBlanks" dxfId="13021" priority="7945">
      <formula>LEN(TRIM(AI98))=0</formula>
    </cfRule>
    <cfRule type="containsBlanks" dxfId="13020" priority="7946">
      <formula>LEN(TRIM(AI98))=0</formula>
    </cfRule>
    <cfRule type="containsBlanks" dxfId="13019" priority="7947">
      <formula>LEN(TRIM(AI98))=0</formula>
    </cfRule>
    <cfRule type="containsBlanks" dxfId="13018" priority="7948">
      <formula>LEN(TRIM(AI98))=0</formula>
    </cfRule>
    <cfRule type="containsBlanks" dxfId="13017" priority="7949">
      <formula>LEN(TRIM(AI98))=0</formula>
    </cfRule>
    <cfRule type="containsBlanks" dxfId="13016" priority="7950">
      <formula>LEN(TRIM(AI98))=0</formula>
    </cfRule>
    <cfRule type="containsBlanks" dxfId="13015" priority="7951">
      <formula>LEN(TRIM(AI98))=0</formula>
    </cfRule>
    <cfRule type="containsBlanks" dxfId="13014" priority="7952">
      <formula>LEN(TRIM(AI98))=0</formula>
    </cfRule>
    <cfRule type="containsBlanks" dxfId="13013" priority="7953">
      <formula>LEN(TRIM(AI98))=0</formula>
    </cfRule>
    <cfRule type="containsBlanks" dxfId="13012" priority="7954">
      <formula>LEN(TRIM(AI98))=0</formula>
    </cfRule>
    <cfRule type="containsBlanks" dxfId="13011" priority="7955">
      <formula>LEN(TRIM(AI98))=0</formula>
    </cfRule>
    <cfRule type="containsBlanks" dxfId="13010" priority="7956">
      <formula>LEN(TRIM(AI98))=0</formula>
    </cfRule>
    <cfRule type="containsBlanks" dxfId="13009" priority="7957">
      <formula>LEN(TRIM(AI98))=0</formula>
    </cfRule>
    <cfRule type="containsBlanks" dxfId="13008" priority="7958">
      <formula>LEN(TRIM(AI98))=0</formula>
    </cfRule>
    <cfRule type="containsBlanks" dxfId="13007" priority="7959">
      <formula>LEN(TRIM(AI98))=0</formula>
    </cfRule>
    <cfRule type="containsBlanks" dxfId="13006" priority="7960">
      <formula>LEN(TRIM(AI98))=0</formula>
    </cfRule>
    <cfRule type="containsBlanks" dxfId="13005" priority="7961">
      <formula>LEN(TRIM(AI98))=0</formula>
    </cfRule>
    <cfRule type="containsBlanks" dxfId="13004" priority="7962">
      <formula>LEN(TRIM(AI98))=0</formula>
    </cfRule>
    <cfRule type="containsBlanks" dxfId="13003" priority="7963">
      <formula>LEN(TRIM(AI98))=0</formula>
    </cfRule>
    <cfRule type="containsBlanks" dxfId="13002" priority="7964">
      <formula>LEN(TRIM(AI98))=0</formula>
    </cfRule>
    <cfRule type="containsBlanks" dxfId="13001" priority="7965">
      <formula>LEN(TRIM(AI98))=0</formula>
    </cfRule>
    <cfRule type="containsBlanks" dxfId="13000" priority="7966">
      <formula>LEN(TRIM(AI98))=0</formula>
    </cfRule>
    <cfRule type="containsBlanks" dxfId="12999" priority="7967">
      <formula>LEN(TRIM(AI98))=0</formula>
    </cfRule>
    <cfRule type="containsBlanks" dxfId="12998" priority="7968">
      <formula>LEN(TRIM(AI98))=0</formula>
    </cfRule>
    <cfRule type="containsBlanks" dxfId="12997" priority="7969">
      <formula>LEN(TRIM(AI98))=0</formula>
    </cfRule>
    <cfRule type="containsBlanks" dxfId="12996" priority="7970">
      <formula>LEN(TRIM(AI98))=0</formula>
    </cfRule>
    <cfRule type="containsBlanks" dxfId="12995" priority="7971">
      <formula>LEN(TRIM(AI98))=0</formula>
    </cfRule>
    <cfRule type="containsBlanks" dxfId="12994" priority="7972">
      <formula>LEN(TRIM(AI98))=0</formula>
    </cfRule>
    <cfRule type="containsBlanks" dxfId="12993" priority="7973">
      <formula>LEN(TRIM(AI98))=0</formula>
    </cfRule>
    <cfRule type="containsBlanks" dxfId="12992" priority="7974">
      <formula>LEN(TRIM(AI98))=0</formula>
    </cfRule>
    <cfRule type="containsBlanks" dxfId="12991" priority="7975">
      <formula>LEN(TRIM(AI98))=0</formula>
    </cfRule>
    <cfRule type="containsBlanks" dxfId="12990" priority="7976">
      <formula>LEN(TRIM(AI98))=0</formula>
    </cfRule>
    <cfRule type="containsBlanks" dxfId="12989" priority="7977">
      <formula>LEN(TRIM(AI98))=0</formula>
    </cfRule>
    <cfRule type="containsBlanks" dxfId="12988" priority="7978">
      <formula>LEN(TRIM(AI98))=0</formula>
    </cfRule>
    <cfRule type="containsBlanks" dxfId="12987" priority="7979">
      <formula>LEN(TRIM(AI98))=0</formula>
    </cfRule>
    <cfRule type="containsBlanks" dxfId="12986" priority="7980">
      <formula>LEN(TRIM(AI98))=0</formula>
    </cfRule>
    <cfRule type="containsBlanks" dxfId="12985" priority="7981">
      <formula>LEN(TRIM(AI98))=0</formula>
    </cfRule>
    <cfRule type="containsBlanks" dxfId="12984" priority="7982">
      <formula>LEN(TRIM(AI98))=0</formula>
    </cfRule>
    <cfRule type="containsBlanks" dxfId="12983" priority="7983">
      <formula>LEN(TRIM(AI98))=0</formula>
    </cfRule>
    <cfRule type="containsBlanks" dxfId="12982" priority="7984">
      <formula>LEN(TRIM(AI98))=0</formula>
    </cfRule>
    <cfRule type="containsBlanks" dxfId="12981" priority="7985">
      <formula>LEN(TRIM(AI98))=0</formula>
    </cfRule>
    <cfRule type="containsBlanks" dxfId="12980" priority="7986">
      <formula>LEN(TRIM(AI98))=0</formula>
    </cfRule>
    <cfRule type="containsBlanks" dxfId="12979" priority="7987">
      <formula>LEN(TRIM(AI98))=0</formula>
    </cfRule>
    <cfRule type="containsBlanks" dxfId="12978" priority="7988">
      <formula>LEN(TRIM(AI98))=0</formula>
    </cfRule>
    <cfRule type="containsBlanks" dxfId="12977" priority="7989">
      <formula>LEN(TRIM(AI98))=0</formula>
    </cfRule>
    <cfRule type="containsBlanks" dxfId="12976" priority="7990">
      <formula>LEN(TRIM(AI98))=0</formula>
    </cfRule>
    <cfRule type="containsBlanks" dxfId="12975" priority="7991">
      <formula>LEN(TRIM(AI98))=0</formula>
    </cfRule>
    <cfRule type="containsBlanks" dxfId="12974" priority="7992">
      <formula>LEN(TRIM(AI98))=0</formula>
    </cfRule>
    <cfRule type="containsBlanks" dxfId="12973" priority="7993">
      <formula>LEN(TRIM(AI98))=0</formula>
    </cfRule>
    <cfRule type="containsBlanks" dxfId="12972" priority="7994">
      <formula>LEN(TRIM(AI98))=0</formula>
    </cfRule>
    <cfRule type="containsBlanks" dxfId="12971" priority="7995">
      <formula>LEN(TRIM(AI98))=0</formula>
    </cfRule>
    <cfRule type="containsBlanks" dxfId="12970" priority="7996">
      <formula>LEN(TRIM(AI98))=0</formula>
    </cfRule>
    <cfRule type="containsBlanks" dxfId="12969" priority="7997">
      <formula>LEN(TRIM(AI98))=0</formula>
    </cfRule>
    <cfRule type="containsBlanks" dxfId="12968" priority="7998">
      <formula>LEN(TRIM(AI98))=0</formula>
    </cfRule>
    <cfRule type="containsBlanks" dxfId="12967" priority="7999">
      <formula>LEN(TRIM(AI98))=0</formula>
    </cfRule>
    <cfRule type="containsBlanks" dxfId="12966" priority="8000">
      <formula>LEN(TRIM(AI98))=0</formula>
    </cfRule>
    <cfRule type="containsBlanks" dxfId="12965" priority="8001">
      <formula>LEN(TRIM(AI98))=0</formula>
    </cfRule>
    <cfRule type="containsBlanks" dxfId="12964" priority="8002">
      <formula>LEN(TRIM(AI98))=0</formula>
    </cfRule>
    <cfRule type="containsBlanks" dxfId="12963" priority="8003">
      <formula>LEN(TRIM(AI98))=0</formula>
    </cfRule>
    <cfRule type="containsBlanks" dxfId="12962" priority="8004">
      <formula>LEN(TRIM(AI98))=0</formula>
    </cfRule>
    <cfRule type="containsBlanks" dxfId="12961" priority="8005">
      <formula>LEN(TRIM(AI98))=0</formula>
    </cfRule>
    <cfRule type="containsBlanks" dxfId="12960" priority="8006">
      <formula>LEN(TRIM(AI98))=0</formula>
    </cfRule>
    <cfRule type="containsBlanks" dxfId="12959" priority="8007">
      <formula>LEN(TRIM(AI98))=0</formula>
    </cfRule>
  </conditionalFormatting>
  <conditionalFormatting sqref="AI101">
    <cfRule type="containsBlanks" dxfId="12958" priority="7923">
      <formula>LEN(TRIM(AI101))=0</formula>
    </cfRule>
  </conditionalFormatting>
  <conditionalFormatting sqref="AI101">
    <cfRule type="containsBlanks" dxfId="12957" priority="7922">
      <formula>LEN(TRIM(AI101))=0</formula>
    </cfRule>
  </conditionalFormatting>
  <conditionalFormatting sqref="AI101">
    <cfRule type="containsBlanks" dxfId="12956" priority="7920">
      <formula>LEN(TRIM(AI101))=0</formula>
    </cfRule>
    <cfRule type="containsBlanks" dxfId="12955" priority="7921">
      <formula>LEN(TRIM(AI101))=0</formula>
    </cfRule>
  </conditionalFormatting>
  <conditionalFormatting sqref="AI101">
    <cfRule type="containsBlanks" dxfId="12954" priority="7919">
      <formula>LEN(TRIM(AI101))=0</formula>
    </cfRule>
  </conditionalFormatting>
  <conditionalFormatting sqref="AI101">
    <cfRule type="containsBlanks" dxfId="12953" priority="7918">
      <formula>LEN(TRIM(AI101))=0</formula>
    </cfRule>
  </conditionalFormatting>
  <conditionalFormatting sqref="AI101">
    <cfRule type="containsBlanks" dxfId="12952" priority="7917">
      <formula>LEN(TRIM(AI101))=0</formula>
    </cfRule>
  </conditionalFormatting>
  <conditionalFormatting sqref="AI101">
    <cfRule type="containsBlanks" dxfId="12951" priority="7915">
      <formula>LEN(TRIM(AI101))=0</formula>
    </cfRule>
    <cfRule type="containsBlanks" dxfId="12950" priority="7916">
      <formula>LEN(TRIM(AI101))=0</formula>
    </cfRule>
  </conditionalFormatting>
  <conditionalFormatting sqref="AI101">
    <cfRule type="containsBlanks" dxfId="12949" priority="7913">
      <formula>LEN(TRIM(AI101))=0</formula>
    </cfRule>
    <cfRule type="containsBlanks" dxfId="12948" priority="7914">
      <formula>LEN(TRIM(AI101))=0</formula>
    </cfRule>
  </conditionalFormatting>
  <conditionalFormatting sqref="AI101">
    <cfRule type="containsBlanks" dxfId="12947" priority="7911">
      <formula>LEN(TRIM(AI101))=0</formula>
    </cfRule>
    <cfRule type="containsBlanks" dxfId="12946" priority="7912">
      <formula>LEN(TRIM(AI101))=0</formula>
    </cfRule>
  </conditionalFormatting>
  <conditionalFormatting sqref="AI101">
    <cfRule type="containsBlanks" dxfId="12945" priority="7909">
      <formula>LEN(TRIM(AI101))=0</formula>
    </cfRule>
    <cfRule type="containsBlanks" dxfId="12944" priority="7910">
      <formula>LEN(TRIM(AI101))=0</formula>
    </cfRule>
  </conditionalFormatting>
  <conditionalFormatting sqref="AI101">
    <cfRule type="containsBlanks" dxfId="12943" priority="7843">
      <formula>LEN(TRIM(AI101))=0</formula>
    </cfRule>
    <cfRule type="containsBlanks" dxfId="12942" priority="7844">
      <formula>LEN(TRIM(AI101))=0</formula>
    </cfRule>
    <cfRule type="containsBlanks" dxfId="12941" priority="7845">
      <formula>LEN(TRIM(AI101))=0</formula>
    </cfRule>
    <cfRule type="containsBlanks" dxfId="12940" priority="7846">
      <formula>LEN(TRIM(AI101))=0</formula>
    </cfRule>
    <cfRule type="containsBlanks" dxfId="12939" priority="7847">
      <formula>LEN(TRIM(AI101))=0</formula>
    </cfRule>
    <cfRule type="containsBlanks" dxfId="12938" priority="7848">
      <formula>LEN(TRIM(AI101))=0</formula>
    </cfRule>
    <cfRule type="containsBlanks" dxfId="12937" priority="7849">
      <formula>LEN(TRIM(AI101))=0</formula>
    </cfRule>
    <cfRule type="containsBlanks" dxfId="12936" priority="7850">
      <formula>LEN(TRIM(AI101))=0</formula>
    </cfRule>
    <cfRule type="containsBlanks" dxfId="12935" priority="7851">
      <formula>LEN(TRIM(AI101))=0</formula>
    </cfRule>
    <cfRule type="containsBlanks" dxfId="12934" priority="7852">
      <formula>LEN(TRIM(AI101))=0</formula>
    </cfRule>
    <cfRule type="containsBlanks" dxfId="12933" priority="7853">
      <formula>LEN(TRIM(AI101))=0</formula>
    </cfRule>
    <cfRule type="containsBlanks" dxfId="12932" priority="7854">
      <formula>LEN(TRIM(AI101))=0</formula>
    </cfRule>
    <cfRule type="containsBlanks" dxfId="12931" priority="7855">
      <formula>LEN(TRIM(AI101))=0</formula>
    </cfRule>
    <cfRule type="containsBlanks" dxfId="12930" priority="7856">
      <formula>LEN(TRIM(AI101))=0</formula>
    </cfRule>
    <cfRule type="containsBlanks" dxfId="12929" priority="7857">
      <formula>LEN(TRIM(AI101))=0</formula>
    </cfRule>
    <cfRule type="containsBlanks" dxfId="12928" priority="7858">
      <formula>LEN(TRIM(AI101))=0</formula>
    </cfRule>
    <cfRule type="containsBlanks" dxfId="12927" priority="7859">
      <formula>LEN(TRIM(AI101))=0</formula>
    </cfRule>
    <cfRule type="containsBlanks" dxfId="12926" priority="7860">
      <formula>LEN(TRIM(AI101))=0</formula>
    </cfRule>
    <cfRule type="containsBlanks" dxfId="12925" priority="7861">
      <formula>LEN(TRIM(AI101))=0</formula>
    </cfRule>
    <cfRule type="containsBlanks" dxfId="12924" priority="7862">
      <formula>LEN(TRIM(AI101))=0</formula>
    </cfRule>
    <cfRule type="containsBlanks" dxfId="12923" priority="7863">
      <formula>LEN(TRIM(AI101))=0</formula>
    </cfRule>
    <cfRule type="containsBlanks" dxfId="12922" priority="7864">
      <formula>LEN(TRIM(AI101))=0</formula>
    </cfRule>
    <cfRule type="containsBlanks" dxfId="12921" priority="7865">
      <formula>LEN(TRIM(AI101))=0</formula>
    </cfRule>
    <cfRule type="containsBlanks" dxfId="12920" priority="7866">
      <formula>LEN(TRIM(AI101))=0</formula>
    </cfRule>
    <cfRule type="containsBlanks" dxfId="12919" priority="7867">
      <formula>LEN(TRIM(AI101))=0</formula>
    </cfRule>
    <cfRule type="containsBlanks" dxfId="12918" priority="7868">
      <formula>LEN(TRIM(AI101))=0</formula>
    </cfRule>
    <cfRule type="containsBlanks" dxfId="12917" priority="7869">
      <formula>LEN(TRIM(AI101))=0</formula>
    </cfRule>
    <cfRule type="containsBlanks" dxfId="12916" priority="7870">
      <formula>LEN(TRIM(AI101))=0</formula>
    </cfRule>
    <cfRule type="containsBlanks" dxfId="12915" priority="7871">
      <formula>LEN(TRIM(AI101))=0</formula>
    </cfRule>
    <cfRule type="containsBlanks" dxfId="12914" priority="7872">
      <formula>LEN(TRIM(AI101))=0</formula>
    </cfRule>
    <cfRule type="containsBlanks" dxfId="12913" priority="7873">
      <formula>LEN(TRIM(AI101))=0</formula>
    </cfRule>
    <cfRule type="containsBlanks" dxfId="12912" priority="7874">
      <formula>LEN(TRIM(AI101))=0</formula>
    </cfRule>
    <cfRule type="containsBlanks" dxfId="12911" priority="7875">
      <formula>LEN(TRIM(AI101))=0</formula>
    </cfRule>
    <cfRule type="containsBlanks" dxfId="12910" priority="7876">
      <formula>LEN(TRIM(AI101))=0</formula>
    </cfRule>
    <cfRule type="containsBlanks" dxfId="12909" priority="7877">
      <formula>LEN(TRIM(AI101))=0</formula>
    </cfRule>
    <cfRule type="containsBlanks" dxfId="12908" priority="7878">
      <formula>LEN(TRIM(AI101))=0</formula>
    </cfRule>
    <cfRule type="containsBlanks" dxfId="12907" priority="7879">
      <formula>LEN(TRIM(AI101))=0</formula>
    </cfRule>
    <cfRule type="containsBlanks" dxfId="12906" priority="7880">
      <formula>LEN(TRIM(AI101))=0</formula>
    </cfRule>
    <cfRule type="containsBlanks" dxfId="12905" priority="7881">
      <formula>LEN(TRIM(AI101))=0</formula>
    </cfRule>
    <cfRule type="containsBlanks" dxfId="12904" priority="7882">
      <formula>LEN(TRIM(AI101))=0</formula>
    </cfRule>
    <cfRule type="containsBlanks" dxfId="12903" priority="7883">
      <formula>LEN(TRIM(AI101))=0</formula>
    </cfRule>
    <cfRule type="containsBlanks" dxfId="12902" priority="7884">
      <formula>LEN(TRIM(AI101))=0</formula>
    </cfRule>
    <cfRule type="containsBlanks" dxfId="12901" priority="7885">
      <formula>LEN(TRIM(AI101))=0</formula>
    </cfRule>
    <cfRule type="containsBlanks" dxfId="12900" priority="7886">
      <formula>LEN(TRIM(AI101))=0</formula>
    </cfRule>
    <cfRule type="containsBlanks" dxfId="12899" priority="7887">
      <formula>LEN(TRIM(AI101))=0</formula>
    </cfRule>
    <cfRule type="containsBlanks" dxfId="12898" priority="7888">
      <formula>LEN(TRIM(AI101))=0</formula>
    </cfRule>
    <cfRule type="containsBlanks" dxfId="12897" priority="7889">
      <formula>LEN(TRIM(AI101))=0</formula>
    </cfRule>
    <cfRule type="containsBlanks" dxfId="12896" priority="7890">
      <formula>LEN(TRIM(AI101))=0</formula>
    </cfRule>
    <cfRule type="containsBlanks" dxfId="12895" priority="7891">
      <formula>LEN(TRIM(AI101))=0</formula>
    </cfRule>
    <cfRule type="containsBlanks" dxfId="12894" priority="7892">
      <formula>LEN(TRIM(AI101))=0</formula>
    </cfRule>
    <cfRule type="containsBlanks" dxfId="12893" priority="7893">
      <formula>LEN(TRIM(AI101))=0</formula>
    </cfRule>
    <cfRule type="containsBlanks" dxfId="12892" priority="7894">
      <formula>LEN(TRIM(AI101))=0</formula>
    </cfRule>
    <cfRule type="containsBlanks" dxfId="12891" priority="7895">
      <formula>LEN(TRIM(AI101))=0</formula>
    </cfRule>
    <cfRule type="containsBlanks" dxfId="12890" priority="7896">
      <formula>LEN(TRIM(AI101))=0</formula>
    </cfRule>
    <cfRule type="containsBlanks" dxfId="12889" priority="7897">
      <formula>LEN(TRIM(AI101))=0</formula>
    </cfRule>
    <cfRule type="containsBlanks" dxfId="12888" priority="7898">
      <formula>LEN(TRIM(AI101))=0</formula>
    </cfRule>
    <cfRule type="containsBlanks" dxfId="12887" priority="7899">
      <formula>LEN(TRIM(AI101))=0</formula>
    </cfRule>
    <cfRule type="containsBlanks" dxfId="12886" priority="7900">
      <formula>LEN(TRIM(AI101))=0</formula>
    </cfRule>
    <cfRule type="containsBlanks" dxfId="12885" priority="7901">
      <formula>LEN(TRIM(AI101))=0</formula>
    </cfRule>
    <cfRule type="containsBlanks" dxfId="12884" priority="7902">
      <formula>LEN(TRIM(AI101))=0</formula>
    </cfRule>
    <cfRule type="containsBlanks" dxfId="12883" priority="7903">
      <formula>LEN(TRIM(AI101))=0</formula>
    </cfRule>
    <cfRule type="containsBlanks" dxfId="12882" priority="7904">
      <formula>LEN(TRIM(AI101))=0</formula>
    </cfRule>
    <cfRule type="containsBlanks" dxfId="12881" priority="7905">
      <formula>LEN(TRIM(AI101))=0</formula>
    </cfRule>
    <cfRule type="containsBlanks" dxfId="12880" priority="7906">
      <formula>LEN(TRIM(AI101))=0</formula>
    </cfRule>
    <cfRule type="containsBlanks" dxfId="12879" priority="7907">
      <formula>LEN(TRIM(AI101))=0</formula>
    </cfRule>
    <cfRule type="containsBlanks" dxfId="12878" priority="7908">
      <formula>LEN(TRIM(AI101))=0</formula>
    </cfRule>
  </conditionalFormatting>
  <conditionalFormatting sqref="AI101">
    <cfRule type="containsBlanks" dxfId="12877" priority="7788">
      <formula>LEN(TRIM(AI101))=0</formula>
    </cfRule>
    <cfRule type="containsBlanks" dxfId="12876" priority="7789">
      <formula>LEN(TRIM(AI101))=0</formula>
    </cfRule>
    <cfRule type="containsBlanks" dxfId="12875" priority="7790">
      <formula>LEN(TRIM(AI101))=0</formula>
    </cfRule>
    <cfRule type="containsBlanks" dxfId="12874" priority="7791">
      <formula>LEN(TRIM(AI101))=0</formula>
    </cfRule>
    <cfRule type="containsBlanks" dxfId="12873" priority="7792">
      <formula>LEN(TRIM(AI101))=0</formula>
    </cfRule>
    <cfRule type="containsBlanks" dxfId="12872" priority="7793">
      <formula>LEN(TRIM(AI101))=0</formula>
    </cfRule>
    <cfRule type="containsBlanks" dxfId="12871" priority="7794">
      <formula>LEN(TRIM(AI101))=0</formula>
    </cfRule>
    <cfRule type="containsBlanks" dxfId="12870" priority="7795">
      <formula>LEN(TRIM(AI101))=0</formula>
    </cfRule>
    <cfRule type="containsBlanks" dxfId="12869" priority="7796">
      <formula>LEN(TRIM(AI101))=0</formula>
    </cfRule>
    <cfRule type="containsBlanks" dxfId="12868" priority="7797">
      <formula>LEN(TRIM(AI101))=0</formula>
    </cfRule>
    <cfRule type="containsBlanks" dxfId="12867" priority="7798">
      <formula>LEN(TRIM(AI101))=0</formula>
    </cfRule>
    <cfRule type="containsBlanks" dxfId="12866" priority="7799">
      <formula>LEN(TRIM(AI101))=0</formula>
    </cfRule>
    <cfRule type="containsBlanks" dxfId="12865" priority="7800">
      <formula>LEN(TRIM(AI101))=0</formula>
    </cfRule>
    <cfRule type="containsBlanks" dxfId="12864" priority="7801">
      <formula>LEN(TRIM(AI101))=0</formula>
    </cfRule>
    <cfRule type="containsBlanks" dxfId="12863" priority="7802">
      <formula>LEN(TRIM(AI101))=0</formula>
    </cfRule>
    <cfRule type="containsBlanks" dxfId="12862" priority="7803">
      <formula>LEN(TRIM(AI101))=0</formula>
    </cfRule>
    <cfRule type="containsBlanks" dxfId="12861" priority="7804">
      <formula>LEN(TRIM(AI101))=0</formula>
    </cfRule>
    <cfRule type="containsBlanks" dxfId="12860" priority="7805">
      <formula>LEN(TRIM(AI101))=0</formula>
    </cfRule>
    <cfRule type="containsBlanks" dxfId="12859" priority="7806">
      <formula>LEN(TRIM(AI101))=0</formula>
    </cfRule>
    <cfRule type="containsBlanks" dxfId="12858" priority="7807">
      <formula>LEN(TRIM(AI101))=0</formula>
    </cfRule>
    <cfRule type="containsBlanks" dxfId="12857" priority="7808">
      <formula>LEN(TRIM(AI101))=0</formula>
    </cfRule>
    <cfRule type="containsBlanks" dxfId="12856" priority="7809">
      <formula>LEN(TRIM(AI101))=0</formula>
    </cfRule>
    <cfRule type="containsBlanks" dxfId="12855" priority="7810">
      <formula>LEN(TRIM(AI101))=0</formula>
    </cfRule>
    <cfRule type="containsBlanks" dxfId="12854" priority="7811">
      <formula>LEN(TRIM(AI101))=0</formula>
    </cfRule>
    <cfRule type="containsBlanks" dxfId="12853" priority="7812">
      <formula>LEN(TRIM(AI101))=0</formula>
    </cfRule>
    <cfRule type="containsBlanks" dxfId="12852" priority="7813">
      <formula>LEN(TRIM(AI101))=0</formula>
    </cfRule>
    <cfRule type="containsBlanks" dxfId="12851" priority="7814">
      <formula>LEN(TRIM(AI101))=0</formula>
    </cfRule>
    <cfRule type="containsBlanks" dxfId="12850" priority="7815">
      <formula>LEN(TRIM(AI101))=0</formula>
    </cfRule>
    <cfRule type="containsBlanks" dxfId="12849" priority="7816">
      <formula>LEN(TRIM(AI101))=0</formula>
    </cfRule>
    <cfRule type="containsBlanks" dxfId="12848" priority="7817">
      <formula>LEN(TRIM(AI101))=0</formula>
    </cfRule>
    <cfRule type="containsBlanks" dxfId="12847" priority="7818">
      <formula>LEN(TRIM(AI101))=0</formula>
    </cfRule>
    <cfRule type="containsBlanks" dxfId="12846" priority="7819">
      <formula>LEN(TRIM(AI101))=0</formula>
    </cfRule>
    <cfRule type="containsBlanks" dxfId="12845" priority="7820">
      <formula>LEN(TRIM(AI101))=0</formula>
    </cfRule>
    <cfRule type="containsBlanks" dxfId="12844" priority="7821">
      <formula>LEN(TRIM(AI101))=0</formula>
    </cfRule>
    <cfRule type="containsBlanks" dxfId="12843" priority="7822">
      <formula>LEN(TRIM(AI101))=0</formula>
    </cfRule>
    <cfRule type="containsBlanks" dxfId="12842" priority="7823">
      <formula>LEN(TRIM(AI101))=0</formula>
    </cfRule>
    <cfRule type="containsBlanks" dxfId="12841" priority="7824">
      <formula>LEN(TRIM(AI101))=0</formula>
    </cfRule>
    <cfRule type="containsBlanks" dxfId="12840" priority="7825">
      <formula>LEN(TRIM(AI101))=0</formula>
    </cfRule>
    <cfRule type="containsBlanks" dxfId="12839" priority="7826">
      <formula>LEN(TRIM(AI101))=0</formula>
    </cfRule>
    <cfRule type="containsBlanks" dxfId="12838" priority="7827">
      <formula>LEN(TRIM(AI101))=0</formula>
    </cfRule>
    <cfRule type="containsBlanks" dxfId="12837" priority="7828">
      <formula>LEN(TRIM(AI101))=0</formula>
    </cfRule>
    <cfRule type="containsBlanks" dxfId="12836" priority="7829">
      <formula>LEN(TRIM(AI101))=0</formula>
    </cfRule>
    <cfRule type="containsBlanks" dxfId="12835" priority="7830">
      <formula>LEN(TRIM(AI101))=0</formula>
    </cfRule>
    <cfRule type="containsBlanks" dxfId="12834" priority="7831">
      <formula>LEN(TRIM(AI101))=0</formula>
    </cfRule>
    <cfRule type="containsBlanks" dxfId="12833" priority="7832">
      <formula>LEN(TRIM(AI101))=0</formula>
    </cfRule>
    <cfRule type="containsBlanks" dxfId="12832" priority="7833">
      <formula>LEN(TRIM(AI101))=0</formula>
    </cfRule>
    <cfRule type="containsBlanks" dxfId="12831" priority="7834">
      <formula>LEN(TRIM(AI101))=0</formula>
    </cfRule>
    <cfRule type="containsBlanks" dxfId="12830" priority="7835">
      <formula>LEN(TRIM(AI101))=0</formula>
    </cfRule>
    <cfRule type="containsBlanks" dxfId="12829" priority="7836">
      <formula>LEN(TRIM(AI101))=0</formula>
    </cfRule>
    <cfRule type="containsBlanks" dxfId="12828" priority="7837">
      <formula>LEN(TRIM(AI101))=0</formula>
    </cfRule>
    <cfRule type="containsBlanks" dxfId="12827" priority="7838">
      <formula>LEN(TRIM(AI101))=0</formula>
    </cfRule>
    <cfRule type="containsBlanks" dxfId="12826" priority="7839">
      <formula>LEN(TRIM(AI101))=0</formula>
    </cfRule>
    <cfRule type="containsBlanks" dxfId="12825" priority="7840">
      <formula>LEN(TRIM(AI101))=0</formula>
    </cfRule>
    <cfRule type="containsBlanks" dxfId="12824" priority="7841">
      <formula>LEN(TRIM(AI101))=0</formula>
    </cfRule>
    <cfRule type="containsBlanks" dxfId="12823" priority="7842">
      <formula>LEN(TRIM(AI101))=0</formula>
    </cfRule>
  </conditionalFormatting>
  <conditionalFormatting sqref="AI101">
    <cfRule type="containsBlanks" dxfId="12822" priority="7704">
      <formula>LEN(TRIM(AI101))=0</formula>
    </cfRule>
    <cfRule type="containsBlanks" dxfId="12821" priority="7705">
      <formula>LEN(TRIM(AI101))=0</formula>
    </cfRule>
    <cfRule type="containsBlanks" dxfId="12820" priority="7706">
      <formula>LEN(TRIM(AI101))=0</formula>
    </cfRule>
    <cfRule type="containsBlanks" dxfId="12819" priority="7707">
      <formula>LEN(TRIM(AI101))=0</formula>
    </cfRule>
    <cfRule type="containsBlanks" dxfId="12818" priority="7708">
      <formula>LEN(TRIM(AI101))=0</formula>
    </cfRule>
    <cfRule type="containsBlanks" dxfId="12817" priority="7709">
      <formula>LEN(TRIM(AI101))=0</formula>
    </cfRule>
    <cfRule type="containsBlanks" dxfId="12816" priority="7710">
      <formula>LEN(TRIM(AI101))=0</formula>
    </cfRule>
    <cfRule type="containsBlanks" dxfId="12815" priority="7711">
      <formula>LEN(TRIM(AI101))=0</formula>
    </cfRule>
    <cfRule type="containsBlanks" dxfId="12814" priority="7712">
      <formula>LEN(TRIM(AI101))=0</formula>
    </cfRule>
    <cfRule type="containsBlanks" dxfId="12813" priority="7713">
      <formula>LEN(TRIM(AI101))=0</formula>
    </cfRule>
    <cfRule type="containsBlanks" dxfId="12812" priority="7714">
      <formula>LEN(TRIM(AI101))=0</formula>
    </cfRule>
    <cfRule type="containsBlanks" dxfId="12811" priority="7715">
      <formula>LEN(TRIM(AI101))=0</formula>
    </cfRule>
    <cfRule type="containsBlanks" dxfId="12810" priority="7716">
      <formula>LEN(TRIM(AI101))=0</formula>
    </cfRule>
    <cfRule type="containsBlanks" dxfId="12809" priority="7717">
      <formula>LEN(TRIM(AI101))=0</formula>
    </cfRule>
    <cfRule type="containsBlanks" dxfId="12808" priority="7718">
      <formula>LEN(TRIM(AI101))=0</formula>
    </cfRule>
    <cfRule type="containsBlanks" dxfId="12807" priority="7719">
      <formula>LEN(TRIM(AI101))=0</formula>
    </cfRule>
    <cfRule type="containsBlanks" dxfId="12806" priority="7720">
      <formula>LEN(TRIM(AI101))=0</formula>
    </cfRule>
    <cfRule type="containsBlanks" dxfId="12805" priority="7721">
      <formula>LEN(TRIM(AI101))=0</formula>
    </cfRule>
    <cfRule type="containsBlanks" dxfId="12804" priority="7722">
      <formula>LEN(TRIM(AI101))=0</formula>
    </cfRule>
    <cfRule type="containsBlanks" dxfId="12803" priority="7723">
      <formula>LEN(TRIM(AI101))=0</formula>
    </cfRule>
    <cfRule type="containsBlanks" dxfId="12802" priority="7724">
      <formula>LEN(TRIM(AI101))=0</formula>
    </cfRule>
    <cfRule type="containsBlanks" dxfId="12801" priority="7725">
      <formula>LEN(TRIM(AI101))=0</formula>
    </cfRule>
    <cfRule type="containsBlanks" dxfId="12800" priority="7726">
      <formula>LEN(TRIM(AI101))=0</formula>
    </cfRule>
    <cfRule type="containsBlanks" dxfId="12799" priority="7727">
      <formula>LEN(TRIM(AI101))=0</formula>
    </cfRule>
    <cfRule type="containsBlanks" dxfId="12798" priority="7728">
      <formula>LEN(TRIM(AI101))=0</formula>
    </cfRule>
    <cfRule type="containsBlanks" dxfId="12797" priority="7729">
      <formula>LEN(TRIM(AI101))=0</formula>
    </cfRule>
    <cfRule type="containsBlanks" dxfId="12796" priority="7730">
      <formula>LEN(TRIM(AI101))=0</formula>
    </cfRule>
    <cfRule type="containsBlanks" dxfId="12795" priority="7731">
      <formula>LEN(TRIM(AI101))=0</formula>
    </cfRule>
    <cfRule type="containsBlanks" dxfId="12794" priority="7732">
      <formula>LEN(TRIM(AI101))=0</formula>
    </cfRule>
    <cfRule type="containsBlanks" dxfId="12793" priority="7733">
      <formula>LEN(TRIM(AI101))=0</formula>
    </cfRule>
    <cfRule type="containsBlanks" dxfId="12792" priority="7734">
      <formula>LEN(TRIM(AI101))=0</formula>
    </cfRule>
    <cfRule type="containsBlanks" dxfId="12791" priority="7735">
      <formula>LEN(TRIM(AI101))=0</formula>
    </cfRule>
    <cfRule type="containsBlanks" dxfId="12790" priority="7736">
      <formula>LEN(TRIM(AI101))=0</formula>
    </cfRule>
    <cfRule type="containsBlanks" dxfId="12789" priority="7737">
      <formula>LEN(TRIM(AI101))=0</formula>
    </cfRule>
    <cfRule type="containsBlanks" dxfId="12788" priority="7738">
      <formula>LEN(TRIM(AI101))=0</formula>
    </cfRule>
    <cfRule type="containsBlanks" dxfId="12787" priority="7739">
      <formula>LEN(TRIM(AI101))=0</formula>
    </cfRule>
    <cfRule type="containsBlanks" dxfId="12786" priority="7740">
      <formula>LEN(TRIM(AI101))=0</formula>
    </cfRule>
    <cfRule type="containsBlanks" dxfId="12785" priority="7741">
      <formula>LEN(TRIM(AI101))=0</formula>
    </cfRule>
    <cfRule type="containsBlanks" dxfId="12784" priority="7742">
      <formula>LEN(TRIM(AI101))=0</formula>
    </cfRule>
    <cfRule type="containsBlanks" dxfId="12783" priority="7743">
      <formula>LEN(TRIM(AI101))=0</formula>
    </cfRule>
    <cfRule type="containsBlanks" dxfId="12782" priority="7744">
      <formula>LEN(TRIM(AI101))=0</formula>
    </cfRule>
    <cfRule type="containsBlanks" dxfId="12781" priority="7745">
      <formula>LEN(TRIM(AI101))=0</formula>
    </cfRule>
    <cfRule type="containsBlanks" dxfId="12780" priority="7746">
      <formula>LEN(TRIM(AI101))=0</formula>
    </cfRule>
    <cfRule type="containsBlanks" dxfId="12779" priority="7747">
      <formula>LEN(TRIM(AI101))=0</formula>
    </cfRule>
    <cfRule type="containsBlanks" dxfId="12778" priority="7748">
      <formula>LEN(TRIM(AI101))=0</formula>
    </cfRule>
    <cfRule type="containsBlanks" dxfId="12777" priority="7749">
      <formula>LEN(TRIM(AI101))=0</formula>
    </cfRule>
    <cfRule type="containsBlanks" dxfId="12776" priority="7750">
      <formula>LEN(TRIM(AI101))=0</formula>
    </cfRule>
    <cfRule type="containsBlanks" dxfId="12775" priority="7751">
      <formula>LEN(TRIM(AI101))=0</formula>
    </cfRule>
    <cfRule type="containsBlanks" dxfId="12774" priority="7752">
      <formula>LEN(TRIM(AI101))=0</formula>
    </cfRule>
    <cfRule type="containsBlanks" dxfId="12773" priority="7753">
      <formula>LEN(TRIM(AI101))=0</formula>
    </cfRule>
    <cfRule type="containsBlanks" dxfId="12772" priority="7754">
      <formula>LEN(TRIM(AI101))=0</formula>
    </cfRule>
    <cfRule type="containsBlanks" dxfId="12771" priority="7755">
      <formula>LEN(TRIM(AI101))=0</formula>
    </cfRule>
    <cfRule type="containsBlanks" dxfId="12770" priority="7756">
      <formula>LEN(TRIM(AI101))=0</formula>
    </cfRule>
    <cfRule type="containsBlanks" dxfId="12769" priority="7757">
      <formula>LEN(TRIM(AI101))=0</formula>
    </cfRule>
    <cfRule type="containsBlanks" dxfId="12768" priority="7758">
      <formula>LEN(TRIM(AI101))=0</formula>
    </cfRule>
    <cfRule type="containsBlanks" dxfId="12767" priority="7759">
      <formula>LEN(TRIM(AI101))=0</formula>
    </cfRule>
    <cfRule type="containsBlanks" dxfId="12766" priority="7760">
      <formula>LEN(TRIM(AI101))=0</formula>
    </cfRule>
    <cfRule type="containsBlanks" dxfId="12765" priority="7761">
      <formula>LEN(TRIM(AI101))=0</formula>
    </cfRule>
    <cfRule type="containsBlanks" dxfId="12764" priority="7762">
      <formula>LEN(TRIM(AI101))=0</formula>
    </cfRule>
    <cfRule type="containsBlanks" dxfId="12763" priority="7763">
      <formula>LEN(TRIM(AI101))=0</formula>
    </cfRule>
    <cfRule type="containsBlanks" dxfId="12762" priority="7764">
      <formula>LEN(TRIM(AI101))=0</formula>
    </cfRule>
    <cfRule type="containsBlanks" dxfId="12761" priority="7765">
      <formula>LEN(TRIM(AI101))=0</formula>
    </cfRule>
    <cfRule type="containsBlanks" dxfId="12760" priority="7766">
      <formula>LEN(TRIM(AI101))=0</formula>
    </cfRule>
    <cfRule type="containsBlanks" dxfId="12759" priority="7767">
      <formula>LEN(TRIM(AI101))=0</formula>
    </cfRule>
    <cfRule type="containsBlanks" dxfId="12758" priority="7768">
      <formula>LEN(TRIM(AI101))=0</formula>
    </cfRule>
    <cfRule type="containsBlanks" dxfId="12757" priority="7769">
      <formula>LEN(TRIM(AI101))=0</formula>
    </cfRule>
    <cfRule type="containsBlanks" dxfId="12756" priority="7770">
      <formula>LEN(TRIM(AI101))=0</formula>
    </cfRule>
    <cfRule type="containsBlanks" dxfId="12755" priority="7771">
      <formula>LEN(TRIM(AI101))=0</formula>
    </cfRule>
    <cfRule type="containsBlanks" dxfId="12754" priority="7772">
      <formula>LEN(TRIM(AI101))=0</formula>
    </cfRule>
    <cfRule type="containsBlanks" dxfId="12753" priority="7773">
      <formula>LEN(TRIM(AI101))=0</formula>
    </cfRule>
    <cfRule type="containsBlanks" dxfId="12752" priority="7774">
      <formula>LEN(TRIM(AI101))=0</formula>
    </cfRule>
    <cfRule type="containsBlanks" dxfId="12751" priority="7775">
      <formula>LEN(TRIM(AI101))=0</formula>
    </cfRule>
    <cfRule type="containsBlanks" dxfId="12750" priority="7776">
      <formula>LEN(TRIM(AI101))=0</formula>
    </cfRule>
    <cfRule type="containsBlanks" dxfId="12749" priority="7777">
      <formula>LEN(TRIM(AI101))=0</formula>
    </cfRule>
    <cfRule type="containsBlanks" dxfId="12748" priority="7778">
      <formula>LEN(TRIM(AI101))=0</formula>
    </cfRule>
    <cfRule type="containsBlanks" dxfId="12747" priority="7779">
      <formula>LEN(TRIM(AI101))=0</formula>
    </cfRule>
    <cfRule type="containsBlanks" dxfId="12746" priority="7780">
      <formula>LEN(TRIM(AI101))=0</formula>
    </cfRule>
    <cfRule type="containsBlanks" dxfId="12745" priority="7781">
      <formula>LEN(TRIM(AI101))=0</formula>
    </cfRule>
    <cfRule type="containsBlanks" dxfId="12744" priority="7782">
      <formula>LEN(TRIM(AI101))=0</formula>
    </cfRule>
    <cfRule type="containsBlanks" dxfId="12743" priority="7783">
      <formula>LEN(TRIM(AI101))=0</formula>
    </cfRule>
    <cfRule type="containsBlanks" dxfId="12742" priority="7784">
      <formula>LEN(TRIM(AI101))=0</formula>
    </cfRule>
    <cfRule type="containsBlanks" dxfId="12741" priority="7785">
      <formula>LEN(TRIM(AI101))=0</formula>
    </cfRule>
    <cfRule type="containsBlanks" dxfId="12740" priority="7786">
      <formula>LEN(TRIM(AI101))=0</formula>
    </cfRule>
    <cfRule type="containsBlanks" dxfId="12739" priority="7787">
      <formula>LEN(TRIM(AI101))=0</formula>
    </cfRule>
  </conditionalFormatting>
  <conditionalFormatting sqref="AI109">
    <cfRule type="containsBlanks" dxfId="12738" priority="7703">
      <formula>LEN(TRIM(AI109))=0</formula>
    </cfRule>
  </conditionalFormatting>
  <conditionalFormatting sqref="AI109">
    <cfRule type="containsBlanks" dxfId="12737" priority="7702">
      <formula>LEN(TRIM(AI109))=0</formula>
    </cfRule>
  </conditionalFormatting>
  <conditionalFormatting sqref="AI109">
    <cfRule type="containsBlanks" dxfId="12736" priority="7700">
      <formula>LEN(TRIM(AI109))=0</formula>
    </cfRule>
    <cfRule type="containsBlanks" dxfId="12735" priority="7701">
      <formula>LEN(TRIM(AI109))=0</formula>
    </cfRule>
  </conditionalFormatting>
  <conditionalFormatting sqref="AI109">
    <cfRule type="containsBlanks" dxfId="12734" priority="7699">
      <formula>LEN(TRIM(AI109))=0</formula>
    </cfRule>
  </conditionalFormatting>
  <conditionalFormatting sqref="AI109">
    <cfRule type="containsBlanks" dxfId="12733" priority="7698">
      <formula>LEN(TRIM(AI109))=0</formula>
    </cfRule>
  </conditionalFormatting>
  <conditionalFormatting sqref="AI109">
    <cfRule type="containsBlanks" dxfId="12732" priority="7697">
      <formula>LEN(TRIM(AI109))=0</formula>
    </cfRule>
  </conditionalFormatting>
  <conditionalFormatting sqref="AI109">
    <cfRule type="containsBlanks" dxfId="12731" priority="7695">
      <formula>LEN(TRIM(AI109))=0</formula>
    </cfRule>
    <cfRule type="containsBlanks" dxfId="12730" priority="7696">
      <formula>LEN(TRIM(AI109))=0</formula>
    </cfRule>
  </conditionalFormatting>
  <conditionalFormatting sqref="AI109">
    <cfRule type="containsBlanks" dxfId="12729" priority="7693">
      <formula>LEN(TRIM(AI109))=0</formula>
    </cfRule>
    <cfRule type="containsBlanks" dxfId="12728" priority="7694">
      <formula>LEN(TRIM(AI109))=0</formula>
    </cfRule>
  </conditionalFormatting>
  <conditionalFormatting sqref="AI109">
    <cfRule type="containsBlanks" dxfId="12727" priority="7691">
      <formula>LEN(TRIM(AI109))=0</formula>
    </cfRule>
    <cfRule type="containsBlanks" dxfId="12726" priority="7692">
      <formula>LEN(TRIM(AI109))=0</formula>
    </cfRule>
  </conditionalFormatting>
  <conditionalFormatting sqref="AI109">
    <cfRule type="containsBlanks" dxfId="12725" priority="7689">
      <formula>LEN(TRIM(AI109))=0</formula>
    </cfRule>
    <cfRule type="containsBlanks" dxfId="12724" priority="7690">
      <formula>LEN(TRIM(AI109))=0</formula>
    </cfRule>
  </conditionalFormatting>
  <conditionalFormatting sqref="AI109">
    <cfRule type="containsBlanks" dxfId="12723" priority="7623">
      <formula>LEN(TRIM(AI109))=0</formula>
    </cfRule>
    <cfRule type="containsBlanks" dxfId="12722" priority="7624">
      <formula>LEN(TRIM(AI109))=0</formula>
    </cfRule>
    <cfRule type="containsBlanks" dxfId="12721" priority="7625">
      <formula>LEN(TRIM(AI109))=0</formula>
    </cfRule>
    <cfRule type="containsBlanks" dxfId="12720" priority="7626">
      <formula>LEN(TRIM(AI109))=0</formula>
    </cfRule>
    <cfRule type="containsBlanks" dxfId="12719" priority="7627">
      <formula>LEN(TRIM(AI109))=0</formula>
    </cfRule>
    <cfRule type="containsBlanks" dxfId="12718" priority="7628">
      <formula>LEN(TRIM(AI109))=0</formula>
    </cfRule>
    <cfRule type="containsBlanks" dxfId="12717" priority="7629">
      <formula>LEN(TRIM(AI109))=0</formula>
    </cfRule>
    <cfRule type="containsBlanks" dxfId="12716" priority="7630">
      <formula>LEN(TRIM(AI109))=0</formula>
    </cfRule>
    <cfRule type="containsBlanks" dxfId="12715" priority="7631">
      <formula>LEN(TRIM(AI109))=0</formula>
    </cfRule>
    <cfRule type="containsBlanks" dxfId="12714" priority="7632">
      <formula>LEN(TRIM(AI109))=0</formula>
    </cfRule>
    <cfRule type="containsBlanks" dxfId="12713" priority="7633">
      <formula>LEN(TRIM(AI109))=0</formula>
    </cfRule>
    <cfRule type="containsBlanks" dxfId="12712" priority="7634">
      <formula>LEN(TRIM(AI109))=0</formula>
    </cfRule>
    <cfRule type="containsBlanks" dxfId="12711" priority="7635">
      <formula>LEN(TRIM(AI109))=0</formula>
    </cfRule>
    <cfRule type="containsBlanks" dxfId="12710" priority="7636">
      <formula>LEN(TRIM(AI109))=0</formula>
    </cfRule>
    <cfRule type="containsBlanks" dxfId="12709" priority="7637">
      <formula>LEN(TRIM(AI109))=0</formula>
    </cfRule>
    <cfRule type="containsBlanks" dxfId="12708" priority="7638">
      <formula>LEN(TRIM(AI109))=0</formula>
    </cfRule>
    <cfRule type="containsBlanks" dxfId="12707" priority="7639">
      <formula>LEN(TRIM(AI109))=0</formula>
    </cfRule>
    <cfRule type="containsBlanks" dxfId="12706" priority="7640">
      <formula>LEN(TRIM(AI109))=0</formula>
    </cfRule>
    <cfRule type="containsBlanks" dxfId="12705" priority="7641">
      <formula>LEN(TRIM(AI109))=0</formula>
    </cfRule>
    <cfRule type="containsBlanks" dxfId="12704" priority="7642">
      <formula>LEN(TRIM(AI109))=0</formula>
    </cfRule>
    <cfRule type="containsBlanks" dxfId="12703" priority="7643">
      <formula>LEN(TRIM(AI109))=0</formula>
    </cfRule>
    <cfRule type="containsBlanks" dxfId="12702" priority="7644">
      <formula>LEN(TRIM(AI109))=0</formula>
    </cfRule>
    <cfRule type="containsBlanks" dxfId="12701" priority="7645">
      <formula>LEN(TRIM(AI109))=0</formula>
    </cfRule>
    <cfRule type="containsBlanks" dxfId="12700" priority="7646">
      <formula>LEN(TRIM(AI109))=0</formula>
    </cfRule>
    <cfRule type="containsBlanks" dxfId="12699" priority="7647">
      <formula>LEN(TRIM(AI109))=0</formula>
    </cfRule>
    <cfRule type="containsBlanks" dxfId="12698" priority="7648">
      <formula>LEN(TRIM(AI109))=0</formula>
    </cfRule>
    <cfRule type="containsBlanks" dxfId="12697" priority="7649">
      <formula>LEN(TRIM(AI109))=0</formula>
    </cfRule>
    <cfRule type="containsBlanks" dxfId="12696" priority="7650">
      <formula>LEN(TRIM(AI109))=0</formula>
    </cfRule>
    <cfRule type="containsBlanks" dxfId="12695" priority="7651">
      <formula>LEN(TRIM(AI109))=0</formula>
    </cfRule>
    <cfRule type="containsBlanks" dxfId="12694" priority="7652">
      <formula>LEN(TRIM(AI109))=0</formula>
    </cfRule>
    <cfRule type="containsBlanks" dxfId="12693" priority="7653">
      <formula>LEN(TRIM(AI109))=0</formula>
    </cfRule>
    <cfRule type="containsBlanks" dxfId="12692" priority="7654">
      <formula>LEN(TRIM(AI109))=0</formula>
    </cfRule>
    <cfRule type="containsBlanks" dxfId="12691" priority="7655">
      <formula>LEN(TRIM(AI109))=0</formula>
    </cfRule>
    <cfRule type="containsBlanks" dxfId="12690" priority="7656">
      <formula>LEN(TRIM(AI109))=0</formula>
    </cfRule>
    <cfRule type="containsBlanks" dxfId="12689" priority="7657">
      <formula>LEN(TRIM(AI109))=0</formula>
    </cfRule>
    <cfRule type="containsBlanks" dxfId="12688" priority="7658">
      <formula>LEN(TRIM(AI109))=0</formula>
    </cfRule>
    <cfRule type="containsBlanks" dxfId="12687" priority="7659">
      <formula>LEN(TRIM(AI109))=0</formula>
    </cfRule>
    <cfRule type="containsBlanks" dxfId="12686" priority="7660">
      <formula>LEN(TRIM(AI109))=0</formula>
    </cfRule>
    <cfRule type="containsBlanks" dxfId="12685" priority="7661">
      <formula>LEN(TRIM(AI109))=0</formula>
    </cfRule>
    <cfRule type="containsBlanks" dxfId="12684" priority="7662">
      <formula>LEN(TRIM(AI109))=0</formula>
    </cfRule>
    <cfRule type="containsBlanks" dxfId="12683" priority="7663">
      <formula>LEN(TRIM(AI109))=0</formula>
    </cfRule>
    <cfRule type="containsBlanks" dxfId="12682" priority="7664">
      <formula>LEN(TRIM(AI109))=0</formula>
    </cfRule>
    <cfRule type="containsBlanks" dxfId="12681" priority="7665">
      <formula>LEN(TRIM(AI109))=0</formula>
    </cfRule>
    <cfRule type="containsBlanks" dxfId="12680" priority="7666">
      <formula>LEN(TRIM(AI109))=0</formula>
    </cfRule>
    <cfRule type="containsBlanks" dxfId="12679" priority="7667">
      <formula>LEN(TRIM(AI109))=0</formula>
    </cfRule>
    <cfRule type="containsBlanks" dxfId="12678" priority="7668">
      <formula>LEN(TRIM(AI109))=0</formula>
    </cfRule>
    <cfRule type="containsBlanks" dxfId="12677" priority="7669">
      <formula>LEN(TRIM(AI109))=0</formula>
    </cfRule>
    <cfRule type="containsBlanks" dxfId="12676" priority="7670">
      <formula>LEN(TRIM(AI109))=0</formula>
    </cfRule>
    <cfRule type="containsBlanks" dxfId="12675" priority="7671">
      <formula>LEN(TRIM(AI109))=0</formula>
    </cfRule>
    <cfRule type="containsBlanks" dxfId="12674" priority="7672">
      <formula>LEN(TRIM(AI109))=0</formula>
    </cfRule>
    <cfRule type="containsBlanks" dxfId="12673" priority="7673">
      <formula>LEN(TRIM(AI109))=0</formula>
    </cfRule>
    <cfRule type="containsBlanks" dxfId="12672" priority="7674">
      <formula>LEN(TRIM(AI109))=0</formula>
    </cfRule>
    <cfRule type="containsBlanks" dxfId="12671" priority="7675">
      <formula>LEN(TRIM(AI109))=0</formula>
    </cfRule>
    <cfRule type="containsBlanks" dxfId="12670" priority="7676">
      <formula>LEN(TRIM(AI109))=0</formula>
    </cfRule>
    <cfRule type="containsBlanks" dxfId="12669" priority="7677">
      <formula>LEN(TRIM(AI109))=0</formula>
    </cfRule>
    <cfRule type="containsBlanks" dxfId="12668" priority="7678">
      <formula>LEN(TRIM(AI109))=0</formula>
    </cfRule>
    <cfRule type="containsBlanks" dxfId="12667" priority="7679">
      <formula>LEN(TRIM(AI109))=0</formula>
    </cfRule>
    <cfRule type="containsBlanks" dxfId="12666" priority="7680">
      <formula>LEN(TRIM(AI109))=0</formula>
    </cfRule>
    <cfRule type="containsBlanks" dxfId="12665" priority="7681">
      <formula>LEN(TRIM(AI109))=0</formula>
    </cfRule>
    <cfRule type="containsBlanks" dxfId="12664" priority="7682">
      <formula>LEN(TRIM(AI109))=0</formula>
    </cfRule>
    <cfRule type="containsBlanks" dxfId="12663" priority="7683">
      <formula>LEN(TRIM(AI109))=0</formula>
    </cfRule>
    <cfRule type="containsBlanks" dxfId="12662" priority="7684">
      <formula>LEN(TRIM(AI109))=0</formula>
    </cfRule>
    <cfRule type="containsBlanks" dxfId="12661" priority="7685">
      <formula>LEN(TRIM(AI109))=0</formula>
    </cfRule>
    <cfRule type="containsBlanks" dxfId="12660" priority="7686">
      <formula>LEN(TRIM(AI109))=0</formula>
    </cfRule>
    <cfRule type="containsBlanks" dxfId="12659" priority="7687">
      <formula>LEN(TRIM(AI109))=0</formula>
    </cfRule>
    <cfRule type="containsBlanks" dxfId="12658" priority="7688">
      <formula>LEN(TRIM(AI109))=0</formula>
    </cfRule>
  </conditionalFormatting>
  <conditionalFormatting sqref="AI109">
    <cfRule type="containsBlanks" dxfId="12657" priority="7568">
      <formula>LEN(TRIM(AI109))=0</formula>
    </cfRule>
    <cfRule type="containsBlanks" dxfId="12656" priority="7569">
      <formula>LEN(TRIM(AI109))=0</formula>
    </cfRule>
    <cfRule type="containsBlanks" dxfId="12655" priority="7570">
      <formula>LEN(TRIM(AI109))=0</formula>
    </cfRule>
    <cfRule type="containsBlanks" dxfId="12654" priority="7571">
      <formula>LEN(TRIM(AI109))=0</formula>
    </cfRule>
    <cfRule type="containsBlanks" dxfId="12653" priority="7572">
      <formula>LEN(TRIM(AI109))=0</formula>
    </cfRule>
    <cfRule type="containsBlanks" dxfId="12652" priority="7573">
      <formula>LEN(TRIM(AI109))=0</formula>
    </cfRule>
    <cfRule type="containsBlanks" dxfId="12651" priority="7574">
      <formula>LEN(TRIM(AI109))=0</formula>
    </cfRule>
    <cfRule type="containsBlanks" dxfId="12650" priority="7575">
      <formula>LEN(TRIM(AI109))=0</formula>
    </cfRule>
    <cfRule type="containsBlanks" dxfId="12649" priority="7576">
      <formula>LEN(TRIM(AI109))=0</formula>
    </cfRule>
    <cfRule type="containsBlanks" dxfId="12648" priority="7577">
      <formula>LEN(TRIM(AI109))=0</formula>
    </cfRule>
    <cfRule type="containsBlanks" dxfId="12647" priority="7578">
      <formula>LEN(TRIM(AI109))=0</formula>
    </cfRule>
    <cfRule type="containsBlanks" dxfId="12646" priority="7579">
      <formula>LEN(TRIM(AI109))=0</formula>
    </cfRule>
    <cfRule type="containsBlanks" dxfId="12645" priority="7580">
      <formula>LEN(TRIM(AI109))=0</formula>
    </cfRule>
    <cfRule type="containsBlanks" dxfId="12644" priority="7581">
      <formula>LEN(TRIM(AI109))=0</formula>
    </cfRule>
    <cfRule type="containsBlanks" dxfId="12643" priority="7582">
      <formula>LEN(TRIM(AI109))=0</formula>
    </cfRule>
    <cfRule type="containsBlanks" dxfId="12642" priority="7583">
      <formula>LEN(TRIM(AI109))=0</formula>
    </cfRule>
    <cfRule type="containsBlanks" dxfId="12641" priority="7584">
      <formula>LEN(TRIM(AI109))=0</formula>
    </cfRule>
    <cfRule type="containsBlanks" dxfId="12640" priority="7585">
      <formula>LEN(TRIM(AI109))=0</formula>
    </cfRule>
    <cfRule type="containsBlanks" dxfId="12639" priority="7586">
      <formula>LEN(TRIM(AI109))=0</formula>
    </cfRule>
    <cfRule type="containsBlanks" dxfId="12638" priority="7587">
      <formula>LEN(TRIM(AI109))=0</formula>
    </cfRule>
    <cfRule type="containsBlanks" dxfId="12637" priority="7588">
      <formula>LEN(TRIM(AI109))=0</formula>
    </cfRule>
    <cfRule type="containsBlanks" dxfId="12636" priority="7589">
      <formula>LEN(TRIM(AI109))=0</formula>
    </cfRule>
    <cfRule type="containsBlanks" dxfId="12635" priority="7590">
      <formula>LEN(TRIM(AI109))=0</formula>
    </cfRule>
    <cfRule type="containsBlanks" dxfId="12634" priority="7591">
      <formula>LEN(TRIM(AI109))=0</formula>
    </cfRule>
    <cfRule type="containsBlanks" dxfId="12633" priority="7592">
      <formula>LEN(TRIM(AI109))=0</formula>
    </cfRule>
    <cfRule type="containsBlanks" dxfId="12632" priority="7593">
      <formula>LEN(TRIM(AI109))=0</formula>
    </cfRule>
    <cfRule type="containsBlanks" dxfId="12631" priority="7594">
      <formula>LEN(TRIM(AI109))=0</formula>
    </cfRule>
    <cfRule type="containsBlanks" dxfId="12630" priority="7595">
      <formula>LEN(TRIM(AI109))=0</formula>
    </cfRule>
    <cfRule type="containsBlanks" dxfId="12629" priority="7596">
      <formula>LEN(TRIM(AI109))=0</formula>
    </cfRule>
    <cfRule type="containsBlanks" dxfId="12628" priority="7597">
      <formula>LEN(TRIM(AI109))=0</formula>
    </cfRule>
    <cfRule type="containsBlanks" dxfId="12627" priority="7598">
      <formula>LEN(TRIM(AI109))=0</formula>
    </cfRule>
    <cfRule type="containsBlanks" dxfId="12626" priority="7599">
      <formula>LEN(TRIM(AI109))=0</formula>
    </cfRule>
    <cfRule type="containsBlanks" dxfId="12625" priority="7600">
      <formula>LEN(TRIM(AI109))=0</formula>
    </cfRule>
    <cfRule type="containsBlanks" dxfId="12624" priority="7601">
      <formula>LEN(TRIM(AI109))=0</formula>
    </cfRule>
    <cfRule type="containsBlanks" dxfId="12623" priority="7602">
      <formula>LEN(TRIM(AI109))=0</formula>
    </cfRule>
    <cfRule type="containsBlanks" dxfId="12622" priority="7603">
      <formula>LEN(TRIM(AI109))=0</formula>
    </cfRule>
    <cfRule type="containsBlanks" dxfId="12621" priority="7604">
      <formula>LEN(TRIM(AI109))=0</formula>
    </cfRule>
    <cfRule type="containsBlanks" dxfId="12620" priority="7605">
      <formula>LEN(TRIM(AI109))=0</formula>
    </cfRule>
    <cfRule type="containsBlanks" dxfId="12619" priority="7606">
      <formula>LEN(TRIM(AI109))=0</formula>
    </cfRule>
    <cfRule type="containsBlanks" dxfId="12618" priority="7607">
      <formula>LEN(TRIM(AI109))=0</formula>
    </cfRule>
    <cfRule type="containsBlanks" dxfId="12617" priority="7608">
      <formula>LEN(TRIM(AI109))=0</formula>
    </cfRule>
    <cfRule type="containsBlanks" dxfId="12616" priority="7609">
      <formula>LEN(TRIM(AI109))=0</formula>
    </cfRule>
    <cfRule type="containsBlanks" dxfId="12615" priority="7610">
      <formula>LEN(TRIM(AI109))=0</formula>
    </cfRule>
    <cfRule type="containsBlanks" dxfId="12614" priority="7611">
      <formula>LEN(TRIM(AI109))=0</formula>
    </cfRule>
    <cfRule type="containsBlanks" dxfId="12613" priority="7612">
      <formula>LEN(TRIM(AI109))=0</formula>
    </cfRule>
    <cfRule type="containsBlanks" dxfId="12612" priority="7613">
      <formula>LEN(TRIM(AI109))=0</formula>
    </cfRule>
    <cfRule type="containsBlanks" dxfId="12611" priority="7614">
      <formula>LEN(TRIM(AI109))=0</formula>
    </cfRule>
    <cfRule type="containsBlanks" dxfId="12610" priority="7615">
      <formula>LEN(TRIM(AI109))=0</formula>
    </cfRule>
    <cfRule type="containsBlanks" dxfId="12609" priority="7616">
      <formula>LEN(TRIM(AI109))=0</formula>
    </cfRule>
    <cfRule type="containsBlanks" dxfId="12608" priority="7617">
      <formula>LEN(TRIM(AI109))=0</formula>
    </cfRule>
    <cfRule type="containsBlanks" dxfId="12607" priority="7618">
      <formula>LEN(TRIM(AI109))=0</formula>
    </cfRule>
    <cfRule type="containsBlanks" dxfId="12606" priority="7619">
      <formula>LEN(TRIM(AI109))=0</formula>
    </cfRule>
    <cfRule type="containsBlanks" dxfId="12605" priority="7620">
      <formula>LEN(TRIM(AI109))=0</formula>
    </cfRule>
    <cfRule type="containsBlanks" dxfId="12604" priority="7621">
      <formula>LEN(TRIM(AI109))=0</formula>
    </cfRule>
    <cfRule type="containsBlanks" dxfId="12603" priority="7622">
      <formula>LEN(TRIM(AI109))=0</formula>
    </cfRule>
  </conditionalFormatting>
  <conditionalFormatting sqref="AI109">
    <cfRule type="containsBlanks" dxfId="12602" priority="7484">
      <formula>LEN(TRIM(AI109))=0</formula>
    </cfRule>
    <cfRule type="containsBlanks" dxfId="12601" priority="7485">
      <formula>LEN(TRIM(AI109))=0</formula>
    </cfRule>
    <cfRule type="containsBlanks" dxfId="12600" priority="7486">
      <formula>LEN(TRIM(AI109))=0</formula>
    </cfRule>
    <cfRule type="containsBlanks" dxfId="12599" priority="7487">
      <formula>LEN(TRIM(AI109))=0</formula>
    </cfRule>
    <cfRule type="containsBlanks" dxfId="12598" priority="7488">
      <formula>LEN(TRIM(AI109))=0</formula>
    </cfRule>
    <cfRule type="containsBlanks" dxfId="12597" priority="7489">
      <formula>LEN(TRIM(AI109))=0</formula>
    </cfRule>
    <cfRule type="containsBlanks" dxfId="12596" priority="7490">
      <formula>LEN(TRIM(AI109))=0</formula>
    </cfRule>
    <cfRule type="containsBlanks" dxfId="12595" priority="7491">
      <formula>LEN(TRIM(AI109))=0</formula>
    </cfRule>
    <cfRule type="containsBlanks" dxfId="12594" priority="7492">
      <formula>LEN(TRIM(AI109))=0</formula>
    </cfRule>
    <cfRule type="containsBlanks" dxfId="12593" priority="7493">
      <formula>LEN(TRIM(AI109))=0</formula>
    </cfRule>
    <cfRule type="containsBlanks" dxfId="12592" priority="7494">
      <formula>LEN(TRIM(AI109))=0</formula>
    </cfRule>
    <cfRule type="containsBlanks" dxfId="12591" priority="7495">
      <formula>LEN(TRIM(AI109))=0</formula>
    </cfRule>
    <cfRule type="containsBlanks" dxfId="12590" priority="7496">
      <formula>LEN(TRIM(AI109))=0</formula>
    </cfRule>
    <cfRule type="containsBlanks" dxfId="12589" priority="7497">
      <formula>LEN(TRIM(AI109))=0</formula>
    </cfRule>
    <cfRule type="containsBlanks" dxfId="12588" priority="7498">
      <formula>LEN(TRIM(AI109))=0</formula>
    </cfRule>
    <cfRule type="containsBlanks" dxfId="12587" priority="7499">
      <formula>LEN(TRIM(AI109))=0</formula>
    </cfRule>
    <cfRule type="containsBlanks" dxfId="12586" priority="7500">
      <formula>LEN(TRIM(AI109))=0</formula>
    </cfRule>
    <cfRule type="containsBlanks" dxfId="12585" priority="7501">
      <formula>LEN(TRIM(AI109))=0</formula>
    </cfRule>
    <cfRule type="containsBlanks" dxfId="12584" priority="7502">
      <formula>LEN(TRIM(AI109))=0</formula>
    </cfRule>
    <cfRule type="containsBlanks" dxfId="12583" priority="7503">
      <formula>LEN(TRIM(AI109))=0</formula>
    </cfRule>
    <cfRule type="containsBlanks" dxfId="12582" priority="7504">
      <formula>LEN(TRIM(AI109))=0</formula>
    </cfRule>
    <cfRule type="containsBlanks" dxfId="12581" priority="7505">
      <formula>LEN(TRIM(AI109))=0</formula>
    </cfRule>
    <cfRule type="containsBlanks" dxfId="12580" priority="7506">
      <formula>LEN(TRIM(AI109))=0</formula>
    </cfRule>
    <cfRule type="containsBlanks" dxfId="12579" priority="7507">
      <formula>LEN(TRIM(AI109))=0</formula>
    </cfRule>
    <cfRule type="containsBlanks" dxfId="12578" priority="7508">
      <formula>LEN(TRIM(AI109))=0</formula>
    </cfRule>
    <cfRule type="containsBlanks" dxfId="12577" priority="7509">
      <formula>LEN(TRIM(AI109))=0</formula>
    </cfRule>
    <cfRule type="containsBlanks" dxfId="12576" priority="7510">
      <formula>LEN(TRIM(AI109))=0</formula>
    </cfRule>
    <cfRule type="containsBlanks" dxfId="12575" priority="7511">
      <formula>LEN(TRIM(AI109))=0</formula>
    </cfRule>
    <cfRule type="containsBlanks" dxfId="12574" priority="7512">
      <formula>LEN(TRIM(AI109))=0</formula>
    </cfRule>
    <cfRule type="containsBlanks" dxfId="12573" priority="7513">
      <formula>LEN(TRIM(AI109))=0</formula>
    </cfRule>
    <cfRule type="containsBlanks" dxfId="12572" priority="7514">
      <formula>LEN(TRIM(AI109))=0</formula>
    </cfRule>
    <cfRule type="containsBlanks" dxfId="12571" priority="7515">
      <formula>LEN(TRIM(AI109))=0</formula>
    </cfRule>
    <cfRule type="containsBlanks" dxfId="12570" priority="7516">
      <formula>LEN(TRIM(AI109))=0</formula>
    </cfRule>
    <cfRule type="containsBlanks" dxfId="12569" priority="7517">
      <formula>LEN(TRIM(AI109))=0</formula>
    </cfRule>
    <cfRule type="containsBlanks" dxfId="12568" priority="7518">
      <formula>LEN(TRIM(AI109))=0</formula>
    </cfRule>
    <cfRule type="containsBlanks" dxfId="12567" priority="7519">
      <formula>LEN(TRIM(AI109))=0</formula>
    </cfRule>
    <cfRule type="containsBlanks" dxfId="12566" priority="7520">
      <formula>LEN(TRIM(AI109))=0</formula>
    </cfRule>
    <cfRule type="containsBlanks" dxfId="12565" priority="7521">
      <formula>LEN(TRIM(AI109))=0</formula>
    </cfRule>
    <cfRule type="containsBlanks" dxfId="12564" priority="7522">
      <formula>LEN(TRIM(AI109))=0</formula>
    </cfRule>
    <cfRule type="containsBlanks" dxfId="12563" priority="7523">
      <formula>LEN(TRIM(AI109))=0</formula>
    </cfRule>
    <cfRule type="containsBlanks" dxfId="12562" priority="7524">
      <formula>LEN(TRIM(AI109))=0</formula>
    </cfRule>
    <cfRule type="containsBlanks" dxfId="12561" priority="7525">
      <formula>LEN(TRIM(AI109))=0</formula>
    </cfRule>
    <cfRule type="containsBlanks" dxfId="12560" priority="7526">
      <formula>LEN(TRIM(AI109))=0</formula>
    </cfRule>
    <cfRule type="containsBlanks" dxfId="12559" priority="7527">
      <formula>LEN(TRIM(AI109))=0</formula>
    </cfRule>
    <cfRule type="containsBlanks" dxfId="12558" priority="7528">
      <formula>LEN(TRIM(AI109))=0</formula>
    </cfRule>
    <cfRule type="containsBlanks" dxfId="12557" priority="7529">
      <formula>LEN(TRIM(AI109))=0</formula>
    </cfRule>
    <cfRule type="containsBlanks" dxfId="12556" priority="7530">
      <formula>LEN(TRIM(AI109))=0</formula>
    </cfRule>
    <cfRule type="containsBlanks" dxfId="12555" priority="7531">
      <formula>LEN(TRIM(AI109))=0</formula>
    </cfRule>
    <cfRule type="containsBlanks" dxfId="12554" priority="7532">
      <formula>LEN(TRIM(AI109))=0</formula>
    </cfRule>
    <cfRule type="containsBlanks" dxfId="12553" priority="7533">
      <formula>LEN(TRIM(AI109))=0</formula>
    </cfRule>
    <cfRule type="containsBlanks" dxfId="12552" priority="7534">
      <formula>LEN(TRIM(AI109))=0</formula>
    </cfRule>
    <cfRule type="containsBlanks" dxfId="12551" priority="7535">
      <formula>LEN(TRIM(AI109))=0</formula>
    </cfRule>
    <cfRule type="containsBlanks" dxfId="12550" priority="7536">
      <formula>LEN(TRIM(AI109))=0</formula>
    </cfRule>
    <cfRule type="containsBlanks" dxfId="12549" priority="7537">
      <formula>LEN(TRIM(AI109))=0</formula>
    </cfRule>
    <cfRule type="containsBlanks" dxfId="12548" priority="7538">
      <formula>LEN(TRIM(AI109))=0</formula>
    </cfRule>
    <cfRule type="containsBlanks" dxfId="12547" priority="7539">
      <formula>LEN(TRIM(AI109))=0</formula>
    </cfRule>
    <cfRule type="containsBlanks" dxfId="12546" priority="7540">
      <formula>LEN(TRIM(AI109))=0</formula>
    </cfRule>
    <cfRule type="containsBlanks" dxfId="12545" priority="7541">
      <formula>LEN(TRIM(AI109))=0</formula>
    </cfRule>
    <cfRule type="containsBlanks" dxfId="12544" priority="7542">
      <formula>LEN(TRIM(AI109))=0</formula>
    </cfRule>
    <cfRule type="containsBlanks" dxfId="12543" priority="7543">
      <formula>LEN(TRIM(AI109))=0</formula>
    </cfRule>
    <cfRule type="containsBlanks" dxfId="12542" priority="7544">
      <formula>LEN(TRIM(AI109))=0</formula>
    </cfRule>
    <cfRule type="containsBlanks" dxfId="12541" priority="7545">
      <formula>LEN(TRIM(AI109))=0</formula>
    </cfRule>
    <cfRule type="containsBlanks" dxfId="12540" priority="7546">
      <formula>LEN(TRIM(AI109))=0</formula>
    </cfRule>
    <cfRule type="containsBlanks" dxfId="12539" priority="7547">
      <formula>LEN(TRIM(AI109))=0</formula>
    </cfRule>
    <cfRule type="containsBlanks" dxfId="12538" priority="7548">
      <formula>LEN(TRIM(AI109))=0</formula>
    </cfRule>
    <cfRule type="containsBlanks" dxfId="12537" priority="7549">
      <formula>LEN(TRIM(AI109))=0</formula>
    </cfRule>
    <cfRule type="containsBlanks" dxfId="12536" priority="7550">
      <formula>LEN(TRIM(AI109))=0</formula>
    </cfRule>
    <cfRule type="containsBlanks" dxfId="12535" priority="7551">
      <formula>LEN(TRIM(AI109))=0</formula>
    </cfRule>
    <cfRule type="containsBlanks" dxfId="12534" priority="7552">
      <formula>LEN(TRIM(AI109))=0</formula>
    </cfRule>
    <cfRule type="containsBlanks" dxfId="12533" priority="7553">
      <formula>LEN(TRIM(AI109))=0</formula>
    </cfRule>
    <cfRule type="containsBlanks" dxfId="12532" priority="7554">
      <formula>LEN(TRIM(AI109))=0</formula>
    </cfRule>
    <cfRule type="containsBlanks" dxfId="12531" priority="7555">
      <formula>LEN(TRIM(AI109))=0</formula>
    </cfRule>
    <cfRule type="containsBlanks" dxfId="12530" priority="7556">
      <formula>LEN(TRIM(AI109))=0</formula>
    </cfRule>
    <cfRule type="containsBlanks" dxfId="12529" priority="7557">
      <formula>LEN(TRIM(AI109))=0</formula>
    </cfRule>
    <cfRule type="containsBlanks" dxfId="12528" priority="7558">
      <formula>LEN(TRIM(AI109))=0</formula>
    </cfRule>
    <cfRule type="containsBlanks" dxfId="12527" priority="7559">
      <formula>LEN(TRIM(AI109))=0</formula>
    </cfRule>
    <cfRule type="containsBlanks" dxfId="12526" priority="7560">
      <formula>LEN(TRIM(AI109))=0</formula>
    </cfRule>
    <cfRule type="containsBlanks" dxfId="12525" priority="7561">
      <formula>LEN(TRIM(AI109))=0</formula>
    </cfRule>
    <cfRule type="containsBlanks" dxfId="12524" priority="7562">
      <formula>LEN(TRIM(AI109))=0</formula>
    </cfRule>
    <cfRule type="containsBlanks" dxfId="12523" priority="7563">
      <formula>LEN(TRIM(AI109))=0</formula>
    </cfRule>
    <cfRule type="containsBlanks" dxfId="12522" priority="7564">
      <formula>LEN(TRIM(AI109))=0</formula>
    </cfRule>
    <cfRule type="containsBlanks" dxfId="12521" priority="7565">
      <formula>LEN(TRIM(AI109))=0</formula>
    </cfRule>
    <cfRule type="containsBlanks" dxfId="12520" priority="7566">
      <formula>LEN(TRIM(AI109))=0</formula>
    </cfRule>
    <cfRule type="containsBlanks" dxfId="12519" priority="7567">
      <formula>LEN(TRIM(AI109))=0</formula>
    </cfRule>
  </conditionalFormatting>
  <conditionalFormatting sqref="AI111:AI112">
    <cfRule type="containsBlanks" dxfId="12518" priority="7483">
      <formula>LEN(TRIM(AI111))=0</formula>
    </cfRule>
  </conditionalFormatting>
  <conditionalFormatting sqref="AI111:AI112">
    <cfRule type="containsBlanks" dxfId="12517" priority="7482">
      <formula>LEN(TRIM(AI111))=0</formula>
    </cfRule>
  </conditionalFormatting>
  <conditionalFormatting sqref="AI111:AI112">
    <cfRule type="containsBlanks" dxfId="12516" priority="7480">
      <formula>LEN(TRIM(AI111))=0</formula>
    </cfRule>
    <cfRule type="containsBlanks" dxfId="12515" priority="7481">
      <formula>LEN(TRIM(AI111))=0</formula>
    </cfRule>
  </conditionalFormatting>
  <conditionalFormatting sqref="AI111:AI112">
    <cfRule type="containsBlanks" dxfId="12514" priority="7479">
      <formula>LEN(TRIM(AI111))=0</formula>
    </cfRule>
  </conditionalFormatting>
  <conditionalFormatting sqref="AI111:AI112">
    <cfRule type="containsBlanks" dxfId="12513" priority="7478">
      <formula>LEN(TRIM(AI111))=0</formula>
    </cfRule>
  </conditionalFormatting>
  <conditionalFormatting sqref="AI111:AI112">
    <cfRule type="containsBlanks" dxfId="12512" priority="7477">
      <formula>LEN(TRIM(AI111))=0</formula>
    </cfRule>
  </conditionalFormatting>
  <conditionalFormatting sqref="AI111:AI112">
    <cfRule type="containsBlanks" dxfId="12511" priority="7475">
      <formula>LEN(TRIM(AI111))=0</formula>
    </cfRule>
    <cfRule type="containsBlanks" dxfId="12510" priority="7476">
      <formula>LEN(TRIM(AI111))=0</formula>
    </cfRule>
  </conditionalFormatting>
  <conditionalFormatting sqref="AI111:AI112">
    <cfRule type="containsBlanks" dxfId="12509" priority="7473">
      <formula>LEN(TRIM(AI111))=0</formula>
    </cfRule>
    <cfRule type="containsBlanks" dxfId="12508" priority="7474">
      <formula>LEN(TRIM(AI111))=0</formula>
    </cfRule>
  </conditionalFormatting>
  <conditionalFormatting sqref="AI111:AI112">
    <cfRule type="containsBlanks" dxfId="12507" priority="7471">
      <formula>LEN(TRIM(AI111))=0</formula>
    </cfRule>
    <cfRule type="containsBlanks" dxfId="12506" priority="7472">
      <formula>LEN(TRIM(AI111))=0</formula>
    </cfRule>
  </conditionalFormatting>
  <conditionalFormatting sqref="AI111:AI112">
    <cfRule type="containsBlanks" dxfId="12505" priority="7469">
      <formula>LEN(TRIM(AI111))=0</formula>
    </cfRule>
    <cfRule type="containsBlanks" dxfId="12504" priority="7470">
      <formula>LEN(TRIM(AI111))=0</formula>
    </cfRule>
  </conditionalFormatting>
  <conditionalFormatting sqref="AI111:AI112">
    <cfRule type="containsBlanks" dxfId="12503" priority="7403">
      <formula>LEN(TRIM(AI111))=0</formula>
    </cfRule>
    <cfRule type="containsBlanks" dxfId="12502" priority="7404">
      <formula>LEN(TRIM(AI111))=0</formula>
    </cfRule>
    <cfRule type="containsBlanks" dxfId="12501" priority="7405">
      <formula>LEN(TRIM(AI111))=0</formula>
    </cfRule>
    <cfRule type="containsBlanks" dxfId="12500" priority="7406">
      <formula>LEN(TRIM(AI111))=0</formula>
    </cfRule>
    <cfRule type="containsBlanks" dxfId="12499" priority="7407">
      <formula>LEN(TRIM(AI111))=0</formula>
    </cfRule>
    <cfRule type="containsBlanks" dxfId="12498" priority="7408">
      <formula>LEN(TRIM(AI111))=0</formula>
    </cfRule>
    <cfRule type="containsBlanks" dxfId="12497" priority="7409">
      <formula>LEN(TRIM(AI111))=0</formula>
    </cfRule>
    <cfRule type="containsBlanks" dxfId="12496" priority="7410">
      <formula>LEN(TRIM(AI111))=0</formula>
    </cfRule>
    <cfRule type="containsBlanks" dxfId="12495" priority="7411">
      <formula>LEN(TRIM(AI111))=0</formula>
    </cfRule>
    <cfRule type="containsBlanks" dxfId="12494" priority="7412">
      <formula>LEN(TRIM(AI111))=0</formula>
    </cfRule>
    <cfRule type="containsBlanks" dxfId="12493" priority="7413">
      <formula>LEN(TRIM(AI111))=0</formula>
    </cfRule>
    <cfRule type="containsBlanks" dxfId="12492" priority="7414">
      <formula>LEN(TRIM(AI111))=0</formula>
    </cfRule>
    <cfRule type="containsBlanks" dxfId="12491" priority="7415">
      <formula>LEN(TRIM(AI111))=0</formula>
    </cfRule>
    <cfRule type="containsBlanks" dxfId="12490" priority="7416">
      <formula>LEN(TRIM(AI111))=0</formula>
    </cfRule>
    <cfRule type="containsBlanks" dxfId="12489" priority="7417">
      <formula>LEN(TRIM(AI111))=0</formula>
    </cfRule>
    <cfRule type="containsBlanks" dxfId="12488" priority="7418">
      <formula>LEN(TRIM(AI111))=0</formula>
    </cfRule>
    <cfRule type="containsBlanks" dxfId="12487" priority="7419">
      <formula>LEN(TRIM(AI111))=0</formula>
    </cfRule>
    <cfRule type="containsBlanks" dxfId="12486" priority="7420">
      <formula>LEN(TRIM(AI111))=0</formula>
    </cfRule>
    <cfRule type="containsBlanks" dxfId="12485" priority="7421">
      <formula>LEN(TRIM(AI111))=0</formula>
    </cfRule>
    <cfRule type="containsBlanks" dxfId="12484" priority="7422">
      <formula>LEN(TRIM(AI111))=0</formula>
    </cfRule>
    <cfRule type="containsBlanks" dxfId="12483" priority="7423">
      <formula>LEN(TRIM(AI111))=0</formula>
    </cfRule>
    <cfRule type="containsBlanks" dxfId="12482" priority="7424">
      <formula>LEN(TRIM(AI111))=0</formula>
    </cfRule>
    <cfRule type="containsBlanks" dxfId="12481" priority="7425">
      <formula>LEN(TRIM(AI111))=0</formula>
    </cfRule>
    <cfRule type="containsBlanks" dxfId="12480" priority="7426">
      <formula>LEN(TRIM(AI111))=0</formula>
    </cfRule>
    <cfRule type="containsBlanks" dxfId="12479" priority="7427">
      <formula>LEN(TRIM(AI111))=0</formula>
    </cfRule>
    <cfRule type="containsBlanks" dxfId="12478" priority="7428">
      <formula>LEN(TRIM(AI111))=0</formula>
    </cfRule>
    <cfRule type="containsBlanks" dxfId="12477" priority="7429">
      <formula>LEN(TRIM(AI111))=0</formula>
    </cfRule>
    <cfRule type="containsBlanks" dxfId="12476" priority="7430">
      <formula>LEN(TRIM(AI111))=0</formula>
    </cfRule>
    <cfRule type="containsBlanks" dxfId="12475" priority="7431">
      <formula>LEN(TRIM(AI111))=0</formula>
    </cfRule>
    <cfRule type="containsBlanks" dxfId="12474" priority="7432">
      <formula>LEN(TRIM(AI111))=0</formula>
    </cfRule>
    <cfRule type="containsBlanks" dxfId="12473" priority="7433">
      <formula>LEN(TRIM(AI111))=0</formula>
    </cfRule>
    <cfRule type="containsBlanks" dxfId="12472" priority="7434">
      <formula>LEN(TRIM(AI111))=0</formula>
    </cfRule>
    <cfRule type="containsBlanks" dxfId="12471" priority="7435">
      <formula>LEN(TRIM(AI111))=0</formula>
    </cfRule>
    <cfRule type="containsBlanks" dxfId="12470" priority="7436">
      <formula>LEN(TRIM(AI111))=0</formula>
    </cfRule>
    <cfRule type="containsBlanks" dxfId="12469" priority="7437">
      <formula>LEN(TRIM(AI111))=0</formula>
    </cfRule>
    <cfRule type="containsBlanks" dxfId="12468" priority="7438">
      <formula>LEN(TRIM(AI111))=0</formula>
    </cfRule>
    <cfRule type="containsBlanks" dxfId="12467" priority="7439">
      <formula>LEN(TRIM(AI111))=0</formula>
    </cfRule>
    <cfRule type="containsBlanks" dxfId="12466" priority="7440">
      <formula>LEN(TRIM(AI111))=0</formula>
    </cfRule>
    <cfRule type="containsBlanks" dxfId="12465" priority="7441">
      <formula>LEN(TRIM(AI111))=0</formula>
    </cfRule>
    <cfRule type="containsBlanks" dxfId="12464" priority="7442">
      <formula>LEN(TRIM(AI111))=0</formula>
    </cfRule>
    <cfRule type="containsBlanks" dxfId="12463" priority="7443">
      <formula>LEN(TRIM(AI111))=0</formula>
    </cfRule>
    <cfRule type="containsBlanks" dxfId="12462" priority="7444">
      <formula>LEN(TRIM(AI111))=0</formula>
    </cfRule>
    <cfRule type="containsBlanks" dxfId="12461" priority="7445">
      <formula>LEN(TRIM(AI111))=0</formula>
    </cfRule>
    <cfRule type="containsBlanks" dxfId="12460" priority="7446">
      <formula>LEN(TRIM(AI111))=0</formula>
    </cfRule>
    <cfRule type="containsBlanks" dxfId="12459" priority="7447">
      <formula>LEN(TRIM(AI111))=0</formula>
    </cfRule>
    <cfRule type="containsBlanks" dxfId="12458" priority="7448">
      <formula>LEN(TRIM(AI111))=0</formula>
    </cfRule>
    <cfRule type="containsBlanks" dxfId="12457" priority="7449">
      <formula>LEN(TRIM(AI111))=0</formula>
    </cfRule>
    <cfRule type="containsBlanks" dxfId="12456" priority="7450">
      <formula>LEN(TRIM(AI111))=0</formula>
    </cfRule>
    <cfRule type="containsBlanks" dxfId="12455" priority="7451">
      <formula>LEN(TRIM(AI111))=0</formula>
    </cfRule>
    <cfRule type="containsBlanks" dxfId="12454" priority="7452">
      <formula>LEN(TRIM(AI111))=0</formula>
    </cfRule>
    <cfRule type="containsBlanks" dxfId="12453" priority="7453">
      <formula>LEN(TRIM(AI111))=0</formula>
    </cfRule>
    <cfRule type="containsBlanks" dxfId="12452" priority="7454">
      <formula>LEN(TRIM(AI111))=0</formula>
    </cfRule>
    <cfRule type="containsBlanks" dxfId="12451" priority="7455">
      <formula>LEN(TRIM(AI111))=0</formula>
    </cfRule>
    <cfRule type="containsBlanks" dxfId="12450" priority="7456">
      <formula>LEN(TRIM(AI111))=0</formula>
    </cfRule>
    <cfRule type="containsBlanks" dxfId="12449" priority="7457">
      <formula>LEN(TRIM(AI111))=0</formula>
    </cfRule>
    <cfRule type="containsBlanks" dxfId="12448" priority="7458">
      <formula>LEN(TRIM(AI111))=0</formula>
    </cfRule>
    <cfRule type="containsBlanks" dxfId="12447" priority="7459">
      <formula>LEN(TRIM(AI111))=0</formula>
    </cfRule>
    <cfRule type="containsBlanks" dxfId="12446" priority="7460">
      <formula>LEN(TRIM(AI111))=0</formula>
    </cfRule>
    <cfRule type="containsBlanks" dxfId="12445" priority="7461">
      <formula>LEN(TRIM(AI111))=0</formula>
    </cfRule>
    <cfRule type="containsBlanks" dxfId="12444" priority="7462">
      <formula>LEN(TRIM(AI111))=0</formula>
    </cfRule>
    <cfRule type="containsBlanks" dxfId="12443" priority="7463">
      <formula>LEN(TRIM(AI111))=0</formula>
    </cfRule>
    <cfRule type="containsBlanks" dxfId="12442" priority="7464">
      <formula>LEN(TRIM(AI111))=0</formula>
    </cfRule>
    <cfRule type="containsBlanks" dxfId="12441" priority="7465">
      <formula>LEN(TRIM(AI111))=0</formula>
    </cfRule>
    <cfRule type="containsBlanks" dxfId="12440" priority="7466">
      <formula>LEN(TRIM(AI111))=0</formula>
    </cfRule>
    <cfRule type="containsBlanks" dxfId="12439" priority="7467">
      <formula>LEN(TRIM(AI111))=0</formula>
    </cfRule>
    <cfRule type="containsBlanks" dxfId="12438" priority="7468">
      <formula>LEN(TRIM(AI111))=0</formula>
    </cfRule>
  </conditionalFormatting>
  <conditionalFormatting sqref="AI111:AI112">
    <cfRule type="containsBlanks" dxfId="12437" priority="7348">
      <formula>LEN(TRIM(AI111))=0</formula>
    </cfRule>
    <cfRule type="containsBlanks" dxfId="12436" priority="7349">
      <formula>LEN(TRIM(AI111))=0</formula>
    </cfRule>
    <cfRule type="containsBlanks" dxfId="12435" priority="7350">
      <formula>LEN(TRIM(AI111))=0</formula>
    </cfRule>
    <cfRule type="containsBlanks" dxfId="12434" priority="7351">
      <formula>LEN(TRIM(AI111))=0</formula>
    </cfRule>
    <cfRule type="containsBlanks" dxfId="12433" priority="7352">
      <formula>LEN(TRIM(AI111))=0</formula>
    </cfRule>
    <cfRule type="containsBlanks" dxfId="12432" priority="7353">
      <formula>LEN(TRIM(AI111))=0</formula>
    </cfRule>
    <cfRule type="containsBlanks" dxfId="12431" priority="7354">
      <formula>LEN(TRIM(AI111))=0</formula>
    </cfRule>
    <cfRule type="containsBlanks" dxfId="12430" priority="7355">
      <formula>LEN(TRIM(AI111))=0</formula>
    </cfRule>
    <cfRule type="containsBlanks" dxfId="12429" priority="7356">
      <formula>LEN(TRIM(AI111))=0</formula>
    </cfRule>
    <cfRule type="containsBlanks" dxfId="12428" priority="7357">
      <formula>LEN(TRIM(AI111))=0</formula>
    </cfRule>
    <cfRule type="containsBlanks" dxfId="12427" priority="7358">
      <formula>LEN(TRIM(AI111))=0</formula>
    </cfRule>
    <cfRule type="containsBlanks" dxfId="12426" priority="7359">
      <formula>LEN(TRIM(AI111))=0</formula>
    </cfRule>
    <cfRule type="containsBlanks" dxfId="12425" priority="7360">
      <formula>LEN(TRIM(AI111))=0</formula>
    </cfRule>
    <cfRule type="containsBlanks" dxfId="12424" priority="7361">
      <formula>LEN(TRIM(AI111))=0</formula>
    </cfRule>
    <cfRule type="containsBlanks" dxfId="12423" priority="7362">
      <formula>LEN(TRIM(AI111))=0</formula>
    </cfRule>
    <cfRule type="containsBlanks" dxfId="12422" priority="7363">
      <formula>LEN(TRIM(AI111))=0</formula>
    </cfRule>
    <cfRule type="containsBlanks" dxfId="12421" priority="7364">
      <formula>LEN(TRIM(AI111))=0</formula>
    </cfRule>
    <cfRule type="containsBlanks" dxfId="12420" priority="7365">
      <formula>LEN(TRIM(AI111))=0</formula>
    </cfRule>
    <cfRule type="containsBlanks" dxfId="12419" priority="7366">
      <formula>LEN(TRIM(AI111))=0</formula>
    </cfRule>
    <cfRule type="containsBlanks" dxfId="12418" priority="7367">
      <formula>LEN(TRIM(AI111))=0</formula>
    </cfRule>
    <cfRule type="containsBlanks" dxfId="12417" priority="7368">
      <formula>LEN(TRIM(AI111))=0</formula>
    </cfRule>
    <cfRule type="containsBlanks" dxfId="12416" priority="7369">
      <formula>LEN(TRIM(AI111))=0</formula>
    </cfRule>
    <cfRule type="containsBlanks" dxfId="12415" priority="7370">
      <formula>LEN(TRIM(AI111))=0</formula>
    </cfRule>
    <cfRule type="containsBlanks" dxfId="12414" priority="7371">
      <formula>LEN(TRIM(AI111))=0</formula>
    </cfRule>
    <cfRule type="containsBlanks" dxfId="12413" priority="7372">
      <formula>LEN(TRIM(AI111))=0</formula>
    </cfRule>
    <cfRule type="containsBlanks" dxfId="12412" priority="7373">
      <formula>LEN(TRIM(AI111))=0</formula>
    </cfRule>
    <cfRule type="containsBlanks" dxfId="12411" priority="7374">
      <formula>LEN(TRIM(AI111))=0</formula>
    </cfRule>
    <cfRule type="containsBlanks" dxfId="12410" priority="7375">
      <formula>LEN(TRIM(AI111))=0</formula>
    </cfRule>
    <cfRule type="containsBlanks" dxfId="12409" priority="7376">
      <formula>LEN(TRIM(AI111))=0</formula>
    </cfRule>
    <cfRule type="containsBlanks" dxfId="12408" priority="7377">
      <formula>LEN(TRIM(AI111))=0</formula>
    </cfRule>
    <cfRule type="containsBlanks" dxfId="12407" priority="7378">
      <formula>LEN(TRIM(AI111))=0</formula>
    </cfRule>
    <cfRule type="containsBlanks" dxfId="12406" priority="7379">
      <formula>LEN(TRIM(AI111))=0</formula>
    </cfRule>
    <cfRule type="containsBlanks" dxfId="12405" priority="7380">
      <formula>LEN(TRIM(AI111))=0</formula>
    </cfRule>
    <cfRule type="containsBlanks" dxfId="12404" priority="7381">
      <formula>LEN(TRIM(AI111))=0</formula>
    </cfRule>
    <cfRule type="containsBlanks" dxfId="12403" priority="7382">
      <formula>LEN(TRIM(AI111))=0</formula>
    </cfRule>
    <cfRule type="containsBlanks" dxfId="12402" priority="7383">
      <formula>LEN(TRIM(AI111))=0</formula>
    </cfRule>
    <cfRule type="containsBlanks" dxfId="12401" priority="7384">
      <formula>LEN(TRIM(AI111))=0</formula>
    </cfRule>
    <cfRule type="containsBlanks" dxfId="12400" priority="7385">
      <formula>LEN(TRIM(AI111))=0</formula>
    </cfRule>
    <cfRule type="containsBlanks" dxfId="12399" priority="7386">
      <formula>LEN(TRIM(AI111))=0</formula>
    </cfRule>
    <cfRule type="containsBlanks" dxfId="12398" priority="7387">
      <formula>LEN(TRIM(AI111))=0</formula>
    </cfRule>
    <cfRule type="containsBlanks" dxfId="12397" priority="7388">
      <formula>LEN(TRIM(AI111))=0</formula>
    </cfRule>
    <cfRule type="containsBlanks" dxfId="12396" priority="7389">
      <formula>LEN(TRIM(AI111))=0</formula>
    </cfRule>
    <cfRule type="containsBlanks" dxfId="12395" priority="7390">
      <formula>LEN(TRIM(AI111))=0</formula>
    </cfRule>
    <cfRule type="containsBlanks" dxfId="12394" priority="7391">
      <formula>LEN(TRIM(AI111))=0</formula>
    </cfRule>
    <cfRule type="containsBlanks" dxfId="12393" priority="7392">
      <formula>LEN(TRIM(AI111))=0</formula>
    </cfRule>
    <cfRule type="containsBlanks" dxfId="12392" priority="7393">
      <formula>LEN(TRIM(AI111))=0</formula>
    </cfRule>
    <cfRule type="containsBlanks" dxfId="12391" priority="7394">
      <formula>LEN(TRIM(AI111))=0</formula>
    </cfRule>
    <cfRule type="containsBlanks" dxfId="12390" priority="7395">
      <formula>LEN(TRIM(AI111))=0</formula>
    </cfRule>
    <cfRule type="containsBlanks" dxfId="12389" priority="7396">
      <formula>LEN(TRIM(AI111))=0</formula>
    </cfRule>
    <cfRule type="containsBlanks" dxfId="12388" priority="7397">
      <formula>LEN(TRIM(AI111))=0</formula>
    </cfRule>
    <cfRule type="containsBlanks" dxfId="12387" priority="7398">
      <formula>LEN(TRIM(AI111))=0</formula>
    </cfRule>
    <cfRule type="containsBlanks" dxfId="12386" priority="7399">
      <formula>LEN(TRIM(AI111))=0</formula>
    </cfRule>
    <cfRule type="containsBlanks" dxfId="12385" priority="7400">
      <formula>LEN(TRIM(AI111))=0</formula>
    </cfRule>
    <cfRule type="containsBlanks" dxfId="12384" priority="7401">
      <formula>LEN(TRIM(AI111))=0</formula>
    </cfRule>
    <cfRule type="containsBlanks" dxfId="12383" priority="7402">
      <formula>LEN(TRIM(AI111))=0</formula>
    </cfRule>
  </conditionalFormatting>
  <conditionalFormatting sqref="AI111:AI112">
    <cfRule type="containsBlanks" dxfId="12382" priority="7264">
      <formula>LEN(TRIM(AI111))=0</formula>
    </cfRule>
    <cfRule type="containsBlanks" dxfId="12381" priority="7265">
      <formula>LEN(TRIM(AI111))=0</formula>
    </cfRule>
    <cfRule type="containsBlanks" dxfId="12380" priority="7266">
      <formula>LEN(TRIM(AI111))=0</formula>
    </cfRule>
    <cfRule type="containsBlanks" dxfId="12379" priority="7267">
      <formula>LEN(TRIM(AI111))=0</formula>
    </cfRule>
    <cfRule type="containsBlanks" dxfId="12378" priority="7268">
      <formula>LEN(TRIM(AI111))=0</formula>
    </cfRule>
    <cfRule type="containsBlanks" dxfId="12377" priority="7269">
      <formula>LEN(TRIM(AI111))=0</formula>
    </cfRule>
    <cfRule type="containsBlanks" dxfId="12376" priority="7270">
      <formula>LEN(TRIM(AI111))=0</formula>
    </cfRule>
    <cfRule type="containsBlanks" dxfId="12375" priority="7271">
      <formula>LEN(TRIM(AI111))=0</formula>
    </cfRule>
    <cfRule type="containsBlanks" dxfId="12374" priority="7272">
      <formula>LEN(TRIM(AI111))=0</formula>
    </cfRule>
    <cfRule type="containsBlanks" dxfId="12373" priority="7273">
      <formula>LEN(TRIM(AI111))=0</formula>
    </cfRule>
    <cfRule type="containsBlanks" dxfId="12372" priority="7274">
      <formula>LEN(TRIM(AI111))=0</formula>
    </cfRule>
    <cfRule type="containsBlanks" dxfId="12371" priority="7275">
      <formula>LEN(TRIM(AI111))=0</formula>
    </cfRule>
    <cfRule type="containsBlanks" dxfId="12370" priority="7276">
      <formula>LEN(TRIM(AI111))=0</formula>
    </cfRule>
    <cfRule type="containsBlanks" dxfId="12369" priority="7277">
      <formula>LEN(TRIM(AI111))=0</formula>
    </cfRule>
    <cfRule type="containsBlanks" dxfId="12368" priority="7278">
      <formula>LEN(TRIM(AI111))=0</formula>
    </cfRule>
    <cfRule type="containsBlanks" dxfId="12367" priority="7279">
      <formula>LEN(TRIM(AI111))=0</formula>
    </cfRule>
    <cfRule type="containsBlanks" dxfId="12366" priority="7280">
      <formula>LEN(TRIM(AI111))=0</formula>
    </cfRule>
    <cfRule type="containsBlanks" dxfId="12365" priority="7281">
      <formula>LEN(TRIM(AI111))=0</formula>
    </cfRule>
    <cfRule type="containsBlanks" dxfId="12364" priority="7282">
      <formula>LEN(TRIM(AI111))=0</formula>
    </cfRule>
    <cfRule type="containsBlanks" dxfId="12363" priority="7283">
      <formula>LEN(TRIM(AI111))=0</formula>
    </cfRule>
    <cfRule type="containsBlanks" dxfId="12362" priority="7284">
      <formula>LEN(TRIM(AI111))=0</formula>
    </cfRule>
    <cfRule type="containsBlanks" dxfId="12361" priority="7285">
      <formula>LEN(TRIM(AI111))=0</formula>
    </cfRule>
    <cfRule type="containsBlanks" dxfId="12360" priority="7286">
      <formula>LEN(TRIM(AI111))=0</formula>
    </cfRule>
    <cfRule type="containsBlanks" dxfId="12359" priority="7287">
      <formula>LEN(TRIM(AI111))=0</formula>
    </cfRule>
    <cfRule type="containsBlanks" dxfId="12358" priority="7288">
      <formula>LEN(TRIM(AI111))=0</formula>
    </cfRule>
    <cfRule type="containsBlanks" dxfId="12357" priority="7289">
      <formula>LEN(TRIM(AI111))=0</formula>
    </cfRule>
    <cfRule type="containsBlanks" dxfId="12356" priority="7290">
      <formula>LEN(TRIM(AI111))=0</formula>
    </cfRule>
    <cfRule type="containsBlanks" dxfId="12355" priority="7291">
      <formula>LEN(TRIM(AI111))=0</formula>
    </cfRule>
    <cfRule type="containsBlanks" dxfId="12354" priority="7292">
      <formula>LEN(TRIM(AI111))=0</formula>
    </cfRule>
    <cfRule type="containsBlanks" dxfId="12353" priority="7293">
      <formula>LEN(TRIM(AI111))=0</formula>
    </cfRule>
    <cfRule type="containsBlanks" dxfId="12352" priority="7294">
      <formula>LEN(TRIM(AI111))=0</formula>
    </cfRule>
    <cfRule type="containsBlanks" dxfId="12351" priority="7295">
      <formula>LEN(TRIM(AI111))=0</formula>
    </cfRule>
    <cfRule type="containsBlanks" dxfId="12350" priority="7296">
      <formula>LEN(TRIM(AI111))=0</formula>
    </cfRule>
    <cfRule type="containsBlanks" dxfId="12349" priority="7297">
      <formula>LEN(TRIM(AI111))=0</formula>
    </cfRule>
    <cfRule type="containsBlanks" dxfId="12348" priority="7298">
      <formula>LEN(TRIM(AI111))=0</formula>
    </cfRule>
    <cfRule type="containsBlanks" dxfId="12347" priority="7299">
      <formula>LEN(TRIM(AI111))=0</formula>
    </cfRule>
    <cfRule type="containsBlanks" dxfId="12346" priority="7300">
      <formula>LEN(TRIM(AI111))=0</formula>
    </cfRule>
    <cfRule type="containsBlanks" dxfId="12345" priority="7301">
      <formula>LEN(TRIM(AI111))=0</formula>
    </cfRule>
    <cfRule type="containsBlanks" dxfId="12344" priority="7302">
      <formula>LEN(TRIM(AI111))=0</formula>
    </cfRule>
    <cfRule type="containsBlanks" dxfId="12343" priority="7303">
      <formula>LEN(TRIM(AI111))=0</formula>
    </cfRule>
    <cfRule type="containsBlanks" dxfId="12342" priority="7304">
      <formula>LEN(TRIM(AI111))=0</formula>
    </cfRule>
    <cfRule type="containsBlanks" dxfId="12341" priority="7305">
      <formula>LEN(TRIM(AI111))=0</formula>
    </cfRule>
    <cfRule type="containsBlanks" dxfId="12340" priority="7306">
      <formula>LEN(TRIM(AI111))=0</formula>
    </cfRule>
    <cfRule type="containsBlanks" dxfId="12339" priority="7307">
      <formula>LEN(TRIM(AI111))=0</formula>
    </cfRule>
    <cfRule type="containsBlanks" dxfId="12338" priority="7308">
      <formula>LEN(TRIM(AI111))=0</formula>
    </cfRule>
    <cfRule type="containsBlanks" dxfId="12337" priority="7309">
      <formula>LEN(TRIM(AI111))=0</formula>
    </cfRule>
    <cfRule type="containsBlanks" dxfId="12336" priority="7310">
      <formula>LEN(TRIM(AI111))=0</formula>
    </cfRule>
    <cfRule type="containsBlanks" dxfId="12335" priority="7311">
      <formula>LEN(TRIM(AI111))=0</formula>
    </cfRule>
    <cfRule type="containsBlanks" dxfId="12334" priority="7312">
      <formula>LEN(TRIM(AI111))=0</formula>
    </cfRule>
    <cfRule type="containsBlanks" dxfId="12333" priority="7313">
      <formula>LEN(TRIM(AI111))=0</formula>
    </cfRule>
    <cfRule type="containsBlanks" dxfId="12332" priority="7314">
      <formula>LEN(TRIM(AI111))=0</formula>
    </cfRule>
    <cfRule type="containsBlanks" dxfId="12331" priority="7315">
      <formula>LEN(TRIM(AI111))=0</formula>
    </cfRule>
    <cfRule type="containsBlanks" dxfId="12330" priority="7316">
      <formula>LEN(TRIM(AI111))=0</formula>
    </cfRule>
    <cfRule type="containsBlanks" dxfId="12329" priority="7317">
      <formula>LEN(TRIM(AI111))=0</formula>
    </cfRule>
    <cfRule type="containsBlanks" dxfId="12328" priority="7318">
      <formula>LEN(TRIM(AI111))=0</formula>
    </cfRule>
    <cfRule type="containsBlanks" dxfId="12327" priority="7319">
      <formula>LEN(TRIM(AI111))=0</formula>
    </cfRule>
    <cfRule type="containsBlanks" dxfId="12326" priority="7320">
      <formula>LEN(TRIM(AI111))=0</formula>
    </cfRule>
    <cfRule type="containsBlanks" dxfId="12325" priority="7321">
      <formula>LEN(TRIM(AI111))=0</formula>
    </cfRule>
    <cfRule type="containsBlanks" dxfId="12324" priority="7322">
      <formula>LEN(TRIM(AI111))=0</formula>
    </cfRule>
    <cfRule type="containsBlanks" dxfId="12323" priority="7323">
      <formula>LEN(TRIM(AI111))=0</formula>
    </cfRule>
    <cfRule type="containsBlanks" dxfId="12322" priority="7324">
      <formula>LEN(TRIM(AI111))=0</formula>
    </cfRule>
    <cfRule type="containsBlanks" dxfId="12321" priority="7325">
      <formula>LEN(TRIM(AI111))=0</formula>
    </cfRule>
    <cfRule type="containsBlanks" dxfId="12320" priority="7326">
      <formula>LEN(TRIM(AI111))=0</formula>
    </cfRule>
    <cfRule type="containsBlanks" dxfId="12319" priority="7327">
      <formula>LEN(TRIM(AI111))=0</formula>
    </cfRule>
    <cfRule type="containsBlanks" dxfId="12318" priority="7328">
      <formula>LEN(TRIM(AI111))=0</formula>
    </cfRule>
    <cfRule type="containsBlanks" dxfId="12317" priority="7329">
      <formula>LEN(TRIM(AI111))=0</formula>
    </cfRule>
    <cfRule type="containsBlanks" dxfId="12316" priority="7330">
      <formula>LEN(TRIM(AI111))=0</formula>
    </cfRule>
    <cfRule type="containsBlanks" dxfId="12315" priority="7331">
      <formula>LEN(TRIM(AI111))=0</formula>
    </cfRule>
    <cfRule type="containsBlanks" dxfId="12314" priority="7332">
      <formula>LEN(TRIM(AI111))=0</formula>
    </cfRule>
    <cfRule type="containsBlanks" dxfId="12313" priority="7333">
      <formula>LEN(TRIM(AI111))=0</formula>
    </cfRule>
    <cfRule type="containsBlanks" dxfId="12312" priority="7334">
      <formula>LEN(TRIM(AI111))=0</formula>
    </cfRule>
    <cfRule type="containsBlanks" dxfId="12311" priority="7335">
      <formula>LEN(TRIM(AI111))=0</formula>
    </cfRule>
    <cfRule type="containsBlanks" dxfId="12310" priority="7336">
      <formula>LEN(TRIM(AI111))=0</formula>
    </cfRule>
    <cfRule type="containsBlanks" dxfId="12309" priority="7337">
      <formula>LEN(TRIM(AI111))=0</formula>
    </cfRule>
    <cfRule type="containsBlanks" dxfId="12308" priority="7338">
      <formula>LEN(TRIM(AI111))=0</formula>
    </cfRule>
    <cfRule type="containsBlanks" dxfId="12307" priority="7339">
      <formula>LEN(TRIM(AI111))=0</formula>
    </cfRule>
    <cfRule type="containsBlanks" dxfId="12306" priority="7340">
      <formula>LEN(TRIM(AI111))=0</formula>
    </cfRule>
    <cfRule type="containsBlanks" dxfId="12305" priority="7341">
      <formula>LEN(TRIM(AI111))=0</formula>
    </cfRule>
    <cfRule type="containsBlanks" dxfId="12304" priority="7342">
      <formula>LEN(TRIM(AI111))=0</formula>
    </cfRule>
    <cfRule type="containsBlanks" dxfId="12303" priority="7343">
      <formula>LEN(TRIM(AI111))=0</formula>
    </cfRule>
    <cfRule type="containsBlanks" dxfId="12302" priority="7344">
      <formula>LEN(TRIM(AI111))=0</formula>
    </cfRule>
    <cfRule type="containsBlanks" dxfId="12301" priority="7345">
      <formula>LEN(TRIM(AI111))=0</formula>
    </cfRule>
    <cfRule type="containsBlanks" dxfId="12300" priority="7346">
      <formula>LEN(TRIM(AI111))=0</formula>
    </cfRule>
    <cfRule type="containsBlanks" dxfId="12299" priority="7347">
      <formula>LEN(TRIM(AI111))=0</formula>
    </cfRule>
  </conditionalFormatting>
  <conditionalFormatting sqref="AI115">
    <cfRule type="containsBlanks" dxfId="12298" priority="7263">
      <formula>LEN(TRIM(AI115))=0</formula>
    </cfRule>
  </conditionalFormatting>
  <conditionalFormatting sqref="AI115">
    <cfRule type="containsBlanks" dxfId="12297" priority="7262">
      <formula>LEN(TRIM(AI115))=0</formula>
    </cfRule>
  </conditionalFormatting>
  <conditionalFormatting sqref="AI115">
    <cfRule type="containsBlanks" dxfId="12296" priority="7260">
      <formula>LEN(TRIM(AI115))=0</formula>
    </cfRule>
    <cfRule type="containsBlanks" dxfId="12295" priority="7261">
      <formula>LEN(TRIM(AI115))=0</formula>
    </cfRule>
  </conditionalFormatting>
  <conditionalFormatting sqref="AI115">
    <cfRule type="containsBlanks" dxfId="12294" priority="7259">
      <formula>LEN(TRIM(AI115))=0</formula>
    </cfRule>
  </conditionalFormatting>
  <conditionalFormatting sqref="AI115">
    <cfRule type="containsBlanks" dxfId="12293" priority="7258">
      <formula>LEN(TRIM(AI115))=0</formula>
    </cfRule>
  </conditionalFormatting>
  <conditionalFormatting sqref="AI115">
    <cfRule type="containsBlanks" dxfId="12292" priority="7257">
      <formula>LEN(TRIM(AI115))=0</formula>
    </cfRule>
  </conditionalFormatting>
  <conditionalFormatting sqref="AI115">
    <cfRule type="containsBlanks" dxfId="12291" priority="7255">
      <formula>LEN(TRIM(AI115))=0</formula>
    </cfRule>
    <cfRule type="containsBlanks" dxfId="12290" priority="7256">
      <formula>LEN(TRIM(AI115))=0</formula>
    </cfRule>
  </conditionalFormatting>
  <conditionalFormatting sqref="AI115">
    <cfRule type="containsBlanks" dxfId="12289" priority="7253">
      <formula>LEN(TRIM(AI115))=0</formula>
    </cfRule>
    <cfRule type="containsBlanks" dxfId="12288" priority="7254">
      <formula>LEN(TRIM(AI115))=0</formula>
    </cfRule>
  </conditionalFormatting>
  <conditionalFormatting sqref="AI115">
    <cfRule type="containsBlanks" dxfId="12287" priority="7251">
      <formula>LEN(TRIM(AI115))=0</formula>
    </cfRule>
    <cfRule type="containsBlanks" dxfId="12286" priority="7252">
      <formula>LEN(TRIM(AI115))=0</formula>
    </cfRule>
  </conditionalFormatting>
  <conditionalFormatting sqref="AI115">
    <cfRule type="containsBlanks" dxfId="12285" priority="7249">
      <formula>LEN(TRIM(AI115))=0</formula>
    </cfRule>
    <cfRule type="containsBlanks" dxfId="12284" priority="7250">
      <formula>LEN(TRIM(AI115))=0</formula>
    </cfRule>
  </conditionalFormatting>
  <conditionalFormatting sqref="AI115">
    <cfRule type="containsBlanks" dxfId="12283" priority="7183">
      <formula>LEN(TRIM(AI115))=0</formula>
    </cfRule>
    <cfRule type="containsBlanks" dxfId="12282" priority="7184">
      <formula>LEN(TRIM(AI115))=0</formula>
    </cfRule>
    <cfRule type="containsBlanks" dxfId="12281" priority="7185">
      <formula>LEN(TRIM(AI115))=0</formula>
    </cfRule>
    <cfRule type="containsBlanks" dxfId="12280" priority="7186">
      <formula>LEN(TRIM(AI115))=0</formula>
    </cfRule>
    <cfRule type="containsBlanks" dxfId="12279" priority="7187">
      <formula>LEN(TRIM(AI115))=0</formula>
    </cfRule>
    <cfRule type="containsBlanks" dxfId="12278" priority="7188">
      <formula>LEN(TRIM(AI115))=0</formula>
    </cfRule>
    <cfRule type="containsBlanks" dxfId="12277" priority="7189">
      <formula>LEN(TRIM(AI115))=0</formula>
    </cfRule>
    <cfRule type="containsBlanks" dxfId="12276" priority="7190">
      <formula>LEN(TRIM(AI115))=0</formula>
    </cfRule>
    <cfRule type="containsBlanks" dxfId="12275" priority="7191">
      <formula>LEN(TRIM(AI115))=0</formula>
    </cfRule>
    <cfRule type="containsBlanks" dxfId="12274" priority="7192">
      <formula>LEN(TRIM(AI115))=0</formula>
    </cfRule>
    <cfRule type="containsBlanks" dxfId="12273" priority="7193">
      <formula>LEN(TRIM(AI115))=0</formula>
    </cfRule>
    <cfRule type="containsBlanks" dxfId="12272" priority="7194">
      <formula>LEN(TRIM(AI115))=0</formula>
    </cfRule>
    <cfRule type="containsBlanks" dxfId="12271" priority="7195">
      <formula>LEN(TRIM(AI115))=0</formula>
    </cfRule>
    <cfRule type="containsBlanks" dxfId="12270" priority="7196">
      <formula>LEN(TRIM(AI115))=0</formula>
    </cfRule>
    <cfRule type="containsBlanks" dxfId="12269" priority="7197">
      <formula>LEN(TRIM(AI115))=0</formula>
    </cfRule>
    <cfRule type="containsBlanks" dxfId="12268" priority="7198">
      <formula>LEN(TRIM(AI115))=0</formula>
    </cfRule>
    <cfRule type="containsBlanks" dxfId="12267" priority="7199">
      <formula>LEN(TRIM(AI115))=0</formula>
    </cfRule>
    <cfRule type="containsBlanks" dxfId="12266" priority="7200">
      <formula>LEN(TRIM(AI115))=0</formula>
    </cfRule>
    <cfRule type="containsBlanks" dxfId="12265" priority="7201">
      <formula>LEN(TRIM(AI115))=0</formula>
    </cfRule>
    <cfRule type="containsBlanks" dxfId="12264" priority="7202">
      <formula>LEN(TRIM(AI115))=0</formula>
    </cfRule>
    <cfRule type="containsBlanks" dxfId="12263" priority="7203">
      <formula>LEN(TRIM(AI115))=0</formula>
    </cfRule>
    <cfRule type="containsBlanks" dxfId="12262" priority="7204">
      <formula>LEN(TRIM(AI115))=0</formula>
    </cfRule>
    <cfRule type="containsBlanks" dxfId="12261" priority="7205">
      <formula>LEN(TRIM(AI115))=0</formula>
    </cfRule>
    <cfRule type="containsBlanks" dxfId="12260" priority="7206">
      <formula>LEN(TRIM(AI115))=0</formula>
    </cfRule>
    <cfRule type="containsBlanks" dxfId="12259" priority="7207">
      <formula>LEN(TRIM(AI115))=0</formula>
    </cfRule>
    <cfRule type="containsBlanks" dxfId="12258" priority="7208">
      <formula>LEN(TRIM(AI115))=0</formula>
    </cfRule>
    <cfRule type="containsBlanks" dxfId="12257" priority="7209">
      <formula>LEN(TRIM(AI115))=0</formula>
    </cfRule>
    <cfRule type="containsBlanks" dxfId="12256" priority="7210">
      <formula>LEN(TRIM(AI115))=0</formula>
    </cfRule>
    <cfRule type="containsBlanks" dxfId="12255" priority="7211">
      <formula>LEN(TRIM(AI115))=0</formula>
    </cfRule>
    <cfRule type="containsBlanks" dxfId="12254" priority="7212">
      <formula>LEN(TRIM(AI115))=0</formula>
    </cfRule>
    <cfRule type="containsBlanks" dxfId="12253" priority="7213">
      <formula>LEN(TRIM(AI115))=0</formula>
    </cfRule>
    <cfRule type="containsBlanks" dxfId="12252" priority="7214">
      <formula>LEN(TRIM(AI115))=0</formula>
    </cfRule>
    <cfRule type="containsBlanks" dxfId="12251" priority="7215">
      <formula>LEN(TRIM(AI115))=0</formula>
    </cfRule>
    <cfRule type="containsBlanks" dxfId="12250" priority="7216">
      <formula>LEN(TRIM(AI115))=0</formula>
    </cfRule>
    <cfRule type="containsBlanks" dxfId="12249" priority="7217">
      <formula>LEN(TRIM(AI115))=0</formula>
    </cfRule>
    <cfRule type="containsBlanks" dxfId="12248" priority="7218">
      <formula>LEN(TRIM(AI115))=0</formula>
    </cfRule>
    <cfRule type="containsBlanks" dxfId="12247" priority="7219">
      <formula>LEN(TRIM(AI115))=0</formula>
    </cfRule>
    <cfRule type="containsBlanks" dxfId="12246" priority="7220">
      <formula>LEN(TRIM(AI115))=0</formula>
    </cfRule>
    <cfRule type="containsBlanks" dxfId="12245" priority="7221">
      <formula>LEN(TRIM(AI115))=0</formula>
    </cfRule>
    <cfRule type="containsBlanks" dxfId="12244" priority="7222">
      <formula>LEN(TRIM(AI115))=0</formula>
    </cfRule>
    <cfRule type="containsBlanks" dxfId="12243" priority="7223">
      <formula>LEN(TRIM(AI115))=0</formula>
    </cfRule>
    <cfRule type="containsBlanks" dxfId="12242" priority="7224">
      <formula>LEN(TRIM(AI115))=0</formula>
    </cfRule>
    <cfRule type="containsBlanks" dxfId="12241" priority="7225">
      <formula>LEN(TRIM(AI115))=0</formula>
    </cfRule>
    <cfRule type="containsBlanks" dxfId="12240" priority="7226">
      <formula>LEN(TRIM(AI115))=0</formula>
    </cfRule>
    <cfRule type="containsBlanks" dxfId="12239" priority="7227">
      <formula>LEN(TRIM(AI115))=0</formula>
    </cfRule>
    <cfRule type="containsBlanks" dxfId="12238" priority="7228">
      <formula>LEN(TRIM(AI115))=0</formula>
    </cfRule>
    <cfRule type="containsBlanks" dxfId="12237" priority="7229">
      <formula>LEN(TRIM(AI115))=0</formula>
    </cfRule>
    <cfRule type="containsBlanks" dxfId="12236" priority="7230">
      <formula>LEN(TRIM(AI115))=0</formula>
    </cfRule>
    <cfRule type="containsBlanks" dxfId="12235" priority="7231">
      <formula>LEN(TRIM(AI115))=0</formula>
    </cfRule>
    <cfRule type="containsBlanks" dxfId="12234" priority="7232">
      <formula>LEN(TRIM(AI115))=0</formula>
    </cfRule>
    <cfRule type="containsBlanks" dxfId="12233" priority="7233">
      <formula>LEN(TRIM(AI115))=0</formula>
    </cfRule>
    <cfRule type="containsBlanks" dxfId="12232" priority="7234">
      <formula>LEN(TRIM(AI115))=0</formula>
    </cfRule>
    <cfRule type="containsBlanks" dxfId="12231" priority="7235">
      <formula>LEN(TRIM(AI115))=0</formula>
    </cfRule>
    <cfRule type="containsBlanks" dxfId="12230" priority="7236">
      <formula>LEN(TRIM(AI115))=0</formula>
    </cfRule>
    <cfRule type="containsBlanks" dxfId="12229" priority="7237">
      <formula>LEN(TRIM(AI115))=0</formula>
    </cfRule>
    <cfRule type="containsBlanks" dxfId="12228" priority="7238">
      <formula>LEN(TRIM(AI115))=0</formula>
    </cfRule>
    <cfRule type="containsBlanks" dxfId="12227" priority="7239">
      <formula>LEN(TRIM(AI115))=0</formula>
    </cfRule>
    <cfRule type="containsBlanks" dxfId="12226" priority="7240">
      <formula>LEN(TRIM(AI115))=0</formula>
    </cfRule>
    <cfRule type="containsBlanks" dxfId="12225" priority="7241">
      <formula>LEN(TRIM(AI115))=0</formula>
    </cfRule>
    <cfRule type="containsBlanks" dxfId="12224" priority="7242">
      <formula>LEN(TRIM(AI115))=0</formula>
    </cfRule>
    <cfRule type="containsBlanks" dxfId="12223" priority="7243">
      <formula>LEN(TRIM(AI115))=0</formula>
    </cfRule>
    <cfRule type="containsBlanks" dxfId="12222" priority="7244">
      <formula>LEN(TRIM(AI115))=0</formula>
    </cfRule>
    <cfRule type="containsBlanks" dxfId="12221" priority="7245">
      <formula>LEN(TRIM(AI115))=0</formula>
    </cfRule>
    <cfRule type="containsBlanks" dxfId="12220" priority="7246">
      <formula>LEN(TRIM(AI115))=0</formula>
    </cfRule>
    <cfRule type="containsBlanks" dxfId="12219" priority="7247">
      <formula>LEN(TRIM(AI115))=0</formula>
    </cfRule>
    <cfRule type="containsBlanks" dxfId="12218" priority="7248">
      <formula>LEN(TRIM(AI115))=0</formula>
    </cfRule>
  </conditionalFormatting>
  <conditionalFormatting sqref="AI115">
    <cfRule type="containsBlanks" dxfId="12217" priority="7128">
      <formula>LEN(TRIM(AI115))=0</formula>
    </cfRule>
    <cfRule type="containsBlanks" dxfId="12216" priority="7129">
      <formula>LEN(TRIM(AI115))=0</formula>
    </cfRule>
    <cfRule type="containsBlanks" dxfId="12215" priority="7130">
      <formula>LEN(TRIM(AI115))=0</formula>
    </cfRule>
    <cfRule type="containsBlanks" dxfId="12214" priority="7131">
      <formula>LEN(TRIM(AI115))=0</formula>
    </cfRule>
    <cfRule type="containsBlanks" dxfId="12213" priority="7132">
      <formula>LEN(TRIM(AI115))=0</formula>
    </cfRule>
    <cfRule type="containsBlanks" dxfId="12212" priority="7133">
      <formula>LEN(TRIM(AI115))=0</formula>
    </cfRule>
    <cfRule type="containsBlanks" dxfId="12211" priority="7134">
      <formula>LEN(TRIM(AI115))=0</formula>
    </cfRule>
    <cfRule type="containsBlanks" dxfId="12210" priority="7135">
      <formula>LEN(TRIM(AI115))=0</formula>
    </cfRule>
    <cfRule type="containsBlanks" dxfId="12209" priority="7136">
      <formula>LEN(TRIM(AI115))=0</formula>
    </cfRule>
    <cfRule type="containsBlanks" dxfId="12208" priority="7137">
      <formula>LEN(TRIM(AI115))=0</formula>
    </cfRule>
    <cfRule type="containsBlanks" dxfId="12207" priority="7138">
      <formula>LEN(TRIM(AI115))=0</formula>
    </cfRule>
    <cfRule type="containsBlanks" dxfId="12206" priority="7139">
      <formula>LEN(TRIM(AI115))=0</formula>
    </cfRule>
    <cfRule type="containsBlanks" dxfId="12205" priority="7140">
      <formula>LEN(TRIM(AI115))=0</formula>
    </cfRule>
    <cfRule type="containsBlanks" dxfId="12204" priority="7141">
      <formula>LEN(TRIM(AI115))=0</formula>
    </cfRule>
    <cfRule type="containsBlanks" dxfId="12203" priority="7142">
      <formula>LEN(TRIM(AI115))=0</formula>
    </cfRule>
    <cfRule type="containsBlanks" dxfId="12202" priority="7143">
      <formula>LEN(TRIM(AI115))=0</formula>
    </cfRule>
    <cfRule type="containsBlanks" dxfId="12201" priority="7144">
      <formula>LEN(TRIM(AI115))=0</formula>
    </cfRule>
    <cfRule type="containsBlanks" dxfId="12200" priority="7145">
      <formula>LEN(TRIM(AI115))=0</formula>
    </cfRule>
    <cfRule type="containsBlanks" dxfId="12199" priority="7146">
      <formula>LEN(TRIM(AI115))=0</formula>
    </cfRule>
    <cfRule type="containsBlanks" dxfId="12198" priority="7147">
      <formula>LEN(TRIM(AI115))=0</formula>
    </cfRule>
    <cfRule type="containsBlanks" dxfId="12197" priority="7148">
      <formula>LEN(TRIM(AI115))=0</formula>
    </cfRule>
    <cfRule type="containsBlanks" dxfId="12196" priority="7149">
      <formula>LEN(TRIM(AI115))=0</formula>
    </cfRule>
    <cfRule type="containsBlanks" dxfId="12195" priority="7150">
      <formula>LEN(TRIM(AI115))=0</formula>
    </cfRule>
    <cfRule type="containsBlanks" dxfId="12194" priority="7151">
      <formula>LEN(TRIM(AI115))=0</formula>
    </cfRule>
    <cfRule type="containsBlanks" dxfId="12193" priority="7152">
      <formula>LEN(TRIM(AI115))=0</formula>
    </cfRule>
    <cfRule type="containsBlanks" dxfId="12192" priority="7153">
      <formula>LEN(TRIM(AI115))=0</formula>
    </cfRule>
    <cfRule type="containsBlanks" dxfId="12191" priority="7154">
      <formula>LEN(TRIM(AI115))=0</formula>
    </cfRule>
    <cfRule type="containsBlanks" dxfId="12190" priority="7155">
      <formula>LEN(TRIM(AI115))=0</formula>
    </cfRule>
    <cfRule type="containsBlanks" dxfId="12189" priority="7156">
      <formula>LEN(TRIM(AI115))=0</formula>
    </cfRule>
    <cfRule type="containsBlanks" dxfId="12188" priority="7157">
      <formula>LEN(TRIM(AI115))=0</formula>
    </cfRule>
    <cfRule type="containsBlanks" dxfId="12187" priority="7158">
      <formula>LEN(TRIM(AI115))=0</formula>
    </cfRule>
    <cfRule type="containsBlanks" dxfId="12186" priority="7159">
      <formula>LEN(TRIM(AI115))=0</formula>
    </cfRule>
    <cfRule type="containsBlanks" dxfId="12185" priority="7160">
      <formula>LEN(TRIM(AI115))=0</formula>
    </cfRule>
    <cfRule type="containsBlanks" dxfId="12184" priority="7161">
      <formula>LEN(TRIM(AI115))=0</formula>
    </cfRule>
    <cfRule type="containsBlanks" dxfId="12183" priority="7162">
      <formula>LEN(TRIM(AI115))=0</formula>
    </cfRule>
    <cfRule type="containsBlanks" dxfId="12182" priority="7163">
      <formula>LEN(TRIM(AI115))=0</formula>
    </cfRule>
    <cfRule type="containsBlanks" dxfId="12181" priority="7164">
      <formula>LEN(TRIM(AI115))=0</formula>
    </cfRule>
    <cfRule type="containsBlanks" dxfId="12180" priority="7165">
      <formula>LEN(TRIM(AI115))=0</formula>
    </cfRule>
    <cfRule type="containsBlanks" dxfId="12179" priority="7166">
      <formula>LEN(TRIM(AI115))=0</formula>
    </cfRule>
    <cfRule type="containsBlanks" dxfId="12178" priority="7167">
      <formula>LEN(TRIM(AI115))=0</formula>
    </cfRule>
    <cfRule type="containsBlanks" dxfId="12177" priority="7168">
      <formula>LEN(TRIM(AI115))=0</formula>
    </cfRule>
    <cfRule type="containsBlanks" dxfId="12176" priority="7169">
      <formula>LEN(TRIM(AI115))=0</formula>
    </cfRule>
    <cfRule type="containsBlanks" dxfId="12175" priority="7170">
      <formula>LEN(TRIM(AI115))=0</formula>
    </cfRule>
    <cfRule type="containsBlanks" dxfId="12174" priority="7171">
      <formula>LEN(TRIM(AI115))=0</formula>
    </cfRule>
    <cfRule type="containsBlanks" dxfId="12173" priority="7172">
      <formula>LEN(TRIM(AI115))=0</formula>
    </cfRule>
    <cfRule type="containsBlanks" dxfId="12172" priority="7173">
      <formula>LEN(TRIM(AI115))=0</formula>
    </cfRule>
    <cfRule type="containsBlanks" dxfId="12171" priority="7174">
      <formula>LEN(TRIM(AI115))=0</formula>
    </cfRule>
    <cfRule type="containsBlanks" dxfId="12170" priority="7175">
      <formula>LEN(TRIM(AI115))=0</formula>
    </cfRule>
    <cfRule type="containsBlanks" dxfId="12169" priority="7176">
      <formula>LEN(TRIM(AI115))=0</formula>
    </cfRule>
    <cfRule type="containsBlanks" dxfId="12168" priority="7177">
      <formula>LEN(TRIM(AI115))=0</formula>
    </cfRule>
    <cfRule type="containsBlanks" dxfId="12167" priority="7178">
      <formula>LEN(TRIM(AI115))=0</formula>
    </cfRule>
    <cfRule type="containsBlanks" dxfId="12166" priority="7179">
      <formula>LEN(TRIM(AI115))=0</formula>
    </cfRule>
    <cfRule type="containsBlanks" dxfId="12165" priority="7180">
      <formula>LEN(TRIM(AI115))=0</formula>
    </cfRule>
    <cfRule type="containsBlanks" dxfId="12164" priority="7181">
      <formula>LEN(TRIM(AI115))=0</formula>
    </cfRule>
    <cfRule type="containsBlanks" dxfId="12163" priority="7182">
      <formula>LEN(TRIM(AI115))=0</formula>
    </cfRule>
  </conditionalFormatting>
  <conditionalFormatting sqref="AI115">
    <cfRule type="containsBlanks" dxfId="12162" priority="7044">
      <formula>LEN(TRIM(AI115))=0</formula>
    </cfRule>
    <cfRule type="containsBlanks" dxfId="12161" priority="7045">
      <formula>LEN(TRIM(AI115))=0</formula>
    </cfRule>
    <cfRule type="containsBlanks" dxfId="12160" priority="7046">
      <formula>LEN(TRIM(AI115))=0</formula>
    </cfRule>
    <cfRule type="containsBlanks" dxfId="12159" priority="7047">
      <formula>LEN(TRIM(AI115))=0</formula>
    </cfRule>
    <cfRule type="containsBlanks" dxfId="12158" priority="7048">
      <formula>LEN(TRIM(AI115))=0</formula>
    </cfRule>
    <cfRule type="containsBlanks" dxfId="12157" priority="7049">
      <formula>LEN(TRIM(AI115))=0</formula>
    </cfRule>
    <cfRule type="containsBlanks" dxfId="12156" priority="7050">
      <formula>LEN(TRIM(AI115))=0</formula>
    </cfRule>
    <cfRule type="containsBlanks" dxfId="12155" priority="7051">
      <formula>LEN(TRIM(AI115))=0</formula>
    </cfRule>
    <cfRule type="containsBlanks" dxfId="12154" priority="7052">
      <formula>LEN(TRIM(AI115))=0</formula>
    </cfRule>
    <cfRule type="containsBlanks" dxfId="12153" priority="7053">
      <formula>LEN(TRIM(AI115))=0</formula>
    </cfRule>
    <cfRule type="containsBlanks" dxfId="12152" priority="7054">
      <formula>LEN(TRIM(AI115))=0</formula>
    </cfRule>
    <cfRule type="containsBlanks" dxfId="12151" priority="7055">
      <formula>LEN(TRIM(AI115))=0</formula>
    </cfRule>
    <cfRule type="containsBlanks" dxfId="12150" priority="7056">
      <formula>LEN(TRIM(AI115))=0</formula>
    </cfRule>
    <cfRule type="containsBlanks" dxfId="12149" priority="7057">
      <formula>LEN(TRIM(AI115))=0</formula>
    </cfRule>
    <cfRule type="containsBlanks" dxfId="12148" priority="7058">
      <formula>LEN(TRIM(AI115))=0</formula>
    </cfRule>
    <cfRule type="containsBlanks" dxfId="12147" priority="7059">
      <formula>LEN(TRIM(AI115))=0</formula>
    </cfRule>
    <cfRule type="containsBlanks" dxfId="12146" priority="7060">
      <formula>LEN(TRIM(AI115))=0</formula>
    </cfRule>
    <cfRule type="containsBlanks" dxfId="12145" priority="7061">
      <formula>LEN(TRIM(AI115))=0</formula>
    </cfRule>
    <cfRule type="containsBlanks" dxfId="12144" priority="7062">
      <formula>LEN(TRIM(AI115))=0</formula>
    </cfRule>
    <cfRule type="containsBlanks" dxfId="12143" priority="7063">
      <formula>LEN(TRIM(AI115))=0</formula>
    </cfRule>
    <cfRule type="containsBlanks" dxfId="12142" priority="7064">
      <formula>LEN(TRIM(AI115))=0</formula>
    </cfRule>
    <cfRule type="containsBlanks" dxfId="12141" priority="7065">
      <formula>LEN(TRIM(AI115))=0</formula>
    </cfRule>
    <cfRule type="containsBlanks" dxfId="12140" priority="7066">
      <formula>LEN(TRIM(AI115))=0</formula>
    </cfRule>
    <cfRule type="containsBlanks" dxfId="12139" priority="7067">
      <formula>LEN(TRIM(AI115))=0</formula>
    </cfRule>
    <cfRule type="containsBlanks" dxfId="12138" priority="7068">
      <formula>LEN(TRIM(AI115))=0</formula>
    </cfRule>
    <cfRule type="containsBlanks" dxfId="12137" priority="7069">
      <formula>LEN(TRIM(AI115))=0</formula>
    </cfRule>
    <cfRule type="containsBlanks" dxfId="12136" priority="7070">
      <formula>LEN(TRIM(AI115))=0</formula>
    </cfRule>
    <cfRule type="containsBlanks" dxfId="12135" priority="7071">
      <formula>LEN(TRIM(AI115))=0</formula>
    </cfRule>
    <cfRule type="containsBlanks" dxfId="12134" priority="7072">
      <formula>LEN(TRIM(AI115))=0</formula>
    </cfRule>
    <cfRule type="containsBlanks" dxfId="12133" priority="7073">
      <formula>LEN(TRIM(AI115))=0</formula>
    </cfRule>
    <cfRule type="containsBlanks" dxfId="12132" priority="7074">
      <formula>LEN(TRIM(AI115))=0</formula>
    </cfRule>
    <cfRule type="containsBlanks" dxfId="12131" priority="7075">
      <formula>LEN(TRIM(AI115))=0</formula>
    </cfRule>
    <cfRule type="containsBlanks" dxfId="12130" priority="7076">
      <formula>LEN(TRIM(AI115))=0</formula>
    </cfRule>
    <cfRule type="containsBlanks" dxfId="12129" priority="7077">
      <formula>LEN(TRIM(AI115))=0</formula>
    </cfRule>
    <cfRule type="containsBlanks" dxfId="12128" priority="7078">
      <formula>LEN(TRIM(AI115))=0</formula>
    </cfRule>
    <cfRule type="containsBlanks" dxfId="12127" priority="7079">
      <formula>LEN(TRIM(AI115))=0</formula>
    </cfRule>
    <cfRule type="containsBlanks" dxfId="12126" priority="7080">
      <formula>LEN(TRIM(AI115))=0</formula>
    </cfRule>
    <cfRule type="containsBlanks" dxfId="12125" priority="7081">
      <formula>LEN(TRIM(AI115))=0</formula>
    </cfRule>
    <cfRule type="containsBlanks" dxfId="12124" priority="7082">
      <formula>LEN(TRIM(AI115))=0</formula>
    </cfRule>
    <cfRule type="containsBlanks" dxfId="12123" priority="7083">
      <formula>LEN(TRIM(AI115))=0</formula>
    </cfRule>
    <cfRule type="containsBlanks" dxfId="12122" priority="7084">
      <formula>LEN(TRIM(AI115))=0</formula>
    </cfRule>
    <cfRule type="containsBlanks" dxfId="12121" priority="7085">
      <formula>LEN(TRIM(AI115))=0</formula>
    </cfRule>
    <cfRule type="containsBlanks" dxfId="12120" priority="7086">
      <formula>LEN(TRIM(AI115))=0</formula>
    </cfRule>
    <cfRule type="containsBlanks" dxfId="12119" priority="7087">
      <formula>LEN(TRIM(AI115))=0</formula>
    </cfRule>
    <cfRule type="containsBlanks" dxfId="12118" priority="7088">
      <formula>LEN(TRIM(AI115))=0</formula>
    </cfRule>
    <cfRule type="containsBlanks" dxfId="12117" priority="7089">
      <formula>LEN(TRIM(AI115))=0</formula>
    </cfRule>
    <cfRule type="containsBlanks" dxfId="12116" priority="7090">
      <formula>LEN(TRIM(AI115))=0</formula>
    </cfRule>
    <cfRule type="containsBlanks" dxfId="12115" priority="7091">
      <formula>LEN(TRIM(AI115))=0</formula>
    </cfRule>
    <cfRule type="containsBlanks" dxfId="12114" priority="7092">
      <formula>LEN(TRIM(AI115))=0</formula>
    </cfRule>
    <cfRule type="containsBlanks" dxfId="12113" priority="7093">
      <formula>LEN(TRIM(AI115))=0</formula>
    </cfRule>
    <cfRule type="containsBlanks" dxfId="12112" priority="7094">
      <formula>LEN(TRIM(AI115))=0</formula>
    </cfRule>
    <cfRule type="containsBlanks" dxfId="12111" priority="7095">
      <formula>LEN(TRIM(AI115))=0</formula>
    </cfRule>
    <cfRule type="containsBlanks" dxfId="12110" priority="7096">
      <formula>LEN(TRIM(AI115))=0</formula>
    </cfRule>
    <cfRule type="containsBlanks" dxfId="12109" priority="7097">
      <formula>LEN(TRIM(AI115))=0</formula>
    </cfRule>
    <cfRule type="containsBlanks" dxfId="12108" priority="7098">
      <formula>LEN(TRIM(AI115))=0</formula>
    </cfRule>
    <cfRule type="containsBlanks" dxfId="12107" priority="7099">
      <formula>LEN(TRIM(AI115))=0</formula>
    </cfRule>
    <cfRule type="containsBlanks" dxfId="12106" priority="7100">
      <formula>LEN(TRIM(AI115))=0</formula>
    </cfRule>
    <cfRule type="containsBlanks" dxfId="12105" priority="7101">
      <formula>LEN(TRIM(AI115))=0</formula>
    </cfRule>
    <cfRule type="containsBlanks" dxfId="12104" priority="7102">
      <formula>LEN(TRIM(AI115))=0</formula>
    </cfRule>
    <cfRule type="containsBlanks" dxfId="12103" priority="7103">
      <formula>LEN(TRIM(AI115))=0</formula>
    </cfRule>
    <cfRule type="containsBlanks" dxfId="12102" priority="7104">
      <formula>LEN(TRIM(AI115))=0</formula>
    </cfRule>
    <cfRule type="containsBlanks" dxfId="12101" priority="7105">
      <formula>LEN(TRIM(AI115))=0</formula>
    </cfRule>
    <cfRule type="containsBlanks" dxfId="12100" priority="7106">
      <formula>LEN(TRIM(AI115))=0</formula>
    </cfRule>
    <cfRule type="containsBlanks" dxfId="12099" priority="7107">
      <formula>LEN(TRIM(AI115))=0</formula>
    </cfRule>
    <cfRule type="containsBlanks" dxfId="12098" priority="7108">
      <formula>LEN(TRIM(AI115))=0</formula>
    </cfRule>
    <cfRule type="containsBlanks" dxfId="12097" priority="7109">
      <formula>LEN(TRIM(AI115))=0</formula>
    </cfRule>
    <cfRule type="containsBlanks" dxfId="12096" priority="7110">
      <formula>LEN(TRIM(AI115))=0</formula>
    </cfRule>
    <cfRule type="containsBlanks" dxfId="12095" priority="7111">
      <formula>LEN(TRIM(AI115))=0</formula>
    </cfRule>
    <cfRule type="containsBlanks" dxfId="12094" priority="7112">
      <formula>LEN(TRIM(AI115))=0</formula>
    </cfRule>
    <cfRule type="containsBlanks" dxfId="12093" priority="7113">
      <formula>LEN(TRIM(AI115))=0</formula>
    </cfRule>
    <cfRule type="containsBlanks" dxfId="12092" priority="7114">
      <formula>LEN(TRIM(AI115))=0</formula>
    </cfRule>
    <cfRule type="containsBlanks" dxfId="12091" priority="7115">
      <formula>LEN(TRIM(AI115))=0</formula>
    </cfRule>
    <cfRule type="containsBlanks" dxfId="12090" priority="7116">
      <formula>LEN(TRIM(AI115))=0</formula>
    </cfRule>
    <cfRule type="containsBlanks" dxfId="12089" priority="7117">
      <formula>LEN(TRIM(AI115))=0</formula>
    </cfRule>
    <cfRule type="containsBlanks" dxfId="12088" priority="7118">
      <formula>LEN(TRIM(AI115))=0</formula>
    </cfRule>
    <cfRule type="containsBlanks" dxfId="12087" priority="7119">
      <formula>LEN(TRIM(AI115))=0</formula>
    </cfRule>
    <cfRule type="containsBlanks" dxfId="12086" priority="7120">
      <formula>LEN(TRIM(AI115))=0</formula>
    </cfRule>
    <cfRule type="containsBlanks" dxfId="12085" priority="7121">
      <formula>LEN(TRIM(AI115))=0</formula>
    </cfRule>
    <cfRule type="containsBlanks" dxfId="12084" priority="7122">
      <formula>LEN(TRIM(AI115))=0</formula>
    </cfRule>
    <cfRule type="containsBlanks" dxfId="12083" priority="7123">
      <formula>LEN(TRIM(AI115))=0</formula>
    </cfRule>
    <cfRule type="containsBlanks" dxfId="12082" priority="7124">
      <formula>LEN(TRIM(AI115))=0</formula>
    </cfRule>
    <cfRule type="containsBlanks" dxfId="12081" priority="7125">
      <formula>LEN(TRIM(AI115))=0</formula>
    </cfRule>
    <cfRule type="containsBlanks" dxfId="12080" priority="7126">
      <formula>LEN(TRIM(AI115))=0</formula>
    </cfRule>
    <cfRule type="containsBlanks" dxfId="12079" priority="7127">
      <formula>LEN(TRIM(AI115))=0</formula>
    </cfRule>
  </conditionalFormatting>
  <conditionalFormatting sqref="AI117">
    <cfRule type="containsBlanks" dxfId="12078" priority="7043">
      <formula>LEN(TRIM(AI117))=0</formula>
    </cfRule>
  </conditionalFormatting>
  <conditionalFormatting sqref="AI117">
    <cfRule type="containsBlanks" dxfId="12077" priority="7042">
      <formula>LEN(TRIM(AI117))=0</formula>
    </cfRule>
  </conditionalFormatting>
  <conditionalFormatting sqref="AI117">
    <cfRule type="containsBlanks" dxfId="12076" priority="7040">
      <formula>LEN(TRIM(AI117))=0</formula>
    </cfRule>
    <cfRule type="containsBlanks" dxfId="12075" priority="7041">
      <formula>LEN(TRIM(AI117))=0</formula>
    </cfRule>
  </conditionalFormatting>
  <conditionalFormatting sqref="AI117">
    <cfRule type="containsBlanks" dxfId="12074" priority="7039">
      <formula>LEN(TRIM(AI117))=0</formula>
    </cfRule>
  </conditionalFormatting>
  <conditionalFormatting sqref="AI117">
    <cfRule type="containsBlanks" dxfId="12073" priority="7038">
      <formula>LEN(TRIM(AI117))=0</formula>
    </cfRule>
  </conditionalFormatting>
  <conditionalFormatting sqref="AI117">
    <cfRule type="containsBlanks" dxfId="12072" priority="7037">
      <formula>LEN(TRIM(AI117))=0</formula>
    </cfRule>
  </conditionalFormatting>
  <conditionalFormatting sqref="AI117">
    <cfRule type="containsBlanks" dxfId="12071" priority="7035">
      <formula>LEN(TRIM(AI117))=0</formula>
    </cfRule>
    <cfRule type="containsBlanks" dxfId="12070" priority="7036">
      <formula>LEN(TRIM(AI117))=0</formula>
    </cfRule>
  </conditionalFormatting>
  <conditionalFormatting sqref="AI117">
    <cfRule type="containsBlanks" dxfId="12069" priority="7033">
      <formula>LEN(TRIM(AI117))=0</formula>
    </cfRule>
    <cfRule type="containsBlanks" dxfId="12068" priority="7034">
      <formula>LEN(TRIM(AI117))=0</formula>
    </cfRule>
  </conditionalFormatting>
  <conditionalFormatting sqref="AI117">
    <cfRule type="containsBlanks" dxfId="12067" priority="7031">
      <formula>LEN(TRIM(AI117))=0</formula>
    </cfRule>
    <cfRule type="containsBlanks" dxfId="12066" priority="7032">
      <formula>LEN(TRIM(AI117))=0</formula>
    </cfRule>
  </conditionalFormatting>
  <conditionalFormatting sqref="AI117">
    <cfRule type="containsBlanks" dxfId="12065" priority="7029">
      <formula>LEN(TRIM(AI117))=0</formula>
    </cfRule>
    <cfRule type="containsBlanks" dxfId="12064" priority="7030">
      <formula>LEN(TRIM(AI117))=0</formula>
    </cfRule>
  </conditionalFormatting>
  <conditionalFormatting sqref="AI117">
    <cfRule type="containsBlanks" dxfId="12063" priority="6963">
      <formula>LEN(TRIM(AI117))=0</formula>
    </cfRule>
    <cfRule type="containsBlanks" dxfId="12062" priority="6964">
      <formula>LEN(TRIM(AI117))=0</formula>
    </cfRule>
    <cfRule type="containsBlanks" dxfId="12061" priority="6965">
      <formula>LEN(TRIM(AI117))=0</formula>
    </cfRule>
    <cfRule type="containsBlanks" dxfId="12060" priority="6966">
      <formula>LEN(TRIM(AI117))=0</formula>
    </cfRule>
    <cfRule type="containsBlanks" dxfId="12059" priority="6967">
      <formula>LEN(TRIM(AI117))=0</formula>
    </cfRule>
    <cfRule type="containsBlanks" dxfId="12058" priority="6968">
      <formula>LEN(TRIM(AI117))=0</formula>
    </cfRule>
    <cfRule type="containsBlanks" dxfId="12057" priority="6969">
      <formula>LEN(TRIM(AI117))=0</formula>
    </cfRule>
    <cfRule type="containsBlanks" dxfId="12056" priority="6970">
      <formula>LEN(TRIM(AI117))=0</formula>
    </cfRule>
    <cfRule type="containsBlanks" dxfId="12055" priority="6971">
      <formula>LEN(TRIM(AI117))=0</formula>
    </cfRule>
    <cfRule type="containsBlanks" dxfId="12054" priority="6972">
      <formula>LEN(TRIM(AI117))=0</formula>
    </cfRule>
    <cfRule type="containsBlanks" dxfId="12053" priority="6973">
      <formula>LEN(TRIM(AI117))=0</formula>
    </cfRule>
    <cfRule type="containsBlanks" dxfId="12052" priority="6974">
      <formula>LEN(TRIM(AI117))=0</formula>
    </cfRule>
    <cfRule type="containsBlanks" dxfId="12051" priority="6975">
      <formula>LEN(TRIM(AI117))=0</formula>
    </cfRule>
    <cfRule type="containsBlanks" dxfId="12050" priority="6976">
      <formula>LEN(TRIM(AI117))=0</formula>
    </cfRule>
    <cfRule type="containsBlanks" dxfId="12049" priority="6977">
      <formula>LEN(TRIM(AI117))=0</formula>
    </cfRule>
    <cfRule type="containsBlanks" dxfId="12048" priority="6978">
      <formula>LEN(TRIM(AI117))=0</formula>
    </cfRule>
    <cfRule type="containsBlanks" dxfId="12047" priority="6979">
      <formula>LEN(TRIM(AI117))=0</formula>
    </cfRule>
    <cfRule type="containsBlanks" dxfId="12046" priority="6980">
      <formula>LEN(TRIM(AI117))=0</formula>
    </cfRule>
    <cfRule type="containsBlanks" dxfId="12045" priority="6981">
      <formula>LEN(TRIM(AI117))=0</formula>
    </cfRule>
    <cfRule type="containsBlanks" dxfId="12044" priority="6982">
      <formula>LEN(TRIM(AI117))=0</formula>
    </cfRule>
    <cfRule type="containsBlanks" dxfId="12043" priority="6983">
      <formula>LEN(TRIM(AI117))=0</formula>
    </cfRule>
    <cfRule type="containsBlanks" dxfId="12042" priority="6984">
      <formula>LEN(TRIM(AI117))=0</formula>
    </cfRule>
    <cfRule type="containsBlanks" dxfId="12041" priority="6985">
      <formula>LEN(TRIM(AI117))=0</formula>
    </cfRule>
    <cfRule type="containsBlanks" dxfId="12040" priority="6986">
      <formula>LEN(TRIM(AI117))=0</formula>
    </cfRule>
    <cfRule type="containsBlanks" dxfId="12039" priority="6987">
      <formula>LEN(TRIM(AI117))=0</formula>
    </cfRule>
    <cfRule type="containsBlanks" dxfId="12038" priority="6988">
      <formula>LEN(TRIM(AI117))=0</formula>
    </cfRule>
    <cfRule type="containsBlanks" dxfId="12037" priority="6989">
      <formula>LEN(TRIM(AI117))=0</formula>
    </cfRule>
    <cfRule type="containsBlanks" dxfId="12036" priority="6990">
      <formula>LEN(TRIM(AI117))=0</formula>
    </cfRule>
    <cfRule type="containsBlanks" dxfId="12035" priority="6991">
      <formula>LEN(TRIM(AI117))=0</formula>
    </cfRule>
    <cfRule type="containsBlanks" dxfId="12034" priority="6992">
      <formula>LEN(TRIM(AI117))=0</formula>
    </cfRule>
    <cfRule type="containsBlanks" dxfId="12033" priority="6993">
      <formula>LEN(TRIM(AI117))=0</formula>
    </cfRule>
    <cfRule type="containsBlanks" dxfId="12032" priority="6994">
      <formula>LEN(TRIM(AI117))=0</formula>
    </cfRule>
    <cfRule type="containsBlanks" dxfId="12031" priority="6995">
      <formula>LEN(TRIM(AI117))=0</formula>
    </cfRule>
    <cfRule type="containsBlanks" dxfId="12030" priority="6996">
      <formula>LEN(TRIM(AI117))=0</formula>
    </cfRule>
    <cfRule type="containsBlanks" dxfId="12029" priority="6997">
      <formula>LEN(TRIM(AI117))=0</formula>
    </cfRule>
    <cfRule type="containsBlanks" dxfId="12028" priority="6998">
      <formula>LEN(TRIM(AI117))=0</formula>
    </cfRule>
    <cfRule type="containsBlanks" dxfId="12027" priority="6999">
      <formula>LEN(TRIM(AI117))=0</formula>
    </cfRule>
    <cfRule type="containsBlanks" dxfId="12026" priority="7000">
      <formula>LEN(TRIM(AI117))=0</formula>
    </cfRule>
    <cfRule type="containsBlanks" dxfId="12025" priority="7001">
      <formula>LEN(TRIM(AI117))=0</formula>
    </cfRule>
    <cfRule type="containsBlanks" dxfId="12024" priority="7002">
      <formula>LEN(TRIM(AI117))=0</formula>
    </cfRule>
    <cfRule type="containsBlanks" dxfId="12023" priority="7003">
      <formula>LEN(TRIM(AI117))=0</formula>
    </cfRule>
    <cfRule type="containsBlanks" dxfId="12022" priority="7004">
      <formula>LEN(TRIM(AI117))=0</formula>
    </cfRule>
    <cfRule type="containsBlanks" dxfId="12021" priority="7005">
      <formula>LEN(TRIM(AI117))=0</formula>
    </cfRule>
    <cfRule type="containsBlanks" dxfId="12020" priority="7006">
      <formula>LEN(TRIM(AI117))=0</formula>
    </cfRule>
    <cfRule type="containsBlanks" dxfId="12019" priority="7007">
      <formula>LEN(TRIM(AI117))=0</formula>
    </cfRule>
    <cfRule type="containsBlanks" dxfId="12018" priority="7008">
      <formula>LEN(TRIM(AI117))=0</formula>
    </cfRule>
    <cfRule type="containsBlanks" dxfId="12017" priority="7009">
      <formula>LEN(TRIM(AI117))=0</formula>
    </cfRule>
    <cfRule type="containsBlanks" dxfId="12016" priority="7010">
      <formula>LEN(TRIM(AI117))=0</formula>
    </cfRule>
    <cfRule type="containsBlanks" dxfId="12015" priority="7011">
      <formula>LEN(TRIM(AI117))=0</formula>
    </cfRule>
    <cfRule type="containsBlanks" dxfId="12014" priority="7012">
      <formula>LEN(TRIM(AI117))=0</formula>
    </cfRule>
    <cfRule type="containsBlanks" dxfId="12013" priority="7013">
      <formula>LEN(TRIM(AI117))=0</formula>
    </cfRule>
    <cfRule type="containsBlanks" dxfId="12012" priority="7014">
      <formula>LEN(TRIM(AI117))=0</formula>
    </cfRule>
    <cfRule type="containsBlanks" dxfId="12011" priority="7015">
      <formula>LEN(TRIM(AI117))=0</formula>
    </cfRule>
    <cfRule type="containsBlanks" dxfId="12010" priority="7016">
      <formula>LEN(TRIM(AI117))=0</formula>
    </cfRule>
    <cfRule type="containsBlanks" dxfId="12009" priority="7017">
      <formula>LEN(TRIM(AI117))=0</formula>
    </cfRule>
    <cfRule type="containsBlanks" dxfId="12008" priority="7018">
      <formula>LEN(TRIM(AI117))=0</formula>
    </cfRule>
    <cfRule type="containsBlanks" dxfId="12007" priority="7019">
      <formula>LEN(TRIM(AI117))=0</formula>
    </cfRule>
    <cfRule type="containsBlanks" dxfId="12006" priority="7020">
      <formula>LEN(TRIM(AI117))=0</formula>
    </cfRule>
    <cfRule type="containsBlanks" dxfId="12005" priority="7021">
      <formula>LEN(TRIM(AI117))=0</formula>
    </cfRule>
    <cfRule type="containsBlanks" dxfId="12004" priority="7022">
      <formula>LEN(TRIM(AI117))=0</formula>
    </cfRule>
    <cfRule type="containsBlanks" dxfId="12003" priority="7023">
      <formula>LEN(TRIM(AI117))=0</formula>
    </cfRule>
    <cfRule type="containsBlanks" dxfId="12002" priority="7024">
      <formula>LEN(TRIM(AI117))=0</formula>
    </cfRule>
    <cfRule type="containsBlanks" dxfId="12001" priority="7025">
      <formula>LEN(TRIM(AI117))=0</formula>
    </cfRule>
    <cfRule type="containsBlanks" dxfId="12000" priority="7026">
      <formula>LEN(TRIM(AI117))=0</formula>
    </cfRule>
    <cfRule type="containsBlanks" dxfId="11999" priority="7027">
      <formula>LEN(TRIM(AI117))=0</formula>
    </cfRule>
    <cfRule type="containsBlanks" dxfId="11998" priority="7028">
      <formula>LEN(TRIM(AI117))=0</formula>
    </cfRule>
  </conditionalFormatting>
  <conditionalFormatting sqref="AI117">
    <cfRule type="containsBlanks" dxfId="11997" priority="6908">
      <formula>LEN(TRIM(AI117))=0</formula>
    </cfRule>
    <cfRule type="containsBlanks" dxfId="11996" priority="6909">
      <formula>LEN(TRIM(AI117))=0</formula>
    </cfRule>
    <cfRule type="containsBlanks" dxfId="11995" priority="6910">
      <formula>LEN(TRIM(AI117))=0</formula>
    </cfRule>
    <cfRule type="containsBlanks" dxfId="11994" priority="6911">
      <formula>LEN(TRIM(AI117))=0</formula>
    </cfRule>
    <cfRule type="containsBlanks" dxfId="11993" priority="6912">
      <formula>LEN(TRIM(AI117))=0</formula>
    </cfRule>
    <cfRule type="containsBlanks" dxfId="11992" priority="6913">
      <formula>LEN(TRIM(AI117))=0</formula>
    </cfRule>
    <cfRule type="containsBlanks" dxfId="11991" priority="6914">
      <formula>LEN(TRIM(AI117))=0</formula>
    </cfRule>
    <cfRule type="containsBlanks" dxfId="11990" priority="6915">
      <formula>LEN(TRIM(AI117))=0</formula>
    </cfRule>
    <cfRule type="containsBlanks" dxfId="11989" priority="6916">
      <formula>LEN(TRIM(AI117))=0</formula>
    </cfRule>
    <cfRule type="containsBlanks" dxfId="11988" priority="6917">
      <formula>LEN(TRIM(AI117))=0</formula>
    </cfRule>
    <cfRule type="containsBlanks" dxfId="11987" priority="6918">
      <formula>LEN(TRIM(AI117))=0</formula>
    </cfRule>
    <cfRule type="containsBlanks" dxfId="11986" priority="6919">
      <formula>LEN(TRIM(AI117))=0</formula>
    </cfRule>
    <cfRule type="containsBlanks" dxfId="11985" priority="6920">
      <formula>LEN(TRIM(AI117))=0</formula>
    </cfRule>
    <cfRule type="containsBlanks" dxfId="11984" priority="6921">
      <formula>LEN(TRIM(AI117))=0</formula>
    </cfRule>
    <cfRule type="containsBlanks" dxfId="11983" priority="6922">
      <formula>LEN(TRIM(AI117))=0</formula>
    </cfRule>
    <cfRule type="containsBlanks" dxfId="11982" priority="6923">
      <formula>LEN(TRIM(AI117))=0</formula>
    </cfRule>
    <cfRule type="containsBlanks" dxfId="11981" priority="6924">
      <formula>LEN(TRIM(AI117))=0</formula>
    </cfRule>
    <cfRule type="containsBlanks" dxfId="11980" priority="6925">
      <formula>LEN(TRIM(AI117))=0</formula>
    </cfRule>
    <cfRule type="containsBlanks" dxfId="11979" priority="6926">
      <formula>LEN(TRIM(AI117))=0</formula>
    </cfRule>
    <cfRule type="containsBlanks" dxfId="11978" priority="6927">
      <formula>LEN(TRIM(AI117))=0</formula>
    </cfRule>
    <cfRule type="containsBlanks" dxfId="11977" priority="6928">
      <formula>LEN(TRIM(AI117))=0</formula>
    </cfRule>
    <cfRule type="containsBlanks" dxfId="11976" priority="6929">
      <formula>LEN(TRIM(AI117))=0</formula>
    </cfRule>
    <cfRule type="containsBlanks" dxfId="11975" priority="6930">
      <formula>LEN(TRIM(AI117))=0</formula>
    </cfRule>
    <cfRule type="containsBlanks" dxfId="11974" priority="6931">
      <formula>LEN(TRIM(AI117))=0</formula>
    </cfRule>
    <cfRule type="containsBlanks" dxfId="11973" priority="6932">
      <formula>LEN(TRIM(AI117))=0</formula>
    </cfRule>
    <cfRule type="containsBlanks" dxfId="11972" priority="6933">
      <formula>LEN(TRIM(AI117))=0</formula>
    </cfRule>
    <cfRule type="containsBlanks" dxfId="11971" priority="6934">
      <formula>LEN(TRIM(AI117))=0</formula>
    </cfRule>
    <cfRule type="containsBlanks" dxfId="11970" priority="6935">
      <formula>LEN(TRIM(AI117))=0</formula>
    </cfRule>
    <cfRule type="containsBlanks" dxfId="11969" priority="6936">
      <formula>LEN(TRIM(AI117))=0</formula>
    </cfRule>
    <cfRule type="containsBlanks" dxfId="11968" priority="6937">
      <formula>LEN(TRIM(AI117))=0</formula>
    </cfRule>
    <cfRule type="containsBlanks" dxfId="11967" priority="6938">
      <formula>LEN(TRIM(AI117))=0</formula>
    </cfRule>
    <cfRule type="containsBlanks" dxfId="11966" priority="6939">
      <formula>LEN(TRIM(AI117))=0</formula>
    </cfRule>
    <cfRule type="containsBlanks" dxfId="11965" priority="6940">
      <formula>LEN(TRIM(AI117))=0</formula>
    </cfRule>
    <cfRule type="containsBlanks" dxfId="11964" priority="6941">
      <formula>LEN(TRIM(AI117))=0</formula>
    </cfRule>
    <cfRule type="containsBlanks" dxfId="11963" priority="6942">
      <formula>LEN(TRIM(AI117))=0</formula>
    </cfRule>
    <cfRule type="containsBlanks" dxfId="11962" priority="6943">
      <formula>LEN(TRIM(AI117))=0</formula>
    </cfRule>
    <cfRule type="containsBlanks" dxfId="11961" priority="6944">
      <formula>LEN(TRIM(AI117))=0</formula>
    </cfRule>
    <cfRule type="containsBlanks" dxfId="11960" priority="6945">
      <formula>LEN(TRIM(AI117))=0</formula>
    </cfRule>
    <cfRule type="containsBlanks" dxfId="11959" priority="6946">
      <formula>LEN(TRIM(AI117))=0</formula>
    </cfRule>
    <cfRule type="containsBlanks" dxfId="11958" priority="6947">
      <formula>LEN(TRIM(AI117))=0</formula>
    </cfRule>
    <cfRule type="containsBlanks" dxfId="11957" priority="6948">
      <formula>LEN(TRIM(AI117))=0</formula>
    </cfRule>
    <cfRule type="containsBlanks" dxfId="11956" priority="6949">
      <formula>LEN(TRIM(AI117))=0</formula>
    </cfRule>
    <cfRule type="containsBlanks" dxfId="11955" priority="6950">
      <formula>LEN(TRIM(AI117))=0</formula>
    </cfRule>
    <cfRule type="containsBlanks" dxfId="11954" priority="6951">
      <formula>LEN(TRIM(AI117))=0</formula>
    </cfRule>
    <cfRule type="containsBlanks" dxfId="11953" priority="6952">
      <formula>LEN(TRIM(AI117))=0</formula>
    </cfRule>
    <cfRule type="containsBlanks" dxfId="11952" priority="6953">
      <formula>LEN(TRIM(AI117))=0</formula>
    </cfRule>
    <cfRule type="containsBlanks" dxfId="11951" priority="6954">
      <formula>LEN(TRIM(AI117))=0</formula>
    </cfRule>
    <cfRule type="containsBlanks" dxfId="11950" priority="6955">
      <formula>LEN(TRIM(AI117))=0</formula>
    </cfRule>
    <cfRule type="containsBlanks" dxfId="11949" priority="6956">
      <formula>LEN(TRIM(AI117))=0</formula>
    </cfRule>
    <cfRule type="containsBlanks" dxfId="11948" priority="6957">
      <formula>LEN(TRIM(AI117))=0</formula>
    </cfRule>
    <cfRule type="containsBlanks" dxfId="11947" priority="6958">
      <formula>LEN(TRIM(AI117))=0</formula>
    </cfRule>
    <cfRule type="containsBlanks" dxfId="11946" priority="6959">
      <formula>LEN(TRIM(AI117))=0</formula>
    </cfRule>
    <cfRule type="containsBlanks" dxfId="11945" priority="6960">
      <formula>LEN(TRIM(AI117))=0</formula>
    </cfRule>
    <cfRule type="containsBlanks" dxfId="11944" priority="6961">
      <formula>LEN(TRIM(AI117))=0</formula>
    </cfRule>
    <cfRule type="containsBlanks" dxfId="11943" priority="6962">
      <formula>LEN(TRIM(AI117))=0</formula>
    </cfRule>
  </conditionalFormatting>
  <conditionalFormatting sqref="AI117">
    <cfRule type="containsBlanks" dxfId="11942" priority="6824">
      <formula>LEN(TRIM(AI117))=0</formula>
    </cfRule>
    <cfRule type="containsBlanks" dxfId="11941" priority="6825">
      <formula>LEN(TRIM(AI117))=0</formula>
    </cfRule>
    <cfRule type="containsBlanks" dxfId="11940" priority="6826">
      <formula>LEN(TRIM(AI117))=0</formula>
    </cfRule>
    <cfRule type="containsBlanks" dxfId="11939" priority="6827">
      <formula>LEN(TRIM(AI117))=0</formula>
    </cfRule>
    <cfRule type="containsBlanks" dxfId="11938" priority="6828">
      <formula>LEN(TRIM(AI117))=0</formula>
    </cfRule>
    <cfRule type="containsBlanks" dxfId="11937" priority="6829">
      <formula>LEN(TRIM(AI117))=0</formula>
    </cfRule>
    <cfRule type="containsBlanks" dxfId="11936" priority="6830">
      <formula>LEN(TRIM(AI117))=0</formula>
    </cfRule>
    <cfRule type="containsBlanks" dxfId="11935" priority="6831">
      <formula>LEN(TRIM(AI117))=0</formula>
    </cfRule>
    <cfRule type="containsBlanks" dxfId="11934" priority="6832">
      <formula>LEN(TRIM(AI117))=0</formula>
    </cfRule>
    <cfRule type="containsBlanks" dxfId="11933" priority="6833">
      <formula>LEN(TRIM(AI117))=0</formula>
    </cfRule>
    <cfRule type="containsBlanks" dxfId="11932" priority="6834">
      <formula>LEN(TRIM(AI117))=0</formula>
    </cfRule>
    <cfRule type="containsBlanks" dxfId="11931" priority="6835">
      <formula>LEN(TRIM(AI117))=0</formula>
    </cfRule>
    <cfRule type="containsBlanks" dxfId="11930" priority="6836">
      <formula>LEN(TRIM(AI117))=0</formula>
    </cfRule>
    <cfRule type="containsBlanks" dxfId="11929" priority="6837">
      <formula>LEN(TRIM(AI117))=0</formula>
    </cfRule>
    <cfRule type="containsBlanks" dxfId="11928" priority="6838">
      <formula>LEN(TRIM(AI117))=0</formula>
    </cfRule>
    <cfRule type="containsBlanks" dxfId="11927" priority="6839">
      <formula>LEN(TRIM(AI117))=0</formula>
    </cfRule>
    <cfRule type="containsBlanks" dxfId="11926" priority="6840">
      <formula>LEN(TRIM(AI117))=0</formula>
    </cfRule>
    <cfRule type="containsBlanks" dxfId="11925" priority="6841">
      <formula>LEN(TRIM(AI117))=0</formula>
    </cfRule>
    <cfRule type="containsBlanks" dxfId="11924" priority="6842">
      <formula>LEN(TRIM(AI117))=0</formula>
    </cfRule>
    <cfRule type="containsBlanks" dxfId="11923" priority="6843">
      <formula>LEN(TRIM(AI117))=0</formula>
    </cfRule>
    <cfRule type="containsBlanks" dxfId="11922" priority="6844">
      <formula>LEN(TRIM(AI117))=0</formula>
    </cfRule>
    <cfRule type="containsBlanks" dxfId="11921" priority="6845">
      <formula>LEN(TRIM(AI117))=0</formula>
    </cfRule>
    <cfRule type="containsBlanks" dxfId="11920" priority="6846">
      <formula>LEN(TRIM(AI117))=0</formula>
    </cfRule>
    <cfRule type="containsBlanks" dxfId="11919" priority="6847">
      <formula>LEN(TRIM(AI117))=0</formula>
    </cfRule>
    <cfRule type="containsBlanks" dxfId="11918" priority="6848">
      <formula>LEN(TRIM(AI117))=0</formula>
    </cfRule>
    <cfRule type="containsBlanks" dxfId="11917" priority="6849">
      <formula>LEN(TRIM(AI117))=0</formula>
    </cfRule>
    <cfRule type="containsBlanks" dxfId="11916" priority="6850">
      <formula>LEN(TRIM(AI117))=0</formula>
    </cfRule>
    <cfRule type="containsBlanks" dxfId="11915" priority="6851">
      <formula>LEN(TRIM(AI117))=0</formula>
    </cfRule>
    <cfRule type="containsBlanks" dxfId="11914" priority="6852">
      <formula>LEN(TRIM(AI117))=0</formula>
    </cfRule>
    <cfRule type="containsBlanks" dxfId="11913" priority="6853">
      <formula>LEN(TRIM(AI117))=0</formula>
    </cfRule>
    <cfRule type="containsBlanks" dxfId="11912" priority="6854">
      <formula>LEN(TRIM(AI117))=0</formula>
    </cfRule>
    <cfRule type="containsBlanks" dxfId="11911" priority="6855">
      <formula>LEN(TRIM(AI117))=0</formula>
    </cfRule>
    <cfRule type="containsBlanks" dxfId="11910" priority="6856">
      <formula>LEN(TRIM(AI117))=0</formula>
    </cfRule>
    <cfRule type="containsBlanks" dxfId="11909" priority="6857">
      <formula>LEN(TRIM(AI117))=0</formula>
    </cfRule>
    <cfRule type="containsBlanks" dxfId="11908" priority="6858">
      <formula>LEN(TRIM(AI117))=0</formula>
    </cfRule>
    <cfRule type="containsBlanks" dxfId="11907" priority="6859">
      <formula>LEN(TRIM(AI117))=0</formula>
    </cfRule>
    <cfRule type="containsBlanks" dxfId="11906" priority="6860">
      <formula>LEN(TRIM(AI117))=0</formula>
    </cfRule>
    <cfRule type="containsBlanks" dxfId="11905" priority="6861">
      <formula>LEN(TRIM(AI117))=0</formula>
    </cfRule>
    <cfRule type="containsBlanks" dxfId="11904" priority="6862">
      <formula>LEN(TRIM(AI117))=0</formula>
    </cfRule>
    <cfRule type="containsBlanks" dxfId="11903" priority="6863">
      <formula>LEN(TRIM(AI117))=0</formula>
    </cfRule>
    <cfRule type="containsBlanks" dxfId="11902" priority="6864">
      <formula>LEN(TRIM(AI117))=0</formula>
    </cfRule>
    <cfRule type="containsBlanks" dxfId="11901" priority="6865">
      <formula>LEN(TRIM(AI117))=0</formula>
    </cfRule>
    <cfRule type="containsBlanks" dxfId="11900" priority="6866">
      <formula>LEN(TRIM(AI117))=0</formula>
    </cfRule>
    <cfRule type="containsBlanks" dxfId="11899" priority="6867">
      <formula>LEN(TRIM(AI117))=0</formula>
    </cfRule>
    <cfRule type="containsBlanks" dxfId="11898" priority="6868">
      <formula>LEN(TRIM(AI117))=0</formula>
    </cfRule>
    <cfRule type="containsBlanks" dxfId="11897" priority="6869">
      <formula>LEN(TRIM(AI117))=0</formula>
    </cfRule>
    <cfRule type="containsBlanks" dxfId="11896" priority="6870">
      <formula>LEN(TRIM(AI117))=0</formula>
    </cfRule>
    <cfRule type="containsBlanks" dxfId="11895" priority="6871">
      <formula>LEN(TRIM(AI117))=0</formula>
    </cfRule>
    <cfRule type="containsBlanks" dxfId="11894" priority="6872">
      <formula>LEN(TRIM(AI117))=0</formula>
    </cfRule>
    <cfRule type="containsBlanks" dxfId="11893" priority="6873">
      <formula>LEN(TRIM(AI117))=0</formula>
    </cfRule>
    <cfRule type="containsBlanks" dxfId="11892" priority="6874">
      <formula>LEN(TRIM(AI117))=0</formula>
    </cfRule>
    <cfRule type="containsBlanks" dxfId="11891" priority="6875">
      <formula>LEN(TRIM(AI117))=0</formula>
    </cfRule>
    <cfRule type="containsBlanks" dxfId="11890" priority="6876">
      <formula>LEN(TRIM(AI117))=0</formula>
    </cfRule>
    <cfRule type="containsBlanks" dxfId="11889" priority="6877">
      <formula>LEN(TRIM(AI117))=0</formula>
    </cfRule>
    <cfRule type="containsBlanks" dxfId="11888" priority="6878">
      <formula>LEN(TRIM(AI117))=0</formula>
    </cfRule>
    <cfRule type="containsBlanks" dxfId="11887" priority="6879">
      <formula>LEN(TRIM(AI117))=0</formula>
    </cfRule>
    <cfRule type="containsBlanks" dxfId="11886" priority="6880">
      <formula>LEN(TRIM(AI117))=0</formula>
    </cfRule>
    <cfRule type="containsBlanks" dxfId="11885" priority="6881">
      <formula>LEN(TRIM(AI117))=0</formula>
    </cfRule>
    <cfRule type="containsBlanks" dxfId="11884" priority="6882">
      <formula>LEN(TRIM(AI117))=0</formula>
    </cfRule>
    <cfRule type="containsBlanks" dxfId="11883" priority="6883">
      <formula>LEN(TRIM(AI117))=0</formula>
    </cfRule>
    <cfRule type="containsBlanks" dxfId="11882" priority="6884">
      <formula>LEN(TRIM(AI117))=0</formula>
    </cfRule>
    <cfRule type="containsBlanks" dxfId="11881" priority="6885">
      <formula>LEN(TRIM(AI117))=0</formula>
    </cfRule>
    <cfRule type="containsBlanks" dxfId="11880" priority="6886">
      <formula>LEN(TRIM(AI117))=0</formula>
    </cfRule>
    <cfRule type="containsBlanks" dxfId="11879" priority="6887">
      <formula>LEN(TRIM(AI117))=0</formula>
    </cfRule>
    <cfRule type="containsBlanks" dxfId="11878" priority="6888">
      <formula>LEN(TRIM(AI117))=0</formula>
    </cfRule>
    <cfRule type="containsBlanks" dxfId="11877" priority="6889">
      <formula>LEN(TRIM(AI117))=0</formula>
    </cfRule>
    <cfRule type="containsBlanks" dxfId="11876" priority="6890">
      <formula>LEN(TRIM(AI117))=0</formula>
    </cfRule>
    <cfRule type="containsBlanks" dxfId="11875" priority="6891">
      <formula>LEN(TRIM(AI117))=0</formula>
    </cfRule>
    <cfRule type="containsBlanks" dxfId="11874" priority="6892">
      <formula>LEN(TRIM(AI117))=0</formula>
    </cfRule>
    <cfRule type="containsBlanks" dxfId="11873" priority="6893">
      <formula>LEN(TRIM(AI117))=0</formula>
    </cfRule>
    <cfRule type="containsBlanks" dxfId="11872" priority="6894">
      <formula>LEN(TRIM(AI117))=0</formula>
    </cfRule>
    <cfRule type="containsBlanks" dxfId="11871" priority="6895">
      <formula>LEN(TRIM(AI117))=0</formula>
    </cfRule>
    <cfRule type="containsBlanks" dxfId="11870" priority="6896">
      <formula>LEN(TRIM(AI117))=0</formula>
    </cfRule>
    <cfRule type="containsBlanks" dxfId="11869" priority="6897">
      <formula>LEN(TRIM(AI117))=0</formula>
    </cfRule>
    <cfRule type="containsBlanks" dxfId="11868" priority="6898">
      <formula>LEN(TRIM(AI117))=0</formula>
    </cfRule>
    <cfRule type="containsBlanks" dxfId="11867" priority="6899">
      <formula>LEN(TRIM(AI117))=0</formula>
    </cfRule>
    <cfRule type="containsBlanks" dxfId="11866" priority="6900">
      <formula>LEN(TRIM(AI117))=0</formula>
    </cfRule>
    <cfRule type="containsBlanks" dxfId="11865" priority="6901">
      <formula>LEN(TRIM(AI117))=0</formula>
    </cfRule>
    <cfRule type="containsBlanks" dxfId="11864" priority="6902">
      <formula>LEN(TRIM(AI117))=0</formula>
    </cfRule>
    <cfRule type="containsBlanks" dxfId="11863" priority="6903">
      <formula>LEN(TRIM(AI117))=0</formula>
    </cfRule>
    <cfRule type="containsBlanks" dxfId="11862" priority="6904">
      <formula>LEN(TRIM(AI117))=0</formula>
    </cfRule>
    <cfRule type="containsBlanks" dxfId="11861" priority="6905">
      <formula>LEN(TRIM(AI117))=0</formula>
    </cfRule>
    <cfRule type="containsBlanks" dxfId="11860" priority="6906">
      <formula>LEN(TRIM(AI117))=0</formula>
    </cfRule>
    <cfRule type="containsBlanks" dxfId="11859" priority="6907">
      <formula>LEN(TRIM(AI117))=0</formula>
    </cfRule>
  </conditionalFormatting>
  <conditionalFormatting sqref="AI132">
    <cfRule type="containsBlanks" dxfId="11858" priority="6823">
      <formula>LEN(TRIM(AI132))=0</formula>
    </cfRule>
  </conditionalFormatting>
  <conditionalFormatting sqref="AI132">
    <cfRule type="containsBlanks" dxfId="11857" priority="6822">
      <formula>LEN(TRIM(AI132))=0</formula>
    </cfRule>
  </conditionalFormatting>
  <conditionalFormatting sqref="AI132">
    <cfRule type="containsBlanks" dxfId="11856" priority="6820">
      <formula>LEN(TRIM(AI132))=0</formula>
    </cfRule>
    <cfRule type="containsBlanks" dxfId="11855" priority="6821">
      <formula>LEN(TRIM(AI132))=0</formula>
    </cfRule>
  </conditionalFormatting>
  <conditionalFormatting sqref="AI132">
    <cfRule type="containsBlanks" dxfId="11854" priority="6819">
      <formula>LEN(TRIM(AI132))=0</formula>
    </cfRule>
  </conditionalFormatting>
  <conditionalFormatting sqref="AI132">
    <cfRule type="containsBlanks" dxfId="11853" priority="6818">
      <formula>LEN(TRIM(AI132))=0</formula>
    </cfRule>
  </conditionalFormatting>
  <conditionalFormatting sqref="AI132">
    <cfRule type="containsBlanks" dxfId="11852" priority="6817">
      <formula>LEN(TRIM(AI132))=0</formula>
    </cfRule>
  </conditionalFormatting>
  <conditionalFormatting sqref="AI132">
    <cfRule type="containsBlanks" dxfId="11851" priority="6815">
      <formula>LEN(TRIM(AI132))=0</formula>
    </cfRule>
    <cfRule type="containsBlanks" dxfId="11850" priority="6816">
      <formula>LEN(TRIM(AI132))=0</formula>
    </cfRule>
  </conditionalFormatting>
  <conditionalFormatting sqref="AI132">
    <cfRule type="containsBlanks" dxfId="11849" priority="6813">
      <formula>LEN(TRIM(AI132))=0</formula>
    </cfRule>
    <cfRule type="containsBlanks" dxfId="11848" priority="6814">
      <formula>LEN(TRIM(AI132))=0</formula>
    </cfRule>
  </conditionalFormatting>
  <conditionalFormatting sqref="AI132">
    <cfRule type="containsBlanks" dxfId="11847" priority="6811">
      <formula>LEN(TRIM(AI132))=0</formula>
    </cfRule>
    <cfRule type="containsBlanks" dxfId="11846" priority="6812">
      <formula>LEN(TRIM(AI132))=0</formula>
    </cfRule>
  </conditionalFormatting>
  <conditionalFormatting sqref="AI132">
    <cfRule type="containsBlanks" dxfId="11845" priority="6809">
      <formula>LEN(TRIM(AI132))=0</formula>
    </cfRule>
    <cfRule type="containsBlanks" dxfId="11844" priority="6810">
      <formula>LEN(TRIM(AI132))=0</formula>
    </cfRule>
  </conditionalFormatting>
  <conditionalFormatting sqref="AI132">
    <cfRule type="containsBlanks" dxfId="11843" priority="6743">
      <formula>LEN(TRIM(AI132))=0</formula>
    </cfRule>
    <cfRule type="containsBlanks" dxfId="11842" priority="6744">
      <formula>LEN(TRIM(AI132))=0</formula>
    </cfRule>
    <cfRule type="containsBlanks" dxfId="11841" priority="6745">
      <formula>LEN(TRIM(AI132))=0</formula>
    </cfRule>
    <cfRule type="containsBlanks" dxfId="11840" priority="6746">
      <formula>LEN(TRIM(AI132))=0</formula>
    </cfRule>
    <cfRule type="containsBlanks" dxfId="11839" priority="6747">
      <formula>LEN(TRIM(AI132))=0</formula>
    </cfRule>
    <cfRule type="containsBlanks" dxfId="11838" priority="6748">
      <formula>LEN(TRIM(AI132))=0</formula>
    </cfRule>
    <cfRule type="containsBlanks" dxfId="11837" priority="6749">
      <formula>LEN(TRIM(AI132))=0</formula>
    </cfRule>
    <cfRule type="containsBlanks" dxfId="11836" priority="6750">
      <formula>LEN(TRIM(AI132))=0</formula>
    </cfRule>
    <cfRule type="containsBlanks" dxfId="11835" priority="6751">
      <formula>LEN(TRIM(AI132))=0</formula>
    </cfRule>
    <cfRule type="containsBlanks" dxfId="11834" priority="6752">
      <formula>LEN(TRIM(AI132))=0</formula>
    </cfRule>
    <cfRule type="containsBlanks" dxfId="11833" priority="6753">
      <formula>LEN(TRIM(AI132))=0</formula>
    </cfRule>
    <cfRule type="containsBlanks" dxfId="11832" priority="6754">
      <formula>LEN(TRIM(AI132))=0</formula>
    </cfRule>
    <cfRule type="containsBlanks" dxfId="11831" priority="6755">
      <formula>LEN(TRIM(AI132))=0</formula>
    </cfRule>
    <cfRule type="containsBlanks" dxfId="11830" priority="6756">
      <formula>LEN(TRIM(AI132))=0</formula>
    </cfRule>
    <cfRule type="containsBlanks" dxfId="11829" priority="6757">
      <formula>LEN(TRIM(AI132))=0</formula>
    </cfRule>
    <cfRule type="containsBlanks" dxfId="11828" priority="6758">
      <formula>LEN(TRIM(AI132))=0</formula>
    </cfRule>
    <cfRule type="containsBlanks" dxfId="11827" priority="6759">
      <formula>LEN(TRIM(AI132))=0</formula>
    </cfRule>
    <cfRule type="containsBlanks" dxfId="11826" priority="6760">
      <formula>LEN(TRIM(AI132))=0</formula>
    </cfRule>
    <cfRule type="containsBlanks" dxfId="11825" priority="6761">
      <formula>LEN(TRIM(AI132))=0</formula>
    </cfRule>
    <cfRule type="containsBlanks" dxfId="11824" priority="6762">
      <formula>LEN(TRIM(AI132))=0</formula>
    </cfRule>
    <cfRule type="containsBlanks" dxfId="11823" priority="6763">
      <formula>LEN(TRIM(AI132))=0</formula>
    </cfRule>
    <cfRule type="containsBlanks" dxfId="11822" priority="6764">
      <formula>LEN(TRIM(AI132))=0</formula>
    </cfRule>
    <cfRule type="containsBlanks" dxfId="11821" priority="6765">
      <formula>LEN(TRIM(AI132))=0</formula>
    </cfRule>
    <cfRule type="containsBlanks" dxfId="11820" priority="6766">
      <formula>LEN(TRIM(AI132))=0</formula>
    </cfRule>
    <cfRule type="containsBlanks" dxfId="11819" priority="6767">
      <formula>LEN(TRIM(AI132))=0</formula>
    </cfRule>
    <cfRule type="containsBlanks" dxfId="11818" priority="6768">
      <formula>LEN(TRIM(AI132))=0</formula>
    </cfRule>
    <cfRule type="containsBlanks" dxfId="11817" priority="6769">
      <formula>LEN(TRIM(AI132))=0</formula>
    </cfRule>
    <cfRule type="containsBlanks" dxfId="11816" priority="6770">
      <formula>LEN(TRIM(AI132))=0</formula>
    </cfRule>
    <cfRule type="containsBlanks" dxfId="11815" priority="6771">
      <formula>LEN(TRIM(AI132))=0</formula>
    </cfRule>
    <cfRule type="containsBlanks" dxfId="11814" priority="6772">
      <formula>LEN(TRIM(AI132))=0</formula>
    </cfRule>
    <cfRule type="containsBlanks" dxfId="11813" priority="6773">
      <formula>LEN(TRIM(AI132))=0</formula>
    </cfRule>
    <cfRule type="containsBlanks" dxfId="11812" priority="6774">
      <formula>LEN(TRIM(AI132))=0</formula>
    </cfRule>
    <cfRule type="containsBlanks" dxfId="11811" priority="6775">
      <formula>LEN(TRIM(AI132))=0</formula>
    </cfRule>
    <cfRule type="containsBlanks" dxfId="11810" priority="6776">
      <formula>LEN(TRIM(AI132))=0</formula>
    </cfRule>
    <cfRule type="containsBlanks" dxfId="11809" priority="6777">
      <formula>LEN(TRIM(AI132))=0</formula>
    </cfRule>
    <cfRule type="containsBlanks" dxfId="11808" priority="6778">
      <formula>LEN(TRIM(AI132))=0</formula>
    </cfRule>
    <cfRule type="containsBlanks" dxfId="11807" priority="6779">
      <formula>LEN(TRIM(AI132))=0</formula>
    </cfRule>
    <cfRule type="containsBlanks" dxfId="11806" priority="6780">
      <formula>LEN(TRIM(AI132))=0</formula>
    </cfRule>
    <cfRule type="containsBlanks" dxfId="11805" priority="6781">
      <formula>LEN(TRIM(AI132))=0</formula>
    </cfRule>
    <cfRule type="containsBlanks" dxfId="11804" priority="6782">
      <formula>LEN(TRIM(AI132))=0</formula>
    </cfRule>
    <cfRule type="containsBlanks" dxfId="11803" priority="6783">
      <formula>LEN(TRIM(AI132))=0</formula>
    </cfRule>
    <cfRule type="containsBlanks" dxfId="11802" priority="6784">
      <formula>LEN(TRIM(AI132))=0</formula>
    </cfRule>
    <cfRule type="containsBlanks" dxfId="11801" priority="6785">
      <formula>LEN(TRIM(AI132))=0</formula>
    </cfRule>
    <cfRule type="containsBlanks" dxfId="11800" priority="6786">
      <formula>LEN(TRIM(AI132))=0</formula>
    </cfRule>
    <cfRule type="containsBlanks" dxfId="11799" priority="6787">
      <formula>LEN(TRIM(AI132))=0</formula>
    </cfRule>
    <cfRule type="containsBlanks" dxfId="11798" priority="6788">
      <formula>LEN(TRIM(AI132))=0</formula>
    </cfRule>
    <cfRule type="containsBlanks" dxfId="11797" priority="6789">
      <formula>LEN(TRIM(AI132))=0</formula>
    </cfRule>
    <cfRule type="containsBlanks" dxfId="11796" priority="6790">
      <formula>LEN(TRIM(AI132))=0</formula>
    </cfRule>
    <cfRule type="containsBlanks" dxfId="11795" priority="6791">
      <formula>LEN(TRIM(AI132))=0</formula>
    </cfRule>
    <cfRule type="containsBlanks" dxfId="11794" priority="6792">
      <formula>LEN(TRIM(AI132))=0</formula>
    </cfRule>
    <cfRule type="containsBlanks" dxfId="11793" priority="6793">
      <formula>LEN(TRIM(AI132))=0</formula>
    </cfRule>
    <cfRule type="containsBlanks" dxfId="11792" priority="6794">
      <formula>LEN(TRIM(AI132))=0</formula>
    </cfRule>
    <cfRule type="containsBlanks" dxfId="11791" priority="6795">
      <formula>LEN(TRIM(AI132))=0</formula>
    </cfRule>
    <cfRule type="containsBlanks" dxfId="11790" priority="6796">
      <formula>LEN(TRIM(AI132))=0</formula>
    </cfRule>
    <cfRule type="containsBlanks" dxfId="11789" priority="6797">
      <formula>LEN(TRIM(AI132))=0</formula>
    </cfRule>
    <cfRule type="containsBlanks" dxfId="11788" priority="6798">
      <formula>LEN(TRIM(AI132))=0</formula>
    </cfRule>
    <cfRule type="containsBlanks" dxfId="11787" priority="6799">
      <formula>LEN(TRIM(AI132))=0</formula>
    </cfRule>
    <cfRule type="containsBlanks" dxfId="11786" priority="6800">
      <formula>LEN(TRIM(AI132))=0</formula>
    </cfRule>
    <cfRule type="containsBlanks" dxfId="11785" priority="6801">
      <formula>LEN(TRIM(AI132))=0</formula>
    </cfRule>
    <cfRule type="containsBlanks" dxfId="11784" priority="6802">
      <formula>LEN(TRIM(AI132))=0</formula>
    </cfRule>
    <cfRule type="containsBlanks" dxfId="11783" priority="6803">
      <formula>LEN(TRIM(AI132))=0</formula>
    </cfRule>
    <cfRule type="containsBlanks" dxfId="11782" priority="6804">
      <formula>LEN(TRIM(AI132))=0</formula>
    </cfRule>
    <cfRule type="containsBlanks" dxfId="11781" priority="6805">
      <formula>LEN(TRIM(AI132))=0</formula>
    </cfRule>
    <cfRule type="containsBlanks" dxfId="11780" priority="6806">
      <formula>LEN(TRIM(AI132))=0</formula>
    </cfRule>
    <cfRule type="containsBlanks" dxfId="11779" priority="6807">
      <formula>LEN(TRIM(AI132))=0</formula>
    </cfRule>
    <cfRule type="containsBlanks" dxfId="11778" priority="6808">
      <formula>LEN(TRIM(AI132))=0</formula>
    </cfRule>
  </conditionalFormatting>
  <conditionalFormatting sqref="AI132">
    <cfRule type="containsBlanks" dxfId="11777" priority="6688">
      <formula>LEN(TRIM(AI132))=0</formula>
    </cfRule>
    <cfRule type="containsBlanks" dxfId="11776" priority="6689">
      <formula>LEN(TRIM(AI132))=0</formula>
    </cfRule>
    <cfRule type="containsBlanks" dxfId="11775" priority="6690">
      <formula>LEN(TRIM(AI132))=0</formula>
    </cfRule>
    <cfRule type="containsBlanks" dxfId="11774" priority="6691">
      <formula>LEN(TRIM(AI132))=0</formula>
    </cfRule>
    <cfRule type="containsBlanks" dxfId="11773" priority="6692">
      <formula>LEN(TRIM(AI132))=0</formula>
    </cfRule>
    <cfRule type="containsBlanks" dxfId="11772" priority="6693">
      <formula>LEN(TRIM(AI132))=0</formula>
    </cfRule>
    <cfRule type="containsBlanks" dxfId="11771" priority="6694">
      <formula>LEN(TRIM(AI132))=0</formula>
    </cfRule>
    <cfRule type="containsBlanks" dxfId="11770" priority="6695">
      <formula>LEN(TRIM(AI132))=0</formula>
    </cfRule>
    <cfRule type="containsBlanks" dxfId="11769" priority="6696">
      <formula>LEN(TRIM(AI132))=0</formula>
    </cfRule>
    <cfRule type="containsBlanks" dxfId="11768" priority="6697">
      <formula>LEN(TRIM(AI132))=0</formula>
    </cfRule>
    <cfRule type="containsBlanks" dxfId="11767" priority="6698">
      <formula>LEN(TRIM(AI132))=0</formula>
    </cfRule>
    <cfRule type="containsBlanks" dxfId="11766" priority="6699">
      <formula>LEN(TRIM(AI132))=0</formula>
    </cfRule>
    <cfRule type="containsBlanks" dxfId="11765" priority="6700">
      <formula>LEN(TRIM(AI132))=0</formula>
    </cfRule>
    <cfRule type="containsBlanks" dxfId="11764" priority="6701">
      <formula>LEN(TRIM(AI132))=0</formula>
    </cfRule>
    <cfRule type="containsBlanks" dxfId="11763" priority="6702">
      <formula>LEN(TRIM(AI132))=0</formula>
    </cfRule>
    <cfRule type="containsBlanks" dxfId="11762" priority="6703">
      <formula>LEN(TRIM(AI132))=0</formula>
    </cfRule>
    <cfRule type="containsBlanks" dxfId="11761" priority="6704">
      <formula>LEN(TRIM(AI132))=0</formula>
    </cfRule>
    <cfRule type="containsBlanks" dxfId="11760" priority="6705">
      <formula>LEN(TRIM(AI132))=0</formula>
    </cfRule>
    <cfRule type="containsBlanks" dxfId="11759" priority="6706">
      <formula>LEN(TRIM(AI132))=0</formula>
    </cfRule>
    <cfRule type="containsBlanks" dxfId="11758" priority="6707">
      <formula>LEN(TRIM(AI132))=0</formula>
    </cfRule>
    <cfRule type="containsBlanks" dxfId="11757" priority="6708">
      <formula>LEN(TRIM(AI132))=0</formula>
    </cfRule>
    <cfRule type="containsBlanks" dxfId="11756" priority="6709">
      <formula>LEN(TRIM(AI132))=0</formula>
    </cfRule>
    <cfRule type="containsBlanks" dxfId="11755" priority="6710">
      <formula>LEN(TRIM(AI132))=0</formula>
    </cfRule>
    <cfRule type="containsBlanks" dxfId="11754" priority="6711">
      <formula>LEN(TRIM(AI132))=0</formula>
    </cfRule>
    <cfRule type="containsBlanks" dxfId="11753" priority="6712">
      <formula>LEN(TRIM(AI132))=0</formula>
    </cfRule>
    <cfRule type="containsBlanks" dxfId="11752" priority="6713">
      <formula>LEN(TRIM(AI132))=0</formula>
    </cfRule>
    <cfRule type="containsBlanks" dxfId="11751" priority="6714">
      <formula>LEN(TRIM(AI132))=0</formula>
    </cfRule>
    <cfRule type="containsBlanks" dxfId="11750" priority="6715">
      <formula>LEN(TRIM(AI132))=0</formula>
    </cfRule>
    <cfRule type="containsBlanks" dxfId="11749" priority="6716">
      <formula>LEN(TRIM(AI132))=0</formula>
    </cfRule>
    <cfRule type="containsBlanks" dxfId="11748" priority="6717">
      <formula>LEN(TRIM(AI132))=0</formula>
    </cfRule>
    <cfRule type="containsBlanks" dxfId="11747" priority="6718">
      <formula>LEN(TRIM(AI132))=0</formula>
    </cfRule>
    <cfRule type="containsBlanks" dxfId="11746" priority="6719">
      <formula>LEN(TRIM(AI132))=0</formula>
    </cfRule>
    <cfRule type="containsBlanks" dxfId="11745" priority="6720">
      <formula>LEN(TRIM(AI132))=0</formula>
    </cfRule>
    <cfRule type="containsBlanks" dxfId="11744" priority="6721">
      <formula>LEN(TRIM(AI132))=0</formula>
    </cfRule>
    <cfRule type="containsBlanks" dxfId="11743" priority="6722">
      <formula>LEN(TRIM(AI132))=0</formula>
    </cfRule>
    <cfRule type="containsBlanks" dxfId="11742" priority="6723">
      <formula>LEN(TRIM(AI132))=0</formula>
    </cfRule>
    <cfRule type="containsBlanks" dxfId="11741" priority="6724">
      <formula>LEN(TRIM(AI132))=0</formula>
    </cfRule>
    <cfRule type="containsBlanks" dxfId="11740" priority="6725">
      <formula>LEN(TRIM(AI132))=0</formula>
    </cfRule>
    <cfRule type="containsBlanks" dxfId="11739" priority="6726">
      <formula>LEN(TRIM(AI132))=0</formula>
    </cfRule>
    <cfRule type="containsBlanks" dxfId="11738" priority="6727">
      <formula>LEN(TRIM(AI132))=0</formula>
    </cfRule>
    <cfRule type="containsBlanks" dxfId="11737" priority="6728">
      <formula>LEN(TRIM(AI132))=0</formula>
    </cfRule>
    <cfRule type="containsBlanks" dxfId="11736" priority="6729">
      <formula>LEN(TRIM(AI132))=0</formula>
    </cfRule>
    <cfRule type="containsBlanks" dxfId="11735" priority="6730">
      <formula>LEN(TRIM(AI132))=0</formula>
    </cfRule>
    <cfRule type="containsBlanks" dxfId="11734" priority="6731">
      <formula>LEN(TRIM(AI132))=0</formula>
    </cfRule>
    <cfRule type="containsBlanks" dxfId="11733" priority="6732">
      <formula>LEN(TRIM(AI132))=0</formula>
    </cfRule>
    <cfRule type="containsBlanks" dxfId="11732" priority="6733">
      <formula>LEN(TRIM(AI132))=0</formula>
    </cfRule>
    <cfRule type="containsBlanks" dxfId="11731" priority="6734">
      <formula>LEN(TRIM(AI132))=0</formula>
    </cfRule>
    <cfRule type="containsBlanks" dxfId="11730" priority="6735">
      <formula>LEN(TRIM(AI132))=0</formula>
    </cfRule>
    <cfRule type="containsBlanks" dxfId="11729" priority="6736">
      <formula>LEN(TRIM(AI132))=0</formula>
    </cfRule>
    <cfRule type="containsBlanks" dxfId="11728" priority="6737">
      <formula>LEN(TRIM(AI132))=0</formula>
    </cfRule>
    <cfRule type="containsBlanks" dxfId="11727" priority="6738">
      <formula>LEN(TRIM(AI132))=0</formula>
    </cfRule>
    <cfRule type="containsBlanks" dxfId="11726" priority="6739">
      <formula>LEN(TRIM(AI132))=0</formula>
    </cfRule>
    <cfRule type="containsBlanks" dxfId="11725" priority="6740">
      <formula>LEN(TRIM(AI132))=0</formula>
    </cfRule>
    <cfRule type="containsBlanks" dxfId="11724" priority="6741">
      <formula>LEN(TRIM(AI132))=0</formula>
    </cfRule>
    <cfRule type="containsBlanks" dxfId="11723" priority="6742">
      <formula>LEN(TRIM(AI132))=0</formula>
    </cfRule>
  </conditionalFormatting>
  <conditionalFormatting sqref="AI132">
    <cfRule type="containsBlanks" dxfId="11722" priority="6604">
      <formula>LEN(TRIM(AI132))=0</formula>
    </cfRule>
    <cfRule type="containsBlanks" dxfId="11721" priority="6605">
      <formula>LEN(TRIM(AI132))=0</formula>
    </cfRule>
    <cfRule type="containsBlanks" dxfId="11720" priority="6606">
      <formula>LEN(TRIM(AI132))=0</formula>
    </cfRule>
    <cfRule type="containsBlanks" dxfId="11719" priority="6607">
      <formula>LEN(TRIM(AI132))=0</formula>
    </cfRule>
    <cfRule type="containsBlanks" dxfId="11718" priority="6608">
      <formula>LEN(TRIM(AI132))=0</formula>
    </cfRule>
    <cfRule type="containsBlanks" dxfId="11717" priority="6609">
      <formula>LEN(TRIM(AI132))=0</formula>
    </cfRule>
    <cfRule type="containsBlanks" dxfId="11716" priority="6610">
      <formula>LEN(TRIM(AI132))=0</formula>
    </cfRule>
    <cfRule type="containsBlanks" dxfId="11715" priority="6611">
      <formula>LEN(TRIM(AI132))=0</formula>
    </cfRule>
    <cfRule type="containsBlanks" dxfId="11714" priority="6612">
      <formula>LEN(TRIM(AI132))=0</formula>
    </cfRule>
    <cfRule type="containsBlanks" dxfId="11713" priority="6613">
      <formula>LEN(TRIM(AI132))=0</formula>
    </cfRule>
    <cfRule type="containsBlanks" dxfId="11712" priority="6614">
      <formula>LEN(TRIM(AI132))=0</formula>
    </cfRule>
    <cfRule type="containsBlanks" dxfId="11711" priority="6615">
      <formula>LEN(TRIM(AI132))=0</formula>
    </cfRule>
    <cfRule type="containsBlanks" dxfId="11710" priority="6616">
      <formula>LEN(TRIM(AI132))=0</formula>
    </cfRule>
    <cfRule type="containsBlanks" dxfId="11709" priority="6617">
      <formula>LEN(TRIM(AI132))=0</formula>
    </cfRule>
    <cfRule type="containsBlanks" dxfId="11708" priority="6618">
      <formula>LEN(TRIM(AI132))=0</formula>
    </cfRule>
    <cfRule type="containsBlanks" dxfId="11707" priority="6619">
      <formula>LEN(TRIM(AI132))=0</formula>
    </cfRule>
    <cfRule type="containsBlanks" dxfId="11706" priority="6620">
      <formula>LEN(TRIM(AI132))=0</formula>
    </cfRule>
    <cfRule type="containsBlanks" dxfId="11705" priority="6621">
      <formula>LEN(TRIM(AI132))=0</formula>
    </cfRule>
    <cfRule type="containsBlanks" dxfId="11704" priority="6622">
      <formula>LEN(TRIM(AI132))=0</formula>
    </cfRule>
    <cfRule type="containsBlanks" dxfId="11703" priority="6623">
      <formula>LEN(TRIM(AI132))=0</formula>
    </cfRule>
    <cfRule type="containsBlanks" dxfId="11702" priority="6624">
      <formula>LEN(TRIM(AI132))=0</formula>
    </cfRule>
    <cfRule type="containsBlanks" dxfId="11701" priority="6625">
      <formula>LEN(TRIM(AI132))=0</formula>
    </cfRule>
    <cfRule type="containsBlanks" dxfId="11700" priority="6626">
      <formula>LEN(TRIM(AI132))=0</formula>
    </cfRule>
    <cfRule type="containsBlanks" dxfId="11699" priority="6627">
      <formula>LEN(TRIM(AI132))=0</formula>
    </cfRule>
    <cfRule type="containsBlanks" dxfId="11698" priority="6628">
      <formula>LEN(TRIM(AI132))=0</formula>
    </cfRule>
    <cfRule type="containsBlanks" dxfId="11697" priority="6629">
      <formula>LEN(TRIM(AI132))=0</formula>
    </cfRule>
    <cfRule type="containsBlanks" dxfId="11696" priority="6630">
      <formula>LEN(TRIM(AI132))=0</formula>
    </cfRule>
    <cfRule type="containsBlanks" dxfId="11695" priority="6631">
      <formula>LEN(TRIM(AI132))=0</formula>
    </cfRule>
    <cfRule type="containsBlanks" dxfId="11694" priority="6632">
      <formula>LEN(TRIM(AI132))=0</formula>
    </cfRule>
    <cfRule type="containsBlanks" dxfId="11693" priority="6633">
      <formula>LEN(TRIM(AI132))=0</formula>
    </cfRule>
    <cfRule type="containsBlanks" dxfId="11692" priority="6634">
      <formula>LEN(TRIM(AI132))=0</formula>
    </cfRule>
    <cfRule type="containsBlanks" dxfId="11691" priority="6635">
      <formula>LEN(TRIM(AI132))=0</formula>
    </cfRule>
    <cfRule type="containsBlanks" dxfId="11690" priority="6636">
      <formula>LEN(TRIM(AI132))=0</formula>
    </cfRule>
    <cfRule type="containsBlanks" dxfId="11689" priority="6637">
      <formula>LEN(TRIM(AI132))=0</formula>
    </cfRule>
    <cfRule type="containsBlanks" dxfId="11688" priority="6638">
      <formula>LEN(TRIM(AI132))=0</formula>
    </cfRule>
    <cfRule type="containsBlanks" dxfId="11687" priority="6639">
      <formula>LEN(TRIM(AI132))=0</formula>
    </cfRule>
    <cfRule type="containsBlanks" dxfId="11686" priority="6640">
      <formula>LEN(TRIM(AI132))=0</formula>
    </cfRule>
    <cfRule type="containsBlanks" dxfId="11685" priority="6641">
      <formula>LEN(TRIM(AI132))=0</formula>
    </cfRule>
    <cfRule type="containsBlanks" dxfId="11684" priority="6642">
      <formula>LEN(TRIM(AI132))=0</formula>
    </cfRule>
    <cfRule type="containsBlanks" dxfId="11683" priority="6643">
      <formula>LEN(TRIM(AI132))=0</formula>
    </cfRule>
    <cfRule type="containsBlanks" dxfId="11682" priority="6644">
      <formula>LEN(TRIM(AI132))=0</formula>
    </cfRule>
    <cfRule type="containsBlanks" dxfId="11681" priority="6645">
      <formula>LEN(TRIM(AI132))=0</formula>
    </cfRule>
    <cfRule type="containsBlanks" dxfId="11680" priority="6646">
      <formula>LEN(TRIM(AI132))=0</formula>
    </cfRule>
    <cfRule type="containsBlanks" dxfId="11679" priority="6647">
      <formula>LEN(TRIM(AI132))=0</formula>
    </cfRule>
    <cfRule type="containsBlanks" dxfId="11678" priority="6648">
      <formula>LEN(TRIM(AI132))=0</formula>
    </cfRule>
    <cfRule type="containsBlanks" dxfId="11677" priority="6649">
      <formula>LEN(TRIM(AI132))=0</formula>
    </cfRule>
    <cfRule type="containsBlanks" dxfId="11676" priority="6650">
      <formula>LEN(TRIM(AI132))=0</formula>
    </cfRule>
    <cfRule type="containsBlanks" dxfId="11675" priority="6651">
      <formula>LEN(TRIM(AI132))=0</formula>
    </cfRule>
    <cfRule type="containsBlanks" dxfId="11674" priority="6652">
      <formula>LEN(TRIM(AI132))=0</formula>
    </cfRule>
    <cfRule type="containsBlanks" dxfId="11673" priority="6653">
      <formula>LEN(TRIM(AI132))=0</formula>
    </cfRule>
    <cfRule type="containsBlanks" dxfId="11672" priority="6654">
      <formula>LEN(TRIM(AI132))=0</formula>
    </cfRule>
    <cfRule type="containsBlanks" dxfId="11671" priority="6655">
      <formula>LEN(TRIM(AI132))=0</formula>
    </cfRule>
    <cfRule type="containsBlanks" dxfId="11670" priority="6656">
      <formula>LEN(TRIM(AI132))=0</formula>
    </cfRule>
    <cfRule type="containsBlanks" dxfId="11669" priority="6657">
      <formula>LEN(TRIM(AI132))=0</formula>
    </cfRule>
    <cfRule type="containsBlanks" dxfId="11668" priority="6658">
      <formula>LEN(TRIM(AI132))=0</formula>
    </cfRule>
    <cfRule type="containsBlanks" dxfId="11667" priority="6659">
      <formula>LEN(TRIM(AI132))=0</formula>
    </cfRule>
    <cfRule type="containsBlanks" dxfId="11666" priority="6660">
      <formula>LEN(TRIM(AI132))=0</formula>
    </cfRule>
    <cfRule type="containsBlanks" dxfId="11665" priority="6661">
      <formula>LEN(TRIM(AI132))=0</formula>
    </cfRule>
    <cfRule type="containsBlanks" dxfId="11664" priority="6662">
      <formula>LEN(TRIM(AI132))=0</formula>
    </cfRule>
    <cfRule type="containsBlanks" dxfId="11663" priority="6663">
      <formula>LEN(TRIM(AI132))=0</formula>
    </cfRule>
    <cfRule type="containsBlanks" dxfId="11662" priority="6664">
      <formula>LEN(TRIM(AI132))=0</formula>
    </cfRule>
    <cfRule type="containsBlanks" dxfId="11661" priority="6665">
      <formula>LEN(TRIM(AI132))=0</formula>
    </cfRule>
    <cfRule type="containsBlanks" dxfId="11660" priority="6666">
      <formula>LEN(TRIM(AI132))=0</formula>
    </cfRule>
    <cfRule type="containsBlanks" dxfId="11659" priority="6667">
      <formula>LEN(TRIM(AI132))=0</formula>
    </cfRule>
    <cfRule type="containsBlanks" dxfId="11658" priority="6668">
      <formula>LEN(TRIM(AI132))=0</formula>
    </cfRule>
    <cfRule type="containsBlanks" dxfId="11657" priority="6669">
      <formula>LEN(TRIM(AI132))=0</formula>
    </cfRule>
    <cfRule type="containsBlanks" dxfId="11656" priority="6670">
      <formula>LEN(TRIM(AI132))=0</formula>
    </cfRule>
    <cfRule type="containsBlanks" dxfId="11655" priority="6671">
      <formula>LEN(TRIM(AI132))=0</formula>
    </cfRule>
    <cfRule type="containsBlanks" dxfId="11654" priority="6672">
      <formula>LEN(TRIM(AI132))=0</formula>
    </cfRule>
    <cfRule type="containsBlanks" dxfId="11653" priority="6673">
      <formula>LEN(TRIM(AI132))=0</formula>
    </cfRule>
    <cfRule type="containsBlanks" dxfId="11652" priority="6674">
      <formula>LEN(TRIM(AI132))=0</formula>
    </cfRule>
    <cfRule type="containsBlanks" dxfId="11651" priority="6675">
      <formula>LEN(TRIM(AI132))=0</formula>
    </cfRule>
    <cfRule type="containsBlanks" dxfId="11650" priority="6676">
      <formula>LEN(TRIM(AI132))=0</formula>
    </cfRule>
    <cfRule type="containsBlanks" dxfId="11649" priority="6677">
      <formula>LEN(TRIM(AI132))=0</formula>
    </cfRule>
    <cfRule type="containsBlanks" dxfId="11648" priority="6678">
      <formula>LEN(TRIM(AI132))=0</formula>
    </cfRule>
    <cfRule type="containsBlanks" dxfId="11647" priority="6679">
      <formula>LEN(TRIM(AI132))=0</formula>
    </cfRule>
    <cfRule type="containsBlanks" dxfId="11646" priority="6680">
      <formula>LEN(TRIM(AI132))=0</formula>
    </cfRule>
    <cfRule type="containsBlanks" dxfId="11645" priority="6681">
      <formula>LEN(TRIM(AI132))=0</formula>
    </cfRule>
    <cfRule type="containsBlanks" dxfId="11644" priority="6682">
      <formula>LEN(TRIM(AI132))=0</formula>
    </cfRule>
    <cfRule type="containsBlanks" dxfId="11643" priority="6683">
      <formula>LEN(TRIM(AI132))=0</formula>
    </cfRule>
    <cfRule type="containsBlanks" dxfId="11642" priority="6684">
      <formula>LEN(TRIM(AI132))=0</formula>
    </cfRule>
    <cfRule type="containsBlanks" dxfId="11641" priority="6685">
      <formula>LEN(TRIM(AI132))=0</formula>
    </cfRule>
    <cfRule type="containsBlanks" dxfId="11640" priority="6686">
      <formula>LEN(TRIM(AI132))=0</formula>
    </cfRule>
    <cfRule type="containsBlanks" dxfId="11639" priority="6687">
      <formula>LEN(TRIM(AI132))=0</formula>
    </cfRule>
  </conditionalFormatting>
  <conditionalFormatting sqref="AI133">
    <cfRule type="containsBlanks" dxfId="11638" priority="6603">
      <formula>LEN(TRIM(AI133))=0</formula>
    </cfRule>
  </conditionalFormatting>
  <conditionalFormatting sqref="AI133">
    <cfRule type="containsBlanks" dxfId="11637" priority="6602">
      <formula>LEN(TRIM(AI133))=0</formula>
    </cfRule>
  </conditionalFormatting>
  <conditionalFormatting sqref="AI133">
    <cfRule type="containsBlanks" dxfId="11636" priority="6600">
      <formula>LEN(TRIM(AI133))=0</formula>
    </cfRule>
    <cfRule type="containsBlanks" dxfId="11635" priority="6601">
      <formula>LEN(TRIM(AI133))=0</formula>
    </cfRule>
  </conditionalFormatting>
  <conditionalFormatting sqref="AI133">
    <cfRule type="containsBlanks" dxfId="11634" priority="6599">
      <formula>LEN(TRIM(AI133))=0</formula>
    </cfRule>
  </conditionalFormatting>
  <conditionalFormatting sqref="AI133">
    <cfRule type="containsBlanks" dxfId="11633" priority="6598">
      <formula>LEN(TRIM(AI133))=0</formula>
    </cfRule>
  </conditionalFormatting>
  <conditionalFormatting sqref="AI133">
    <cfRule type="containsBlanks" dxfId="11632" priority="6597">
      <formula>LEN(TRIM(AI133))=0</formula>
    </cfRule>
  </conditionalFormatting>
  <conditionalFormatting sqref="AI133">
    <cfRule type="containsBlanks" dxfId="11631" priority="6595">
      <formula>LEN(TRIM(AI133))=0</formula>
    </cfRule>
    <cfRule type="containsBlanks" dxfId="11630" priority="6596">
      <formula>LEN(TRIM(AI133))=0</formula>
    </cfRule>
  </conditionalFormatting>
  <conditionalFormatting sqref="AI133">
    <cfRule type="containsBlanks" dxfId="11629" priority="6593">
      <formula>LEN(TRIM(AI133))=0</formula>
    </cfRule>
    <cfRule type="containsBlanks" dxfId="11628" priority="6594">
      <formula>LEN(TRIM(AI133))=0</formula>
    </cfRule>
  </conditionalFormatting>
  <conditionalFormatting sqref="AI133">
    <cfRule type="containsBlanks" dxfId="11627" priority="6591">
      <formula>LEN(TRIM(AI133))=0</formula>
    </cfRule>
    <cfRule type="containsBlanks" dxfId="11626" priority="6592">
      <formula>LEN(TRIM(AI133))=0</formula>
    </cfRule>
  </conditionalFormatting>
  <conditionalFormatting sqref="AI133">
    <cfRule type="containsBlanks" dxfId="11625" priority="6589">
      <formula>LEN(TRIM(AI133))=0</formula>
    </cfRule>
    <cfRule type="containsBlanks" dxfId="11624" priority="6590">
      <formula>LEN(TRIM(AI133))=0</formula>
    </cfRule>
  </conditionalFormatting>
  <conditionalFormatting sqref="AI133">
    <cfRule type="containsBlanks" dxfId="11623" priority="6523">
      <formula>LEN(TRIM(AI133))=0</formula>
    </cfRule>
    <cfRule type="containsBlanks" dxfId="11622" priority="6524">
      <formula>LEN(TRIM(AI133))=0</formula>
    </cfRule>
    <cfRule type="containsBlanks" dxfId="11621" priority="6525">
      <formula>LEN(TRIM(AI133))=0</formula>
    </cfRule>
    <cfRule type="containsBlanks" dxfId="11620" priority="6526">
      <formula>LEN(TRIM(AI133))=0</formula>
    </cfRule>
    <cfRule type="containsBlanks" dxfId="11619" priority="6527">
      <formula>LEN(TRIM(AI133))=0</formula>
    </cfRule>
    <cfRule type="containsBlanks" dxfId="11618" priority="6528">
      <formula>LEN(TRIM(AI133))=0</formula>
    </cfRule>
    <cfRule type="containsBlanks" dxfId="11617" priority="6529">
      <formula>LEN(TRIM(AI133))=0</formula>
    </cfRule>
    <cfRule type="containsBlanks" dxfId="11616" priority="6530">
      <formula>LEN(TRIM(AI133))=0</formula>
    </cfRule>
    <cfRule type="containsBlanks" dxfId="11615" priority="6531">
      <formula>LEN(TRIM(AI133))=0</formula>
    </cfRule>
    <cfRule type="containsBlanks" dxfId="11614" priority="6532">
      <formula>LEN(TRIM(AI133))=0</formula>
    </cfRule>
    <cfRule type="containsBlanks" dxfId="11613" priority="6533">
      <formula>LEN(TRIM(AI133))=0</formula>
    </cfRule>
    <cfRule type="containsBlanks" dxfId="11612" priority="6534">
      <formula>LEN(TRIM(AI133))=0</formula>
    </cfRule>
    <cfRule type="containsBlanks" dxfId="11611" priority="6535">
      <formula>LEN(TRIM(AI133))=0</formula>
    </cfRule>
    <cfRule type="containsBlanks" dxfId="11610" priority="6536">
      <formula>LEN(TRIM(AI133))=0</formula>
    </cfRule>
    <cfRule type="containsBlanks" dxfId="11609" priority="6537">
      <formula>LEN(TRIM(AI133))=0</formula>
    </cfRule>
    <cfRule type="containsBlanks" dxfId="11608" priority="6538">
      <formula>LEN(TRIM(AI133))=0</formula>
    </cfRule>
    <cfRule type="containsBlanks" dxfId="11607" priority="6539">
      <formula>LEN(TRIM(AI133))=0</formula>
    </cfRule>
    <cfRule type="containsBlanks" dxfId="11606" priority="6540">
      <formula>LEN(TRIM(AI133))=0</formula>
    </cfRule>
    <cfRule type="containsBlanks" dxfId="11605" priority="6541">
      <formula>LEN(TRIM(AI133))=0</formula>
    </cfRule>
    <cfRule type="containsBlanks" dxfId="11604" priority="6542">
      <formula>LEN(TRIM(AI133))=0</formula>
    </cfRule>
    <cfRule type="containsBlanks" dxfId="11603" priority="6543">
      <formula>LEN(TRIM(AI133))=0</formula>
    </cfRule>
    <cfRule type="containsBlanks" dxfId="11602" priority="6544">
      <formula>LEN(TRIM(AI133))=0</formula>
    </cfRule>
    <cfRule type="containsBlanks" dxfId="11601" priority="6545">
      <formula>LEN(TRIM(AI133))=0</formula>
    </cfRule>
    <cfRule type="containsBlanks" dxfId="11600" priority="6546">
      <formula>LEN(TRIM(AI133))=0</formula>
    </cfRule>
    <cfRule type="containsBlanks" dxfId="11599" priority="6547">
      <formula>LEN(TRIM(AI133))=0</formula>
    </cfRule>
    <cfRule type="containsBlanks" dxfId="11598" priority="6548">
      <formula>LEN(TRIM(AI133))=0</formula>
    </cfRule>
    <cfRule type="containsBlanks" dxfId="11597" priority="6549">
      <formula>LEN(TRIM(AI133))=0</formula>
    </cfRule>
    <cfRule type="containsBlanks" dxfId="11596" priority="6550">
      <formula>LEN(TRIM(AI133))=0</formula>
    </cfRule>
    <cfRule type="containsBlanks" dxfId="11595" priority="6551">
      <formula>LEN(TRIM(AI133))=0</formula>
    </cfRule>
    <cfRule type="containsBlanks" dxfId="11594" priority="6552">
      <formula>LEN(TRIM(AI133))=0</formula>
    </cfRule>
    <cfRule type="containsBlanks" dxfId="11593" priority="6553">
      <formula>LEN(TRIM(AI133))=0</formula>
    </cfRule>
    <cfRule type="containsBlanks" dxfId="11592" priority="6554">
      <formula>LEN(TRIM(AI133))=0</formula>
    </cfRule>
    <cfRule type="containsBlanks" dxfId="11591" priority="6555">
      <formula>LEN(TRIM(AI133))=0</formula>
    </cfRule>
    <cfRule type="containsBlanks" dxfId="11590" priority="6556">
      <formula>LEN(TRIM(AI133))=0</formula>
    </cfRule>
    <cfRule type="containsBlanks" dxfId="11589" priority="6557">
      <formula>LEN(TRIM(AI133))=0</formula>
    </cfRule>
    <cfRule type="containsBlanks" dxfId="11588" priority="6558">
      <formula>LEN(TRIM(AI133))=0</formula>
    </cfRule>
    <cfRule type="containsBlanks" dxfId="11587" priority="6559">
      <formula>LEN(TRIM(AI133))=0</formula>
    </cfRule>
    <cfRule type="containsBlanks" dxfId="11586" priority="6560">
      <formula>LEN(TRIM(AI133))=0</formula>
    </cfRule>
    <cfRule type="containsBlanks" dxfId="11585" priority="6561">
      <formula>LEN(TRIM(AI133))=0</formula>
    </cfRule>
    <cfRule type="containsBlanks" dxfId="11584" priority="6562">
      <formula>LEN(TRIM(AI133))=0</formula>
    </cfRule>
    <cfRule type="containsBlanks" dxfId="11583" priority="6563">
      <formula>LEN(TRIM(AI133))=0</formula>
    </cfRule>
    <cfRule type="containsBlanks" dxfId="11582" priority="6564">
      <formula>LEN(TRIM(AI133))=0</formula>
    </cfRule>
    <cfRule type="containsBlanks" dxfId="11581" priority="6565">
      <formula>LEN(TRIM(AI133))=0</formula>
    </cfRule>
    <cfRule type="containsBlanks" dxfId="11580" priority="6566">
      <formula>LEN(TRIM(AI133))=0</formula>
    </cfRule>
    <cfRule type="containsBlanks" dxfId="11579" priority="6567">
      <formula>LEN(TRIM(AI133))=0</formula>
    </cfRule>
    <cfRule type="containsBlanks" dxfId="11578" priority="6568">
      <formula>LEN(TRIM(AI133))=0</formula>
    </cfRule>
    <cfRule type="containsBlanks" dxfId="11577" priority="6569">
      <formula>LEN(TRIM(AI133))=0</formula>
    </cfRule>
    <cfRule type="containsBlanks" dxfId="11576" priority="6570">
      <formula>LEN(TRIM(AI133))=0</formula>
    </cfRule>
    <cfRule type="containsBlanks" dxfId="11575" priority="6571">
      <formula>LEN(TRIM(AI133))=0</formula>
    </cfRule>
    <cfRule type="containsBlanks" dxfId="11574" priority="6572">
      <formula>LEN(TRIM(AI133))=0</formula>
    </cfRule>
    <cfRule type="containsBlanks" dxfId="11573" priority="6573">
      <formula>LEN(TRIM(AI133))=0</formula>
    </cfRule>
    <cfRule type="containsBlanks" dxfId="11572" priority="6574">
      <formula>LEN(TRIM(AI133))=0</formula>
    </cfRule>
    <cfRule type="containsBlanks" dxfId="11571" priority="6575">
      <formula>LEN(TRIM(AI133))=0</formula>
    </cfRule>
    <cfRule type="containsBlanks" dxfId="11570" priority="6576">
      <formula>LEN(TRIM(AI133))=0</formula>
    </cfRule>
    <cfRule type="containsBlanks" dxfId="11569" priority="6577">
      <formula>LEN(TRIM(AI133))=0</formula>
    </cfRule>
    <cfRule type="containsBlanks" dxfId="11568" priority="6578">
      <formula>LEN(TRIM(AI133))=0</formula>
    </cfRule>
    <cfRule type="containsBlanks" dxfId="11567" priority="6579">
      <formula>LEN(TRIM(AI133))=0</formula>
    </cfRule>
    <cfRule type="containsBlanks" dxfId="11566" priority="6580">
      <formula>LEN(TRIM(AI133))=0</formula>
    </cfRule>
    <cfRule type="containsBlanks" dxfId="11565" priority="6581">
      <formula>LEN(TRIM(AI133))=0</formula>
    </cfRule>
    <cfRule type="containsBlanks" dxfId="11564" priority="6582">
      <formula>LEN(TRIM(AI133))=0</formula>
    </cfRule>
    <cfRule type="containsBlanks" dxfId="11563" priority="6583">
      <formula>LEN(TRIM(AI133))=0</formula>
    </cfRule>
    <cfRule type="containsBlanks" dxfId="11562" priority="6584">
      <formula>LEN(TRIM(AI133))=0</formula>
    </cfRule>
    <cfRule type="containsBlanks" dxfId="11561" priority="6585">
      <formula>LEN(TRIM(AI133))=0</formula>
    </cfRule>
    <cfRule type="containsBlanks" dxfId="11560" priority="6586">
      <formula>LEN(TRIM(AI133))=0</formula>
    </cfRule>
    <cfRule type="containsBlanks" dxfId="11559" priority="6587">
      <formula>LEN(TRIM(AI133))=0</formula>
    </cfRule>
    <cfRule type="containsBlanks" dxfId="11558" priority="6588">
      <formula>LEN(TRIM(AI133))=0</formula>
    </cfRule>
  </conditionalFormatting>
  <conditionalFormatting sqref="AI133">
    <cfRule type="containsBlanks" dxfId="11557" priority="6468">
      <formula>LEN(TRIM(AI133))=0</formula>
    </cfRule>
    <cfRule type="containsBlanks" dxfId="11556" priority="6469">
      <formula>LEN(TRIM(AI133))=0</formula>
    </cfRule>
    <cfRule type="containsBlanks" dxfId="11555" priority="6470">
      <formula>LEN(TRIM(AI133))=0</formula>
    </cfRule>
    <cfRule type="containsBlanks" dxfId="11554" priority="6471">
      <formula>LEN(TRIM(AI133))=0</formula>
    </cfRule>
    <cfRule type="containsBlanks" dxfId="11553" priority="6472">
      <formula>LEN(TRIM(AI133))=0</formula>
    </cfRule>
    <cfRule type="containsBlanks" dxfId="11552" priority="6473">
      <formula>LEN(TRIM(AI133))=0</formula>
    </cfRule>
    <cfRule type="containsBlanks" dxfId="11551" priority="6474">
      <formula>LEN(TRIM(AI133))=0</formula>
    </cfRule>
    <cfRule type="containsBlanks" dxfId="11550" priority="6475">
      <formula>LEN(TRIM(AI133))=0</formula>
    </cfRule>
    <cfRule type="containsBlanks" dxfId="11549" priority="6476">
      <formula>LEN(TRIM(AI133))=0</formula>
    </cfRule>
    <cfRule type="containsBlanks" dxfId="11548" priority="6477">
      <formula>LEN(TRIM(AI133))=0</formula>
    </cfRule>
    <cfRule type="containsBlanks" dxfId="11547" priority="6478">
      <formula>LEN(TRIM(AI133))=0</formula>
    </cfRule>
    <cfRule type="containsBlanks" dxfId="11546" priority="6479">
      <formula>LEN(TRIM(AI133))=0</formula>
    </cfRule>
    <cfRule type="containsBlanks" dxfId="11545" priority="6480">
      <formula>LEN(TRIM(AI133))=0</formula>
    </cfRule>
    <cfRule type="containsBlanks" dxfId="11544" priority="6481">
      <formula>LEN(TRIM(AI133))=0</formula>
    </cfRule>
    <cfRule type="containsBlanks" dxfId="11543" priority="6482">
      <formula>LEN(TRIM(AI133))=0</formula>
    </cfRule>
    <cfRule type="containsBlanks" dxfId="11542" priority="6483">
      <formula>LEN(TRIM(AI133))=0</formula>
    </cfRule>
    <cfRule type="containsBlanks" dxfId="11541" priority="6484">
      <formula>LEN(TRIM(AI133))=0</formula>
    </cfRule>
    <cfRule type="containsBlanks" dxfId="11540" priority="6485">
      <formula>LEN(TRIM(AI133))=0</formula>
    </cfRule>
    <cfRule type="containsBlanks" dxfId="11539" priority="6486">
      <formula>LEN(TRIM(AI133))=0</formula>
    </cfRule>
    <cfRule type="containsBlanks" dxfId="11538" priority="6487">
      <formula>LEN(TRIM(AI133))=0</formula>
    </cfRule>
    <cfRule type="containsBlanks" dxfId="11537" priority="6488">
      <formula>LEN(TRIM(AI133))=0</formula>
    </cfRule>
    <cfRule type="containsBlanks" dxfId="11536" priority="6489">
      <formula>LEN(TRIM(AI133))=0</formula>
    </cfRule>
    <cfRule type="containsBlanks" dxfId="11535" priority="6490">
      <formula>LEN(TRIM(AI133))=0</formula>
    </cfRule>
    <cfRule type="containsBlanks" dxfId="11534" priority="6491">
      <formula>LEN(TRIM(AI133))=0</formula>
    </cfRule>
    <cfRule type="containsBlanks" dxfId="11533" priority="6492">
      <formula>LEN(TRIM(AI133))=0</formula>
    </cfRule>
    <cfRule type="containsBlanks" dxfId="11532" priority="6493">
      <formula>LEN(TRIM(AI133))=0</formula>
    </cfRule>
    <cfRule type="containsBlanks" dxfId="11531" priority="6494">
      <formula>LEN(TRIM(AI133))=0</formula>
    </cfRule>
    <cfRule type="containsBlanks" dxfId="11530" priority="6495">
      <formula>LEN(TRIM(AI133))=0</formula>
    </cfRule>
    <cfRule type="containsBlanks" dxfId="11529" priority="6496">
      <formula>LEN(TRIM(AI133))=0</formula>
    </cfRule>
    <cfRule type="containsBlanks" dxfId="11528" priority="6497">
      <formula>LEN(TRIM(AI133))=0</formula>
    </cfRule>
    <cfRule type="containsBlanks" dxfId="11527" priority="6498">
      <formula>LEN(TRIM(AI133))=0</formula>
    </cfRule>
    <cfRule type="containsBlanks" dxfId="11526" priority="6499">
      <formula>LEN(TRIM(AI133))=0</formula>
    </cfRule>
    <cfRule type="containsBlanks" dxfId="11525" priority="6500">
      <formula>LEN(TRIM(AI133))=0</formula>
    </cfRule>
    <cfRule type="containsBlanks" dxfId="11524" priority="6501">
      <formula>LEN(TRIM(AI133))=0</formula>
    </cfRule>
    <cfRule type="containsBlanks" dxfId="11523" priority="6502">
      <formula>LEN(TRIM(AI133))=0</formula>
    </cfRule>
    <cfRule type="containsBlanks" dxfId="11522" priority="6503">
      <formula>LEN(TRIM(AI133))=0</formula>
    </cfRule>
    <cfRule type="containsBlanks" dxfId="11521" priority="6504">
      <formula>LEN(TRIM(AI133))=0</formula>
    </cfRule>
    <cfRule type="containsBlanks" dxfId="11520" priority="6505">
      <formula>LEN(TRIM(AI133))=0</formula>
    </cfRule>
    <cfRule type="containsBlanks" dxfId="11519" priority="6506">
      <formula>LEN(TRIM(AI133))=0</formula>
    </cfRule>
    <cfRule type="containsBlanks" dxfId="11518" priority="6507">
      <formula>LEN(TRIM(AI133))=0</formula>
    </cfRule>
    <cfRule type="containsBlanks" dxfId="11517" priority="6508">
      <formula>LEN(TRIM(AI133))=0</formula>
    </cfRule>
    <cfRule type="containsBlanks" dxfId="11516" priority="6509">
      <formula>LEN(TRIM(AI133))=0</formula>
    </cfRule>
    <cfRule type="containsBlanks" dxfId="11515" priority="6510">
      <formula>LEN(TRIM(AI133))=0</formula>
    </cfRule>
    <cfRule type="containsBlanks" dxfId="11514" priority="6511">
      <formula>LEN(TRIM(AI133))=0</formula>
    </cfRule>
    <cfRule type="containsBlanks" dxfId="11513" priority="6512">
      <formula>LEN(TRIM(AI133))=0</formula>
    </cfRule>
    <cfRule type="containsBlanks" dxfId="11512" priority="6513">
      <formula>LEN(TRIM(AI133))=0</formula>
    </cfRule>
    <cfRule type="containsBlanks" dxfId="11511" priority="6514">
      <formula>LEN(TRIM(AI133))=0</formula>
    </cfRule>
    <cfRule type="containsBlanks" dxfId="11510" priority="6515">
      <formula>LEN(TRIM(AI133))=0</formula>
    </cfRule>
    <cfRule type="containsBlanks" dxfId="11509" priority="6516">
      <formula>LEN(TRIM(AI133))=0</formula>
    </cfRule>
    <cfRule type="containsBlanks" dxfId="11508" priority="6517">
      <formula>LEN(TRIM(AI133))=0</formula>
    </cfRule>
    <cfRule type="containsBlanks" dxfId="11507" priority="6518">
      <formula>LEN(TRIM(AI133))=0</formula>
    </cfRule>
    <cfRule type="containsBlanks" dxfId="11506" priority="6519">
      <formula>LEN(TRIM(AI133))=0</formula>
    </cfRule>
    <cfRule type="containsBlanks" dxfId="11505" priority="6520">
      <formula>LEN(TRIM(AI133))=0</formula>
    </cfRule>
    <cfRule type="containsBlanks" dxfId="11504" priority="6521">
      <formula>LEN(TRIM(AI133))=0</formula>
    </cfRule>
    <cfRule type="containsBlanks" dxfId="11503" priority="6522">
      <formula>LEN(TRIM(AI133))=0</formula>
    </cfRule>
  </conditionalFormatting>
  <conditionalFormatting sqref="AI133">
    <cfRule type="containsBlanks" dxfId="11502" priority="6384">
      <formula>LEN(TRIM(AI133))=0</formula>
    </cfRule>
    <cfRule type="containsBlanks" dxfId="11501" priority="6385">
      <formula>LEN(TRIM(AI133))=0</formula>
    </cfRule>
    <cfRule type="containsBlanks" dxfId="11500" priority="6386">
      <formula>LEN(TRIM(AI133))=0</formula>
    </cfRule>
    <cfRule type="containsBlanks" dxfId="11499" priority="6387">
      <formula>LEN(TRIM(AI133))=0</formula>
    </cfRule>
    <cfRule type="containsBlanks" dxfId="11498" priority="6388">
      <formula>LEN(TRIM(AI133))=0</formula>
    </cfRule>
    <cfRule type="containsBlanks" dxfId="11497" priority="6389">
      <formula>LEN(TRIM(AI133))=0</formula>
    </cfRule>
    <cfRule type="containsBlanks" dxfId="11496" priority="6390">
      <formula>LEN(TRIM(AI133))=0</formula>
    </cfRule>
    <cfRule type="containsBlanks" dxfId="11495" priority="6391">
      <formula>LEN(TRIM(AI133))=0</formula>
    </cfRule>
    <cfRule type="containsBlanks" dxfId="11494" priority="6392">
      <formula>LEN(TRIM(AI133))=0</formula>
    </cfRule>
    <cfRule type="containsBlanks" dxfId="11493" priority="6393">
      <formula>LEN(TRIM(AI133))=0</formula>
    </cfRule>
    <cfRule type="containsBlanks" dxfId="11492" priority="6394">
      <formula>LEN(TRIM(AI133))=0</formula>
    </cfRule>
    <cfRule type="containsBlanks" dxfId="11491" priority="6395">
      <formula>LEN(TRIM(AI133))=0</formula>
    </cfRule>
    <cfRule type="containsBlanks" dxfId="11490" priority="6396">
      <formula>LEN(TRIM(AI133))=0</formula>
    </cfRule>
    <cfRule type="containsBlanks" dxfId="11489" priority="6397">
      <formula>LEN(TRIM(AI133))=0</formula>
    </cfRule>
    <cfRule type="containsBlanks" dxfId="11488" priority="6398">
      <formula>LEN(TRIM(AI133))=0</formula>
    </cfRule>
    <cfRule type="containsBlanks" dxfId="11487" priority="6399">
      <formula>LEN(TRIM(AI133))=0</formula>
    </cfRule>
    <cfRule type="containsBlanks" dxfId="11486" priority="6400">
      <formula>LEN(TRIM(AI133))=0</formula>
    </cfRule>
    <cfRule type="containsBlanks" dxfId="11485" priority="6401">
      <formula>LEN(TRIM(AI133))=0</formula>
    </cfRule>
    <cfRule type="containsBlanks" dxfId="11484" priority="6402">
      <formula>LEN(TRIM(AI133))=0</formula>
    </cfRule>
    <cfRule type="containsBlanks" dxfId="11483" priority="6403">
      <formula>LEN(TRIM(AI133))=0</formula>
    </cfRule>
    <cfRule type="containsBlanks" dxfId="11482" priority="6404">
      <formula>LEN(TRIM(AI133))=0</formula>
    </cfRule>
    <cfRule type="containsBlanks" dxfId="11481" priority="6405">
      <formula>LEN(TRIM(AI133))=0</formula>
    </cfRule>
    <cfRule type="containsBlanks" dxfId="11480" priority="6406">
      <formula>LEN(TRIM(AI133))=0</formula>
    </cfRule>
    <cfRule type="containsBlanks" dxfId="11479" priority="6407">
      <formula>LEN(TRIM(AI133))=0</formula>
    </cfRule>
    <cfRule type="containsBlanks" dxfId="11478" priority="6408">
      <formula>LEN(TRIM(AI133))=0</formula>
    </cfRule>
    <cfRule type="containsBlanks" dxfId="11477" priority="6409">
      <formula>LEN(TRIM(AI133))=0</formula>
    </cfRule>
    <cfRule type="containsBlanks" dxfId="11476" priority="6410">
      <formula>LEN(TRIM(AI133))=0</formula>
    </cfRule>
    <cfRule type="containsBlanks" dxfId="11475" priority="6411">
      <formula>LEN(TRIM(AI133))=0</formula>
    </cfRule>
    <cfRule type="containsBlanks" dxfId="11474" priority="6412">
      <formula>LEN(TRIM(AI133))=0</formula>
    </cfRule>
    <cfRule type="containsBlanks" dxfId="11473" priority="6413">
      <formula>LEN(TRIM(AI133))=0</formula>
    </cfRule>
    <cfRule type="containsBlanks" dxfId="11472" priority="6414">
      <formula>LEN(TRIM(AI133))=0</formula>
    </cfRule>
    <cfRule type="containsBlanks" dxfId="11471" priority="6415">
      <formula>LEN(TRIM(AI133))=0</formula>
    </cfRule>
    <cfRule type="containsBlanks" dxfId="11470" priority="6416">
      <formula>LEN(TRIM(AI133))=0</formula>
    </cfRule>
    <cfRule type="containsBlanks" dxfId="11469" priority="6417">
      <formula>LEN(TRIM(AI133))=0</formula>
    </cfRule>
    <cfRule type="containsBlanks" dxfId="11468" priority="6418">
      <formula>LEN(TRIM(AI133))=0</formula>
    </cfRule>
    <cfRule type="containsBlanks" dxfId="11467" priority="6419">
      <formula>LEN(TRIM(AI133))=0</formula>
    </cfRule>
    <cfRule type="containsBlanks" dxfId="11466" priority="6420">
      <formula>LEN(TRIM(AI133))=0</formula>
    </cfRule>
    <cfRule type="containsBlanks" dxfId="11465" priority="6421">
      <formula>LEN(TRIM(AI133))=0</formula>
    </cfRule>
    <cfRule type="containsBlanks" dxfId="11464" priority="6422">
      <formula>LEN(TRIM(AI133))=0</formula>
    </cfRule>
    <cfRule type="containsBlanks" dxfId="11463" priority="6423">
      <formula>LEN(TRIM(AI133))=0</formula>
    </cfRule>
    <cfRule type="containsBlanks" dxfId="11462" priority="6424">
      <formula>LEN(TRIM(AI133))=0</formula>
    </cfRule>
    <cfRule type="containsBlanks" dxfId="11461" priority="6425">
      <formula>LEN(TRIM(AI133))=0</formula>
    </cfRule>
    <cfRule type="containsBlanks" dxfId="11460" priority="6426">
      <formula>LEN(TRIM(AI133))=0</formula>
    </cfRule>
    <cfRule type="containsBlanks" dxfId="11459" priority="6427">
      <formula>LEN(TRIM(AI133))=0</formula>
    </cfRule>
    <cfRule type="containsBlanks" dxfId="11458" priority="6428">
      <formula>LEN(TRIM(AI133))=0</formula>
    </cfRule>
    <cfRule type="containsBlanks" dxfId="11457" priority="6429">
      <formula>LEN(TRIM(AI133))=0</formula>
    </cfRule>
    <cfRule type="containsBlanks" dxfId="11456" priority="6430">
      <formula>LEN(TRIM(AI133))=0</formula>
    </cfRule>
    <cfRule type="containsBlanks" dxfId="11455" priority="6431">
      <formula>LEN(TRIM(AI133))=0</formula>
    </cfRule>
    <cfRule type="containsBlanks" dxfId="11454" priority="6432">
      <formula>LEN(TRIM(AI133))=0</formula>
    </cfRule>
    <cfRule type="containsBlanks" dxfId="11453" priority="6433">
      <formula>LEN(TRIM(AI133))=0</formula>
    </cfRule>
    <cfRule type="containsBlanks" dxfId="11452" priority="6434">
      <formula>LEN(TRIM(AI133))=0</formula>
    </cfRule>
    <cfRule type="containsBlanks" dxfId="11451" priority="6435">
      <formula>LEN(TRIM(AI133))=0</formula>
    </cfRule>
    <cfRule type="containsBlanks" dxfId="11450" priority="6436">
      <formula>LEN(TRIM(AI133))=0</formula>
    </cfRule>
    <cfRule type="containsBlanks" dxfId="11449" priority="6437">
      <formula>LEN(TRIM(AI133))=0</formula>
    </cfRule>
    <cfRule type="containsBlanks" dxfId="11448" priority="6438">
      <formula>LEN(TRIM(AI133))=0</formula>
    </cfRule>
    <cfRule type="containsBlanks" dxfId="11447" priority="6439">
      <formula>LEN(TRIM(AI133))=0</formula>
    </cfRule>
    <cfRule type="containsBlanks" dxfId="11446" priority="6440">
      <formula>LEN(TRIM(AI133))=0</formula>
    </cfRule>
    <cfRule type="containsBlanks" dxfId="11445" priority="6441">
      <formula>LEN(TRIM(AI133))=0</formula>
    </cfRule>
    <cfRule type="containsBlanks" dxfId="11444" priority="6442">
      <formula>LEN(TRIM(AI133))=0</formula>
    </cfRule>
    <cfRule type="containsBlanks" dxfId="11443" priority="6443">
      <formula>LEN(TRIM(AI133))=0</formula>
    </cfRule>
    <cfRule type="containsBlanks" dxfId="11442" priority="6444">
      <formula>LEN(TRIM(AI133))=0</formula>
    </cfRule>
    <cfRule type="containsBlanks" dxfId="11441" priority="6445">
      <formula>LEN(TRIM(AI133))=0</formula>
    </cfRule>
    <cfRule type="containsBlanks" dxfId="11440" priority="6446">
      <formula>LEN(TRIM(AI133))=0</formula>
    </cfRule>
    <cfRule type="containsBlanks" dxfId="11439" priority="6447">
      <formula>LEN(TRIM(AI133))=0</formula>
    </cfRule>
    <cfRule type="containsBlanks" dxfId="11438" priority="6448">
      <formula>LEN(TRIM(AI133))=0</formula>
    </cfRule>
    <cfRule type="containsBlanks" dxfId="11437" priority="6449">
      <formula>LEN(TRIM(AI133))=0</formula>
    </cfRule>
    <cfRule type="containsBlanks" dxfId="11436" priority="6450">
      <formula>LEN(TRIM(AI133))=0</formula>
    </cfRule>
    <cfRule type="containsBlanks" dxfId="11435" priority="6451">
      <formula>LEN(TRIM(AI133))=0</formula>
    </cfRule>
    <cfRule type="containsBlanks" dxfId="11434" priority="6452">
      <formula>LEN(TRIM(AI133))=0</formula>
    </cfRule>
    <cfRule type="containsBlanks" dxfId="11433" priority="6453">
      <formula>LEN(TRIM(AI133))=0</formula>
    </cfRule>
    <cfRule type="containsBlanks" dxfId="11432" priority="6454">
      <formula>LEN(TRIM(AI133))=0</formula>
    </cfRule>
    <cfRule type="containsBlanks" dxfId="11431" priority="6455">
      <formula>LEN(TRIM(AI133))=0</formula>
    </cfRule>
    <cfRule type="containsBlanks" dxfId="11430" priority="6456">
      <formula>LEN(TRIM(AI133))=0</formula>
    </cfRule>
    <cfRule type="containsBlanks" dxfId="11429" priority="6457">
      <formula>LEN(TRIM(AI133))=0</formula>
    </cfRule>
    <cfRule type="containsBlanks" dxfId="11428" priority="6458">
      <formula>LEN(TRIM(AI133))=0</formula>
    </cfRule>
    <cfRule type="containsBlanks" dxfId="11427" priority="6459">
      <formula>LEN(TRIM(AI133))=0</formula>
    </cfRule>
    <cfRule type="containsBlanks" dxfId="11426" priority="6460">
      <formula>LEN(TRIM(AI133))=0</formula>
    </cfRule>
    <cfRule type="containsBlanks" dxfId="11425" priority="6461">
      <formula>LEN(TRIM(AI133))=0</formula>
    </cfRule>
    <cfRule type="containsBlanks" dxfId="11424" priority="6462">
      <formula>LEN(TRIM(AI133))=0</formula>
    </cfRule>
    <cfRule type="containsBlanks" dxfId="11423" priority="6463">
      <formula>LEN(TRIM(AI133))=0</formula>
    </cfRule>
    <cfRule type="containsBlanks" dxfId="11422" priority="6464">
      <formula>LEN(TRIM(AI133))=0</formula>
    </cfRule>
    <cfRule type="containsBlanks" dxfId="11421" priority="6465">
      <formula>LEN(TRIM(AI133))=0</formula>
    </cfRule>
    <cfRule type="containsBlanks" dxfId="11420" priority="6466">
      <formula>LEN(TRIM(AI133))=0</formula>
    </cfRule>
    <cfRule type="containsBlanks" dxfId="11419" priority="6467">
      <formula>LEN(TRIM(AI133))=0</formula>
    </cfRule>
  </conditionalFormatting>
  <conditionalFormatting sqref="AI134">
    <cfRule type="containsBlanks" dxfId="11418" priority="6383">
      <formula>LEN(TRIM(AI134))=0</formula>
    </cfRule>
  </conditionalFormatting>
  <conditionalFormatting sqref="AI134">
    <cfRule type="containsBlanks" dxfId="11417" priority="6382">
      <formula>LEN(TRIM(AI134))=0</formula>
    </cfRule>
  </conditionalFormatting>
  <conditionalFormatting sqref="AI134">
    <cfRule type="containsBlanks" dxfId="11416" priority="6380">
      <formula>LEN(TRIM(AI134))=0</formula>
    </cfRule>
    <cfRule type="containsBlanks" dxfId="11415" priority="6381">
      <formula>LEN(TRIM(AI134))=0</formula>
    </cfRule>
  </conditionalFormatting>
  <conditionalFormatting sqref="AI134">
    <cfRule type="containsBlanks" dxfId="11414" priority="6379">
      <formula>LEN(TRIM(AI134))=0</formula>
    </cfRule>
  </conditionalFormatting>
  <conditionalFormatting sqref="AI134">
    <cfRule type="containsBlanks" dxfId="11413" priority="6378">
      <formula>LEN(TRIM(AI134))=0</formula>
    </cfRule>
  </conditionalFormatting>
  <conditionalFormatting sqref="AI134">
    <cfRule type="containsBlanks" dxfId="11412" priority="6377">
      <formula>LEN(TRIM(AI134))=0</formula>
    </cfRule>
  </conditionalFormatting>
  <conditionalFormatting sqref="AI134">
    <cfRule type="containsBlanks" dxfId="11411" priority="6375">
      <formula>LEN(TRIM(AI134))=0</formula>
    </cfRule>
    <cfRule type="containsBlanks" dxfId="11410" priority="6376">
      <formula>LEN(TRIM(AI134))=0</formula>
    </cfRule>
  </conditionalFormatting>
  <conditionalFormatting sqref="AI134">
    <cfRule type="containsBlanks" dxfId="11409" priority="6373">
      <formula>LEN(TRIM(AI134))=0</formula>
    </cfRule>
    <cfRule type="containsBlanks" dxfId="11408" priority="6374">
      <formula>LEN(TRIM(AI134))=0</formula>
    </cfRule>
  </conditionalFormatting>
  <conditionalFormatting sqref="AI134">
    <cfRule type="containsBlanks" dxfId="11407" priority="6371">
      <formula>LEN(TRIM(AI134))=0</formula>
    </cfRule>
    <cfRule type="containsBlanks" dxfId="11406" priority="6372">
      <formula>LEN(TRIM(AI134))=0</formula>
    </cfRule>
  </conditionalFormatting>
  <conditionalFormatting sqref="AI134">
    <cfRule type="containsBlanks" dxfId="11405" priority="6369">
      <formula>LEN(TRIM(AI134))=0</formula>
    </cfRule>
    <cfRule type="containsBlanks" dxfId="11404" priority="6370">
      <formula>LEN(TRIM(AI134))=0</formula>
    </cfRule>
  </conditionalFormatting>
  <conditionalFormatting sqref="AI134">
    <cfRule type="containsBlanks" dxfId="11403" priority="6303">
      <formula>LEN(TRIM(AI134))=0</formula>
    </cfRule>
    <cfRule type="containsBlanks" dxfId="11402" priority="6304">
      <formula>LEN(TRIM(AI134))=0</formula>
    </cfRule>
    <cfRule type="containsBlanks" dxfId="11401" priority="6305">
      <formula>LEN(TRIM(AI134))=0</formula>
    </cfRule>
    <cfRule type="containsBlanks" dxfId="11400" priority="6306">
      <formula>LEN(TRIM(AI134))=0</formula>
    </cfRule>
    <cfRule type="containsBlanks" dxfId="11399" priority="6307">
      <formula>LEN(TRIM(AI134))=0</formula>
    </cfRule>
    <cfRule type="containsBlanks" dxfId="11398" priority="6308">
      <formula>LEN(TRIM(AI134))=0</formula>
    </cfRule>
    <cfRule type="containsBlanks" dxfId="11397" priority="6309">
      <formula>LEN(TRIM(AI134))=0</formula>
    </cfRule>
    <cfRule type="containsBlanks" dxfId="11396" priority="6310">
      <formula>LEN(TRIM(AI134))=0</formula>
    </cfRule>
    <cfRule type="containsBlanks" dxfId="11395" priority="6311">
      <formula>LEN(TRIM(AI134))=0</formula>
    </cfRule>
    <cfRule type="containsBlanks" dxfId="11394" priority="6312">
      <formula>LEN(TRIM(AI134))=0</formula>
    </cfRule>
    <cfRule type="containsBlanks" dxfId="11393" priority="6313">
      <formula>LEN(TRIM(AI134))=0</formula>
    </cfRule>
    <cfRule type="containsBlanks" dxfId="11392" priority="6314">
      <formula>LEN(TRIM(AI134))=0</formula>
    </cfRule>
    <cfRule type="containsBlanks" dxfId="11391" priority="6315">
      <formula>LEN(TRIM(AI134))=0</formula>
    </cfRule>
    <cfRule type="containsBlanks" dxfId="11390" priority="6316">
      <formula>LEN(TRIM(AI134))=0</formula>
    </cfRule>
    <cfRule type="containsBlanks" dxfId="11389" priority="6317">
      <formula>LEN(TRIM(AI134))=0</formula>
    </cfRule>
    <cfRule type="containsBlanks" dxfId="11388" priority="6318">
      <formula>LEN(TRIM(AI134))=0</formula>
    </cfRule>
    <cfRule type="containsBlanks" dxfId="11387" priority="6319">
      <formula>LEN(TRIM(AI134))=0</formula>
    </cfRule>
    <cfRule type="containsBlanks" dxfId="11386" priority="6320">
      <formula>LEN(TRIM(AI134))=0</formula>
    </cfRule>
    <cfRule type="containsBlanks" dxfId="11385" priority="6321">
      <formula>LEN(TRIM(AI134))=0</formula>
    </cfRule>
    <cfRule type="containsBlanks" dxfId="11384" priority="6322">
      <formula>LEN(TRIM(AI134))=0</formula>
    </cfRule>
    <cfRule type="containsBlanks" dxfId="11383" priority="6323">
      <formula>LEN(TRIM(AI134))=0</formula>
    </cfRule>
    <cfRule type="containsBlanks" dxfId="11382" priority="6324">
      <formula>LEN(TRIM(AI134))=0</formula>
    </cfRule>
    <cfRule type="containsBlanks" dxfId="11381" priority="6325">
      <formula>LEN(TRIM(AI134))=0</formula>
    </cfRule>
    <cfRule type="containsBlanks" dxfId="11380" priority="6326">
      <formula>LEN(TRIM(AI134))=0</formula>
    </cfRule>
    <cfRule type="containsBlanks" dxfId="11379" priority="6327">
      <formula>LEN(TRIM(AI134))=0</formula>
    </cfRule>
    <cfRule type="containsBlanks" dxfId="11378" priority="6328">
      <formula>LEN(TRIM(AI134))=0</formula>
    </cfRule>
    <cfRule type="containsBlanks" dxfId="11377" priority="6329">
      <formula>LEN(TRIM(AI134))=0</formula>
    </cfRule>
    <cfRule type="containsBlanks" dxfId="11376" priority="6330">
      <formula>LEN(TRIM(AI134))=0</formula>
    </cfRule>
    <cfRule type="containsBlanks" dxfId="11375" priority="6331">
      <formula>LEN(TRIM(AI134))=0</formula>
    </cfRule>
    <cfRule type="containsBlanks" dxfId="11374" priority="6332">
      <formula>LEN(TRIM(AI134))=0</formula>
    </cfRule>
    <cfRule type="containsBlanks" dxfId="11373" priority="6333">
      <formula>LEN(TRIM(AI134))=0</formula>
    </cfRule>
    <cfRule type="containsBlanks" dxfId="11372" priority="6334">
      <formula>LEN(TRIM(AI134))=0</formula>
    </cfRule>
    <cfRule type="containsBlanks" dxfId="11371" priority="6335">
      <formula>LEN(TRIM(AI134))=0</formula>
    </cfRule>
    <cfRule type="containsBlanks" dxfId="11370" priority="6336">
      <formula>LEN(TRIM(AI134))=0</formula>
    </cfRule>
    <cfRule type="containsBlanks" dxfId="11369" priority="6337">
      <formula>LEN(TRIM(AI134))=0</formula>
    </cfRule>
    <cfRule type="containsBlanks" dxfId="11368" priority="6338">
      <formula>LEN(TRIM(AI134))=0</formula>
    </cfRule>
    <cfRule type="containsBlanks" dxfId="11367" priority="6339">
      <formula>LEN(TRIM(AI134))=0</formula>
    </cfRule>
    <cfRule type="containsBlanks" dxfId="11366" priority="6340">
      <formula>LEN(TRIM(AI134))=0</formula>
    </cfRule>
    <cfRule type="containsBlanks" dxfId="11365" priority="6341">
      <formula>LEN(TRIM(AI134))=0</formula>
    </cfRule>
    <cfRule type="containsBlanks" dxfId="11364" priority="6342">
      <formula>LEN(TRIM(AI134))=0</formula>
    </cfRule>
    <cfRule type="containsBlanks" dxfId="11363" priority="6343">
      <formula>LEN(TRIM(AI134))=0</formula>
    </cfRule>
    <cfRule type="containsBlanks" dxfId="11362" priority="6344">
      <formula>LEN(TRIM(AI134))=0</formula>
    </cfRule>
    <cfRule type="containsBlanks" dxfId="11361" priority="6345">
      <formula>LEN(TRIM(AI134))=0</formula>
    </cfRule>
    <cfRule type="containsBlanks" dxfId="11360" priority="6346">
      <formula>LEN(TRIM(AI134))=0</formula>
    </cfRule>
    <cfRule type="containsBlanks" dxfId="11359" priority="6347">
      <formula>LEN(TRIM(AI134))=0</formula>
    </cfRule>
    <cfRule type="containsBlanks" dxfId="11358" priority="6348">
      <formula>LEN(TRIM(AI134))=0</formula>
    </cfRule>
    <cfRule type="containsBlanks" dxfId="11357" priority="6349">
      <formula>LEN(TRIM(AI134))=0</formula>
    </cfRule>
    <cfRule type="containsBlanks" dxfId="11356" priority="6350">
      <formula>LEN(TRIM(AI134))=0</formula>
    </cfRule>
    <cfRule type="containsBlanks" dxfId="11355" priority="6351">
      <formula>LEN(TRIM(AI134))=0</formula>
    </cfRule>
    <cfRule type="containsBlanks" dxfId="11354" priority="6352">
      <formula>LEN(TRIM(AI134))=0</formula>
    </cfRule>
    <cfRule type="containsBlanks" dxfId="11353" priority="6353">
      <formula>LEN(TRIM(AI134))=0</formula>
    </cfRule>
    <cfRule type="containsBlanks" dxfId="11352" priority="6354">
      <formula>LEN(TRIM(AI134))=0</formula>
    </cfRule>
    <cfRule type="containsBlanks" dxfId="11351" priority="6355">
      <formula>LEN(TRIM(AI134))=0</formula>
    </cfRule>
    <cfRule type="containsBlanks" dxfId="11350" priority="6356">
      <formula>LEN(TRIM(AI134))=0</formula>
    </cfRule>
    <cfRule type="containsBlanks" dxfId="11349" priority="6357">
      <formula>LEN(TRIM(AI134))=0</formula>
    </cfRule>
    <cfRule type="containsBlanks" dxfId="11348" priority="6358">
      <formula>LEN(TRIM(AI134))=0</formula>
    </cfRule>
    <cfRule type="containsBlanks" dxfId="11347" priority="6359">
      <formula>LEN(TRIM(AI134))=0</formula>
    </cfRule>
    <cfRule type="containsBlanks" dxfId="11346" priority="6360">
      <formula>LEN(TRIM(AI134))=0</formula>
    </cfRule>
    <cfRule type="containsBlanks" dxfId="11345" priority="6361">
      <formula>LEN(TRIM(AI134))=0</formula>
    </cfRule>
    <cfRule type="containsBlanks" dxfId="11344" priority="6362">
      <formula>LEN(TRIM(AI134))=0</formula>
    </cfRule>
    <cfRule type="containsBlanks" dxfId="11343" priority="6363">
      <formula>LEN(TRIM(AI134))=0</formula>
    </cfRule>
    <cfRule type="containsBlanks" dxfId="11342" priority="6364">
      <formula>LEN(TRIM(AI134))=0</formula>
    </cfRule>
    <cfRule type="containsBlanks" dxfId="11341" priority="6365">
      <formula>LEN(TRIM(AI134))=0</formula>
    </cfRule>
    <cfRule type="containsBlanks" dxfId="11340" priority="6366">
      <formula>LEN(TRIM(AI134))=0</formula>
    </cfRule>
    <cfRule type="containsBlanks" dxfId="11339" priority="6367">
      <formula>LEN(TRIM(AI134))=0</formula>
    </cfRule>
    <cfRule type="containsBlanks" dxfId="11338" priority="6368">
      <formula>LEN(TRIM(AI134))=0</formula>
    </cfRule>
  </conditionalFormatting>
  <conditionalFormatting sqref="AI134">
    <cfRule type="containsBlanks" dxfId="11337" priority="6248">
      <formula>LEN(TRIM(AI134))=0</formula>
    </cfRule>
    <cfRule type="containsBlanks" dxfId="11336" priority="6249">
      <formula>LEN(TRIM(AI134))=0</formula>
    </cfRule>
    <cfRule type="containsBlanks" dxfId="11335" priority="6250">
      <formula>LEN(TRIM(AI134))=0</formula>
    </cfRule>
    <cfRule type="containsBlanks" dxfId="11334" priority="6251">
      <formula>LEN(TRIM(AI134))=0</formula>
    </cfRule>
    <cfRule type="containsBlanks" dxfId="11333" priority="6252">
      <formula>LEN(TRIM(AI134))=0</formula>
    </cfRule>
    <cfRule type="containsBlanks" dxfId="11332" priority="6253">
      <formula>LEN(TRIM(AI134))=0</formula>
    </cfRule>
    <cfRule type="containsBlanks" dxfId="11331" priority="6254">
      <formula>LEN(TRIM(AI134))=0</formula>
    </cfRule>
    <cfRule type="containsBlanks" dxfId="11330" priority="6255">
      <formula>LEN(TRIM(AI134))=0</formula>
    </cfRule>
    <cfRule type="containsBlanks" dxfId="11329" priority="6256">
      <formula>LEN(TRIM(AI134))=0</formula>
    </cfRule>
    <cfRule type="containsBlanks" dxfId="11328" priority="6257">
      <formula>LEN(TRIM(AI134))=0</formula>
    </cfRule>
    <cfRule type="containsBlanks" dxfId="11327" priority="6258">
      <formula>LEN(TRIM(AI134))=0</formula>
    </cfRule>
    <cfRule type="containsBlanks" dxfId="11326" priority="6259">
      <formula>LEN(TRIM(AI134))=0</formula>
    </cfRule>
    <cfRule type="containsBlanks" dxfId="11325" priority="6260">
      <formula>LEN(TRIM(AI134))=0</formula>
    </cfRule>
    <cfRule type="containsBlanks" dxfId="11324" priority="6261">
      <formula>LEN(TRIM(AI134))=0</formula>
    </cfRule>
    <cfRule type="containsBlanks" dxfId="11323" priority="6262">
      <formula>LEN(TRIM(AI134))=0</formula>
    </cfRule>
    <cfRule type="containsBlanks" dxfId="11322" priority="6263">
      <formula>LEN(TRIM(AI134))=0</formula>
    </cfRule>
    <cfRule type="containsBlanks" dxfId="11321" priority="6264">
      <formula>LEN(TRIM(AI134))=0</formula>
    </cfRule>
    <cfRule type="containsBlanks" dxfId="11320" priority="6265">
      <formula>LEN(TRIM(AI134))=0</formula>
    </cfRule>
    <cfRule type="containsBlanks" dxfId="11319" priority="6266">
      <formula>LEN(TRIM(AI134))=0</formula>
    </cfRule>
    <cfRule type="containsBlanks" dxfId="11318" priority="6267">
      <formula>LEN(TRIM(AI134))=0</formula>
    </cfRule>
    <cfRule type="containsBlanks" dxfId="11317" priority="6268">
      <formula>LEN(TRIM(AI134))=0</formula>
    </cfRule>
    <cfRule type="containsBlanks" dxfId="11316" priority="6269">
      <formula>LEN(TRIM(AI134))=0</formula>
    </cfRule>
    <cfRule type="containsBlanks" dxfId="11315" priority="6270">
      <formula>LEN(TRIM(AI134))=0</formula>
    </cfRule>
    <cfRule type="containsBlanks" dxfId="11314" priority="6271">
      <formula>LEN(TRIM(AI134))=0</formula>
    </cfRule>
    <cfRule type="containsBlanks" dxfId="11313" priority="6272">
      <formula>LEN(TRIM(AI134))=0</formula>
    </cfRule>
    <cfRule type="containsBlanks" dxfId="11312" priority="6273">
      <formula>LEN(TRIM(AI134))=0</formula>
    </cfRule>
    <cfRule type="containsBlanks" dxfId="11311" priority="6274">
      <formula>LEN(TRIM(AI134))=0</formula>
    </cfRule>
    <cfRule type="containsBlanks" dxfId="11310" priority="6275">
      <formula>LEN(TRIM(AI134))=0</formula>
    </cfRule>
    <cfRule type="containsBlanks" dxfId="11309" priority="6276">
      <formula>LEN(TRIM(AI134))=0</formula>
    </cfRule>
    <cfRule type="containsBlanks" dxfId="11308" priority="6277">
      <formula>LEN(TRIM(AI134))=0</formula>
    </cfRule>
    <cfRule type="containsBlanks" dxfId="11307" priority="6278">
      <formula>LEN(TRIM(AI134))=0</formula>
    </cfRule>
    <cfRule type="containsBlanks" dxfId="11306" priority="6279">
      <formula>LEN(TRIM(AI134))=0</formula>
    </cfRule>
    <cfRule type="containsBlanks" dxfId="11305" priority="6280">
      <formula>LEN(TRIM(AI134))=0</formula>
    </cfRule>
    <cfRule type="containsBlanks" dxfId="11304" priority="6281">
      <formula>LEN(TRIM(AI134))=0</formula>
    </cfRule>
    <cfRule type="containsBlanks" dxfId="11303" priority="6282">
      <formula>LEN(TRIM(AI134))=0</formula>
    </cfRule>
    <cfRule type="containsBlanks" dxfId="11302" priority="6283">
      <formula>LEN(TRIM(AI134))=0</formula>
    </cfRule>
    <cfRule type="containsBlanks" dxfId="11301" priority="6284">
      <formula>LEN(TRIM(AI134))=0</formula>
    </cfRule>
    <cfRule type="containsBlanks" dxfId="11300" priority="6285">
      <formula>LEN(TRIM(AI134))=0</formula>
    </cfRule>
    <cfRule type="containsBlanks" dxfId="11299" priority="6286">
      <formula>LEN(TRIM(AI134))=0</formula>
    </cfRule>
    <cfRule type="containsBlanks" dxfId="11298" priority="6287">
      <formula>LEN(TRIM(AI134))=0</formula>
    </cfRule>
    <cfRule type="containsBlanks" dxfId="11297" priority="6288">
      <formula>LEN(TRIM(AI134))=0</formula>
    </cfRule>
    <cfRule type="containsBlanks" dxfId="11296" priority="6289">
      <formula>LEN(TRIM(AI134))=0</formula>
    </cfRule>
    <cfRule type="containsBlanks" dxfId="11295" priority="6290">
      <formula>LEN(TRIM(AI134))=0</formula>
    </cfRule>
    <cfRule type="containsBlanks" dxfId="11294" priority="6291">
      <formula>LEN(TRIM(AI134))=0</formula>
    </cfRule>
    <cfRule type="containsBlanks" dxfId="11293" priority="6292">
      <formula>LEN(TRIM(AI134))=0</formula>
    </cfRule>
    <cfRule type="containsBlanks" dxfId="11292" priority="6293">
      <formula>LEN(TRIM(AI134))=0</formula>
    </cfRule>
    <cfRule type="containsBlanks" dxfId="11291" priority="6294">
      <formula>LEN(TRIM(AI134))=0</formula>
    </cfRule>
    <cfRule type="containsBlanks" dxfId="11290" priority="6295">
      <formula>LEN(TRIM(AI134))=0</formula>
    </cfRule>
    <cfRule type="containsBlanks" dxfId="11289" priority="6296">
      <formula>LEN(TRIM(AI134))=0</formula>
    </cfRule>
    <cfRule type="containsBlanks" dxfId="11288" priority="6297">
      <formula>LEN(TRIM(AI134))=0</formula>
    </cfRule>
    <cfRule type="containsBlanks" dxfId="11287" priority="6298">
      <formula>LEN(TRIM(AI134))=0</formula>
    </cfRule>
    <cfRule type="containsBlanks" dxfId="11286" priority="6299">
      <formula>LEN(TRIM(AI134))=0</formula>
    </cfRule>
    <cfRule type="containsBlanks" dxfId="11285" priority="6300">
      <formula>LEN(TRIM(AI134))=0</formula>
    </cfRule>
    <cfRule type="containsBlanks" dxfId="11284" priority="6301">
      <formula>LEN(TRIM(AI134))=0</formula>
    </cfRule>
    <cfRule type="containsBlanks" dxfId="11283" priority="6302">
      <formula>LEN(TRIM(AI134))=0</formula>
    </cfRule>
  </conditionalFormatting>
  <conditionalFormatting sqref="AI134">
    <cfRule type="containsBlanks" dxfId="11282" priority="6164">
      <formula>LEN(TRIM(AI134))=0</formula>
    </cfRule>
    <cfRule type="containsBlanks" dxfId="11281" priority="6165">
      <formula>LEN(TRIM(AI134))=0</formula>
    </cfRule>
    <cfRule type="containsBlanks" dxfId="11280" priority="6166">
      <formula>LEN(TRIM(AI134))=0</formula>
    </cfRule>
    <cfRule type="containsBlanks" dxfId="11279" priority="6167">
      <formula>LEN(TRIM(AI134))=0</formula>
    </cfRule>
    <cfRule type="containsBlanks" dxfId="11278" priority="6168">
      <formula>LEN(TRIM(AI134))=0</formula>
    </cfRule>
    <cfRule type="containsBlanks" dxfId="11277" priority="6169">
      <formula>LEN(TRIM(AI134))=0</formula>
    </cfRule>
    <cfRule type="containsBlanks" dxfId="11276" priority="6170">
      <formula>LEN(TRIM(AI134))=0</formula>
    </cfRule>
    <cfRule type="containsBlanks" dxfId="11275" priority="6171">
      <formula>LEN(TRIM(AI134))=0</formula>
    </cfRule>
    <cfRule type="containsBlanks" dxfId="11274" priority="6172">
      <formula>LEN(TRIM(AI134))=0</formula>
    </cfRule>
    <cfRule type="containsBlanks" dxfId="11273" priority="6173">
      <formula>LEN(TRIM(AI134))=0</formula>
    </cfRule>
    <cfRule type="containsBlanks" dxfId="11272" priority="6174">
      <formula>LEN(TRIM(AI134))=0</formula>
    </cfRule>
    <cfRule type="containsBlanks" dxfId="11271" priority="6175">
      <formula>LEN(TRIM(AI134))=0</formula>
    </cfRule>
    <cfRule type="containsBlanks" dxfId="11270" priority="6176">
      <formula>LEN(TRIM(AI134))=0</formula>
    </cfRule>
    <cfRule type="containsBlanks" dxfId="11269" priority="6177">
      <formula>LEN(TRIM(AI134))=0</formula>
    </cfRule>
    <cfRule type="containsBlanks" dxfId="11268" priority="6178">
      <formula>LEN(TRIM(AI134))=0</formula>
    </cfRule>
    <cfRule type="containsBlanks" dxfId="11267" priority="6179">
      <formula>LEN(TRIM(AI134))=0</formula>
    </cfRule>
    <cfRule type="containsBlanks" dxfId="11266" priority="6180">
      <formula>LEN(TRIM(AI134))=0</formula>
    </cfRule>
    <cfRule type="containsBlanks" dxfId="11265" priority="6181">
      <formula>LEN(TRIM(AI134))=0</formula>
    </cfRule>
    <cfRule type="containsBlanks" dxfId="11264" priority="6182">
      <formula>LEN(TRIM(AI134))=0</formula>
    </cfRule>
    <cfRule type="containsBlanks" dxfId="11263" priority="6183">
      <formula>LEN(TRIM(AI134))=0</formula>
    </cfRule>
    <cfRule type="containsBlanks" dxfId="11262" priority="6184">
      <formula>LEN(TRIM(AI134))=0</formula>
    </cfRule>
    <cfRule type="containsBlanks" dxfId="11261" priority="6185">
      <formula>LEN(TRIM(AI134))=0</formula>
    </cfRule>
    <cfRule type="containsBlanks" dxfId="11260" priority="6186">
      <formula>LEN(TRIM(AI134))=0</formula>
    </cfRule>
    <cfRule type="containsBlanks" dxfId="11259" priority="6187">
      <formula>LEN(TRIM(AI134))=0</formula>
    </cfRule>
    <cfRule type="containsBlanks" dxfId="11258" priority="6188">
      <formula>LEN(TRIM(AI134))=0</formula>
    </cfRule>
    <cfRule type="containsBlanks" dxfId="11257" priority="6189">
      <formula>LEN(TRIM(AI134))=0</formula>
    </cfRule>
    <cfRule type="containsBlanks" dxfId="11256" priority="6190">
      <formula>LEN(TRIM(AI134))=0</formula>
    </cfRule>
    <cfRule type="containsBlanks" dxfId="11255" priority="6191">
      <formula>LEN(TRIM(AI134))=0</formula>
    </cfRule>
    <cfRule type="containsBlanks" dxfId="11254" priority="6192">
      <formula>LEN(TRIM(AI134))=0</formula>
    </cfRule>
    <cfRule type="containsBlanks" dxfId="11253" priority="6193">
      <formula>LEN(TRIM(AI134))=0</formula>
    </cfRule>
    <cfRule type="containsBlanks" dxfId="11252" priority="6194">
      <formula>LEN(TRIM(AI134))=0</formula>
    </cfRule>
    <cfRule type="containsBlanks" dxfId="11251" priority="6195">
      <formula>LEN(TRIM(AI134))=0</formula>
    </cfRule>
    <cfRule type="containsBlanks" dxfId="11250" priority="6196">
      <formula>LEN(TRIM(AI134))=0</formula>
    </cfRule>
    <cfRule type="containsBlanks" dxfId="11249" priority="6197">
      <formula>LEN(TRIM(AI134))=0</formula>
    </cfRule>
    <cfRule type="containsBlanks" dxfId="11248" priority="6198">
      <formula>LEN(TRIM(AI134))=0</formula>
    </cfRule>
    <cfRule type="containsBlanks" dxfId="11247" priority="6199">
      <formula>LEN(TRIM(AI134))=0</formula>
    </cfRule>
    <cfRule type="containsBlanks" dxfId="11246" priority="6200">
      <formula>LEN(TRIM(AI134))=0</formula>
    </cfRule>
    <cfRule type="containsBlanks" dxfId="11245" priority="6201">
      <formula>LEN(TRIM(AI134))=0</formula>
    </cfRule>
    <cfRule type="containsBlanks" dxfId="11244" priority="6202">
      <formula>LEN(TRIM(AI134))=0</formula>
    </cfRule>
    <cfRule type="containsBlanks" dxfId="11243" priority="6203">
      <formula>LEN(TRIM(AI134))=0</formula>
    </cfRule>
    <cfRule type="containsBlanks" dxfId="11242" priority="6204">
      <formula>LEN(TRIM(AI134))=0</formula>
    </cfRule>
    <cfRule type="containsBlanks" dxfId="11241" priority="6205">
      <formula>LEN(TRIM(AI134))=0</formula>
    </cfRule>
    <cfRule type="containsBlanks" dxfId="11240" priority="6206">
      <formula>LEN(TRIM(AI134))=0</formula>
    </cfRule>
    <cfRule type="containsBlanks" dxfId="11239" priority="6207">
      <formula>LEN(TRIM(AI134))=0</formula>
    </cfRule>
    <cfRule type="containsBlanks" dxfId="11238" priority="6208">
      <formula>LEN(TRIM(AI134))=0</formula>
    </cfRule>
    <cfRule type="containsBlanks" dxfId="11237" priority="6209">
      <formula>LEN(TRIM(AI134))=0</formula>
    </cfRule>
    <cfRule type="containsBlanks" dxfId="11236" priority="6210">
      <formula>LEN(TRIM(AI134))=0</formula>
    </cfRule>
    <cfRule type="containsBlanks" dxfId="11235" priority="6211">
      <formula>LEN(TRIM(AI134))=0</formula>
    </cfRule>
    <cfRule type="containsBlanks" dxfId="11234" priority="6212">
      <formula>LEN(TRIM(AI134))=0</formula>
    </cfRule>
    <cfRule type="containsBlanks" dxfId="11233" priority="6213">
      <formula>LEN(TRIM(AI134))=0</formula>
    </cfRule>
    <cfRule type="containsBlanks" dxfId="11232" priority="6214">
      <formula>LEN(TRIM(AI134))=0</formula>
    </cfRule>
    <cfRule type="containsBlanks" dxfId="11231" priority="6215">
      <formula>LEN(TRIM(AI134))=0</formula>
    </cfRule>
    <cfRule type="containsBlanks" dxfId="11230" priority="6216">
      <formula>LEN(TRIM(AI134))=0</formula>
    </cfRule>
    <cfRule type="containsBlanks" dxfId="11229" priority="6217">
      <formula>LEN(TRIM(AI134))=0</formula>
    </cfRule>
    <cfRule type="containsBlanks" dxfId="11228" priority="6218">
      <formula>LEN(TRIM(AI134))=0</formula>
    </cfRule>
    <cfRule type="containsBlanks" dxfId="11227" priority="6219">
      <formula>LEN(TRIM(AI134))=0</formula>
    </cfRule>
    <cfRule type="containsBlanks" dxfId="11226" priority="6220">
      <formula>LEN(TRIM(AI134))=0</formula>
    </cfRule>
    <cfRule type="containsBlanks" dxfId="11225" priority="6221">
      <formula>LEN(TRIM(AI134))=0</formula>
    </cfRule>
    <cfRule type="containsBlanks" dxfId="11224" priority="6222">
      <formula>LEN(TRIM(AI134))=0</formula>
    </cfRule>
    <cfRule type="containsBlanks" dxfId="11223" priority="6223">
      <formula>LEN(TRIM(AI134))=0</formula>
    </cfRule>
    <cfRule type="containsBlanks" dxfId="11222" priority="6224">
      <formula>LEN(TRIM(AI134))=0</formula>
    </cfRule>
    <cfRule type="containsBlanks" dxfId="11221" priority="6225">
      <formula>LEN(TRIM(AI134))=0</formula>
    </cfRule>
    <cfRule type="containsBlanks" dxfId="11220" priority="6226">
      <formula>LEN(TRIM(AI134))=0</formula>
    </cfRule>
    <cfRule type="containsBlanks" dxfId="11219" priority="6227">
      <formula>LEN(TRIM(AI134))=0</formula>
    </cfRule>
    <cfRule type="containsBlanks" dxfId="11218" priority="6228">
      <formula>LEN(TRIM(AI134))=0</formula>
    </cfRule>
    <cfRule type="containsBlanks" dxfId="11217" priority="6229">
      <formula>LEN(TRIM(AI134))=0</formula>
    </cfRule>
    <cfRule type="containsBlanks" dxfId="11216" priority="6230">
      <formula>LEN(TRIM(AI134))=0</formula>
    </cfRule>
    <cfRule type="containsBlanks" dxfId="11215" priority="6231">
      <formula>LEN(TRIM(AI134))=0</formula>
    </cfRule>
    <cfRule type="containsBlanks" dxfId="11214" priority="6232">
      <formula>LEN(TRIM(AI134))=0</formula>
    </cfRule>
    <cfRule type="containsBlanks" dxfId="11213" priority="6233">
      <formula>LEN(TRIM(AI134))=0</formula>
    </cfRule>
    <cfRule type="containsBlanks" dxfId="11212" priority="6234">
      <formula>LEN(TRIM(AI134))=0</formula>
    </cfRule>
    <cfRule type="containsBlanks" dxfId="11211" priority="6235">
      <formula>LEN(TRIM(AI134))=0</formula>
    </cfRule>
    <cfRule type="containsBlanks" dxfId="11210" priority="6236">
      <formula>LEN(TRIM(AI134))=0</formula>
    </cfRule>
    <cfRule type="containsBlanks" dxfId="11209" priority="6237">
      <formula>LEN(TRIM(AI134))=0</formula>
    </cfRule>
    <cfRule type="containsBlanks" dxfId="11208" priority="6238">
      <formula>LEN(TRIM(AI134))=0</formula>
    </cfRule>
    <cfRule type="containsBlanks" dxfId="11207" priority="6239">
      <formula>LEN(TRIM(AI134))=0</formula>
    </cfRule>
    <cfRule type="containsBlanks" dxfId="11206" priority="6240">
      <formula>LEN(TRIM(AI134))=0</formula>
    </cfRule>
    <cfRule type="containsBlanks" dxfId="11205" priority="6241">
      <formula>LEN(TRIM(AI134))=0</formula>
    </cfRule>
    <cfRule type="containsBlanks" dxfId="11204" priority="6242">
      <formula>LEN(TRIM(AI134))=0</formula>
    </cfRule>
    <cfRule type="containsBlanks" dxfId="11203" priority="6243">
      <formula>LEN(TRIM(AI134))=0</formula>
    </cfRule>
    <cfRule type="containsBlanks" dxfId="11202" priority="6244">
      <formula>LEN(TRIM(AI134))=0</formula>
    </cfRule>
    <cfRule type="containsBlanks" dxfId="11201" priority="6245">
      <formula>LEN(TRIM(AI134))=0</formula>
    </cfRule>
    <cfRule type="containsBlanks" dxfId="11200" priority="6246">
      <formula>LEN(TRIM(AI134))=0</formula>
    </cfRule>
    <cfRule type="containsBlanks" dxfId="11199" priority="6247">
      <formula>LEN(TRIM(AI134))=0</formula>
    </cfRule>
  </conditionalFormatting>
  <conditionalFormatting sqref="AI136">
    <cfRule type="containsBlanks" dxfId="11198" priority="6163">
      <formula>LEN(TRIM(AI136))=0</formula>
    </cfRule>
  </conditionalFormatting>
  <conditionalFormatting sqref="AI136">
    <cfRule type="containsBlanks" dxfId="11197" priority="6162">
      <formula>LEN(TRIM(AI136))=0</formula>
    </cfRule>
  </conditionalFormatting>
  <conditionalFormatting sqref="AI136">
    <cfRule type="containsBlanks" dxfId="11196" priority="6160">
      <formula>LEN(TRIM(AI136))=0</formula>
    </cfRule>
    <cfRule type="containsBlanks" dxfId="11195" priority="6161">
      <formula>LEN(TRIM(AI136))=0</formula>
    </cfRule>
  </conditionalFormatting>
  <conditionalFormatting sqref="AI136">
    <cfRule type="containsBlanks" dxfId="11194" priority="6159">
      <formula>LEN(TRIM(AI136))=0</formula>
    </cfRule>
  </conditionalFormatting>
  <conditionalFormatting sqref="AI136">
    <cfRule type="containsBlanks" dxfId="11193" priority="6158">
      <formula>LEN(TRIM(AI136))=0</formula>
    </cfRule>
  </conditionalFormatting>
  <conditionalFormatting sqref="AI136">
    <cfRule type="containsBlanks" dxfId="11192" priority="6157">
      <formula>LEN(TRIM(AI136))=0</formula>
    </cfRule>
  </conditionalFormatting>
  <conditionalFormatting sqref="AI136">
    <cfRule type="containsBlanks" dxfId="11191" priority="6155">
      <formula>LEN(TRIM(AI136))=0</formula>
    </cfRule>
    <cfRule type="containsBlanks" dxfId="11190" priority="6156">
      <formula>LEN(TRIM(AI136))=0</formula>
    </cfRule>
  </conditionalFormatting>
  <conditionalFormatting sqref="AI136">
    <cfRule type="containsBlanks" dxfId="11189" priority="6153">
      <formula>LEN(TRIM(AI136))=0</formula>
    </cfRule>
    <cfRule type="containsBlanks" dxfId="11188" priority="6154">
      <formula>LEN(TRIM(AI136))=0</formula>
    </cfRule>
  </conditionalFormatting>
  <conditionalFormatting sqref="AI136">
    <cfRule type="containsBlanks" dxfId="11187" priority="6151">
      <formula>LEN(TRIM(AI136))=0</formula>
    </cfRule>
    <cfRule type="containsBlanks" dxfId="11186" priority="6152">
      <formula>LEN(TRIM(AI136))=0</formula>
    </cfRule>
  </conditionalFormatting>
  <conditionalFormatting sqref="AI136">
    <cfRule type="containsBlanks" dxfId="11185" priority="6149">
      <formula>LEN(TRIM(AI136))=0</formula>
    </cfRule>
    <cfRule type="containsBlanks" dxfId="11184" priority="6150">
      <formula>LEN(TRIM(AI136))=0</formula>
    </cfRule>
  </conditionalFormatting>
  <conditionalFormatting sqref="AI136">
    <cfRule type="containsBlanks" dxfId="11183" priority="6083">
      <formula>LEN(TRIM(AI136))=0</formula>
    </cfRule>
    <cfRule type="containsBlanks" dxfId="11182" priority="6084">
      <formula>LEN(TRIM(AI136))=0</formula>
    </cfRule>
    <cfRule type="containsBlanks" dxfId="11181" priority="6085">
      <formula>LEN(TRIM(AI136))=0</formula>
    </cfRule>
    <cfRule type="containsBlanks" dxfId="11180" priority="6086">
      <formula>LEN(TRIM(AI136))=0</formula>
    </cfRule>
    <cfRule type="containsBlanks" dxfId="11179" priority="6087">
      <formula>LEN(TRIM(AI136))=0</formula>
    </cfRule>
    <cfRule type="containsBlanks" dxfId="11178" priority="6088">
      <formula>LEN(TRIM(AI136))=0</formula>
    </cfRule>
    <cfRule type="containsBlanks" dxfId="11177" priority="6089">
      <formula>LEN(TRIM(AI136))=0</formula>
    </cfRule>
    <cfRule type="containsBlanks" dxfId="11176" priority="6090">
      <formula>LEN(TRIM(AI136))=0</formula>
    </cfRule>
    <cfRule type="containsBlanks" dxfId="11175" priority="6091">
      <formula>LEN(TRIM(AI136))=0</formula>
    </cfRule>
    <cfRule type="containsBlanks" dxfId="11174" priority="6092">
      <formula>LEN(TRIM(AI136))=0</formula>
    </cfRule>
    <cfRule type="containsBlanks" dxfId="11173" priority="6093">
      <formula>LEN(TRIM(AI136))=0</formula>
    </cfRule>
    <cfRule type="containsBlanks" dxfId="11172" priority="6094">
      <formula>LEN(TRIM(AI136))=0</formula>
    </cfRule>
    <cfRule type="containsBlanks" dxfId="11171" priority="6095">
      <formula>LEN(TRIM(AI136))=0</formula>
    </cfRule>
    <cfRule type="containsBlanks" dxfId="11170" priority="6096">
      <formula>LEN(TRIM(AI136))=0</formula>
    </cfRule>
    <cfRule type="containsBlanks" dxfId="11169" priority="6097">
      <formula>LEN(TRIM(AI136))=0</formula>
    </cfRule>
    <cfRule type="containsBlanks" dxfId="11168" priority="6098">
      <formula>LEN(TRIM(AI136))=0</formula>
    </cfRule>
    <cfRule type="containsBlanks" dxfId="11167" priority="6099">
      <formula>LEN(TRIM(AI136))=0</formula>
    </cfRule>
    <cfRule type="containsBlanks" dxfId="11166" priority="6100">
      <formula>LEN(TRIM(AI136))=0</formula>
    </cfRule>
    <cfRule type="containsBlanks" dxfId="11165" priority="6101">
      <formula>LEN(TRIM(AI136))=0</formula>
    </cfRule>
    <cfRule type="containsBlanks" dxfId="11164" priority="6102">
      <formula>LEN(TRIM(AI136))=0</formula>
    </cfRule>
    <cfRule type="containsBlanks" dxfId="11163" priority="6103">
      <formula>LEN(TRIM(AI136))=0</formula>
    </cfRule>
    <cfRule type="containsBlanks" dxfId="11162" priority="6104">
      <formula>LEN(TRIM(AI136))=0</formula>
    </cfRule>
    <cfRule type="containsBlanks" dxfId="11161" priority="6105">
      <formula>LEN(TRIM(AI136))=0</formula>
    </cfRule>
    <cfRule type="containsBlanks" dxfId="11160" priority="6106">
      <formula>LEN(TRIM(AI136))=0</formula>
    </cfRule>
    <cfRule type="containsBlanks" dxfId="11159" priority="6107">
      <formula>LEN(TRIM(AI136))=0</formula>
    </cfRule>
    <cfRule type="containsBlanks" dxfId="11158" priority="6108">
      <formula>LEN(TRIM(AI136))=0</formula>
    </cfRule>
    <cfRule type="containsBlanks" dxfId="11157" priority="6109">
      <formula>LEN(TRIM(AI136))=0</formula>
    </cfRule>
    <cfRule type="containsBlanks" dxfId="11156" priority="6110">
      <formula>LEN(TRIM(AI136))=0</formula>
    </cfRule>
    <cfRule type="containsBlanks" dxfId="11155" priority="6111">
      <formula>LEN(TRIM(AI136))=0</formula>
    </cfRule>
    <cfRule type="containsBlanks" dxfId="11154" priority="6112">
      <formula>LEN(TRIM(AI136))=0</formula>
    </cfRule>
    <cfRule type="containsBlanks" dxfId="11153" priority="6113">
      <formula>LEN(TRIM(AI136))=0</formula>
    </cfRule>
    <cfRule type="containsBlanks" dxfId="11152" priority="6114">
      <formula>LEN(TRIM(AI136))=0</formula>
    </cfRule>
    <cfRule type="containsBlanks" dxfId="11151" priority="6115">
      <formula>LEN(TRIM(AI136))=0</formula>
    </cfRule>
    <cfRule type="containsBlanks" dxfId="11150" priority="6116">
      <formula>LEN(TRIM(AI136))=0</formula>
    </cfRule>
    <cfRule type="containsBlanks" dxfId="11149" priority="6117">
      <formula>LEN(TRIM(AI136))=0</formula>
    </cfRule>
    <cfRule type="containsBlanks" dxfId="11148" priority="6118">
      <formula>LEN(TRIM(AI136))=0</formula>
    </cfRule>
    <cfRule type="containsBlanks" dxfId="11147" priority="6119">
      <formula>LEN(TRIM(AI136))=0</formula>
    </cfRule>
    <cfRule type="containsBlanks" dxfId="11146" priority="6120">
      <formula>LEN(TRIM(AI136))=0</formula>
    </cfRule>
    <cfRule type="containsBlanks" dxfId="11145" priority="6121">
      <formula>LEN(TRIM(AI136))=0</formula>
    </cfRule>
    <cfRule type="containsBlanks" dxfId="11144" priority="6122">
      <formula>LEN(TRIM(AI136))=0</formula>
    </cfRule>
    <cfRule type="containsBlanks" dxfId="11143" priority="6123">
      <formula>LEN(TRIM(AI136))=0</formula>
    </cfRule>
    <cfRule type="containsBlanks" dxfId="11142" priority="6124">
      <formula>LEN(TRIM(AI136))=0</formula>
    </cfRule>
    <cfRule type="containsBlanks" dxfId="11141" priority="6125">
      <formula>LEN(TRIM(AI136))=0</formula>
    </cfRule>
    <cfRule type="containsBlanks" dxfId="11140" priority="6126">
      <formula>LEN(TRIM(AI136))=0</formula>
    </cfRule>
    <cfRule type="containsBlanks" dxfId="11139" priority="6127">
      <formula>LEN(TRIM(AI136))=0</formula>
    </cfRule>
    <cfRule type="containsBlanks" dxfId="11138" priority="6128">
      <formula>LEN(TRIM(AI136))=0</formula>
    </cfRule>
    <cfRule type="containsBlanks" dxfId="11137" priority="6129">
      <formula>LEN(TRIM(AI136))=0</formula>
    </cfRule>
    <cfRule type="containsBlanks" dxfId="11136" priority="6130">
      <formula>LEN(TRIM(AI136))=0</formula>
    </cfRule>
    <cfRule type="containsBlanks" dxfId="11135" priority="6131">
      <formula>LEN(TRIM(AI136))=0</formula>
    </cfRule>
    <cfRule type="containsBlanks" dxfId="11134" priority="6132">
      <formula>LEN(TRIM(AI136))=0</formula>
    </cfRule>
    <cfRule type="containsBlanks" dxfId="11133" priority="6133">
      <formula>LEN(TRIM(AI136))=0</formula>
    </cfRule>
    <cfRule type="containsBlanks" dxfId="11132" priority="6134">
      <formula>LEN(TRIM(AI136))=0</formula>
    </cfRule>
    <cfRule type="containsBlanks" dxfId="11131" priority="6135">
      <formula>LEN(TRIM(AI136))=0</formula>
    </cfRule>
    <cfRule type="containsBlanks" dxfId="11130" priority="6136">
      <formula>LEN(TRIM(AI136))=0</formula>
    </cfRule>
    <cfRule type="containsBlanks" dxfId="11129" priority="6137">
      <formula>LEN(TRIM(AI136))=0</formula>
    </cfRule>
    <cfRule type="containsBlanks" dxfId="11128" priority="6138">
      <formula>LEN(TRIM(AI136))=0</formula>
    </cfRule>
    <cfRule type="containsBlanks" dxfId="11127" priority="6139">
      <formula>LEN(TRIM(AI136))=0</formula>
    </cfRule>
    <cfRule type="containsBlanks" dxfId="11126" priority="6140">
      <formula>LEN(TRIM(AI136))=0</formula>
    </cfRule>
    <cfRule type="containsBlanks" dxfId="11125" priority="6141">
      <formula>LEN(TRIM(AI136))=0</formula>
    </cfRule>
    <cfRule type="containsBlanks" dxfId="11124" priority="6142">
      <formula>LEN(TRIM(AI136))=0</formula>
    </cfRule>
    <cfRule type="containsBlanks" dxfId="11123" priority="6143">
      <formula>LEN(TRIM(AI136))=0</formula>
    </cfRule>
    <cfRule type="containsBlanks" dxfId="11122" priority="6144">
      <formula>LEN(TRIM(AI136))=0</formula>
    </cfRule>
    <cfRule type="containsBlanks" dxfId="11121" priority="6145">
      <formula>LEN(TRIM(AI136))=0</formula>
    </cfRule>
    <cfRule type="containsBlanks" dxfId="11120" priority="6146">
      <formula>LEN(TRIM(AI136))=0</formula>
    </cfRule>
    <cfRule type="containsBlanks" dxfId="11119" priority="6147">
      <formula>LEN(TRIM(AI136))=0</formula>
    </cfRule>
    <cfRule type="containsBlanks" dxfId="11118" priority="6148">
      <formula>LEN(TRIM(AI136))=0</formula>
    </cfRule>
  </conditionalFormatting>
  <conditionalFormatting sqref="AI136">
    <cfRule type="containsBlanks" dxfId="11117" priority="6028">
      <formula>LEN(TRIM(AI136))=0</formula>
    </cfRule>
    <cfRule type="containsBlanks" dxfId="11116" priority="6029">
      <formula>LEN(TRIM(AI136))=0</formula>
    </cfRule>
    <cfRule type="containsBlanks" dxfId="11115" priority="6030">
      <formula>LEN(TRIM(AI136))=0</formula>
    </cfRule>
    <cfRule type="containsBlanks" dxfId="11114" priority="6031">
      <formula>LEN(TRIM(AI136))=0</formula>
    </cfRule>
    <cfRule type="containsBlanks" dxfId="11113" priority="6032">
      <formula>LEN(TRIM(AI136))=0</formula>
    </cfRule>
    <cfRule type="containsBlanks" dxfId="11112" priority="6033">
      <formula>LEN(TRIM(AI136))=0</formula>
    </cfRule>
    <cfRule type="containsBlanks" dxfId="11111" priority="6034">
      <formula>LEN(TRIM(AI136))=0</formula>
    </cfRule>
    <cfRule type="containsBlanks" dxfId="11110" priority="6035">
      <formula>LEN(TRIM(AI136))=0</formula>
    </cfRule>
    <cfRule type="containsBlanks" dxfId="11109" priority="6036">
      <formula>LEN(TRIM(AI136))=0</formula>
    </cfRule>
    <cfRule type="containsBlanks" dxfId="11108" priority="6037">
      <formula>LEN(TRIM(AI136))=0</formula>
    </cfRule>
    <cfRule type="containsBlanks" dxfId="11107" priority="6038">
      <formula>LEN(TRIM(AI136))=0</formula>
    </cfRule>
    <cfRule type="containsBlanks" dxfId="11106" priority="6039">
      <formula>LEN(TRIM(AI136))=0</formula>
    </cfRule>
    <cfRule type="containsBlanks" dxfId="11105" priority="6040">
      <formula>LEN(TRIM(AI136))=0</formula>
    </cfRule>
    <cfRule type="containsBlanks" dxfId="11104" priority="6041">
      <formula>LEN(TRIM(AI136))=0</formula>
    </cfRule>
    <cfRule type="containsBlanks" dxfId="11103" priority="6042">
      <formula>LEN(TRIM(AI136))=0</formula>
    </cfRule>
    <cfRule type="containsBlanks" dxfId="11102" priority="6043">
      <formula>LEN(TRIM(AI136))=0</formula>
    </cfRule>
    <cfRule type="containsBlanks" dxfId="11101" priority="6044">
      <formula>LEN(TRIM(AI136))=0</formula>
    </cfRule>
    <cfRule type="containsBlanks" dxfId="11100" priority="6045">
      <formula>LEN(TRIM(AI136))=0</formula>
    </cfRule>
    <cfRule type="containsBlanks" dxfId="11099" priority="6046">
      <formula>LEN(TRIM(AI136))=0</formula>
    </cfRule>
    <cfRule type="containsBlanks" dxfId="11098" priority="6047">
      <formula>LEN(TRIM(AI136))=0</formula>
    </cfRule>
    <cfRule type="containsBlanks" dxfId="11097" priority="6048">
      <formula>LEN(TRIM(AI136))=0</formula>
    </cfRule>
    <cfRule type="containsBlanks" dxfId="11096" priority="6049">
      <formula>LEN(TRIM(AI136))=0</formula>
    </cfRule>
    <cfRule type="containsBlanks" dxfId="11095" priority="6050">
      <formula>LEN(TRIM(AI136))=0</formula>
    </cfRule>
    <cfRule type="containsBlanks" dxfId="11094" priority="6051">
      <formula>LEN(TRIM(AI136))=0</formula>
    </cfRule>
    <cfRule type="containsBlanks" dxfId="11093" priority="6052">
      <formula>LEN(TRIM(AI136))=0</formula>
    </cfRule>
    <cfRule type="containsBlanks" dxfId="11092" priority="6053">
      <formula>LEN(TRIM(AI136))=0</formula>
    </cfRule>
    <cfRule type="containsBlanks" dxfId="11091" priority="6054">
      <formula>LEN(TRIM(AI136))=0</formula>
    </cfRule>
    <cfRule type="containsBlanks" dxfId="11090" priority="6055">
      <formula>LEN(TRIM(AI136))=0</formula>
    </cfRule>
    <cfRule type="containsBlanks" dxfId="11089" priority="6056">
      <formula>LEN(TRIM(AI136))=0</formula>
    </cfRule>
    <cfRule type="containsBlanks" dxfId="11088" priority="6057">
      <formula>LEN(TRIM(AI136))=0</formula>
    </cfRule>
    <cfRule type="containsBlanks" dxfId="11087" priority="6058">
      <formula>LEN(TRIM(AI136))=0</formula>
    </cfRule>
    <cfRule type="containsBlanks" dxfId="11086" priority="6059">
      <formula>LEN(TRIM(AI136))=0</formula>
    </cfRule>
    <cfRule type="containsBlanks" dxfId="11085" priority="6060">
      <formula>LEN(TRIM(AI136))=0</formula>
    </cfRule>
    <cfRule type="containsBlanks" dxfId="11084" priority="6061">
      <formula>LEN(TRIM(AI136))=0</formula>
    </cfRule>
    <cfRule type="containsBlanks" dxfId="11083" priority="6062">
      <formula>LEN(TRIM(AI136))=0</formula>
    </cfRule>
    <cfRule type="containsBlanks" dxfId="11082" priority="6063">
      <formula>LEN(TRIM(AI136))=0</formula>
    </cfRule>
    <cfRule type="containsBlanks" dxfId="11081" priority="6064">
      <formula>LEN(TRIM(AI136))=0</formula>
    </cfRule>
    <cfRule type="containsBlanks" dxfId="11080" priority="6065">
      <formula>LEN(TRIM(AI136))=0</formula>
    </cfRule>
    <cfRule type="containsBlanks" dxfId="11079" priority="6066">
      <formula>LEN(TRIM(AI136))=0</formula>
    </cfRule>
    <cfRule type="containsBlanks" dxfId="11078" priority="6067">
      <formula>LEN(TRIM(AI136))=0</formula>
    </cfRule>
    <cfRule type="containsBlanks" dxfId="11077" priority="6068">
      <formula>LEN(TRIM(AI136))=0</formula>
    </cfRule>
    <cfRule type="containsBlanks" dxfId="11076" priority="6069">
      <formula>LEN(TRIM(AI136))=0</formula>
    </cfRule>
    <cfRule type="containsBlanks" dxfId="11075" priority="6070">
      <formula>LEN(TRIM(AI136))=0</formula>
    </cfRule>
    <cfRule type="containsBlanks" dxfId="11074" priority="6071">
      <formula>LEN(TRIM(AI136))=0</formula>
    </cfRule>
    <cfRule type="containsBlanks" dxfId="11073" priority="6072">
      <formula>LEN(TRIM(AI136))=0</formula>
    </cfRule>
    <cfRule type="containsBlanks" dxfId="11072" priority="6073">
      <formula>LEN(TRIM(AI136))=0</formula>
    </cfRule>
    <cfRule type="containsBlanks" dxfId="11071" priority="6074">
      <formula>LEN(TRIM(AI136))=0</formula>
    </cfRule>
    <cfRule type="containsBlanks" dxfId="11070" priority="6075">
      <formula>LEN(TRIM(AI136))=0</formula>
    </cfRule>
    <cfRule type="containsBlanks" dxfId="11069" priority="6076">
      <formula>LEN(TRIM(AI136))=0</formula>
    </cfRule>
    <cfRule type="containsBlanks" dxfId="11068" priority="6077">
      <formula>LEN(TRIM(AI136))=0</formula>
    </cfRule>
    <cfRule type="containsBlanks" dxfId="11067" priority="6078">
      <formula>LEN(TRIM(AI136))=0</formula>
    </cfRule>
    <cfRule type="containsBlanks" dxfId="11066" priority="6079">
      <formula>LEN(TRIM(AI136))=0</formula>
    </cfRule>
    <cfRule type="containsBlanks" dxfId="11065" priority="6080">
      <formula>LEN(TRIM(AI136))=0</formula>
    </cfRule>
    <cfRule type="containsBlanks" dxfId="11064" priority="6081">
      <formula>LEN(TRIM(AI136))=0</formula>
    </cfRule>
    <cfRule type="containsBlanks" dxfId="11063" priority="6082">
      <formula>LEN(TRIM(AI136))=0</formula>
    </cfRule>
  </conditionalFormatting>
  <conditionalFormatting sqref="AI136">
    <cfRule type="containsBlanks" dxfId="11062" priority="5944">
      <formula>LEN(TRIM(AI136))=0</formula>
    </cfRule>
    <cfRule type="containsBlanks" dxfId="11061" priority="5945">
      <formula>LEN(TRIM(AI136))=0</formula>
    </cfRule>
    <cfRule type="containsBlanks" dxfId="11060" priority="5946">
      <formula>LEN(TRIM(AI136))=0</formula>
    </cfRule>
    <cfRule type="containsBlanks" dxfId="11059" priority="5947">
      <formula>LEN(TRIM(AI136))=0</formula>
    </cfRule>
    <cfRule type="containsBlanks" dxfId="11058" priority="5948">
      <formula>LEN(TRIM(AI136))=0</formula>
    </cfRule>
    <cfRule type="containsBlanks" dxfId="11057" priority="5949">
      <formula>LEN(TRIM(AI136))=0</formula>
    </cfRule>
    <cfRule type="containsBlanks" dxfId="11056" priority="5950">
      <formula>LEN(TRIM(AI136))=0</formula>
    </cfRule>
    <cfRule type="containsBlanks" dxfId="11055" priority="5951">
      <formula>LEN(TRIM(AI136))=0</formula>
    </cfRule>
    <cfRule type="containsBlanks" dxfId="11054" priority="5952">
      <formula>LEN(TRIM(AI136))=0</formula>
    </cfRule>
    <cfRule type="containsBlanks" dxfId="11053" priority="5953">
      <formula>LEN(TRIM(AI136))=0</formula>
    </cfRule>
    <cfRule type="containsBlanks" dxfId="11052" priority="5954">
      <formula>LEN(TRIM(AI136))=0</formula>
    </cfRule>
    <cfRule type="containsBlanks" dxfId="11051" priority="5955">
      <formula>LEN(TRIM(AI136))=0</formula>
    </cfRule>
    <cfRule type="containsBlanks" dxfId="11050" priority="5956">
      <formula>LEN(TRIM(AI136))=0</formula>
    </cfRule>
    <cfRule type="containsBlanks" dxfId="11049" priority="5957">
      <formula>LEN(TRIM(AI136))=0</formula>
    </cfRule>
    <cfRule type="containsBlanks" dxfId="11048" priority="5958">
      <formula>LEN(TRIM(AI136))=0</formula>
    </cfRule>
    <cfRule type="containsBlanks" dxfId="11047" priority="5959">
      <formula>LEN(TRIM(AI136))=0</formula>
    </cfRule>
    <cfRule type="containsBlanks" dxfId="11046" priority="5960">
      <formula>LEN(TRIM(AI136))=0</formula>
    </cfRule>
    <cfRule type="containsBlanks" dxfId="11045" priority="5961">
      <formula>LEN(TRIM(AI136))=0</formula>
    </cfRule>
    <cfRule type="containsBlanks" dxfId="11044" priority="5962">
      <formula>LEN(TRIM(AI136))=0</formula>
    </cfRule>
    <cfRule type="containsBlanks" dxfId="11043" priority="5963">
      <formula>LEN(TRIM(AI136))=0</formula>
    </cfRule>
    <cfRule type="containsBlanks" dxfId="11042" priority="5964">
      <formula>LEN(TRIM(AI136))=0</formula>
    </cfRule>
    <cfRule type="containsBlanks" dxfId="11041" priority="5965">
      <formula>LEN(TRIM(AI136))=0</formula>
    </cfRule>
    <cfRule type="containsBlanks" dxfId="11040" priority="5966">
      <formula>LEN(TRIM(AI136))=0</formula>
    </cfRule>
    <cfRule type="containsBlanks" dxfId="11039" priority="5967">
      <formula>LEN(TRIM(AI136))=0</formula>
    </cfRule>
    <cfRule type="containsBlanks" dxfId="11038" priority="5968">
      <formula>LEN(TRIM(AI136))=0</formula>
    </cfRule>
    <cfRule type="containsBlanks" dxfId="11037" priority="5969">
      <formula>LEN(TRIM(AI136))=0</formula>
    </cfRule>
    <cfRule type="containsBlanks" dxfId="11036" priority="5970">
      <formula>LEN(TRIM(AI136))=0</formula>
    </cfRule>
    <cfRule type="containsBlanks" dxfId="11035" priority="5971">
      <formula>LEN(TRIM(AI136))=0</formula>
    </cfRule>
    <cfRule type="containsBlanks" dxfId="11034" priority="5972">
      <formula>LEN(TRIM(AI136))=0</formula>
    </cfRule>
    <cfRule type="containsBlanks" dxfId="11033" priority="5973">
      <formula>LEN(TRIM(AI136))=0</formula>
    </cfRule>
    <cfRule type="containsBlanks" dxfId="11032" priority="5974">
      <formula>LEN(TRIM(AI136))=0</formula>
    </cfRule>
    <cfRule type="containsBlanks" dxfId="11031" priority="5975">
      <formula>LEN(TRIM(AI136))=0</formula>
    </cfRule>
    <cfRule type="containsBlanks" dxfId="11030" priority="5976">
      <formula>LEN(TRIM(AI136))=0</formula>
    </cfRule>
    <cfRule type="containsBlanks" dxfId="11029" priority="5977">
      <formula>LEN(TRIM(AI136))=0</formula>
    </cfRule>
    <cfRule type="containsBlanks" dxfId="11028" priority="5978">
      <formula>LEN(TRIM(AI136))=0</formula>
    </cfRule>
    <cfRule type="containsBlanks" dxfId="11027" priority="5979">
      <formula>LEN(TRIM(AI136))=0</formula>
    </cfRule>
    <cfRule type="containsBlanks" dxfId="11026" priority="5980">
      <formula>LEN(TRIM(AI136))=0</formula>
    </cfRule>
    <cfRule type="containsBlanks" dxfId="11025" priority="5981">
      <formula>LEN(TRIM(AI136))=0</formula>
    </cfRule>
    <cfRule type="containsBlanks" dxfId="11024" priority="5982">
      <formula>LEN(TRIM(AI136))=0</formula>
    </cfRule>
    <cfRule type="containsBlanks" dxfId="11023" priority="5983">
      <formula>LEN(TRIM(AI136))=0</formula>
    </cfRule>
    <cfRule type="containsBlanks" dxfId="11022" priority="5984">
      <formula>LEN(TRIM(AI136))=0</formula>
    </cfRule>
    <cfRule type="containsBlanks" dxfId="11021" priority="5985">
      <formula>LEN(TRIM(AI136))=0</formula>
    </cfRule>
    <cfRule type="containsBlanks" dxfId="11020" priority="5986">
      <formula>LEN(TRIM(AI136))=0</formula>
    </cfRule>
    <cfRule type="containsBlanks" dxfId="11019" priority="5987">
      <formula>LEN(TRIM(AI136))=0</formula>
    </cfRule>
    <cfRule type="containsBlanks" dxfId="11018" priority="5988">
      <formula>LEN(TRIM(AI136))=0</formula>
    </cfRule>
    <cfRule type="containsBlanks" dxfId="11017" priority="5989">
      <formula>LEN(TRIM(AI136))=0</formula>
    </cfRule>
    <cfRule type="containsBlanks" dxfId="11016" priority="5990">
      <formula>LEN(TRIM(AI136))=0</formula>
    </cfRule>
    <cfRule type="containsBlanks" dxfId="11015" priority="5991">
      <formula>LEN(TRIM(AI136))=0</formula>
    </cfRule>
    <cfRule type="containsBlanks" dxfId="11014" priority="5992">
      <formula>LEN(TRIM(AI136))=0</formula>
    </cfRule>
    <cfRule type="containsBlanks" dxfId="11013" priority="5993">
      <formula>LEN(TRIM(AI136))=0</formula>
    </cfRule>
    <cfRule type="containsBlanks" dxfId="11012" priority="5994">
      <formula>LEN(TRIM(AI136))=0</formula>
    </cfRule>
    <cfRule type="containsBlanks" dxfId="11011" priority="5995">
      <formula>LEN(TRIM(AI136))=0</formula>
    </cfRule>
    <cfRule type="containsBlanks" dxfId="11010" priority="5996">
      <formula>LEN(TRIM(AI136))=0</formula>
    </cfRule>
    <cfRule type="containsBlanks" dxfId="11009" priority="5997">
      <formula>LEN(TRIM(AI136))=0</formula>
    </cfRule>
    <cfRule type="containsBlanks" dxfId="11008" priority="5998">
      <formula>LEN(TRIM(AI136))=0</formula>
    </cfRule>
    <cfRule type="containsBlanks" dxfId="11007" priority="5999">
      <formula>LEN(TRIM(AI136))=0</formula>
    </cfRule>
    <cfRule type="containsBlanks" dxfId="11006" priority="6000">
      <formula>LEN(TRIM(AI136))=0</formula>
    </cfRule>
    <cfRule type="containsBlanks" dxfId="11005" priority="6001">
      <formula>LEN(TRIM(AI136))=0</formula>
    </cfRule>
    <cfRule type="containsBlanks" dxfId="11004" priority="6002">
      <formula>LEN(TRIM(AI136))=0</formula>
    </cfRule>
    <cfRule type="containsBlanks" dxfId="11003" priority="6003">
      <formula>LEN(TRIM(AI136))=0</formula>
    </cfRule>
    <cfRule type="containsBlanks" dxfId="11002" priority="6004">
      <formula>LEN(TRIM(AI136))=0</formula>
    </cfRule>
    <cfRule type="containsBlanks" dxfId="11001" priority="6005">
      <formula>LEN(TRIM(AI136))=0</formula>
    </cfRule>
    <cfRule type="containsBlanks" dxfId="11000" priority="6006">
      <formula>LEN(TRIM(AI136))=0</formula>
    </cfRule>
    <cfRule type="containsBlanks" dxfId="10999" priority="6007">
      <formula>LEN(TRIM(AI136))=0</formula>
    </cfRule>
    <cfRule type="containsBlanks" dxfId="10998" priority="6008">
      <formula>LEN(TRIM(AI136))=0</formula>
    </cfRule>
    <cfRule type="containsBlanks" dxfId="10997" priority="6009">
      <formula>LEN(TRIM(AI136))=0</formula>
    </cfRule>
    <cfRule type="containsBlanks" dxfId="10996" priority="6010">
      <formula>LEN(TRIM(AI136))=0</formula>
    </cfRule>
    <cfRule type="containsBlanks" dxfId="10995" priority="6011">
      <formula>LEN(TRIM(AI136))=0</formula>
    </cfRule>
    <cfRule type="containsBlanks" dxfId="10994" priority="6012">
      <formula>LEN(TRIM(AI136))=0</formula>
    </cfRule>
    <cfRule type="containsBlanks" dxfId="10993" priority="6013">
      <formula>LEN(TRIM(AI136))=0</formula>
    </cfRule>
    <cfRule type="containsBlanks" dxfId="10992" priority="6014">
      <formula>LEN(TRIM(AI136))=0</formula>
    </cfRule>
    <cfRule type="containsBlanks" dxfId="10991" priority="6015">
      <formula>LEN(TRIM(AI136))=0</formula>
    </cfRule>
    <cfRule type="containsBlanks" dxfId="10990" priority="6016">
      <formula>LEN(TRIM(AI136))=0</formula>
    </cfRule>
    <cfRule type="containsBlanks" dxfId="10989" priority="6017">
      <formula>LEN(TRIM(AI136))=0</formula>
    </cfRule>
    <cfRule type="containsBlanks" dxfId="10988" priority="6018">
      <formula>LEN(TRIM(AI136))=0</formula>
    </cfRule>
    <cfRule type="containsBlanks" dxfId="10987" priority="6019">
      <formula>LEN(TRIM(AI136))=0</formula>
    </cfRule>
    <cfRule type="containsBlanks" dxfId="10986" priority="6020">
      <formula>LEN(TRIM(AI136))=0</formula>
    </cfRule>
    <cfRule type="containsBlanks" dxfId="10985" priority="6021">
      <formula>LEN(TRIM(AI136))=0</formula>
    </cfRule>
    <cfRule type="containsBlanks" dxfId="10984" priority="6022">
      <formula>LEN(TRIM(AI136))=0</formula>
    </cfRule>
    <cfRule type="containsBlanks" dxfId="10983" priority="6023">
      <formula>LEN(TRIM(AI136))=0</formula>
    </cfRule>
    <cfRule type="containsBlanks" dxfId="10982" priority="6024">
      <formula>LEN(TRIM(AI136))=0</formula>
    </cfRule>
    <cfRule type="containsBlanks" dxfId="10981" priority="6025">
      <formula>LEN(TRIM(AI136))=0</formula>
    </cfRule>
    <cfRule type="containsBlanks" dxfId="10980" priority="6026">
      <formula>LEN(TRIM(AI136))=0</formula>
    </cfRule>
    <cfRule type="containsBlanks" dxfId="10979" priority="6027">
      <formula>LEN(TRIM(AI136))=0</formula>
    </cfRule>
  </conditionalFormatting>
  <conditionalFormatting sqref="AI144">
    <cfRule type="containsBlanks" dxfId="10978" priority="5943">
      <formula>LEN(TRIM(AI144))=0</formula>
    </cfRule>
  </conditionalFormatting>
  <conditionalFormatting sqref="AI144">
    <cfRule type="containsBlanks" dxfId="10977" priority="5942">
      <formula>LEN(TRIM(AI144))=0</formula>
    </cfRule>
  </conditionalFormatting>
  <conditionalFormatting sqref="AI144">
    <cfRule type="containsBlanks" dxfId="10976" priority="5940">
      <formula>LEN(TRIM(AI144))=0</formula>
    </cfRule>
    <cfRule type="containsBlanks" dxfId="10975" priority="5941">
      <formula>LEN(TRIM(AI144))=0</formula>
    </cfRule>
  </conditionalFormatting>
  <conditionalFormatting sqref="AI144">
    <cfRule type="containsBlanks" dxfId="10974" priority="5939">
      <formula>LEN(TRIM(AI144))=0</formula>
    </cfRule>
  </conditionalFormatting>
  <conditionalFormatting sqref="AI144">
    <cfRule type="containsBlanks" dxfId="10973" priority="5938">
      <formula>LEN(TRIM(AI144))=0</formula>
    </cfRule>
  </conditionalFormatting>
  <conditionalFormatting sqref="AI144">
    <cfRule type="containsBlanks" dxfId="10972" priority="5937">
      <formula>LEN(TRIM(AI144))=0</formula>
    </cfRule>
  </conditionalFormatting>
  <conditionalFormatting sqref="AI144">
    <cfRule type="containsBlanks" dxfId="10971" priority="5935">
      <formula>LEN(TRIM(AI144))=0</formula>
    </cfRule>
    <cfRule type="containsBlanks" dxfId="10970" priority="5936">
      <formula>LEN(TRIM(AI144))=0</formula>
    </cfRule>
  </conditionalFormatting>
  <conditionalFormatting sqref="AI144">
    <cfRule type="containsBlanks" dxfId="10969" priority="5933">
      <formula>LEN(TRIM(AI144))=0</formula>
    </cfRule>
    <cfRule type="containsBlanks" dxfId="10968" priority="5934">
      <formula>LEN(TRIM(AI144))=0</formula>
    </cfRule>
  </conditionalFormatting>
  <conditionalFormatting sqref="AI144">
    <cfRule type="containsBlanks" dxfId="10967" priority="5931">
      <formula>LEN(TRIM(AI144))=0</formula>
    </cfRule>
    <cfRule type="containsBlanks" dxfId="10966" priority="5932">
      <formula>LEN(TRIM(AI144))=0</formula>
    </cfRule>
  </conditionalFormatting>
  <conditionalFormatting sqref="AI144">
    <cfRule type="containsBlanks" dxfId="10965" priority="5929">
      <formula>LEN(TRIM(AI144))=0</formula>
    </cfRule>
    <cfRule type="containsBlanks" dxfId="10964" priority="5930">
      <formula>LEN(TRIM(AI144))=0</formula>
    </cfRule>
  </conditionalFormatting>
  <conditionalFormatting sqref="AI144">
    <cfRule type="containsBlanks" dxfId="10963" priority="5863">
      <formula>LEN(TRIM(AI144))=0</formula>
    </cfRule>
    <cfRule type="containsBlanks" dxfId="10962" priority="5864">
      <formula>LEN(TRIM(AI144))=0</formula>
    </cfRule>
    <cfRule type="containsBlanks" dxfId="10961" priority="5865">
      <formula>LEN(TRIM(AI144))=0</formula>
    </cfRule>
    <cfRule type="containsBlanks" dxfId="10960" priority="5866">
      <formula>LEN(TRIM(AI144))=0</formula>
    </cfRule>
    <cfRule type="containsBlanks" dxfId="10959" priority="5867">
      <formula>LEN(TRIM(AI144))=0</formula>
    </cfRule>
    <cfRule type="containsBlanks" dxfId="10958" priority="5868">
      <formula>LEN(TRIM(AI144))=0</formula>
    </cfRule>
    <cfRule type="containsBlanks" dxfId="10957" priority="5869">
      <formula>LEN(TRIM(AI144))=0</formula>
    </cfRule>
    <cfRule type="containsBlanks" dxfId="10956" priority="5870">
      <formula>LEN(TRIM(AI144))=0</formula>
    </cfRule>
    <cfRule type="containsBlanks" dxfId="10955" priority="5871">
      <formula>LEN(TRIM(AI144))=0</formula>
    </cfRule>
    <cfRule type="containsBlanks" dxfId="10954" priority="5872">
      <formula>LEN(TRIM(AI144))=0</formula>
    </cfRule>
    <cfRule type="containsBlanks" dxfId="10953" priority="5873">
      <formula>LEN(TRIM(AI144))=0</formula>
    </cfRule>
    <cfRule type="containsBlanks" dxfId="10952" priority="5874">
      <formula>LEN(TRIM(AI144))=0</formula>
    </cfRule>
    <cfRule type="containsBlanks" dxfId="10951" priority="5875">
      <formula>LEN(TRIM(AI144))=0</formula>
    </cfRule>
    <cfRule type="containsBlanks" dxfId="10950" priority="5876">
      <formula>LEN(TRIM(AI144))=0</formula>
    </cfRule>
    <cfRule type="containsBlanks" dxfId="10949" priority="5877">
      <formula>LEN(TRIM(AI144))=0</formula>
    </cfRule>
    <cfRule type="containsBlanks" dxfId="10948" priority="5878">
      <formula>LEN(TRIM(AI144))=0</formula>
    </cfRule>
    <cfRule type="containsBlanks" dxfId="10947" priority="5879">
      <formula>LEN(TRIM(AI144))=0</formula>
    </cfRule>
    <cfRule type="containsBlanks" dxfId="10946" priority="5880">
      <formula>LEN(TRIM(AI144))=0</formula>
    </cfRule>
    <cfRule type="containsBlanks" dxfId="10945" priority="5881">
      <formula>LEN(TRIM(AI144))=0</formula>
    </cfRule>
    <cfRule type="containsBlanks" dxfId="10944" priority="5882">
      <formula>LEN(TRIM(AI144))=0</formula>
    </cfRule>
    <cfRule type="containsBlanks" dxfId="10943" priority="5883">
      <formula>LEN(TRIM(AI144))=0</formula>
    </cfRule>
    <cfRule type="containsBlanks" dxfId="10942" priority="5884">
      <formula>LEN(TRIM(AI144))=0</formula>
    </cfRule>
    <cfRule type="containsBlanks" dxfId="10941" priority="5885">
      <formula>LEN(TRIM(AI144))=0</formula>
    </cfRule>
    <cfRule type="containsBlanks" dxfId="10940" priority="5886">
      <formula>LEN(TRIM(AI144))=0</formula>
    </cfRule>
    <cfRule type="containsBlanks" dxfId="10939" priority="5887">
      <formula>LEN(TRIM(AI144))=0</formula>
    </cfRule>
    <cfRule type="containsBlanks" dxfId="10938" priority="5888">
      <formula>LEN(TRIM(AI144))=0</formula>
    </cfRule>
    <cfRule type="containsBlanks" dxfId="10937" priority="5889">
      <formula>LEN(TRIM(AI144))=0</formula>
    </cfRule>
    <cfRule type="containsBlanks" dxfId="10936" priority="5890">
      <formula>LEN(TRIM(AI144))=0</formula>
    </cfRule>
    <cfRule type="containsBlanks" dxfId="10935" priority="5891">
      <formula>LEN(TRIM(AI144))=0</formula>
    </cfRule>
    <cfRule type="containsBlanks" dxfId="10934" priority="5892">
      <formula>LEN(TRIM(AI144))=0</formula>
    </cfRule>
    <cfRule type="containsBlanks" dxfId="10933" priority="5893">
      <formula>LEN(TRIM(AI144))=0</formula>
    </cfRule>
    <cfRule type="containsBlanks" dxfId="10932" priority="5894">
      <formula>LEN(TRIM(AI144))=0</formula>
    </cfRule>
    <cfRule type="containsBlanks" dxfId="10931" priority="5895">
      <formula>LEN(TRIM(AI144))=0</formula>
    </cfRule>
    <cfRule type="containsBlanks" dxfId="10930" priority="5896">
      <formula>LEN(TRIM(AI144))=0</formula>
    </cfRule>
    <cfRule type="containsBlanks" dxfId="10929" priority="5897">
      <formula>LEN(TRIM(AI144))=0</formula>
    </cfRule>
    <cfRule type="containsBlanks" dxfId="10928" priority="5898">
      <formula>LEN(TRIM(AI144))=0</formula>
    </cfRule>
    <cfRule type="containsBlanks" dxfId="10927" priority="5899">
      <formula>LEN(TRIM(AI144))=0</formula>
    </cfRule>
    <cfRule type="containsBlanks" dxfId="10926" priority="5900">
      <formula>LEN(TRIM(AI144))=0</formula>
    </cfRule>
    <cfRule type="containsBlanks" dxfId="10925" priority="5901">
      <formula>LEN(TRIM(AI144))=0</formula>
    </cfRule>
    <cfRule type="containsBlanks" dxfId="10924" priority="5902">
      <formula>LEN(TRIM(AI144))=0</formula>
    </cfRule>
    <cfRule type="containsBlanks" dxfId="10923" priority="5903">
      <formula>LEN(TRIM(AI144))=0</formula>
    </cfRule>
    <cfRule type="containsBlanks" dxfId="10922" priority="5904">
      <formula>LEN(TRIM(AI144))=0</formula>
    </cfRule>
    <cfRule type="containsBlanks" dxfId="10921" priority="5905">
      <formula>LEN(TRIM(AI144))=0</formula>
    </cfRule>
    <cfRule type="containsBlanks" dxfId="10920" priority="5906">
      <formula>LEN(TRIM(AI144))=0</formula>
    </cfRule>
    <cfRule type="containsBlanks" dxfId="10919" priority="5907">
      <formula>LEN(TRIM(AI144))=0</formula>
    </cfRule>
    <cfRule type="containsBlanks" dxfId="10918" priority="5908">
      <formula>LEN(TRIM(AI144))=0</formula>
    </cfRule>
    <cfRule type="containsBlanks" dxfId="10917" priority="5909">
      <formula>LEN(TRIM(AI144))=0</formula>
    </cfRule>
    <cfRule type="containsBlanks" dxfId="10916" priority="5910">
      <formula>LEN(TRIM(AI144))=0</formula>
    </cfRule>
    <cfRule type="containsBlanks" dxfId="10915" priority="5911">
      <formula>LEN(TRIM(AI144))=0</formula>
    </cfRule>
    <cfRule type="containsBlanks" dxfId="10914" priority="5912">
      <formula>LEN(TRIM(AI144))=0</formula>
    </cfRule>
    <cfRule type="containsBlanks" dxfId="10913" priority="5913">
      <formula>LEN(TRIM(AI144))=0</formula>
    </cfRule>
    <cfRule type="containsBlanks" dxfId="10912" priority="5914">
      <formula>LEN(TRIM(AI144))=0</formula>
    </cfRule>
    <cfRule type="containsBlanks" dxfId="10911" priority="5915">
      <formula>LEN(TRIM(AI144))=0</formula>
    </cfRule>
    <cfRule type="containsBlanks" dxfId="10910" priority="5916">
      <formula>LEN(TRIM(AI144))=0</formula>
    </cfRule>
    <cfRule type="containsBlanks" dxfId="10909" priority="5917">
      <formula>LEN(TRIM(AI144))=0</formula>
    </cfRule>
    <cfRule type="containsBlanks" dxfId="10908" priority="5918">
      <formula>LEN(TRIM(AI144))=0</formula>
    </cfRule>
    <cfRule type="containsBlanks" dxfId="10907" priority="5919">
      <formula>LEN(TRIM(AI144))=0</formula>
    </cfRule>
    <cfRule type="containsBlanks" dxfId="10906" priority="5920">
      <formula>LEN(TRIM(AI144))=0</formula>
    </cfRule>
    <cfRule type="containsBlanks" dxfId="10905" priority="5921">
      <formula>LEN(TRIM(AI144))=0</formula>
    </cfRule>
    <cfRule type="containsBlanks" dxfId="10904" priority="5922">
      <formula>LEN(TRIM(AI144))=0</formula>
    </cfRule>
    <cfRule type="containsBlanks" dxfId="10903" priority="5923">
      <formula>LEN(TRIM(AI144))=0</formula>
    </cfRule>
    <cfRule type="containsBlanks" dxfId="10902" priority="5924">
      <formula>LEN(TRIM(AI144))=0</formula>
    </cfRule>
    <cfRule type="containsBlanks" dxfId="10901" priority="5925">
      <formula>LEN(TRIM(AI144))=0</formula>
    </cfRule>
    <cfRule type="containsBlanks" dxfId="10900" priority="5926">
      <formula>LEN(TRIM(AI144))=0</formula>
    </cfRule>
    <cfRule type="containsBlanks" dxfId="10899" priority="5927">
      <formula>LEN(TRIM(AI144))=0</formula>
    </cfRule>
    <cfRule type="containsBlanks" dxfId="10898" priority="5928">
      <formula>LEN(TRIM(AI144))=0</formula>
    </cfRule>
  </conditionalFormatting>
  <conditionalFormatting sqref="AI144">
    <cfRule type="containsBlanks" dxfId="10897" priority="5808">
      <formula>LEN(TRIM(AI144))=0</formula>
    </cfRule>
    <cfRule type="containsBlanks" dxfId="10896" priority="5809">
      <formula>LEN(TRIM(AI144))=0</formula>
    </cfRule>
    <cfRule type="containsBlanks" dxfId="10895" priority="5810">
      <formula>LEN(TRIM(AI144))=0</formula>
    </cfRule>
    <cfRule type="containsBlanks" dxfId="10894" priority="5811">
      <formula>LEN(TRIM(AI144))=0</formula>
    </cfRule>
    <cfRule type="containsBlanks" dxfId="10893" priority="5812">
      <formula>LEN(TRIM(AI144))=0</formula>
    </cfRule>
    <cfRule type="containsBlanks" dxfId="10892" priority="5813">
      <formula>LEN(TRIM(AI144))=0</formula>
    </cfRule>
    <cfRule type="containsBlanks" dxfId="10891" priority="5814">
      <formula>LEN(TRIM(AI144))=0</formula>
    </cfRule>
    <cfRule type="containsBlanks" dxfId="10890" priority="5815">
      <formula>LEN(TRIM(AI144))=0</formula>
    </cfRule>
    <cfRule type="containsBlanks" dxfId="10889" priority="5816">
      <formula>LEN(TRIM(AI144))=0</formula>
    </cfRule>
    <cfRule type="containsBlanks" dxfId="10888" priority="5817">
      <formula>LEN(TRIM(AI144))=0</formula>
    </cfRule>
    <cfRule type="containsBlanks" dxfId="10887" priority="5818">
      <formula>LEN(TRIM(AI144))=0</formula>
    </cfRule>
    <cfRule type="containsBlanks" dxfId="10886" priority="5819">
      <formula>LEN(TRIM(AI144))=0</formula>
    </cfRule>
    <cfRule type="containsBlanks" dxfId="10885" priority="5820">
      <formula>LEN(TRIM(AI144))=0</formula>
    </cfRule>
    <cfRule type="containsBlanks" dxfId="10884" priority="5821">
      <formula>LEN(TRIM(AI144))=0</formula>
    </cfRule>
    <cfRule type="containsBlanks" dxfId="10883" priority="5822">
      <formula>LEN(TRIM(AI144))=0</formula>
    </cfRule>
    <cfRule type="containsBlanks" dxfId="10882" priority="5823">
      <formula>LEN(TRIM(AI144))=0</formula>
    </cfRule>
    <cfRule type="containsBlanks" dxfId="10881" priority="5824">
      <formula>LEN(TRIM(AI144))=0</formula>
    </cfRule>
    <cfRule type="containsBlanks" dxfId="10880" priority="5825">
      <formula>LEN(TRIM(AI144))=0</formula>
    </cfRule>
    <cfRule type="containsBlanks" dxfId="10879" priority="5826">
      <formula>LEN(TRIM(AI144))=0</formula>
    </cfRule>
    <cfRule type="containsBlanks" dxfId="10878" priority="5827">
      <formula>LEN(TRIM(AI144))=0</formula>
    </cfRule>
    <cfRule type="containsBlanks" dxfId="10877" priority="5828">
      <formula>LEN(TRIM(AI144))=0</formula>
    </cfRule>
    <cfRule type="containsBlanks" dxfId="10876" priority="5829">
      <formula>LEN(TRIM(AI144))=0</formula>
    </cfRule>
    <cfRule type="containsBlanks" dxfId="10875" priority="5830">
      <formula>LEN(TRIM(AI144))=0</formula>
    </cfRule>
    <cfRule type="containsBlanks" dxfId="10874" priority="5831">
      <formula>LEN(TRIM(AI144))=0</formula>
    </cfRule>
    <cfRule type="containsBlanks" dxfId="10873" priority="5832">
      <formula>LEN(TRIM(AI144))=0</formula>
    </cfRule>
    <cfRule type="containsBlanks" dxfId="10872" priority="5833">
      <formula>LEN(TRIM(AI144))=0</formula>
    </cfRule>
    <cfRule type="containsBlanks" dxfId="10871" priority="5834">
      <formula>LEN(TRIM(AI144))=0</formula>
    </cfRule>
    <cfRule type="containsBlanks" dxfId="10870" priority="5835">
      <formula>LEN(TRIM(AI144))=0</formula>
    </cfRule>
    <cfRule type="containsBlanks" dxfId="10869" priority="5836">
      <formula>LEN(TRIM(AI144))=0</formula>
    </cfRule>
    <cfRule type="containsBlanks" dxfId="10868" priority="5837">
      <formula>LEN(TRIM(AI144))=0</formula>
    </cfRule>
    <cfRule type="containsBlanks" dxfId="10867" priority="5838">
      <formula>LEN(TRIM(AI144))=0</formula>
    </cfRule>
    <cfRule type="containsBlanks" dxfId="10866" priority="5839">
      <formula>LEN(TRIM(AI144))=0</formula>
    </cfRule>
    <cfRule type="containsBlanks" dxfId="10865" priority="5840">
      <formula>LEN(TRIM(AI144))=0</formula>
    </cfRule>
    <cfRule type="containsBlanks" dxfId="10864" priority="5841">
      <formula>LEN(TRIM(AI144))=0</formula>
    </cfRule>
    <cfRule type="containsBlanks" dxfId="10863" priority="5842">
      <formula>LEN(TRIM(AI144))=0</formula>
    </cfRule>
    <cfRule type="containsBlanks" dxfId="10862" priority="5843">
      <formula>LEN(TRIM(AI144))=0</formula>
    </cfRule>
    <cfRule type="containsBlanks" dxfId="10861" priority="5844">
      <formula>LEN(TRIM(AI144))=0</formula>
    </cfRule>
    <cfRule type="containsBlanks" dxfId="10860" priority="5845">
      <formula>LEN(TRIM(AI144))=0</formula>
    </cfRule>
    <cfRule type="containsBlanks" dxfId="10859" priority="5846">
      <formula>LEN(TRIM(AI144))=0</formula>
    </cfRule>
    <cfRule type="containsBlanks" dxfId="10858" priority="5847">
      <formula>LEN(TRIM(AI144))=0</formula>
    </cfRule>
    <cfRule type="containsBlanks" dxfId="10857" priority="5848">
      <formula>LEN(TRIM(AI144))=0</formula>
    </cfRule>
    <cfRule type="containsBlanks" dxfId="10856" priority="5849">
      <formula>LEN(TRIM(AI144))=0</formula>
    </cfRule>
    <cfRule type="containsBlanks" dxfId="10855" priority="5850">
      <formula>LEN(TRIM(AI144))=0</formula>
    </cfRule>
    <cfRule type="containsBlanks" dxfId="10854" priority="5851">
      <formula>LEN(TRIM(AI144))=0</formula>
    </cfRule>
    <cfRule type="containsBlanks" dxfId="10853" priority="5852">
      <formula>LEN(TRIM(AI144))=0</formula>
    </cfRule>
    <cfRule type="containsBlanks" dxfId="10852" priority="5853">
      <formula>LEN(TRIM(AI144))=0</formula>
    </cfRule>
    <cfRule type="containsBlanks" dxfId="10851" priority="5854">
      <formula>LEN(TRIM(AI144))=0</formula>
    </cfRule>
    <cfRule type="containsBlanks" dxfId="10850" priority="5855">
      <formula>LEN(TRIM(AI144))=0</formula>
    </cfRule>
    <cfRule type="containsBlanks" dxfId="10849" priority="5856">
      <formula>LEN(TRIM(AI144))=0</formula>
    </cfRule>
    <cfRule type="containsBlanks" dxfId="10848" priority="5857">
      <formula>LEN(TRIM(AI144))=0</formula>
    </cfRule>
    <cfRule type="containsBlanks" dxfId="10847" priority="5858">
      <formula>LEN(TRIM(AI144))=0</formula>
    </cfRule>
    <cfRule type="containsBlanks" dxfId="10846" priority="5859">
      <formula>LEN(TRIM(AI144))=0</formula>
    </cfRule>
    <cfRule type="containsBlanks" dxfId="10845" priority="5860">
      <formula>LEN(TRIM(AI144))=0</formula>
    </cfRule>
    <cfRule type="containsBlanks" dxfId="10844" priority="5861">
      <formula>LEN(TRIM(AI144))=0</formula>
    </cfRule>
    <cfRule type="containsBlanks" dxfId="10843" priority="5862">
      <formula>LEN(TRIM(AI144))=0</formula>
    </cfRule>
  </conditionalFormatting>
  <conditionalFormatting sqref="AI144">
    <cfRule type="containsBlanks" dxfId="10842" priority="5724">
      <formula>LEN(TRIM(AI144))=0</formula>
    </cfRule>
    <cfRule type="containsBlanks" dxfId="10841" priority="5725">
      <formula>LEN(TRIM(AI144))=0</formula>
    </cfRule>
    <cfRule type="containsBlanks" dxfId="10840" priority="5726">
      <formula>LEN(TRIM(AI144))=0</formula>
    </cfRule>
    <cfRule type="containsBlanks" dxfId="10839" priority="5727">
      <formula>LEN(TRIM(AI144))=0</formula>
    </cfRule>
    <cfRule type="containsBlanks" dxfId="10838" priority="5728">
      <formula>LEN(TRIM(AI144))=0</formula>
    </cfRule>
    <cfRule type="containsBlanks" dxfId="10837" priority="5729">
      <formula>LEN(TRIM(AI144))=0</formula>
    </cfRule>
    <cfRule type="containsBlanks" dxfId="10836" priority="5730">
      <formula>LEN(TRIM(AI144))=0</formula>
    </cfRule>
    <cfRule type="containsBlanks" dxfId="10835" priority="5731">
      <formula>LEN(TRIM(AI144))=0</formula>
    </cfRule>
    <cfRule type="containsBlanks" dxfId="10834" priority="5732">
      <formula>LEN(TRIM(AI144))=0</formula>
    </cfRule>
    <cfRule type="containsBlanks" dxfId="10833" priority="5733">
      <formula>LEN(TRIM(AI144))=0</formula>
    </cfRule>
    <cfRule type="containsBlanks" dxfId="10832" priority="5734">
      <formula>LEN(TRIM(AI144))=0</formula>
    </cfRule>
    <cfRule type="containsBlanks" dxfId="10831" priority="5735">
      <formula>LEN(TRIM(AI144))=0</formula>
    </cfRule>
    <cfRule type="containsBlanks" dxfId="10830" priority="5736">
      <formula>LEN(TRIM(AI144))=0</formula>
    </cfRule>
    <cfRule type="containsBlanks" dxfId="10829" priority="5737">
      <formula>LEN(TRIM(AI144))=0</formula>
    </cfRule>
    <cfRule type="containsBlanks" dxfId="10828" priority="5738">
      <formula>LEN(TRIM(AI144))=0</formula>
    </cfRule>
    <cfRule type="containsBlanks" dxfId="10827" priority="5739">
      <formula>LEN(TRIM(AI144))=0</formula>
    </cfRule>
    <cfRule type="containsBlanks" dxfId="10826" priority="5740">
      <formula>LEN(TRIM(AI144))=0</formula>
    </cfRule>
    <cfRule type="containsBlanks" dxfId="10825" priority="5741">
      <formula>LEN(TRIM(AI144))=0</formula>
    </cfRule>
    <cfRule type="containsBlanks" dxfId="10824" priority="5742">
      <formula>LEN(TRIM(AI144))=0</formula>
    </cfRule>
    <cfRule type="containsBlanks" dxfId="10823" priority="5743">
      <formula>LEN(TRIM(AI144))=0</formula>
    </cfRule>
    <cfRule type="containsBlanks" dxfId="10822" priority="5744">
      <formula>LEN(TRIM(AI144))=0</formula>
    </cfRule>
    <cfRule type="containsBlanks" dxfId="10821" priority="5745">
      <formula>LEN(TRIM(AI144))=0</formula>
    </cfRule>
    <cfRule type="containsBlanks" dxfId="10820" priority="5746">
      <formula>LEN(TRIM(AI144))=0</formula>
    </cfRule>
    <cfRule type="containsBlanks" dxfId="10819" priority="5747">
      <formula>LEN(TRIM(AI144))=0</formula>
    </cfRule>
    <cfRule type="containsBlanks" dxfId="10818" priority="5748">
      <formula>LEN(TRIM(AI144))=0</formula>
    </cfRule>
    <cfRule type="containsBlanks" dxfId="10817" priority="5749">
      <formula>LEN(TRIM(AI144))=0</formula>
    </cfRule>
    <cfRule type="containsBlanks" dxfId="10816" priority="5750">
      <formula>LEN(TRIM(AI144))=0</formula>
    </cfRule>
    <cfRule type="containsBlanks" dxfId="10815" priority="5751">
      <formula>LEN(TRIM(AI144))=0</formula>
    </cfRule>
    <cfRule type="containsBlanks" dxfId="10814" priority="5752">
      <formula>LEN(TRIM(AI144))=0</formula>
    </cfRule>
    <cfRule type="containsBlanks" dxfId="10813" priority="5753">
      <formula>LEN(TRIM(AI144))=0</formula>
    </cfRule>
    <cfRule type="containsBlanks" dxfId="10812" priority="5754">
      <formula>LEN(TRIM(AI144))=0</formula>
    </cfRule>
    <cfRule type="containsBlanks" dxfId="10811" priority="5755">
      <formula>LEN(TRIM(AI144))=0</formula>
    </cfRule>
    <cfRule type="containsBlanks" dxfId="10810" priority="5756">
      <formula>LEN(TRIM(AI144))=0</formula>
    </cfRule>
    <cfRule type="containsBlanks" dxfId="10809" priority="5757">
      <formula>LEN(TRIM(AI144))=0</formula>
    </cfRule>
    <cfRule type="containsBlanks" dxfId="10808" priority="5758">
      <formula>LEN(TRIM(AI144))=0</formula>
    </cfRule>
    <cfRule type="containsBlanks" dxfId="10807" priority="5759">
      <formula>LEN(TRIM(AI144))=0</formula>
    </cfRule>
    <cfRule type="containsBlanks" dxfId="10806" priority="5760">
      <formula>LEN(TRIM(AI144))=0</formula>
    </cfRule>
    <cfRule type="containsBlanks" dxfId="10805" priority="5761">
      <formula>LEN(TRIM(AI144))=0</formula>
    </cfRule>
    <cfRule type="containsBlanks" dxfId="10804" priority="5762">
      <formula>LEN(TRIM(AI144))=0</formula>
    </cfRule>
    <cfRule type="containsBlanks" dxfId="10803" priority="5763">
      <formula>LEN(TRIM(AI144))=0</formula>
    </cfRule>
    <cfRule type="containsBlanks" dxfId="10802" priority="5764">
      <formula>LEN(TRIM(AI144))=0</formula>
    </cfRule>
    <cfRule type="containsBlanks" dxfId="10801" priority="5765">
      <formula>LEN(TRIM(AI144))=0</formula>
    </cfRule>
    <cfRule type="containsBlanks" dxfId="10800" priority="5766">
      <formula>LEN(TRIM(AI144))=0</formula>
    </cfRule>
    <cfRule type="containsBlanks" dxfId="10799" priority="5767">
      <formula>LEN(TRIM(AI144))=0</formula>
    </cfRule>
    <cfRule type="containsBlanks" dxfId="10798" priority="5768">
      <formula>LEN(TRIM(AI144))=0</formula>
    </cfRule>
    <cfRule type="containsBlanks" dxfId="10797" priority="5769">
      <formula>LEN(TRIM(AI144))=0</formula>
    </cfRule>
    <cfRule type="containsBlanks" dxfId="10796" priority="5770">
      <formula>LEN(TRIM(AI144))=0</formula>
    </cfRule>
    <cfRule type="containsBlanks" dxfId="10795" priority="5771">
      <formula>LEN(TRIM(AI144))=0</formula>
    </cfRule>
    <cfRule type="containsBlanks" dxfId="10794" priority="5772">
      <formula>LEN(TRIM(AI144))=0</formula>
    </cfRule>
    <cfRule type="containsBlanks" dxfId="10793" priority="5773">
      <formula>LEN(TRIM(AI144))=0</formula>
    </cfRule>
    <cfRule type="containsBlanks" dxfId="10792" priority="5774">
      <formula>LEN(TRIM(AI144))=0</formula>
    </cfRule>
    <cfRule type="containsBlanks" dxfId="10791" priority="5775">
      <formula>LEN(TRIM(AI144))=0</formula>
    </cfRule>
    <cfRule type="containsBlanks" dxfId="10790" priority="5776">
      <formula>LEN(TRIM(AI144))=0</formula>
    </cfRule>
    <cfRule type="containsBlanks" dxfId="10789" priority="5777">
      <formula>LEN(TRIM(AI144))=0</formula>
    </cfRule>
    <cfRule type="containsBlanks" dxfId="10788" priority="5778">
      <formula>LEN(TRIM(AI144))=0</formula>
    </cfRule>
    <cfRule type="containsBlanks" dxfId="10787" priority="5779">
      <formula>LEN(TRIM(AI144))=0</formula>
    </cfRule>
    <cfRule type="containsBlanks" dxfId="10786" priority="5780">
      <formula>LEN(TRIM(AI144))=0</formula>
    </cfRule>
    <cfRule type="containsBlanks" dxfId="10785" priority="5781">
      <formula>LEN(TRIM(AI144))=0</formula>
    </cfRule>
    <cfRule type="containsBlanks" dxfId="10784" priority="5782">
      <formula>LEN(TRIM(AI144))=0</formula>
    </cfRule>
    <cfRule type="containsBlanks" dxfId="10783" priority="5783">
      <formula>LEN(TRIM(AI144))=0</formula>
    </cfRule>
    <cfRule type="containsBlanks" dxfId="10782" priority="5784">
      <formula>LEN(TRIM(AI144))=0</formula>
    </cfRule>
    <cfRule type="containsBlanks" dxfId="10781" priority="5785">
      <formula>LEN(TRIM(AI144))=0</formula>
    </cfRule>
    <cfRule type="containsBlanks" dxfId="10780" priority="5786">
      <formula>LEN(TRIM(AI144))=0</formula>
    </cfRule>
    <cfRule type="containsBlanks" dxfId="10779" priority="5787">
      <formula>LEN(TRIM(AI144))=0</formula>
    </cfRule>
    <cfRule type="containsBlanks" dxfId="10778" priority="5788">
      <formula>LEN(TRIM(AI144))=0</formula>
    </cfRule>
    <cfRule type="containsBlanks" dxfId="10777" priority="5789">
      <formula>LEN(TRIM(AI144))=0</formula>
    </cfRule>
    <cfRule type="containsBlanks" dxfId="10776" priority="5790">
      <formula>LEN(TRIM(AI144))=0</formula>
    </cfRule>
    <cfRule type="containsBlanks" dxfId="10775" priority="5791">
      <formula>LEN(TRIM(AI144))=0</formula>
    </cfRule>
    <cfRule type="containsBlanks" dxfId="10774" priority="5792">
      <formula>LEN(TRIM(AI144))=0</formula>
    </cfRule>
    <cfRule type="containsBlanks" dxfId="10773" priority="5793">
      <formula>LEN(TRIM(AI144))=0</formula>
    </cfRule>
    <cfRule type="containsBlanks" dxfId="10772" priority="5794">
      <formula>LEN(TRIM(AI144))=0</formula>
    </cfRule>
    <cfRule type="containsBlanks" dxfId="10771" priority="5795">
      <formula>LEN(TRIM(AI144))=0</formula>
    </cfRule>
    <cfRule type="containsBlanks" dxfId="10770" priority="5796">
      <formula>LEN(TRIM(AI144))=0</formula>
    </cfRule>
    <cfRule type="containsBlanks" dxfId="10769" priority="5797">
      <formula>LEN(TRIM(AI144))=0</formula>
    </cfRule>
    <cfRule type="containsBlanks" dxfId="10768" priority="5798">
      <formula>LEN(TRIM(AI144))=0</formula>
    </cfRule>
    <cfRule type="containsBlanks" dxfId="10767" priority="5799">
      <formula>LEN(TRIM(AI144))=0</formula>
    </cfRule>
    <cfRule type="containsBlanks" dxfId="10766" priority="5800">
      <formula>LEN(TRIM(AI144))=0</formula>
    </cfRule>
    <cfRule type="containsBlanks" dxfId="10765" priority="5801">
      <formula>LEN(TRIM(AI144))=0</formula>
    </cfRule>
    <cfRule type="containsBlanks" dxfId="10764" priority="5802">
      <formula>LEN(TRIM(AI144))=0</formula>
    </cfRule>
    <cfRule type="containsBlanks" dxfId="10763" priority="5803">
      <formula>LEN(TRIM(AI144))=0</formula>
    </cfRule>
    <cfRule type="containsBlanks" dxfId="10762" priority="5804">
      <formula>LEN(TRIM(AI144))=0</formula>
    </cfRule>
    <cfRule type="containsBlanks" dxfId="10761" priority="5805">
      <formula>LEN(TRIM(AI144))=0</formula>
    </cfRule>
    <cfRule type="containsBlanks" dxfId="10760" priority="5806">
      <formula>LEN(TRIM(AI144))=0</formula>
    </cfRule>
    <cfRule type="containsBlanks" dxfId="10759" priority="5807">
      <formula>LEN(TRIM(AI144))=0</formula>
    </cfRule>
  </conditionalFormatting>
  <conditionalFormatting sqref="AI147">
    <cfRule type="containsBlanks" dxfId="10758" priority="5723">
      <formula>LEN(TRIM(AI147))=0</formula>
    </cfRule>
  </conditionalFormatting>
  <conditionalFormatting sqref="AI147">
    <cfRule type="containsBlanks" dxfId="10757" priority="5722">
      <formula>LEN(TRIM(AI147))=0</formula>
    </cfRule>
  </conditionalFormatting>
  <conditionalFormatting sqref="AI147">
    <cfRule type="containsBlanks" dxfId="10756" priority="5720">
      <formula>LEN(TRIM(AI147))=0</formula>
    </cfRule>
    <cfRule type="containsBlanks" dxfId="10755" priority="5721">
      <formula>LEN(TRIM(AI147))=0</formula>
    </cfRule>
  </conditionalFormatting>
  <conditionalFormatting sqref="AI147">
    <cfRule type="containsBlanks" dxfId="10754" priority="5719">
      <formula>LEN(TRIM(AI147))=0</formula>
    </cfRule>
  </conditionalFormatting>
  <conditionalFormatting sqref="AI147">
    <cfRule type="containsBlanks" dxfId="10753" priority="5718">
      <formula>LEN(TRIM(AI147))=0</formula>
    </cfRule>
  </conditionalFormatting>
  <conditionalFormatting sqref="AI147">
    <cfRule type="containsBlanks" dxfId="10752" priority="5717">
      <formula>LEN(TRIM(AI147))=0</formula>
    </cfRule>
  </conditionalFormatting>
  <conditionalFormatting sqref="AI147">
    <cfRule type="containsBlanks" dxfId="10751" priority="5715">
      <formula>LEN(TRIM(AI147))=0</formula>
    </cfRule>
    <cfRule type="containsBlanks" dxfId="10750" priority="5716">
      <formula>LEN(TRIM(AI147))=0</formula>
    </cfRule>
  </conditionalFormatting>
  <conditionalFormatting sqref="AI147">
    <cfRule type="containsBlanks" dxfId="10749" priority="5713">
      <formula>LEN(TRIM(AI147))=0</formula>
    </cfRule>
    <cfRule type="containsBlanks" dxfId="10748" priority="5714">
      <formula>LEN(TRIM(AI147))=0</formula>
    </cfRule>
  </conditionalFormatting>
  <conditionalFormatting sqref="AI147">
    <cfRule type="containsBlanks" dxfId="10747" priority="5711">
      <formula>LEN(TRIM(AI147))=0</formula>
    </cfRule>
    <cfRule type="containsBlanks" dxfId="10746" priority="5712">
      <formula>LEN(TRIM(AI147))=0</formula>
    </cfRule>
  </conditionalFormatting>
  <conditionalFormatting sqref="AI147">
    <cfRule type="containsBlanks" dxfId="10745" priority="5709">
      <formula>LEN(TRIM(AI147))=0</formula>
    </cfRule>
    <cfRule type="containsBlanks" dxfId="10744" priority="5710">
      <formula>LEN(TRIM(AI147))=0</formula>
    </cfRule>
  </conditionalFormatting>
  <conditionalFormatting sqref="AI147">
    <cfRule type="containsBlanks" dxfId="10743" priority="5643">
      <formula>LEN(TRIM(AI147))=0</formula>
    </cfRule>
    <cfRule type="containsBlanks" dxfId="10742" priority="5644">
      <formula>LEN(TRIM(AI147))=0</formula>
    </cfRule>
    <cfRule type="containsBlanks" dxfId="10741" priority="5645">
      <formula>LEN(TRIM(AI147))=0</formula>
    </cfRule>
    <cfRule type="containsBlanks" dxfId="10740" priority="5646">
      <formula>LEN(TRIM(AI147))=0</formula>
    </cfRule>
    <cfRule type="containsBlanks" dxfId="10739" priority="5647">
      <formula>LEN(TRIM(AI147))=0</formula>
    </cfRule>
    <cfRule type="containsBlanks" dxfId="10738" priority="5648">
      <formula>LEN(TRIM(AI147))=0</formula>
    </cfRule>
    <cfRule type="containsBlanks" dxfId="10737" priority="5649">
      <formula>LEN(TRIM(AI147))=0</formula>
    </cfRule>
    <cfRule type="containsBlanks" dxfId="10736" priority="5650">
      <formula>LEN(TRIM(AI147))=0</formula>
    </cfRule>
    <cfRule type="containsBlanks" dxfId="10735" priority="5651">
      <formula>LEN(TRIM(AI147))=0</formula>
    </cfRule>
    <cfRule type="containsBlanks" dxfId="10734" priority="5652">
      <formula>LEN(TRIM(AI147))=0</formula>
    </cfRule>
    <cfRule type="containsBlanks" dxfId="10733" priority="5653">
      <formula>LEN(TRIM(AI147))=0</formula>
    </cfRule>
    <cfRule type="containsBlanks" dxfId="10732" priority="5654">
      <formula>LEN(TRIM(AI147))=0</formula>
    </cfRule>
    <cfRule type="containsBlanks" dxfId="10731" priority="5655">
      <formula>LEN(TRIM(AI147))=0</formula>
    </cfRule>
    <cfRule type="containsBlanks" dxfId="10730" priority="5656">
      <formula>LEN(TRIM(AI147))=0</formula>
    </cfRule>
    <cfRule type="containsBlanks" dxfId="10729" priority="5657">
      <formula>LEN(TRIM(AI147))=0</formula>
    </cfRule>
    <cfRule type="containsBlanks" dxfId="10728" priority="5658">
      <formula>LEN(TRIM(AI147))=0</formula>
    </cfRule>
    <cfRule type="containsBlanks" dxfId="10727" priority="5659">
      <formula>LEN(TRIM(AI147))=0</formula>
    </cfRule>
    <cfRule type="containsBlanks" dxfId="10726" priority="5660">
      <formula>LEN(TRIM(AI147))=0</formula>
    </cfRule>
    <cfRule type="containsBlanks" dxfId="10725" priority="5661">
      <formula>LEN(TRIM(AI147))=0</formula>
    </cfRule>
    <cfRule type="containsBlanks" dxfId="10724" priority="5662">
      <formula>LEN(TRIM(AI147))=0</formula>
    </cfRule>
    <cfRule type="containsBlanks" dxfId="10723" priority="5663">
      <formula>LEN(TRIM(AI147))=0</formula>
    </cfRule>
    <cfRule type="containsBlanks" dxfId="10722" priority="5664">
      <formula>LEN(TRIM(AI147))=0</formula>
    </cfRule>
    <cfRule type="containsBlanks" dxfId="10721" priority="5665">
      <formula>LEN(TRIM(AI147))=0</formula>
    </cfRule>
    <cfRule type="containsBlanks" dxfId="10720" priority="5666">
      <formula>LEN(TRIM(AI147))=0</formula>
    </cfRule>
    <cfRule type="containsBlanks" dxfId="10719" priority="5667">
      <formula>LEN(TRIM(AI147))=0</formula>
    </cfRule>
    <cfRule type="containsBlanks" dxfId="10718" priority="5668">
      <formula>LEN(TRIM(AI147))=0</formula>
    </cfRule>
    <cfRule type="containsBlanks" dxfId="10717" priority="5669">
      <formula>LEN(TRIM(AI147))=0</formula>
    </cfRule>
    <cfRule type="containsBlanks" dxfId="10716" priority="5670">
      <formula>LEN(TRIM(AI147))=0</formula>
    </cfRule>
    <cfRule type="containsBlanks" dxfId="10715" priority="5671">
      <formula>LEN(TRIM(AI147))=0</formula>
    </cfRule>
    <cfRule type="containsBlanks" dxfId="10714" priority="5672">
      <formula>LEN(TRIM(AI147))=0</formula>
    </cfRule>
    <cfRule type="containsBlanks" dxfId="10713" priority="5673">
      <formula>LEN(TRIM(AI147))=0</formula>
    </cfRule>
    <cfRule type="containsBlanks" dxfId="10712" priority="5674">
      <formula>LEN(TRIM(AI147))=0</formula>
    </cfRule>
    <cfRule type="containsBlanks" dxfId="10711" priority="5675">
      <formula>LEN(TRIM(AI147))=0</formula>
    </cfRule>
    <cfRule type="containsBlanks" dxfId="10710" priority="5676">
      <formula>LEN(TRIM(AI147))=0</formula>
    </cfRule>
    <cfRule type="containsBlanks" dxfId="10709" priority="5677">
      <formula>LEN(TRIM(AI147))=0</formula>
    </cfRule>
    <cfRule type="containsBlanks" dxfId="10708" priority="5678">
      <formula>LEN(TRIM(AI147))=0</formula>
    </cfRule>
    <cfRule type="containsBlanks" dxfId="10707" priority="5679">
      <formula>LEN(TRIM(AI147))=0</formula>
    </cfRule>
    <cfRule type="containsBlanks" dxfId="10706" priority="5680">
      <formula>LEN(TRIM(AI147))=0</formula>
    </cfRule>
    <cfRule type="containsBlanks" dxfId="10705" priority="5681">
      <formula>LEN(TRIM(AI147))=0</formula>
    </cfRule>
    <cfRule type="containsBlanks" dxfId="10704" priority="5682">
      <formula>LEN(TRIM(AI147))=0</formula>
    </cfRule>
    <cfRule type="containsBlanks" dxfId="10703" priority="5683">
      <formula>LEN(TRIM(AI147))=0</formula>
    </cfRule>
    <cfRule type="containsBlanks" dxfId="10702" priority="5684">
      <formula>LEN(TRIM(AI147))=0</formula>
    </cfRule>
    <cfRule type="containsBlanks" dxfId="10701" priority="5685">
      <formula>LEN(TRIM(AI147))=0</formula>
    </cfRule>
    <cfRule type="containsBlanks" dxfId="10700" priority="5686">
      <formula>LEN(TRIM(AI147))=0</formula>
    </cfRule>
    <cfRule type="containsBlanks" dxfId="10699" priority="5687">
      <formula>LEN(TRIM(AI147))=0</formula>
    </cfRule>
    <cfRule type="containsBlanks" dxfId="10698" priority="5688">
      <formula>LEN(TRIM(AI147))=0</formula>
    </cfRule>
    <cfRule type="containsBlanks" dxfId="10697" priority="5689">
      <formula>LEN(TRIM(AI147))=0</formula>
    </cfRule>
    <cfRule type="containsBlanks" dxfId="10696" priority="5690">
      <formula>LEN(TRIM(AI147))=0</formula>
    </cfRule>
    <cfRule type="containsBlanks" dxfId="10695" priority="5691">
      <formula>LEN(TRIM(AI147))=0</formula>
    </cfRule>
    <cfRule type="containsBlanks" dxfId="10694" priority="5692">
      <formula>LEN(TRIM(AI147))=0</formula>
    </cfRule>
    <cfRule type="containsBlanks" dxfId="10693" priority="5693">
      <formula>LEN(TRIM(AI147))=0</formula>
    </cfRule>
    <cfRule type="containsBlanks" dxfId="10692" priority="5694">
      <formula>LEN(TRIM(AI147))=0</formula>
    </cfRule>
    <cfRule type="containsBlanks" dxfId="10691" priority="5695">
      <formula>LEN(TRIM(AI147))=0</formula>
    </cfRule>
    <cfRule type="containsBlanks" dxfId="10690" priority="5696">
      <formula>LEN(TRIM(AI147))=0</formula>
    </cfRule>
    <cfRule type="containsBlanks" dxfId="10689" priority="5697">
      <formula>LEN(TRIM(AI147))=0</formula>
    </cfRule>
    <cfRule type="containsBlanks" dxfId="10688" priority="5698">
      <formula>LEN(TRIM(AI147))=0</formula>
    </cfRule>
    <cfRule type="containsBlanks" dxfId="10687" priority="5699">
      <formula>LEN(TRIM(AI147))=0</formula>
    </cfRule>
    <cfRule type="containsBlanks" dxfId="10686" priority="5700">
      <formula>LEN(TRIM(AI147))=0</formula>
    </cfRule>
    <cfRule type="containsBlanks" dxfId="10685" priority="5701">
      <formula>LEN(TRIM(AI147))=0</formula>
    </cfRule>
    <cfRule type="containsBlanks" dxfId="10684" priority="5702">
      <formula>LEN(TRIM(AI147))=0</formula>
    </cfRule>
    <cfRule type="containsBlanks" dxfId="10683" priority="5703">
      <formula>LEN(TRIM(AI147))=0</formula>
    </cfRule>
    <cfRule type="containsBlanks" dxfId="10682" priority="5704">
      <formula>LEN(TRIM(AI147))=0</formula>
    </cfRule>
    <cfRule type="containsBlanks" dxfId="10681" priority="5705">
      <formula>LEN(TRIM(AI147))=0</formula>
    </cfRule>
    <cfRule type="containsBlanks" dxfId="10680" priority="5706">
      <formula>LEN(TRIM(AI147))=0</formula>
    </cfRule>
    <cfRule type="containsBlanks" dxfId="10679" priority="5707">
      <formula>LEN(TRIM(AI147))=0</formula>
    </cfRule>
    <cfRule type="containsBlanks" dxfId="10678" priority="5708">
      <formula>LEN(TRIM(AI147))=0</formula>
    </cfRule>
  </conditionalFormatting>
  <conditionalFormatting sqref="AI147">
    <cfRule type="containsBlanks" dxfId="10677" priority="5588">
      <formula>LEN(TRIM(AI147))=0</formula>
    </cfRule>
    <cfRule type="containsBlanks" dxfId="10676" priority="5589">
      <formula>LEN(TRIM(AI147))=0</formula>
    </cfRule>
    <cfRule type="containsBlanks" dxfId="10675" priority="5590">
      <formula>LEN(TRIM(AI147))=0</formula>
    </cfRule>
    <cfRule type="containsBlanks" dxfId="10674" priority="5591">
      <formula>LEN(TRIM(AI147))=0</formula>
    </cfRule>
    <cfRule type="containsBlanks" dxfId="10673" priority="5592">
      <formula>LEN(TRIM(AI147))=0</formula>
    </cfRule>
    <cfRule type="containsBlanks" dxfId="10672" priority="5593">
      <formula>LEN(TRIM(AI147))=0</formula>
    </cfRule>
    <cfRule type="containsBlanks" dxfId="10671" priority="5594">
      <formula>LEN(TRIM(AI147))=0</formula>
    </cfRule>
    <cfRule type="containsBlanks" dxfId="10670" priority="5595">
      <formula>LEN(TRIM(AI147))=0</formula>
    </cfRule>
    <cfRule type="containsBlanks" dxfId="10669" priority="5596">
      <formula>LEN(TRIM(AI147))=0</formula>
    </cfRule>
    <cfRule type="containsBlanks" dxfId="10668" priority="5597">
      <formula>LEN(TRIM(AI147))=0</formula>
    </cfRule>
    <cfRule type="containsBlanks" dxfId="10667" priority="5598">
      <formula>LEN(TRIM(AI147))=0</formula>
    </cfRule>
    <cfRule type="containsBlanks" dxfId="10666" priority="5599">
      <formula>LEN(TRIM(AI147))=0</formula>
    </cfRule>
    <cfRule type="containsBlanks" dxfId="10665" priority="5600">
      <formula>LEN(TRIM(AI147))=0</formula>
    </cfRule>
    <cfRule type="containsBlanks" dxfId="10664" priority="5601">
      <formula>LEN(TRIM(AI147))=0</formula>
    </cfRule>
    <cfRule type="containsBlanks" dxfId="10663" priority="5602">
      <formula>LEN(TRIM(AI147))=0</formula>
    </cfRule>
    <cfRule type="containsBlanks" dxfId="10662" priority="5603">
      <formula>LEN(TRIM(AI147))=0</formula>
    </cfRule>
    <cfRule type="containsBlanks" dxfId="10661" priority="5604">
      <formula>LEN(TRIM(AI147))=0</formula>
    </cfRule>
    <cfRule type="containsBlanks" dxfId="10660" priority="5605">
      <formula>LEN(TRIM(AI147))=0</formula>
    </cfRule>
    <cfRule type="containsBlanks" dxfId="10659" priority="5606">
      <formula>LEN(TRIM(AI147))=0</formula>
    </cfRule>
    <cfRule type="containsBlanks" dxfId="10658" priority="5607">
      <formula>LEN(TRIM(AI147))=0</formula>
    </cfRule>
    <cfRule type="containsBlanks" dxfId="10657" priority="5608">
      <formula>LEN(TRIM(AI147))=0</formula>
    </cfRule>
    <cfRule type="containsBlanks" dxfId="10656" priority="5609">
      <formula>LEN(TRIM(AI147))=0</formula>
    </cfRule>
    <cfRule type="containsBlanks" dxfId="10655" priority="5610">
      <formula>LEN(TRIM(AI147))=0</formula>
    </cfRule>
    <cfRule type="containsBlanks" dxfId="10654" priority="5611">
      <formula>LEN(TRIM(AI147))=0</formula>
    </cfRule>
    <cfRule type="containsBlanks" dxfId="10653" priority="5612">
      <formula>LEN(TRIM(AI147))=0</formula>
    </cfRule>
    <cfRule type="containsBlanks" dxfId="10652" priority="5613">
      <formula>LEN(TRIM(AI147))=0</formula>
    </cfRule>
    <cfRule type="containsBlanks" dxfId="10651" priority="5614">
      <formula>LEN(TRIM(AI147))=0</formula>
    </cfRule>
    <cfRule type="containsBlanks" dxfId="10650" priority="5615">
      <formula>LEN(TRIM(AI147))=0</formula>
    </cfRule>
    <cfRule type="containsBlanks" dxfId="10649" priority="5616">
      <formula>LEN(TRIM(AI147))=0</formula>
    </cfRule>
    <cfRule type="containsBlanks" dxfId="10648" priority="5617">
      <formula>LEN(TRIM(AI147))=0</formula>
    </cfRule>
    <cfRule type="containsBlanks" dxfId="10647" priority="5618">
      <formula>LEN(TRIM(AI147))=0</formula>
    </cfRule>
    <cfRule type="containsBlanks" dxfId="10646" priority="5619">
      <formula>LEN(TRIM(AI147))=0</formula>
    </cfRule>
    <cfRule type="containsBlanks" dxfId="10645" priority="5620">
      <formula>LEN(TRIM(AI147))=0</formula>
    </cfRule>
    <cfRule type="containsBlanks" dxfId="10644" priority="5621">
      <formula>LEN(TRIM(AI147))=0</formula>
    </cfRule>
    <cfRule type="containsBlanks" dxfId="10643" priority="5622">
      <formula>LEN(TRIM(AI147))=0</formula>
    </cfRule>
    <cfRule type="containsBlanks" dxfId="10642" priority="5623">
      <formula>LEN(TRIM(AI147))=0</formula>
    </cfRule>
    <cfRule type="containsBlanks" dxfId="10641" priority="5624">
      <formula>LEN(TRIM(AI147))=0</formula>
    </cfRule>
    <cfRule type="containsBlanks" dxfId="10640" priority="5625">
      <formula>LEN(TRIM(AI147))=0</formula>
    </cfRule>
    <cfRule type="containsBlanks" dxfId="10639" priority="5626">
      <formula>LEN(TRIM(AI147))=0</formula>
    </cfRule>
    <cfRule type="containsBlanks" dxfId="10638" priority="5627">
      <formula>LEN(TRIM(AI147))=0</formula>
    </cfRule>
    <cfRule type="containsBlanks" dxfId="10637" priority="5628">
      <formula>LEN(TRIM(AI147))=0</formula>
    </cfRule>
    <cfRule type="containsBlanks" dxfId="10636" priority="5629">
      <formula>LEN(TRIM(AI147))=0</formula>
    </cfRule>
    <cfRule type="containsBlanks" dxfId="10635" priority="5630">
      <formula>LEN(TRIM(AI147))=0</formula>
    </cfRule>
    <cfRule type="containsBlanks" dxfId="10634" priority="5631">
      <formula>LEN(TRIM(AI147))=0</formula>
    </cfRule>
    <cfRule type="containsBlanks" dxfId="10633" priority="5632">
      <formula>LEN(TRIM(AI147))=0</formula>
    </cfRule>
    <cfRule type="containsBlanks" dxfId="10632" priority="5633">
      <formula>LEN(TRIM(AI147))=0</formula>
    </cfRule>
    <cfRule type="containsBlanks" dxfId="10631" priority="5634">
      <formula>LEN(TRIM(AI147))=0</formula>
    </cfRule>
    <cfRule type="containsBlanks" dxfId="10630" priority="5635">
      <formula>LEN(TRIM(AI147))=0</formula>
    </cfRule>
    <cfRule type="containsBlanks" dxfId="10629" priority="5636">
      <formula>LEN(TRIM(AI147))=0</formula>
    </cfRule>
    <cfRule type="containsBlanks" dxfId="10628" priority="5637">
      <formula>LEN(TRIM(AI147))=0</formula>
    </cfRule>
    <cfRule type="containsBlanks" dxfId="10627" priority="5638">
      <formula>LEN(TRIM(AI147))=0</formula>
    </cfRule>
    <cfRule type="containsBlanks" dxfId="10626" priority="5639">
      <formula>LEN(TRIM(AI147))=0</formula>
    </cfRule>
    <cfRule type="containsBlanks" dxfId="10625" priority="5640">
      <formula>LEN(TRIM(AI147))=0</formula>
    </cfRule>
    <cfRule type="containsBlanks" dxfId="10624" priority="5641">
      <formula>LEN(TRIM(AI147))=0</formula>
    </cfRule>
    <cfRule type="containsBlanks" dxfId="10623" priority="5642">
      <formula>LEN(TRIM(AI147))=0</formula>
    </cfRule>
  </conditionalFormatting>
  <conditionalFormatting sqref="AI147">
    <cfRule type="containsBlanks" dxfId="10622" priority="5504">
      <formula>LEN(TRIM(AI147))=0</formula>
    </cfRule>
    <cfRule type="containsBlanks" dxfId="10621" priority="5505">
      <formula>LEN(TRIM(AI147))=0</formula>
    </cfRule>
    <cfRule type="containsBlanks" dxfId="10620" priority="5506">
      <formula>LEN(TRIM(AI147))=0</formula>
    </cfRule>
    <cfRule type="containsBlanks" dxfId="10619" priority="5507">
      <formula>LEN(TRIM(AI147))=0</formula>
    </cfRule>
    <cfRule type="containsBlanks" dxfId="10618" priority="5508">
      <formula>LEN(TRIM(AI147))=0</formula>
    </cfRule>
    <cfRule type="containsBlanks" dxfId="10617" priority="5509">
      <formula>LEN(TRIM(AI147))=0</formula>
    </cfRule>
    <cfRule type="containsBlanks" dxfId="10616" priority="5510">
      <formula>LEN(TRIM(AI147))=0</formula>
    </cfRule>
    <cfRule type="containsBlanks" dxfId="10615" priority="5511">
      <formula>LEN(TRIM(AI147))=0</formula>
    </cfRule>
    <cfRule type="containsBlanks" dxfId="10614" priority="5512">
      <formula>LEN(TRIM(AI147))=0</formula>
    </cfRule>
    <cfRule type="containsBlanks" dxfId="10613" priority="5513">
      <formula>LEN(TRIM(AI147))=0</formula>
    </cfRule>
    <cfRule type="containsBlanks" dxfId="10612" priority="5514">
      <formula>LEN(TRIM(AI147))=0</formula>
    </cfRule>
    <cfRule type="containsBlanks" dxfId="10611" priority="5515">
      <formula>LEN(TRIM(AI147))=0</formula>
    </cfRule>
    <cfRule type="containsBlanks" dxfId="10610" priority="5516">
      <formula>LEN(TRIM(AI147))=0</formula>
    </cfRule>
    <cfRule type="containsBlanks" dxfId="10609" priority="5517">
      <formula>LEN(TRIM(AI147))=0</formula>
    </cfRule>
    <cfRule type="containsBlanks" dxfId="10608" priority="5518">
      <formula>LEN(TRIM(AI147))=0</formula>
    </cfRule>
    <cfRule type="containsBlanks" dxfId="10607" priority="5519">
      <formula>LEN(TRIM(AI147))=0</formula>
    </cfRule>
    <cfRule type="containsBlanks" dxfId="10606" priority="5520">
      <formula>LEN(TRIM(AI147))=0</formula>
    </cfRule>
    <cfRule type="containsBlanks" dxfId="10605" priority="5521">
      <formula>LEN(TRIM(AI147))=0</formula>
    </cfRule>
    <cfRule type="containsBlanks" dxfId="10604" priority="5522">
      <formula>LEN(TRIM(AI147))=0</formula>
    </cfRule>
    <cfRule type="containsBlanks" dxfId="10603" priority="5523">
      <formula>LEN(TRIM(AI147))=0</formula>
    </cfRule>
    <cfRule type="containsBlanks" dxfId="10602" priority="5524">
      <formula>LEN(TRIM(AI147))=0</formula>
    </cfRule>
    <cfRule type="containsBlanks" dxfId="10601" priority="5525">
      <formula>LEN(TRIM(AI147))=0</formula>
    </cfRule>
    <cfRule type="containsBlanks" dxfId="10600" priority="5526">
      <formula>LEN(TRIM(AI147))=0</formula>
    </cfRule>
    <cfRule type="containsBlanks" dxfId="10599" priority="5527">
      <formula>LEN(TRIM(AI147))=0</formula>
    </cfRule>
    <cfRule type="containsBlanks" dxfId="10598" priority="5528">
      <formula>LEN(TRIM(AI147))=0</formula>
    </cfRule>
    <cfRule type="containsBlanks" dxfId="10597" priority="5529">
      <formula>LEN(TRIM(AI147))=0</formula>
    </cfRule>
    <cfRule type="containsBlanks" dxfId="10596" priority="5530">
      <formula>LEN(TRIM(AI147))=0</formula>
    </cfRule>
    <cfRule type="containsBlanks" dxfId="10595" priority="5531">
      <formula>LEN(TRIM(AI147))=0</formula>
    </cfRule>
    <cfRule type="containsBlanks" dxfId="10594" priority="5532">
      <formula>LEN(TRIM(AI147))=0</formula>
    </cfRule>
    <cfRule type="containsBlanks" dxfId="10593" priority="5533">
      <formula>LEN(TRIM(AI147))=0</formula>
    </cfRule>
    <cfRule type="containsBlanks" dxfId="10592" priority="5534">
      <formula>LEN(TRIM(AI147))=0</formula>
    </cfRule>
    <cfRule type="containsBlanks" dxfId="10591" priority="5535">
      <formula>LEN(TRIM(AI147))=0</formula>
    </cfRule>
    <cfRule type="containsBlanks" dxfId="10590" priority="5536">
      <formula>LEN(TRIM(AI147))=0</formula>
    </cfRule>
    <cfRule type="containsBlanks" dxfId="10589" priority="5537">
      <formula>LEN(TRIM(AI147))=0</formula>
    </cfRule>
    <cfRule type="containsBlanks" dxfId="10588" priority="5538">
      <formula>LEN(TRIM(AI147))=0</formula>
    </cfRule>
    <cfRule type="containsBlanks" dxfId="10587" priority="5539">
      <formula>LEN(TRIM(AI147))=0</formula>
    </cfRule>
    <cfRule type="containsBlanks" dxfId="10586" priority="5540">
      <formula>LEN(TRIM(AI147))=0</formula>
    </cfRule>
    <cfRule type="containsBlanks" dxfId="10585" priority="5541">
      <formula>LEN(TRIM(AI147))=0</formula>
    </cfRule>
    <cfRule type="containsBlanks" dxfId="10584" priority="5542">
      <formula>LEN(TRIM(AI147))=0</formula>
    </cfRule>
    <cfRule type="containsBlanks" dxfId="10583" priority="5543">
      <formula>LEN(TRIM(AI147))=0</formula>
    </cfRule>
    <cfRule type="containsBlanks" dxfId="10582" priority="5544">
      <formula>LEN(TRIM(AI147))=0</formula>
    </cfRule>
    <cfRule type="containsBlanks" dxfId="10581" priority="5545">
      <formula>LEN(TRIM(AI147))=0</formula>
    </cfRule>
    <cfRule type="containsBlanks" dxfId="10580" priority="5546">
      <formula>LEN(TRIM(AI147))=0</formula>
    </cfRule>
    <cfRule type="containsBlanks" dxfId="10579" priority="5547">
      <formula>LEN(TRIM(AI147))=0</formula>
    </cfRule>
    <cfRule type="containsBlanks" dxfId="10578" priority="5548">
      <formula>LEN(TRIM(AI147))=0</formula>
    </cfRule>
    <cfRule type="containsBlanks" dxfId="10577" priority="5549">
      <formula>LEN(TRIM(AI147))=0</formula>
    </cfRule>
    <cfRule type="containsBlanks" dxfId="10576" priority="5550">
      <formula>LEN(TRIM(AI147))=0</formula>
    </cfRule>
    <cfRule type="containsBlanks" dxfId="10575" priority="5551">
      <formula>LEN(TRIM(AI147))=0</formula>
    </cfRule>
    <cfRule type="containsBlanks" dxfId="10574" priority="5552">
      <formula>LEN(TRIM(AI147))=0</formula>
    </cfRule>
    <cfRule type="containsBlanks" dxfId="10573" priority="5553">
      <formula>LEN(TRIM(AI147))=0</formula>
    </cfRule>
    <cfRule type="containsBlanks" dxfId="10572" priority="5554">
      <formula>LEN(TRIM(AI147))=0</formula>
    </cfRule>
    <cfRule type="containsBlanks" dxfId="10571" priority="5555">
      <formula>LEN(TRIM(AI147))=0</formula>
    </cfRule>
    <cfRule type="containsBlanks" dxfId="10570" priority="5556">
      <formula>LEN(TRIM(AI147))=0</formula>
    </cfRule>
    <cfRule type="containsBlanks" dxfId="10569" priority="5557">
      <formula>LEN(TRIM(AI147))=0</formula>
    </cfRule>
    <cfRule type="containsBlanks" dxfId="10568" priority="5558">
      <formula>LEN(TRIM(AI147))=0</formula>
    </cfRule>
    <cfRule type="containsBlanks" dxfId="10567" priority="5559">
      <formula>LEN(TRIM(AI147))=0</formula>
    </cfRule>
    <cfRule type="containsBlanks" dxfId="10566" priority="5560">
      <formula>LEN(TRIM(AI147))=0</formula>
    </cfRule>
    <cfRule type="containsBlanks" dxfId="10565" priority="5561">
      <formula>LEN(TRIM(AI147))=0</formula>
    </cfRule>
    <cfRule type="containsBlanks" dxfId="10564" priority="5562">
      <formula>LEN(TRIM(AI147))=0</formula>
    </cfRule>
    <cfRule type="containsBlanks" dxfId="10563" priority="5563">
      <formula>LEN(TRIM(AI147))=0</formula>
    </cfRule>
    <cfRule type="containsBlanks" dxfId="10562" priority="5564">
      <formula>LEN(TRIM(AI147))=0</formula>
    </cfRule>
    <cfRule type="containsBlanks" dxfId="10561" priority="5565">
      <formula>LEN(TRIM(AI147))=0</formula>
    </cfRule>
    <cfRule type="containsBlanks" dxfId="10560" priority="5566">
      <formula>LEN(TRIM(AI147))=0</formula>
    </cfRule>
    <cfRule type="containsBlanks" dxfId="10559" priority="5567">
      <formula>LEN(TRIM(AI147))=0</formula>
    </cfRule>
    <cfRule type="containsBlanks" dxfId="10558" priority="5568">
      <formula>LEN(TRIM(AI147))=0</formula>
    </cfRule>
    <cfRule type="containsBlanks" dxfId="10557" priority="5569">
      <formula>LEN(TRIM(AI147))=0</formula>
    </cfRule>
    <cfRule type="containsBlanks" dxfId="10556" priority="5570">
      <formula>LEN(TRIM(AI147))=0</formula>
    </cfRule>
    <cfRule type="containsBlanks" dxfId="10555" priority="5571">
      <formula>LEN(TRIM(AI147))=0</formula>
    </cfRule>
    <cfRule type="containsBlanks" dxfId="10554" priority="5572">
      <formula>LEN(TRIM(AI147))=0</formula>
    </cfRule>
    <cfRule type="containsBlanks" dxfId="10553" priority="5573">
      <formula>LEN(TRIM(AI147))=0</formula>
    </cfRule>
    <cfRule type="containsBlanks" dxfId="10552" priority="5574">
      <formula>LEN(TRIM(AI147))=0</formula>
    </cfRule>
    <cfRule type="containsBlanks" dxfId="10551" priority="5575">
      <formula>LEN(TRIM(AI147))=0</formula>
    </cfRule>
    <cfRule type="containsBlanks" dxfId="10550" priority="5576">
      <formula>LEN(TRIM(AI147))=0</formula>
    </cfRule>
    <cfRule type="containsBlanks" dxfId="10549" priority="5577">
      <formula>LEN(TRIM(AI147))=0</formula>
    </cfRule>
    <cfRule type="containsBlanks" dxfId="10548" priority="5578">
      <formula>LEN(TRIM(AI147))=0</formula>
    </cfRule>
    <cfRule type="containsBlanks" dxfId="10547" priority="5579">
      <formula>LEN(TRIM(AI147))=0</formula>
    </cfRule>
    <cfRule type="containsBlanks" dxfId="10546" priority="5580">
      <formula>LEN(TRIM(AI147))=0</formula>
    </cfRule>
    <cfRule type="containsBlanks" dxfId="10545" priority="5581">
      <formula>LEN(TRIM(AI147))=0</formula>
    </cfRule>
    <cfRule type="containsBlanks" dxfId="10544" priority="5582">
      <formula>LEN(TRIM(AI147))=0</formula>
    </cfRule>
    <cfRule type="containsBlanks" dxfId="10543" priority="5583">
      <formula>LEN(TRIM(AI147))=0</formula>
    </cfRule>
    <cfRule type="containsBlanks" dxfId="10542" priority="5584">
      <formula>LEN(TRIM(AI147))=0</formula>
    </cfRule>
    <cfRule type="containsBlanks" dxfId="10541" priority="5585">
      <formula>LEN(TRIM(AI147))=0</formula>
    </cfRule>
    <cfRule type="containsBlanks" dxfId="10540" priority="5586">
      <formula>LEN(TRIM(AI147))=0</formula>
    </cfRule>
    <cfRule type="containsBlanks" dxfId="10539" priority="5587">
      <formula>LEN(TRIM(AI147))=0</formula>
    </cfRule>
  </conditionalFormatting>
  <conditionalFormatting sqref="AI149">
    <cfRule type="containsBlanks" dxfId="10538" priority="5503">
      <formula>LEN(TRIM(AI149))=0</formula>
    </cfRule>
  </conditionalFormatting>
  <conditionalFormatting sqref="AI149">
    <cfRule type="containsBlanks" dxfId="10537" priority="5502">
      <formula>LEN(TRIM(AI149))=0</formula>
    </cfRule>
  </conditionalFormatting>
  <conditionalFormatting sqref="AI149">
    <cfRule type="containsBlanks" dxfId="10536" priority="5500">
      <formula>LEN(TRIM(AI149))=0</formula>
    </cfRule>
    <cfRule type="containsBlanks" dxfId="10535" priority="5501">
      <formula>LEN(TRIM(AI149))=0</formula>
    </cfRule>
  </conditionalFormatting>
  <conditionalFormatting sqref="AI149">
    <cfRule type="containsBlanks" dxfId="10534" priority="5499">
      <formula>LEN(TRIM(AI149))=0</formula>
    </cfRule>
  </conditionalFormatting>
  <conditionalFormatting sqref="AI149">
    <cfRule type="containsBlanks" dxfId="10533" priority="5498">
      <formula>LEN(TRIM(AI149))=0</formula>
    </cfRule>
  </conditionalFormatting>
  <conditionalFormatting sqref="AI149">
    <cfRule type="containsBlanks" dxfId="10532" priority="5497">
      <formula>LEN(TRIM(AI149))=0</formula>
    </cfRule>
  </conditionalFormatting>
  <conditionalFormatting sqref="AI149">
    <cfRule type="containsBlanks" dxfId="10531" priority="5495">
      <formula>LEN(TRIM(AI149))=0</formula>
    </cfRule>
    <cfRule type="containsBlanks" dxfId="10530" priority="5496">
      <formula>LEN(TRIM(AI149))=0</formula>
    </cfRule>
  </conditionalFormatting>
  <conditionalFormatting sqref="AI149">
    <cfRule type="containsBlanks" dxfId="10529" priority="5493">
      <formula>LEN(TRIM(AI149))=0</formula>
    </cfRule>
    <cfRule type="containsBlanks" dxfId="10528" priority="5494">
      <formula>LEN(TRIM(AI149))=0</formula>
    </cfRule>
  </conditionalFormatting>
  <conditionalFormatting sqref="AI149">
    <cfRule type="containsBlanks" dxfId="10527" priority="5491">
      <formula>LEN(TRIM(AI149))=0</formula>
    </cfRule>
    <cfRule type="containsBlanks" dxfId="10526" priority="5492">
      <formula>LEN(TRIM(AI149))=0</formula>
    </cfRule>
  </conditionalFormatting>
  <conditionalFormatting sqref="AI149">
    <cfRule type="containsBlanks" dxfId="10525" priority="5489">
      <formula>LEN(TRIM(AI149))=0</formula>
    </cfRule>
    <cfRule type="containsBlanks" dxfId="10524" priority="5490">
      <formula>LEN(TRIM(AI149))=0</formula>
    </cfRule>
  </conditionalFormatting>
  <conditionalFormatting sqref="AI149">
    <cfRule type="containsBlanks" dxfId="10523" priority="5423">
      <formula>LEN(TRIM(AI149))=0</formula>
    </cfRule>
    <cfRule type="containsBlanks" dxfId="10522" priority="5424">
      <formula>LEN(TRIM(AI149))=0</formula>
    </cfRule>
    <cfRule type="containsBlanks" dxfId="10521" priority="5425">
      <formula>LEN(TRIM(AI149))=0</formula>
    </cfRule>
    <cfRule type="containsBlanks" dxfId="10520" priority="5426">
      <formula>LEN(TRIM(AI149))=0</formula>
    </cfRule>
    <cfRule type="containsBlanks" dxfId="10519" priority="5427">
      <formula>LEN(TRIM(AI149))=0</formula>
    </cfRule>
    <cfRule type="containsBlanks" dxfId="10518" priority="5428">
      <formula>LEN(TRIM(AI149))=0</formula>
    </cfRule>
    <cfRule type="containsBlanks" dxfId="10517" priority="5429">
      <formula>LEN(TRIM(AI149))=0</formula>
    </cfRule>
    <cfRule type="containsBlanks" dxfId="10516" priority="5430">
      <formula>LEN(TRIM(AI149))=0</formula>
    </cfRule>
    <cfRule type="containsBlanks" dxfId="10515" priority="5431">
      <formula>LEN(TRIM(AI149))=0</formula>
    </cfRule>
    <cfRule type="containsBlanks" dxfId="10514" priority="5432">
      <formula>LEN(TRIM(AI149))=0</formula>
    </cfRule>
    <cfRule type="containsBlanks" dxfId="10513" priority="5433">
      <formula>LEN(TRIM(AI149))=0</formula>
    </cfRule>
    <cfRule type="containsBlanks" dxfId="10512" priority="5434">
      <formula>LEN(TRIM(AI149))=0</formula>
    </cfRule>
    <cfRule type="containsBlanks" dxfId="10511" priority="5435">
      <formula>LEN(TRIM(AI149))=0</formula>
    </cfRule>
    <cfRule type="containsBlanks" dxfId="10510" priority="5436">
      <formula>LEN(TRIM(AI149))=0</formula>
    </cfRule>
    <cfRule type="containsBlanks" dxfId="10509" priority="5437">
      <formula>LEN(TRIM(AI149))=0</formula>
    </cfRule>
    <cfRule type="containsBlanks" dxfId="10508" priority="5438">
      <formula>LEN(TRIM(AI149))=0</formula>
    </cfRule>
    <cfRule type="containsBlanks" dxfId="10507" priority="5439">
      <formula>LEN(TRIM(AI149))=0</formula>
    </cfRule>
    <cfRule type="containsBlanks" dxfId="10506" priority="5440">
      <formula>LEN(TRIM(AI149))=0</formula>
    </cfRule>
    <cfRule type="containsBlanks" dxfId="10505" priority="5441">
      <formula>LEN(TRIM(AI149))=0</formula>
    </cfRule>
    <cfRule type="containsBlanks" dxfId="10504" priority="5442">
      <formula>LEN(TRIM(AI149))=0</formula>
    </cfRule>
    <cfRule type="containsBlanks" dxfId="10503" priority="5443">
      <formula>LEN(TRIM(AI149))=0</formula>
    </cfRule>
    <cfRule type="containsBlanks" dxfId="10502" priority="5444">
      <formula>LEN(TRIM(AI149))=0</formula>
    </cfRule>
    <cfRule type="containsBlanks" dxfId="10501" priority="5445">
      <formula>LEN(TRIM(AI149))=0</formula>
    </cfRule>
    <cfRule type="containsBlanks" dxfId="10500" priority="5446">
      <formula>LEN(TRIM(AI149))=0</formula>
    </cfRule>
    <cfRule type="containsBlanks" dxfId="10499" priority="5447">
      <formula>LEN(TRIM(AI149))=0</formula>
    </cfRule>
    <cfRule type="containsBlanks" dxfId="10498" priority="5448">
      <formula>LEN(TRIM(AI149))=0</formula>
    </cfRule>
    <cfRule type="containsBlanks" dxfId="10497" priority="5449">
      <formula>LEN(TRIM(AI149))=0</formula>
    </cfRule>
    <cfRule type="containsBlanks" dxfId="10496" priority="5450">
      <formula>LEN(TRIM(AI149))=0</formula>
    </cfRule>
    <cfRule type="containsBlanks" dxfId="10495" priority="5451">
      <formula>LEN(TRIM(AI149))=0</formula>
    </cfRule>
    <cfRule type="containsBlanks" dxfId="10494" priority="5452">
      <formula>LEN(TRIM(AI149))=0</formula>
    </cfRule>
    <cfRule type="containsBlanks" dxfId="10493" priority="5453">
      <formula>LEN(TRIM(AI149))=0</formula>
    </cfRule>
    <cfRule type="containsBlanks" dxfId="10492" priority="5454">
      <formula>LEN(TRIM(AI149))=0</formula>
    </cfRule>
    <cfRule type="containsBlanks" dxfId="10491" priority="5455">
      <formula>LEN(TRIM(AI149))=0</formula>
    </cfRule>
    <cfRule type="containsBlanks" dxfId="10490" priority="5456">
      <formula>LEN(TRIM(AI149))=0</formula>
    </cfRule>
    <cfRule type="containsBlanks" dxfId="10489" priority="5457">
      <formula>LEN(TRIM(AI149))=0</formula>
    </cfRule>
    <cfRule type="containsBlanks" dxfId="10488" priority="5458">
      <formula>LEN(TRIM(AI149))=0</formula>
    </cfRule>
    <cfRule type="containsBlanks" dxfId="10487" priority="5459">
      <formula>LEN(TRIM(AI149))=0</formula>
    </cfRule>
    <cfRule type="containsBlanks" dxfId="10486" priority="5460">
      <formula>LEN(TRIM(AI149))=0</formula>
    </cfRule>
    <cfRule type="containsBlanks" dxfId="10485" priority="5461">
      <formula>LEN(TRIM(AI149))=0</formula>
    </cfRule>
    <cfRule type="containsBlanks" dxfId="10484" priority="5462">
      <formula>LEN(TRIM(AI149))=0</formula>
    </cfRule>
    <cfRule type="containsBlanks" dxfId="10483" priority="5463">
      <formula>LEN(TRIM(AI149))=0</formula>
    </cfRule>
    <cfRule type="containsBlanks" dxfId="10482" priority="5464">
      <formula>LEN(TRIM(AI149))=0</formula>
    </cfRule>
    <cfRule type="containsBlanks" dxfId="10481" priority="5465">
      <formula>LEN(TRIM(AI149))=0</formula>
    </cfRule>
    <cfRule type="containsBlanks" dxfId="10480" priority="5466">
      <formula>LEN(TRIM(AI149))=0</formula>
    </cfRule>
    <cfRule type="containsBlanks" dxfId="10479" priority="5467">
      <formula>LEN(TRIM(AI149))=0</formula>
    </cfRule>
    <cfRule type="containsBlanks" dxfId="10478" priority="5468">
      <formula>LEN(TRIM(AI149))=0</formula>
    </cfRule>
    <cfRule type="containsBlanks" dxfId="10477" priority="5469">
      <formula>LEN(TRIM(AI149))=0</formula>
    </cfRule>
    <cfRule type="containsBlanks" dxfId="10476" priority="5470">
      <formula>LEN(TRIM(AI149))=0</formula>
    </cfRule>
    <cfRule type="containsBlanks" dxfId="10475" priority="5471">
      <formula>LEN(TRIM(AI149))=0</formula>
    </cfRule>
    <cfRule type="containsBlanks" dxfId="10474" priority="5472">
      <formula>LEN(TRIM(AI149))=0</formula>
    </cfRule>
    <cfRule type="containsBlanks" dxfId="10473" priority="5473">
      <formula>LEN(TRIM(AI149))=0</formula>
    </cfRule>
    <cfRule type="containsBlanks" dxfId="10472" priority="5474">
      <formula>LEN(TRIM(AI149))=0</formula>
    </cfRule>
    <cfRule type="containsBlanks" dxfId="10471" priority="5475">
      <formula>LEN(TRIM(AI149))=0</formula>
    </cfRule>
    <cfRule type="containsBlanks" dxfId="10470" priority="5476">
      <formula>LEN(TRIM(AI149))=0</formula>
    </cfRule>
    <cfRule type="containsBlanks" dxfId="10469" priority="5477">
      <formula>LEN(TRIM(AI149))=0</formula>
    </cfRule>
    <cfRule type="containsBlanks" dxfId="10468" priority="5478">
      <formula>LEN(TRIM(AI149))=0</formula>
    </cfRule>
    <cfRule type="containsBlanks" dxfId="10467" priority="5479">
      <formula>LEN(TRIM(AI149))=0</formula>
    </cfRule>
    <cfRule type="containsBlanks" dxfId="10466" priority="5480">
      <formula>LEN(TRIM(AI149))=0</formula>
    </cfRule>
    <cfRule type="containsBlanks" dxfId="10465" priority="5481">
      <formula>LEN(TRIM(AI149))=0</formula>
    </cfRule>
    <cfRule type="containsBlanks" dxfId="10464" priority="5482">
      <formula>LEN(TRIM(AI149))=0</formula>
    </cfRule>
    <cfRule type="containsBlanks" dxfId="10463" priority="5483">
      <formula>LEN(TRIM(AI149))=0</formula>
    </cfRule>
    <cfRule type="containsBlanks" dxfId="10462" priority="5484">
      <formula>LEN(TRIM(AI149))=0</formula>
    </cfRule>
    <cfRule type="containsBlanks" dxfId="10461" priority="5485">
      <formula>LEN(TRIM(AI149))=0</formula>
    </cfRule>
    <cfRule type="containsBlanks" dxfId="10460" priority="5486">
      <formula>LEN(TRIM(AI149))=0</formula>
    </cfRule>
    <cfRule type="containsBlanks" dxfId="10459" priority="5487">
      <formula>LEN(TRIM(AI149))=0</formula>
    </cfRule>
    <cfRule type="containsBlanks" dxfId="10458" priority="5488">
      <formula>LEN(TRIM(AI149))=0</formula>
    </cfRule>
  </conditionalFormatting>
  <conditionalFormatting sqref="AI149">
    <cfRule type="containsBlanks" dxfId="10457" priority="5368">
      <formula>LEN(TRIM(AI149))=0</formula>
    </cfRule>
    <cfRule type="containsBlanks" dxfId="10456" priority="5369">
      <formula>LEN(TRIM(AI149))=0</formula>
    </cfRule>
    <cfRule type="containsBlanks" dxfId="10455" priority="5370">
      <formula>LEN(TRIM(AI149))=0</formula>
    </cfRule>
    <cfRule type="containsBlanks" dxfId="10454" priority="5371">
      <formula>LEN(TRIM(AI149))=0</formula>
    </cfRule>
    <cfRule type="containsBlanks" dxfId="10453" priority="5372">
      <formula>LEN(TRIM(AI149))=0</formula>
    </cfRule>
    <cfRule type="containsBlanks" dxfId="10452" priority="5373">
      <formula>LEN(TRIM(AI149))=0</formula>
    </cfRule>
    <cfRule type="containsBlanks" dxfId="10451" priority="5374">
      <formula>LEN(TRIM(AI149))=0</formula>
    </cfRule>
    <cfRule type="containsBlanks" dxfId="10450" priority="5375">
      <formula>LEN(TRIM(AI149))=0</formula>
    </cfRule>
    <cfRule type="containsBlanks" dxfId="10449" priority="5376">
      <formula>LEN(TRIM(AI149))=0</formula>
    </cfRule>
    <cfRule type="containsBlanks" dxfId="10448" priority="5377">
      <formula>LEN(TRIM(AI149))=0</formula>
    </cfRule>
    <cfRule type="containsBlanks" dxfId="10447" priority="5378">
      <formula>LEN(TRIM(AI149))=0</formula>
    </cfRule>
    <cfRule type="containsBlanks" dxfId="10446" priority="5379">
      <formula>LEN(TRIM(AI149))=0</formula>
    </cfRule>
    <cfRule type="containsBlanks" dxfId="10445" priority="5380">
      <formula>LEN(TRIM(AI149))=0</formula>
    </cfRule>
    <cfRule type="containsBlanks" dxfId="10444" priority="5381">
      <formula>LEN(TRIM(AI149))=0</formula>
    </cfRule>
    <cfRule type="containsBlanks" dxfId="10443" priority="5382">
      <formula>LEN(TRIM(AI149))=0</formula>
    </cfRule>
    <cfRule type="containsBlanks" dxfId="10442" priority="5383">
      <formula>LEN(TRIM(AI149))=0</formula>
    </cfRule>
    <cfRule type="containsBlanks" dxfId="10441" priority="5384">
      <formula>LEN(TRIM(AI149))=0</formula>
    </cfRule>
    <cfRule type="containsBlanks" dxfId="10440" priority="5385">
      <formula>LEN(TRIM(AI149))=0</formula>
    </cfRule>
    <cfRule type="containsBlanks" dxfId="10439" priority="5386">
      <formula>LEN(TRIM(AI149))=0</formula>
    </cfRule>
    <cfRule type="containsBlanks" dxfId="10438" priority="5387">
      <formula>LEN(TRIM(AI149))=0</formula>
    </cfRule>
    <cfRule type="containsBlanks" dxfId="10437" priority="5388">
      <formula>LEN(TRIM(AI149))=0</formula>
    </cfRule>
    <cfRule type="containsBlanks" dxfId="10436" priority="5389">
      <formula>LEN(TRIM(AI149))=0</formula>
    </cfRule>
    <cfRule type="containsBlanks" dxfId="10435" priority="5390">
      <formula>LEN(TRIM(AI149))=0</formula>
    </cfRule>
    <cfRule type="containsBlanks" dxfId="10434" priority="5391">
      <formula>LEN(TRIM(AI149))=0</formula>
    </cfRule>
    <cfRule type="containsBlanks" dxfId="10433" priority="5392">
      <formula>LEN(TRIM(AI149))=0</formula>
    </cfRule>
    <cfRule type="containsBlanks" dxfId="10432" priority="5393">
      <formula>LEN(TRIM(AI149))=0</formula>
    </cfRule>
    <cfRule type="containsBlanks" dxfId="10431" priority="5394">
      <formula>LEN(TRIM(AI149))=0</formula>
    </cfRule>
    <cfRule type="containsBlanks" dxfId="10430" priority="5395">
      <formula>LEN(TRIM(AI149))=0</formula>
    </cfRule>
    <cfRule type="containsBlanks" dxfId="10429" priority="5396">
      <formula>LEN(TRIM(AI149))=0</formula>
    </cfRule>
    <cfRule type="containsBlanks" dxfId="10428" priority="5397">
      <formula>LEN(TRIM(AI149))=0</formula>
    </cfRule>
    <cfRule type="containsBlanks" dxfId="10427" priority="5398">
      <formula>LEN(TRIM(AI149))=0</formula>
    </cfRule>
    <cfRule type="containsBlanks" dxfId="10426" priority="5399">
      <formula>LEN(TRIM(AI149))=0</formula>
    </cfRule>
    <cfRule type="containsBlanks" dxfId="10425" priority="5400">
      <formula>LEN(TRIM(AI149))=0</formula>
    </cfRule>
    <cfRule type="containsBlanks" dxfId="10424" priority="5401">
      <formula>LEN(TRIM(AI149))=0</formula>
    </cfRule>
    <cfRule type="containsBlanks" dxfId="10423" priority="5402">
      <formula>LEN(TRIM(AI149))=0</formula>
    </cfRule>
    <cfRule type="containsBlanks" dxfId="10422" priority="5403">
      <formula>LEN(TRIM(AI149))=0</formula>
    </cfRule>
    <cfRule type="containsBlanks" dxfId="10421" priority="5404">
      <formula>LEN(TRIM(AI149))=0</formula>
    </cfRule>
    <cfRule type="containsBlanks" dxfId="10420" priority="5405">
      <formula>LEN(TRIM(AI149))=0</formula>
    </cfRule>
    <cfRule type="containsBlanks" dxfId="10419" priority="5406">
      <formula>LEN(TRIM(AI149))=0</formula>
    </cfRule>
    <cfRule type="containsBlanks" dxfId="10418" priority="5407">
      <formula>LEN(TRIM(AI149))=0</formula>
    </cfRule>
    <cfRule type="containsBlanks" dxfId="10417" priority="5408">
      <formula>LEN(TRIM(AI149))=0</formula>
    </cfRule>
    <cfRule type="containsBlanks" dxfId="10416" priority="5409">
      <formula>LEN(TRIM(AI149))=0</formula>
    </cfRule>
    <cfRule type="containsBlanks" dxfId="10415" priority="5410">
      <formula>LEN(TRIM(AI149))=0</formula>
    </cfRule>
    <cfRule type="containsBlanks" dxfId="10414" priority="5411">
      <formula>LEN(TRIM(AI149))=0</formula>
    </cfRule>
    <cfRule type="containsBlanks" dxfId="10413" priority="5412">
      <formula>LEN(TRIM(AI149))=0</formula>
    </cfRule>
    <cfRule type="containsBlanks" dxfId="10412" priority="5413">
      <formula>LEN(TRIM(AI149))=0</formula>
    </cfRule>
    <cfRule type="containsBlanks" dxfId="10411" priority="5414">
      <formula>LEN(TRIM(AI149))=0</formula>
    </cfRule>
    <cfRule type="containsBlanks" dxfId="10410" priority="5415">
      <formula>LEN(TRIM(AI149))=0</formula>
    </cfRule>
    <cfRule type="containsBlanks" dxfId="10409" priority="5416">
      <formula>LEN(TRIM(AI149))=0</formula>
    </cfRule>
    <cfRule type="containsBlanks" dxfId="10408" priority="5417">
      <formula>LEN(TRIM(AI149))=0</formula>
    </cfRule>
    <cfRule type="containsBlanks" dxfId="10407" priority="5418">
      <formula>LEN(TRIM(AI149))=0</formula>
    </cfRule>
    <cfRule type="containsBlanks" dxfId="10406" priority="5419">
      <formula>LEN(TRIM(AI149))=0</formula>
    </cfRule>
    <cfRule type="containsBlanks" dxfId="10405" priority="5420">
      <formula>LEN(TRIM(AI149))=0</formula>
    </cfRule>
    <cfRule type="containsBlanks" dxfId="10404" priority="5421">
      <formula>LEN(TRIM(AI149))=0</formula>
    </cfRule>
    <cfRule type="containsBlanks" dxfId="10403" priority="5422">
      <formula>LEN(TRIM(AI149))=0</formula>
    </cfRule>
  </conditionalFormatting>
  <conditionalFormatting sqref="AI149">
    <cfRule type="containsBlanks" dxfId="10402" priority="5284">
      <formula>LEN(TRIM(AI149))=0</formula>
    </cfRule>
    <cfRule type="containsBlanks" dxfId="10401" priority="5285">
      <formula>LEN(TRIM(AI149))=0</formula>
    </cfRule>
    <cfRule type="containsBlanks" dxfId="10400" priority="5286">
      <formula>LEN(TRIM(AI149))=0</formula>
    </cfRule>
    <cfRule type="containsBlanks" dxfId="10399" priority="5287">
      <formula>LEN(TRIM(AI149))=0</formula>
    </cfRule>
    <cfRule type="containsBlanks" dxfId="10398" priority="5288">
      <formula>LEN(TRIM(AI149))=0</formula>
    </cfRule>
    <cfRule type="containsBlanks" dxfId="10397" priority="5289">
      <formula>LEN(TRIM(AI149))=0</formula>
    </cfRule>
    <cfRule type="containsBlanks" dxfId="10396" priority="5290">
      <formula>LEN(TRIM(AI149))=0</formula>
    </cfRule>
    <cfRule type="containsBlanks" dxfId="10395" priority="5291">
      <formula>LEN(TRIM(AI149))=0</formula>
    </cfRule>
    <cfRule type="containsBlanks" dxfId="10394" priority="5292">
      <formula>LEN(TRIM(AI149))=0</formula>
    </cfRule>
    <cfRule type="containsBlanks" dxfId="10393" priority="5293">
      <formula>LEN(TRIM(AI149))=0</formula>
    </cfRule>
    <cfRule type="containsBlanks" dxfId="10392" priority="5294">
      <formula>LEN(TRIM(AI149))=0</formula>
    </cfRule>
    <cfRule type="containsBlanks" dxfId="10391" priority="5295">
      <formula>LEN(TRIM(AI149))=0</formula>
    </cfRule>
    <cfRule type="containsBlanks" dxfId="10390" priority="5296">
      <formula>LEN(TRIM(AI149))=0</formula>
    </cfRule>
    <cfRule type="containsBlanks" dxfId="10389" priority="5297">
      <formula>LEN(TRIM(AI149))=0</formula>
    </cfRule>
    <cfRule type="containsBlanks" dxfId="10388" priority="5298">
      <formula>LEN(TRIM(AI149))=0</formula>
    </cfRule>
    <cfRule type="containsBlanks" dxfId="10387" priority="5299">
      <formula>LEN(TRIM(AI149))=0</formula>
    </cfRule>
    <cfRule type="containsBlanks" dxfId="10386" priority="5300">
      <formula>LEN(TRIM(AI149))=0</formula>
    </cfRule>
    <cfRule type="containsBlanks" dxfId="10385" priority="5301">
      <formula>LEN(TRIM(AI149))=0</formula>
    </cfRule>
    <cfRule type="containsBlanks" dxfId="10384" priority="5302">
      <formula>LEN(TRIM(AI149))=0</formula>
    </cfRule>
    <cfRule type="containsBlanks" dxfId="10383" priority="5303">
      <formula>LEN(TRIM(AI149))=0</formula>
    </cfRule>
    <cfRule type="containsBlanks" dxfId="10382" priority="5304">
      <formula>LEN(TRIM(AI149))=0</formula>
    </cfRule>
    <cfRule type="containsBlanks" dxfId="10381" priority="5305">
      <formula>LEN(TRIM(AI149))=0</formula>
    </cfRule>
    <cfRule type="containsBlanks" dxfId="10380" priority="5306">
      <formula>LEN(TRIM(AI149))=0</formula>
    </cfRule>
    <cfRule type="containsBlanks" dxfId="10379" priority="5307">
      <formula>LEN(TRIM(AI149))=0</formula>
    </cfRule>
    <cfRule type="containsBlanks" dxfId="10378" priority="5308">
      <formula>LEN(TRIM(AI149))=0</formula>
    </cfRule>
    <cfRule type="containsBlanks" dxfId="10377" priority="5309">
      <formula>LEN(TRIM(AI149))=0</formula>
    </cfRule>
    <cfRule type="containsBlanks" dxfId="10376" priority="5310">
      <formula>LEN(TRIM(AI149))=0</formula>
    </cfRule>
    <cfRule type="containsBlanks" dxfId="10375" priority="5311">
      <formula>LEN(TRIM(AI149))=0</formula>
    </cfRule>
    <cfRule type="containsBlanks" dxfId="10374" priority="5312">
      <formula>LEN(TRIM(AI149))=0</formula>
    </cfRule>
    <cfRule type="containsBlanks" dxfId="10373" priority="5313">
      <formula>LEN(TRIM(AI149))=0</formula>
    </cfRule>
    <cfRule type="containsBlanks" dxfId="10372" priority="5314">
      <formula>LEN(TRIM(AI149))=0</formula>
    </cfRule>
    <cfRule type="containsBlanks" dxfId="10371" priority="5315">
      <formula>LEN(TRIM(AI149))=0</formula>
    </cfRule>
    <cfRule type="containsBlanks" dxfId="10370" priority="5316">
      <formula>LEN(TRIM(AI149))=0</formula>
    </cfRule>
    <cfRule type="containsBlanks" dxfId="10369" priority="5317">
      <formula>LEN(TRIM(AI149))=0</formula>
    </cfRule>
    <cfRule type="containsBlanks" dxfId="10368" priority="5318">
      <formula>LEN(TRIM(AI149))=0</formula>
    </cfRule>
    <cfRule type="containsBlanks" dxfId="10367" priority="5319">
      <formula>LEN(TRIM(AI149))=0</formula>
    </cfRule>
    <cfRule type="containsBlanks" dxfId="10366" priority="5320">
      <formula>LEN(TRIM(AI149))=0</formula>
    </cfRule>
    <cfRule type="containsBlanks" dxfId="10365" priority="5321">
      <formula>LEN(TRIM(AI149))=0</formula>
    </cfRule>
    <cfRule type="containsBlanks" dxfId="10364" priority="5322">
      <formula>LEN(TRIM(AI149))=0</formula>
    </cfRule>
    <cfRule type="containsBlanks" dxfId="10363" priority="5323">
      <formula>LEN(TRIM(AI149))=0</formula>
    </cfRule>
    <cfRule type="containsBlanks" dxfId="10362" priority="5324">
      <formula>LEN(TRIM(AI149))=0</formula>
    </cfRule>
    <cfRule type="containsBlanks" dxfId="10361" priority="5325">
      <formula>LEN(TRIM(AI149))=0</formula>
    </cfRule>
    <cfRule type="containsBlanks" dxfId="10360" priority="5326">
      <formula>LEN(TRIM(AI149))=0</formula>
    </cfRule>
    <cfRule type="containsBlanks" dxfId="10359" priority="5327">
      <formula>LEN(TRIM(AI149))=0</formula>
    </cfRule>
    <cfRule type="containsBlanks" dxfId="10358" priority="5328">
      <formula>LEN(TRIM(AI149))=0</formula>
    </cfRule>
    <cfRule type="containsBlanks" dxfId="10357" priority="5329">
      <formula>LEN(TRIM(AI149))=0</formula>
    </cfRule>
    <cfRule type="containsBlanks" dxfId="10356" priority="5330">
      <formula>LEN(TRIM(AI149))=0</formula>
    </cfRule>
    <cfRule type="containsBlanks" dxfId="10355" priority="5331">
      <formula>LEN(TRIM(AI149))=0</formula>
    </cfRule>
    <cfRule type="containsBlanks" dxfId="10354" priority="5332">
      <formula>LEN(TRIM(AI149))=0</formula>
    </cfRule>
    <cfRule type="containsBlanks" dxfId="10353" priority="5333">
      <formula>LEN(TRIM(AI149))=0</formula>
    </cfRule>
    <cfRule type="containsBlanks" dxfId="10352" priority="5334">
      <formula>LEN(TRIM(AI149))=0</formula>
    </cfRule>
    <cfRule type="containsBlanks" dxfId="10351" priority="5335">
      <formula>LEN(TRIM(AI149))=0</formula>
    </cfRule>
    <cfRule type="containsBlanks" dxfId="10350" priority="5336">
      <formula>LEN(TRIM(AI149))=0</formula>
    </cfRule>
    <cfRule type="containsBlanks" dxfId="10349" priority="5337">
      <formula>LEN(TRIM(AI149))=0</formula>
    </cfRule>
    <cfRule type="containsBlanks" dxfId="10348" priority="5338">
      <formula>LEN(TRIM(AI149))=0</formula>
    </cfRule>
    <cfRule type="containsBlanks" dxfId="10347" priority="5339">
      <formula>LEN(TRIM(AI149))=0</formula>
    </cfRule>
    <cfRule type="containsBlanks" dxfId="10346" priority="5340">
      <formula>LEN(TRIM(AI149))=0</formula>
    </cfRule>
    <cfRule type="containsBlanks" dxfId="10345" priority="5341">
      <formula>LEN(TRIM(AI149))=0</formula>
    </cfRule>
    <cfRule type="containsBlanks" dxfId="10344" priority="5342">
      <formula>LEN(TRIM(AI149))=0</formula>
    </cfRule>
    <cfRule type="containsBlanks" dxfId="10343" priority="5343">
      <formula>LEN(TRIM(AI149))=0</formula>
    </cfRule>
    <cfRule type="containsBlanks" dxfId="10342" priority="5344">
      <formula>LEN(TRIM(AI149))=0</formula>
    </cfRule>
    <cfRule type="containsBlanks" dxfId="10341" priority="5345">
      <formula>LEN(TRIM(AI149))=0</formula>
    </cfRule>
    <cfRule type="containsBlanks" dxfId="10340" priority="5346">
      <formula>LEN(TRIM(AI149))=0</formula>
    </cfRule>
    <cfRule type="containsBlanks" dxfId="10339" priority="5347">
      <formula>LEN(TRIM(AI149))=0</formula>
    </cfRule>
    <cfRule type="containsBlanks" dxfId="10338" priority="5348">
      <formula>LEN(TRIM(AI149))=0</formula>
    </cfRule>
    <cfRule type="containsBlanks" dxfId="10337" priority="5349">
      <formula>LEN(TRIM(AI149))=0</formula>
    </cfRule>
    <cfRule type="containsBlanks" dxfId="10336" priority="5350">
      <formula>LEN(TRIM(AI149))=0</formula>
    </cfRule>
    <cfRule type="containsBlanks" dxfId="10335" priority="5351">
      <formula>LEN(TRIM(AI149))=0</formula>
    </cfRule>
    <cfRule type="containsBlanks" dxfId="10334" priority="5352">
      <formula>LEN(TRIM(AI149))=0</formula>
    </cfRule>
    <cfRule type="containsBlanks" dxfId="10333" priority="5353">
      <formula>LEN(TRIM(AI149))=0</formula>
    </cfRule>
    <cfRule type="containsBlanks" dxfId="10332" priority="5354">
      <formula>LEN(TRIM(AI149))=0</formula>
    </cfRule>
    <cfRule type="containsBlanks" dxfId="10331" priority="5355">
      <formula>LEN(TRIM(AI149))=0</formula>
    </cfRule>
    <cfRule type="containsBlanks" dxfId="10330" priority="5356">
      <formula>LEN(TRIM(AI149))=0</formula>
    </cfRule>
    <cfRule type="containsBlanks" dxfId="10329" priority="5357">
      <formula>LEN(TRIM(AI149))=0</formula>
    </cfRule>
    <cfRule type="containsBlanks" dxfId="10328" priority="5358">
      <formula>LEN(TRIM(AI149))=0</formula>
    </cfRule>
    <cfRule type="containsBlanks" dxfId="10327" priority="5359">
      <formula>LEN(TRIM(AI149))=0</formula>
    </cfRule>
    <cfRule type="containsBlanks" dxfId="10326" priority="5360">
      <formula>LEN(TRIM(AI149))=0</formula>
    </cfRule>
    <cfRule type="containsBlanks" dxfId="10325" priority="5361">
      <formula>LEN(TRIM(AI149))=0</formula>
    </cfRule>
    <cfRule type="containsBlanks" dxfId="10324" priority="5362">
      <formula>LEN(TRIM(AI149))=0</formula>
    </cfRule>
    <cfRule type="containsBlanks" dxfId="10323" priority="5363">
      <formula>LEN(TRIM(AI149))=0</formula>
    </cfRule>
    <cfRule type="containsBlanks" dxfId="10322" priority="5364">
      <formula>LEN(TRIM(AI149))=0</formula>
    </cfRule>
    <cfRule type="containsBlanks" dxfId="10321" priority="5365">
      <formula>LEN(TRIM(AI149))=0</formula>
    </cfRule>
    <cfRule type="containsBlanks" dxfId="10320" priority="5366">
      <formula>LEN(TRIM(AI149))=0</formula>
    </cfRule>
    <cfRule type="containsBlanks" dxfId="10319" priority="5367">
      <formula>LEN(TRIM(AI149))=0</formula>
    </cfRule>
  </conditionalFormatting>
  <conditionalFormatting sqref="AI150">
    <cfRule type="containsBlanks" dxfId="10318" priority="5283">
      <formula>LEN(TRIM(AI150))=0</formula>
    </cfRule>
  </conditionalFormatting>
  <conditionalFormatting sqref="AI150">
    <cfRule type="containsBlanks" dxfId="10317" priority="5282">
      <formula>LEN(TRIM(AI150))=0</formula>
    </cfRule>
  </conditionalFormatting>
  <conditionalFormatting sqref="AI150">
    <cfRule type="containsBlanks" dxfId="10316" priority="5280">
      <formula>LEN(TRIM(AI150))=0</formula>
    </cfRule>
    <cfRule type="containsBlanks" dxfId="10315" priority="5281">
      <formula>LEN(TRIM(AI150))=0</formula>
    </cfRule>
  </conditionalFormatting>
  <conditionalFormatting sqref="AI150">
    <cfRule type="containsBlanks" dxfId="10314" priority="5279">
      <formula>LEN(TRIM(AI150))=0</formula>
    </cfRule>
  </conditionalFormatting>
  <conditionalFormatting sqref="AI150">
    <cfRule type="containsBlanks" dxfId="10313" priority="5278">
      <formula>LEN(TRIM(AI150))=0</formula>
    </cfRule>
  </conditionalFormatting>
  <conditionalFormatting sqref="AI150">
    <cfRule type="containsBlanks" dxfId="10312" priority="5277">
      <formula>LEN(TRIM(AI150))=0</formula>
    </cfRule>
  </conditionalFormatting>
  <conditionalFormatting sqref="AI150">
    <cfRule type="containsBlanks" dxfId="10311" priority="5275">
      <formula>LEN(TRIM(AI150))=0</formula>
    </cfRule>
    <cfRule type="containsBlanks" dxfId="10310" priority="5276">
      <formula>LEN(TRIM(AI150))=0</formula>
    </cfRule>
  </conditionalFormatting>
  <conditionalFormatting sqref="AI150">
    <cfRule type="containsBlanks" dxfId="10309" priority="5273">
      <formula>LEN(TRIM(AI150))=0</formula>
    </cfRule>
    <cfRule type="containsBlanks" dxfId="10308" priority="5274">
      <formula>LEN(TRIM(AI150))=0</formula>
    </cfRule>
  </conditionalFormatting>
  <conditionalFormatting sqref="AI150">
    <cfRule type="containsBlanks" dxfId="10307" priority="5271">
      <formula>LEN(TRIM(AI150))=0</formula>
    </cfRule>
    <cfRule type="containsBlanks" dxfId="10306" priority="5272">
      <formula>LEN(TRIM(AI150))=0</formula>
    </cfRule>
  </conditionalFormatting>
  <conditionalFormatting sqref="AI150">
    <cfRule type="containsBlanks" dxfId="10305" priority="5269">
      <formula>LEN(TRIM(AI150))=0</formula>
    </cfRule>
    <cfRule type="containsBlanks" dxfId="10304" priority="5270">
      <formula>LEN(TRIM(AI150))=0</formula>
    </cfRule>
  </conditionalFormatting>
  <conditionalFormatting sqref="AI150">
    <cfRule type="containsBlanks" dxfId="10303" priority="5203">
      <formula>LEN(TRIM(AI150))=0</formula>
    </cfRule>
    <cfRule type="containsBlanks" dxfId="10302" priority="5204">
      <formula>LEN(TRIM(AI150))=0</formula>
    </cfRule>
    <cfRule type="containsBlanks" dxfId="10301" priority="5205">
      <formula>LEN(TRIM(AI150))=0</formula>
    </cfRule>
    <cfRule type="containsBlanks" dxfId="10300" priority="5206">
      <formula>LEN(TRIM(AI150))=0</formula>
    </cfRule>
    <cfRule type="containsBlanks" dxfId="10299" priority="5207">
      <formula>LEN(TRIM(AI150))=0</formula>
    </cfRule>
    <cfRule type="containsBlanks" dxfId="10298" priority="5208">
      <formula>LEN(TRIM(AI150))=0</formula>
    </cfRule>
    <cfRule type="containsBlanks" dxfId="10297" priority="5209">
      <formula>LEN(TRIM(AI150))=0</formula>
    </cfRule>
    <cfRule type="containsBlanks" dxfId="10296" priority="5210">
      <formula>LEN(TRIM(AI150))=0</formula>
    </cfRule>
    <cfRule type="containsBlanks" dxfId="10295" priority="5211">
      <formula>LEN(TRIM(AI150))=0</formula>
    </cfRule>
    <cfRule type="containsBlanks" dxfId="10294" priority="5212">
      <formula>LEN(TRIM(AI150))=0</formula>
    </cfRule>
    <cfRule type="containsBlanks" dxfId="10293" priority="5213">
      <formula>LEN(TRIM(AI150))=0</formula>
    </cfRule>
    <cfRule type="containsBlanks" dxfId="10292" priority="5214">
      <formula>LEN(TRIM(AI150))=0</formula>
    </cfRule>
    <cfRule type="containsBlanks" dxfId="10291" priority="5215">
      <formula>LEN(TRIM(AI150))=0</formula>
    </cfRule>
    <cfRule type="containsBlanks" dxfId="10290" priority="5216">
      <formula>LEN(TRIM(AI150))=0</formula>
    </cfRule>
    <cfRule type="containsBlanks" dxfId="10289" priority="5217">
      <formula>LEN(TRIM(AI150))=0</formula>
    </cfRule>
    <cfRule type="containsBlanks" dxfId="10288" priority="5218">
      <formula>LEN(TRIM(AI150))=0</formula>
    </cfRule>
    <cfRule type="containsBlanks" dxfId="10287" priority="5219">
      <formula>LEN(TRIM(AI150))=0</formula>
    </cfRule>
    <cfRule type="containsBlanks" dxfId="10286" priority="5220">
      <formula>LEN(TRIM(AI150))=0</formula>
    </cfRule>
    <cfRule type="containsBlanks" dxfId="10285" priority="5221">
      <formula>LEN(TRIM(AI150))=0</formula>
    </cfRule>
    <cfRule type="containsBlanks" dxfId="10284" priority="5222">
      <formula>LEN(TRIM(AI150))=0</formula>
    </cfRule>
    <cfRule type="containsBlanks" dxfId="10283" priority="5223">
      <formula>LEN(TRIM(AI150))=0</formula>
    </cfRule>
    <cfRule type="containsBlanks" dxfId="10282" priority="5224">
      <formula>LEN(TRIM(AI150))=0</formula>
    </cfRule>
    <cfRule type="containsBlanks" dxfId="10281" priority="5225">
      <formula>LEN(TRIM(AI150))=0</formula>
    </cfRule>
    <cfRule type="containsBlanks" dxfId="10280" priority="5226">
      <formula>LEN(TRIM(AI150))=0</formula>
    </cfRule>
    <cfRule type="containsBlanks" dxfId="10279" priority="5227">
      <formula>LEN(TRIM(AI150))=0</formula>
    </cfRule>
    <cfRule type="containsBlanks" dxfId="10278" priority="5228">
      <formula>LEN(TRIM(AI150))=0</formula>
    </cfRule>
    <cfRule type="containsBlanks" dxfId="10277" priority="5229">
      <formula>LEN(TRIM(AI150))=0</formula>
    </cfRule>
    <cfRule type="containsBlanks" dxfId="10276" priority="5230">
      <formula>LEN(TRIM(AI150))=0</formula>
    </cfRule>
    <cfRule type="containsBlanks" dxfId="10275" priority="5231">
      <formula>LEN(TRIM(AI150))=0</formula>
    </cfRule>
    <cfRule type="containsBlanks" dxfId="10274" priority="5232">
      <formula>LEN(TRIM(AI150))=0</formula>
    </cfRule>
    <cfRule type="containsBlanks" dxfId="10273" priority="5233">
      <formula>LEN(TRIM(AI150))=0</formula>
    </cfRule>
    <cfRule type="containsBlanks" dxfId="10272" priority="5234">
      <formula>LEN(TRIM(AI150))=0</formula>
    </cfRule>
    <cfRule type="containsBlanks" dxfId="10271" priority="5235">
      <formula>LEN(TRIM(AI150))=0</formula>
    </cfRule>
    <cfRule type="containsBlanks" dxfId="10270" priority="5236">
      <formula>LEN(TRIM(AI150))=0</formula>
    </cfRule>
    <cfRule type="containsBlanks" dxfId="10269" priority="5237">
      <formula>LEN(TRIM(AI150))=0</formula>
    </cfRule>
    <cfRule type="containsBlanks" dxfId="10268" priority="5238">
      <formula>LEN(TRIM(AI150))=0</formula>
    </cfRule>
    <cfRule type="containsBlanks" dxfId="10267" priority="5239">
      <formula>LEN(TRIM(AI150))=0</formula>
    </cfRule>
    <cfRule type="containsBlanks" dxfId="10266" priority="5240">
      <formula>LEN(TRIM(AI150))=0</formula>
    </cfRule>
    <cfRule type="containsBlanks" dxfId="10265" priority="5241">
      <formula>LEN(TRIM(AI150))=0</formula>
    </cfRule>
    <cfRule type="containsBlanks" dxfId="10264" priority="5242">
      <formula>LEN(TRIM(AI150))=0</formula>
    </cfRule>
    <cfRule type="containsBlanks" dxfId="10263" priority="5243">
      <formula>LEN(TRIM(AI150))=0</formula>
    </cfRule>
    <cfRule type="containsBlanks" dxfId="10262" priority="5244">
      <formula>LEN(TRIM(AI150))=0</formula>
    </cfRule>
    <cfRule type="containsBlanks" dxfId="10261" priority="5245">
      <formula>LEN(TRIM(AI150))=0</formula>
    </cfRule>
    <cfRule type="containsBlanks" dxfId="10260" priority="5246">
      <formula>LEN(TRIM(AI150))=0</formula>
    </cfRule>
    <cfRule type="containsBlanks" dxfId="10259" priority="5247">
      <formula>LEN(TRIM(AI150))=0</formula>
    </cfRule>
    <cfRule type="containsBlanks" dxfId="10258" priority="5248">
      <formula>LEN(TRIM(AI150))=0</formula>
    </cfRule>
    <cfRule type="containsBlanks" dxfId="10257" priority="5249">
      <formula>LEN(TRIM(AI150))=0</formula>
    </cfRule>
    <cfRule type="containsBlanks" dxfId="10256" priority="5250">
      <formula>LEN(TRIM(AI150))=0</formula>
    </cfRule>
    <cfRule type="containsBlanks" dxfId="10255" priority="5251">
      <formula>LEN(TRIM(AI150))=0</formula>
    </cfRule>
    <cfRule type="containsBlanks" dxfId="10254" priority="5252">
      <formula>LEN(TRIM(AI150))=0</formula>
    </cfRule>
    <cfRule type="containsBlanks" dxfId="10253" priority="5253">
      <formula>LEN(TRIM(AI150))=0</formula>
    </cfRule>
    <cfRule type="containsBlanks" dxfId="10252" priority="5254">
      <formula>LEN(TRIM(AI150))=0</formula>
    </cfRule>
    <cfRule type="containsBlanks" dxfId="10251" priority="5255">
      <formula>LEN(TRIM(AI150))=0</formula>
    </cfRule>
    <cfRule type="containsBlanks" dxfId="10250" priority="5256">
      <formula>LEN(TRIM(AI150))=0</formula>
    </cfRule>
    <cfRule type="containsBlanks" dxfId="10249" priority="5257">
      <formula>LEN(TRIM(AI150))=0</formula>
    </cfRule>
    <cfRule type="containsBlanks" dxfId="10248" priority="5258">
      <formula>LEN(TRIM(AI150))=0</formula>
    </cfRule>
    <cfRule type="containsBlanks" dxfId="10247" priority="5259">
      <formula>LEN(TRIM(AI150))=0</formula>
    </cfRule>
    <cfRule type="containsBlanks" dxfId="10246" priority="5260">
      <formula>LEN(TRIM(AI150))=0</formula>
    </cfRule>
    <cfRule type="containsBlanks" dxfId="10245" priority="5261">
      <formula>LEN(TRIM(AI150))=0</formula>
    </cfRule>
    <cfRule type="containsBlanks" dxfId="10244" priority="5262">
      <formula>LEN(TRIM(AI150))=0</formula>
    </cfRule>
    <cfRule type="containsBlanks" dxfId="10243" priority="5263">
      <formula>LEN(TRIM(AI150))=0</formula>
    </cfRule>
    <cfRule type="containsBlanks" dxfId="10242" priority="5264">
      <formula>LEN(TRIM(AI150))=0</formula>
    </cfRule>
    <cfRule type="containsBlanks" dxfId="10241" priority="5265">
      <formula>LEN(TRIM(AI150))=0</formula>
    </cfRule>
    <cfRule type="containsBlanks" dxfId="10240" priority="5266">
      <formula>LEN(TRIM(AI150))=0</formula>
    </cfRule>
    <cfRule type="containsBlanks" dxfId="10239" priority="5267">
      <formula>LEN(TRIM(AI150))=0</formula>
    </cfRule>
    <cfRule type="containsBlanks" dxfId="10238" priority="5268">
      <formula>LEN(TRIM(AI150))=0</formula>
    </cfRule>
  </conditionalFormatting>
  <conditionalFormatting sqref="AI150">
    <cfRule type="containsBlanks" dxfId="10237" priority="5148">
      <formula>LEN(TRIM(AI150))=0</formula>
    </cfRule>
    <cfRule type="containsBlanks" dxfId="10236" priority="5149">
      <formula>LEN(TRIM(AI150))=0</formula>
    </cfRule>
    <cfRule type="containsBlanks" dxfId="10235" priority="5150">
      <formula>LEN(TRIM(AI150))=0</formula>
    </cfRule>
    <cfRule type="containsBlanks" dxfId="10234" priority="5151">
      <formula>LEN(TRIM(AI150))=0</formula>
    </cfRule>
    <cfRule type="containsBlanks" dxfId="10233" priority="5152">
      <formula>LEN(TRIM(AI150))=0</formula>
    </cfRule>
    <cfRule type="containsBlanks" dxfId="10232" priority="5153">
      <formula>LEN(TRIM(AI150))=0</formula>
    </cfRule>
    <cfRule type="containsBlanks" dxfId="10231" priority="5154">
      <formula>LEN(TRIM(AI150))=0</formula>
    </cfRule>
    <cfRule type="containsBlanks" dxfId="10230" priority="5155">
      <formula>LEN(TRIM(AI150))=0</formula>
    </cfRule>
    <cfRule type="containsBlanks" dxfId="10229" priority="5156">
      <formula>LEN(TRIM(AI150))=0</formula>
    </cfRule>
    <cfRule type="containsBlanks" dxfId="10228" priority="5157">
      <formula>LEN(TRIM(AI150))=0</formula>
    </cfRule>
    <cfRule type="containsBlanks" dxfId="10227" priority="5158">
      <formula>LEN(TRIM(AI150))=0</formula>
    </cfRule>
    <cfRule type="containsBlanks" dxfId="10226" priority="5159">
      <formula>LEN(TRIM(AI150))=0</formula>
    </cfRule>
    <cfRule type="containsBlanks" dxfId="10225" priority="5160">
      <formula>LEN(TRIM(AI150))=0</formula>
    </cfRule>
    <cfRule type="containsBlanks" dxfId="10224" priority="5161">
      <formula>LEN(TRIM(AI150))=0</formula>
    </cfRule>
    <cfRule type="containsBlanks" dxfId="10223" priority="5162">
      <formula>LEN(TRIM(AI150))=0</formula>
    </cfRule>
    <cfRule type="containsBlanks" dxfId="10222" priority="5163">
      <formula>LEN(TRIM(AI150))=0</formula>
    </cfRule>
    <cfRule type="containsBlanks" dxfId="10221" priority="5164">
      <formula>LEN(TRIM(AI150))=0</formula>
    </cfRule>
    <cfRule type="containsBlanks" dxfId="10220" priority="5165">
      <formula>LEN(TRIM(AI150))=0</formula>
    </cfRule>
    <cfRule type="containsBlanks" dxfId="10219" priority="5166">
      <formula>LEN(TRIM(AI150))=0</formula>
    </cfRule>
    <cfRule type="containsBlanks" dxfId="10218" priority="5167">
      <formula>LEN(TRIM(AI150))=0</formula>
    </cfRule>
    <cfRule type="containsBlanks" dxfId="10217" priority="5168">
      <formula>LEN(TRIM(AI150))=0</formula>
    </cfRule>
    <cfRule type="containsBlanks" dxfId="10216" priority="5169">
      <formula>LEN(TRIM(AI150))=0</formula>
    </cfRule>
    <cfRule type="containsBlanks" dxfId="10215" priority="5170">
      <formula>LEN(TRIM(AI150))=0</formula>
    </cfRule>
    <cfRule type="containsBlanks" dxfId="10214" priority="5171">
      <formula>LEN(TRIM(AI150))=0</formula>
    </cfRule>
    <cfRule type="containsBlanks" dxfId="10213" priority="5172">
      <formula>LEN(TRIM(AI150))=0</formula>
    </cfRule>
    <cfRule type="containsBlanks" dxfId="10212" priority="5173">
      <formula>LEN(TRIM(AI150))=0</formula>
    </cfRule>
    <cfRule type="containsBlanks" dxfId="10211" priority="5174">
      <formula>LEN(TRIM(AI150))=0</formula>
    </cfRule>
    <cfRule type="containsBlanks" dxfId="10210" priority="5175">
      <formula>LEN(TRIM(AI150))=0</formula>
    </cfRule>
    <cfRule type="containsBlanks" dxfId="10209" priority="5176">
      <formula>LEN(TRIM(AI150))=0</formula>
    </cfRule>
    <cfRule type="containsBlanks" dxfId="10208" priority="5177">
      <formula>LEN(TRIM(AI150))=0</formula>
    </cfRule>
    <cfRule type="containsBlanks" dxfId="10207" priority="5178">
      <formula>LEN(TRIM(AI150))=0</formula>
    </cfRule>
    <cfRule type="containsBlanks" dxfId="10206" priority="5179">
      <formula>LEN(TRIM(AI150))=0</formula>
    </cfRule>
    <cfRule type="containsBlanks" dxfId="10205" priority="5180">
      <formula>LEN(TRIM(AI150))=0</formula>
    </cfRule>
    <cfRule type="containsBlanks" dxfId="10204" priority="5181">
      <formula>LEN(TRIM(AI150))=0</formula>
    </cfRule>
    <cfRule type="containsBlanks" dxfId="10203" priority="5182">
      <formula>LEN(TRIM(AI150))=0</formula>
    </cfRule>
    <cfRule type="containsBlanks" dxfId="10202" priority="5183">
      <formula>LEN(TRIM(AI150))=0</formula>
    </cfRule>
    <cfRule type="containsBlanks" dxfId="10201" priority="5184">
      <formula>LEN(TRIM(AI150))=0</formula>
    </cfRule>
    <cfRule type="containsBlanks" dxfId="10200" priority="5185">
      <formula>LEN(TRIM(AI150))=0</formula>
    </cfRule>
    <cfRule type="containsBlanks" dxfId="10199" priority="5186">
      <formula>LEN(TRIM(AI150))=0</formula>
    </cfRule>
    <cfRule type="containsBlanks" dxfId="10198" priority="5187">
      <formula>LEN(TRIM(AI150))=0</formula>
    </cfRule>
    <cfRule type="containsBlanks" dxfId="10197" priority="5188">
      <formula>LEN(TRIM(AI150))=0</formula>
    </cfRule>
    <cfRule type="containsBlanks" dxfId="10196" priority="5189">
      <formula>LEN(TRIM(AI150))=0</formula>
    </cfRule>
    <cfRule type="containsBlanks" dxfId="10195" priority="5190">
      <formula>LEN(TRIM(AI150))=0</formula>
    </cfRule>
    <cfRule type="containsBlanks" dxfId="10194" priority="5191">
      <formula>LEN(TRIM(AI150))=0</formula>
    </cfRule>
    <cfRule type="containsBlanks" dxfId="10193" priority="5192">
      <formula>LEN(TRIM(AI150))=0</formula>
    </cfRule>
    <cfRule type="containsBlanks" dxfId="10192" priority="5193">
      <formula>LEN(TRIM(AI150))=0</formula>
    </cfRule>
    <cfRule type="containsBlanks" dxfId="10191" priority="5194">
      <formula>LEN(TRIM(AI150))=0</formula>
    </cfRule>
    <cfRule type="containsBlanks" dxfId="10190" priority="5195">
      <formula>LEN(TRIM(AI150))=0</formula>
    </cfRule>
    <cfRule type="containsBlanks" dxfId="10189" priority="5196">
      <formula>LEN(TRIM(AI150))=0</formula>
    </cfRule>
    <cfRule type="containsBlanks" dxfId="10188" priority="5197">
      <formula>LEN(TRIM(AI150))=0</formula>
    </cfRule>
    <cfRule type="containsBlanks" dxfId="10187" priority="5198">
      <formula>LEN(TRIM(AI150))=0</formula>
    </cfRule>
    <cfRule type="containsBlanks" dxfId="10186" priority="5199">
      <formula>LEN(TRIM(AI150))=0</formula>
    </cfRule>
    <cfRule type="containsBlanks" dxfId="10185" priority="5200">
      <formula>LEN(TRIM(AI150))=0</formula>
    </cfRule>
    <cfRule type="containsBlanks" dxfId="10184" priority="5201">
      <formula>LEN(TRIM(AI150))=0</formula>
    </cfRule>
    <cfRule type="containsBlanks" dxfId="10183" priority="5202">
      <formula>LEN(TRIM(AI150))=0</formula>
    </cfRule>
  </conditionalFormatting>
  <conditionalFormatting sqref="AI150">
    <cfRule type="containsBlanks" dxfId="10182" priority="5064">
      <formula>LEN(TRIM(AI150))=0</formula>
    </cfRule>
    <cfRule type="containsBlanks" dxfId="10181" priority="5065">
      <formula>LEN(TRIM(AI150))=0</formula>
    </cfRule>
    <cfRule type="containsBlanks" dxfId="10180" priority="5066">
      <formula>LEN(TRIM(AI150))=0</formula>
    </cfRule>
    <cfRule type="containsBlanks" dxfId="10179" priority="5067">
      <formula>LEN(TRIM(AI150))=0</formula>
    </cfRule>
    <cfRule type="containsBlanks" dxfId="10178" priority="5068">
      <formula>LEN(TRIM(AI150))=0</formula>
    </cfRule>
    <cfRule type="containsBlanks" dxfId="10177" priority="5069">
      <formula>LEN(TRIM(AI150))=0</formula>
    </cfRule>
    <cfRule type="containsBlanks" dxfId="10176" priority="5070">
      <formula>LEN(TRIM(AI150))=0</formula>
    </cfRule>
    <cfRule type="containsBlanks" dxfId="10175" priority="5071">
      <formula>LEN(TRIM(AI150))=0</formula>
    </cfRule>
    <cfRule type="containsBlanks" dxfId="10174" priority="5072">
      <formula>LEN(TRIM(AI150))=0</formula>
    </cfRule>
    <cfRule type="containsBlanks" dxfId="10173" priority="5073">
      <formula>LEN(TRIM(AI150))=0</formula>
    </cfRule>
    <cfRule type="containsBlanks" dxfId="10172" priority="5074">
      <formula>LEN(TRIM(AI150))=0</formula>
    </cfRule>
    <cfRule type="containsBlanks" dxfId="10171" priority="5075">
      <formula>LEN(TRIM(AI150))=0</formula>
    </cfRule>
    <cfRule type="containsBlanks" dxfId="10170" priority="5076">
      <formula>LEN(TRIM(AI150))=0</formula>
    </cfRule>
    <cfRule type="containsBlanks" dxfId="10169" priority="5077">
      <formula>LEN(TRIM(AI150))=0</formula>
    </cfRule>
    <cfRule type="containsBlanks" dxfId="10168" priority="5078">
      <formula>LEN(TRIM(AI150))=0</formula>
    </cfRule>
    <cfRule type="containsBlanks" dxfId="10167" priority="5079">
      <formula>LEN(TRIM(AI150))=0</formula>
    </cfRule>
    <cfRule type="containsBlanks" dxfId="10166" priority="5080">
      <formula>LEN(TRIM(AI150))=0</formula>
    </cfRule>
    <cfRule type="containsBlanks" dxfId="10165" priority="5081">
      <formula>LEN(TRIM(AI150))=0</formula>
    </cfRule>
    <cfRule type="containsBlanks" dxfId="10164" priority="5082">
      <formula>LEN(TRIM(AI150))=0</formula>
    </cfRule>
    <cfRule type="containsBlanks" dxfId="10163" priority="5083">
      <formula>LEN(TRIM(AI150))=0</formula>
    </cfRule>
    <cfRule type="containsBlanks" dxfId="10162" priority="5084">
      <formula>LEN(TRIM(AI150))=0</formula>
    </cfRule>
    <cfRule type="containsBlanks" dxfId="10161" priority="5085">
      <formula>LEN(TRIM(AI150))=0</formula>
    </cfRule>
    <cfRule type="containsBlanks" dxfId="10160" priority="5086">
      <formula>LEN(TRIM(AI150))=0</formula>
    </cfRule>
    <cfRule type="containsBlanks" dxfId="10159" priority="5087">
      <formula>LEN(TRIM(AI150))=0</formula>
    </cfRule>
    <cfRule type="containsBlanks" dxfId="10158" priority="5088">
      <formula>LEN(TRIM(AI150))=0</formula>
    </cfRule>
    <cfRule type="containsBlanks" dxfId="10157" priority="5089">
      <formula>LEN(TRIM(AI150))=0</formula>
    </cfRule>
    <cfRule type="containsBlanks" dxfId="10156" priority="5090">
      <formula>LEN(TRIM(AI150))=0</formula>
    </cfRule>
    <cfRule type="containsBlanks" dxfId="10155" priority="5091">
      <formula>LEN(TRIM(AI150))=0</formula>
    </cfRule>
    <cfRule type="containsBlanks" dxfId="10154" priority="5092">
      <formula>LEN(TRIM(AI150))=0</formula>
    </cfRule>
    <cfRule type="containsBlanks" dxfId="10153" priority="5093">
      <formula>LEN(TRIM(AI150))=0</formula>
    </cfRule>
    <cfRule type="containsBlanks" dxfId="10152" priority="5094">
      <formula>LEN(TRIM(AI150))=0</formula>
    </cfRule>
    <cfRule type="containsBlanks" dxfId="10151" priority="5095">
      <formula>LEN(TRIM(AI150))=0</formula>
    </cfRule>
    <cfRule type="containsBlanks" dxfId="10150" priority="5096">
      <formula>LEN(TRIM(AI150))=0</formula>
    </cfRule>
    <cfRule type="containsBlanks" dxfId="10149" priority="5097">
      <formula>LEN(TRIM(AI150))=0</formula>
    </cfRule>
    <cfRule type="containsBlanks" dxfId="10148" priority="5098">
      <formula>LEN(TRIM(AI150))=0</formula>
    </cfRule>
    <cfRule type="containsBlanks" dxfId="10147" priority="5099">
      <formula>LEN(TRIM(AI150))=0</formula>
    </cfRule>
    <cfRule type="containsBlanks" dxfId="10146" priority="5100">
      <formula>LEN(TRIM(AI150))=0</formula>
    </cfRule>
    <cfRule type="containsBlanks" dxfId="10145" priority="5101">
      <formula>LEN(TRIM(AI150))=0</formula>
    </cfRule>
    <cfRule type="containsBlanks" dxfId="10144" priority="5102">
      <formula>LEN(TRIM(AI150))=0</formula>
    </cfRule>
    <cfRule type="containsBlanks" dxfId="10143" priority="5103">
      <formula>LEN(TRIM(AI150))=0</formula>
    </cfRule>
    <cfRule type="containsBlanks" dxfId="10142" priority="5104">
      <formula>LEN(TRIM(AI150))=0</formula>
    </cfRule>
    <cfRule type="containsBlanks" dxfId="10141" priority="5105">
      <formula>LEN(TRIM(AI150))=0</formula>
    </cfRule>
    <cfRule type="containsBlanks" dxfId="10140" priority="5106">
      <formula>LEN(TRIM(AI150))=0</formula>
    </cfRule>
    <cfRule type="containsBlanks" dxfId="10139" priority="5107">
      <formula>LEN(TRIM(AI150))=0</formula>
    </cfRule>
    <cfRule type="containsBlanks" dxfId="10138" priority="5108">
      <formula>LEN(TRIM(AI150))=0</formula>
    </cfRule>
    <cfRule type="containsBlanks" dxfId="10137" priority="5109">
      <formula>LEN(TRIM(AI150))=0</formula>
    </cfRule>
    <cfRule type="containsBlanks" dxfId="10136" priority="5110">
      <formula>LEN(TRIM(AI150))=0</formula>
    </cfRule>
    <cfRule type="containsBlanks" dxfId="10135" priority="5111">
      <formula>LEN(TRIM(AI150))=0</formula>
    </cfRule>
    <cfRule type="containsBlanks" dxfId="10134" priority="5112">
      <formula>LEN(TRIM(AI150))=0</formula>
    </cfRule>
    <cfRule type="containsBlanks" dxfId="10133" priority="5113">
      <formula>LEN(TRIM(AI150))=0</formula>
    </cfRule>
    <cfRule type="containsBlanks" dxfId="10132" priority="5114">
      <formula>LEN(TRIM(AI150))=0</formula>
    </cfRule>
    <cfRule type="containsBlanks" dxfId="10131" priority="5115">
      <formula>LEN(TRIM(AI150))=0</formula>
    </cfRule>
    <cfRule type="containsBlanks" dxfId="10130" priority="5116">
      <formula>LEN(TRIM(AI150))=0</formula>
    </cfRule>
    <cfRule type="containsBlanks" dxfId="10129" priority="5117">
      <formula>LEN(TRIM(AI150))=0</formula>
    </cfRule>
    <cfRule type="containsBlanks" dxfId="10128" priority="5118">
      <formula>LEN(TRIM(AI150))=0</formula>
    </cfRule>
    <cfRule type="containsBlanks" dxfId="10127" priority="5119">
      <formula>LEN(TRIM(AI150))=0</formula>
    </cfRule>
    <cfRule type="containsBlanks" dxfId="10126" priority="5120">
      <formula>LEN(TRIM(AI150))=0</formula>
    </cfRule>
    <cfRule type="containsBlanks" dxfId="10125" priority="5121">
      <formula>LEN(TRIM(AI150))=0</formula>
    </cfRule>
    <cfRule type="containsBlanks" dxfId="10124" priority="5122">
      <formula>LEN(TRIM(AI150))=0</formula>
    </cfRule>
    <cfRule type="containsBlanks" dxfId="10123" priority="5123">
      <formula>LEN(TRIM(AI150))=0</formula>
    </cfRule>
    <cfRule type="containsBlanks" dxfId="10122" priority="5124">
      <formula>LEN(TRIM(AI150))=0</formula>
    </cfRule>
    <cfRule type="containsBlanks" dxfId="10121" priority="5125">
      <formula>LEN(TRIM(AI150))=0</formula>
    </cfRule>
    <cfRule type="containsBlanks" dxfId="10120" priority="5126">
      <formula>LEN(TRIM(AI150))=0</formula>
    </cfRule>
    <cfRule type="containsBlanks" dxfId="10119" priority="5127">
      <formula>LEN(TRIM(AI150))=0</formula>
    </cfRule>
    <cfRule type="containsBlanks" dxfId="10118" priority="5128">
      <formula>LEN(TRIM(AI150))=0</formula>
    </cfRule>
    <cfRule type="containsBlanks" dxfId="10117" priority="5129">
      <formula>LEN(TRIM(AI150))=0</formula>
    </cfRule>
    <cfRule type="containsBlanks" dxfId="10116" priority="5130">
      <formula>LEN(TRIM(AI150))=0</formula>
    </cfRule>
    <cfRule type="containsBlanks" dxfId="10115" priority="5131">
      <formula>LEN(TRIM(AI150))=0</formula>
    </cfRule>
    <cfRule type="containsBlanks" dxfId="10114" priority="5132">
      <formula>LEN(TRIM(AI150))=0</formula>
    </cfRule>
    <cfRule type="containsBlanks" dxfId="10113" priority="5133">
      <formula>LEN(TRIM(AI150))=0</formula>
    </cfRule>
    <cfRule type="containsBlanks" dxfId="10112" priority="5134">
      <formula>LEN(TRIM(AI150))=0</formula>
    </cfRule>
    <cfRule type="containsBlanks" dxfId="10111" priority="5135">
      <formula>LEN(TRIM(AI150))=0</formula>
    </cfRule>
    <cfRule type="containsBlanks" dxfId="10110" priority="5136">
      <formula>LEN(TRIM(AI150))=0</formula>
    </cfRule>
    <cfRule type="containsBlanks" dxfId="10109" priority="5137">
      <formula>LEN(TRIM(AI150))=0</formula>
    </cfRule>
    <cfRule type="containsBlanks" dxfId="10108" priority="5138">
      <formula>LEN(TRIM(AI150))=0</formula>
    </cfRule>
    <cfRule type="containsBlanks" dxfId="10107" priority="5139">
      <formula>LEN(TRIM(AI150))=0</formula>
    </cfRule>
    <cfRule type="containsBlanks" dxfId="10106" priority="5140">
      <formula>LEN(TRIM(AI150))=0</formula>
    </cfRule>
    <cfRule type="containsBlanks" dxfId="10105" priority="5141">
      <formula>LEN(TRIM(AI150))=0</formula>
    </cfRule>
    <cfRule type="containsBlanks" dxfId="10104" priority="5142">
      <formula>LEN(TRIM(AI150))=0</formula>
    </cfRule>
    <cfRule type="containsBlanks" dxfId="10103" priority="5143">
      <formula>LEN(TRIM(AI150))=0</formula>
    </cfRule>
    <cfRule type="containsBlanks" dxfId="10102" priority="5144">
      <formula>LEN(TRIM(AI150))=0</formula>
    </cfRule>
    <cfRule type="containsBlanks" dxfId="10101" priority="5145">
      <formula>LEN(TRIM(AI150))=0</formula>
    </cfRule>
    <cfRule type="containsBlanks" dxfId="10100" priority="5146">
      <formula>LEN(TRIM(AI150))=0</formula>
    </cfRule>
    <cfRule type="containsBlanks" dxfId="10099" priority="5147">
      <formula>LEN(TRIM(AI150))=0</formula>
    </cfRule>
  </conditionalFormatting>
  <conditionalFormatting sqref="AI154:AI155">
    <cfRule type="containsBlanks" dxfId="10098" priority="5063">
      <formula>LEN(TRIM(AI154))=0</formula>
    </cfRule>
  </conditionalFormatting>
  <conditionalFormatting sqref="AI154:AI155">
    <cfRule type="containsBlanks" dxfId="10097" priority="5062">
      <formula>LEN(TRIM(AI154))=0</formula>
    </cfRule>
  </conditionalFormatting>
  <conditionalFormatting sqref="AI154:AI155">
    <cfRule type="containsBlanks" dxfId="10096" priority="5060">
      <formula>LEN(TRIM(AI154))=0</formula>
    </cfRule>
    <cfRule type="containsBlanks" dxfId="10095" priority="5061">
      <formula>LEN(TRIM(AI154))=0</formula>
    </cfRule>
  </conditionalFormatting>
  <conditionalFormatting sqref="AI154:AI155">
    <cfRule type="containsBlanks" dxfId="10094" priority="5059">
      <formula>LEN(TRIM(AI154))=0</formula>
    </cfRule>
  </conditionalFormatting>
  <conditionalFormatting sqref="AI154:AI155">
    <cfRule type="containsBlanks" dxfId="10093" priority="5058">
      <formula>LEN(TRIM(AI154))=0</formula>
    </cfRule>
  </conditionalFormatting>
  <conditionalFormatting sqref="AI154:AI155">
    <cfRule type="containsBlanks" dxfId="10092" priority="5057">
      <formula>LEN(TRIM(AI154))=0</formula>
    </cfRule>
  </conditionalFormatting>
  <conditionalFormatting sqref="AI154:AI155">
    <cfRule type="containsBlanks" dxfId="10091" priority="5055">
      <formula>LEN(TRIM(AI154))=0</formula>
    </cfRule>
    <cfRule type="containsBlanks" dxfId="10090" priority="5056">
      <formula>LEN(TRIM(AI154))=0</formula>
    </cfRule>
  </conditionalFormatting>
  <conditionalFormatting sqref="AI154:AI155">
    <cfRule type="containsBlanks" dxfId="10089" priority="5053">
      <formula>LEN(TRIM(AI154))=0</formula>
    </cfRule>
    <cfRule type="containsBlanks" dxfId="10088" priority="5054">
      <formula>LEN(TRIM(AI154))=0</formula>
    </cfRule>
  </conditionalFormatting>
  <conditionalFormatting sqref="AI154:AI155">
    <cfRule type="containsBlanks" dxfId="10087" priority="5051">
      <formula>LEN(TRIM(AI154))=0</formula>
    </cfRule>
    <cfRule type="containsBlanks" dxfId="10086" priority="5052">
      <formula>LEN(TRIM(AI154))=0</formula>
    </cfRule>
  </conditionalFormatting>
  <conditionalFormatting sqref="AI154:AI155">
    <cfRule type="containsBlanks" dxfId="10085" priority="5049">
      <formula>LEN(TRIM(AI154))=0</formula>
    </cfRule>
    <cfRule type="containsBlanks" dxfId="10084" priority="5050">
      <formula>LEN(TRIM(AI154))=0</formula>
    </cfRule>
  </conditionalFormatting>
  <conditionalFormatting sqref="AI154:AI155">
    <cfRule type="containsBlanks" dxfId="10083" priority="4983">
      <formula>LEN(TRIM(AI154))=0</formula>
    </cfRule>
    <cfRule type="containsBlanks" dxfId="10082" priority="4984">
      <formula>LEN(TRIM(AI154))=0</formula>
    </cfRule>
    <cfRule type="containsBlanks" dxfId="10081" priority="4985">
      <formula>LEN(TRIM(AI154))=0</formula>
    </cfRule>
    <cfRule type="containsBlanks" dxfId="10080" priority="4986">
      <formula>LEN(TRIM(AI154))=0</formula>
    </cfRule>
    <cfRule type="containsBlanks" dxfId="10079" priority="4987">
      <formula>LEN(TRIM(AI154))=0</formula>
    </cfRule>
    <cfRule type="containsBlanks" dxfId="10078" priority="4988">
      <formula>LEN(TRIM(AI154))=0</formula>
    </cfRule>
    <cfRule type="containsBlanks" dxfId="10077" priority="4989">
      <formula>LEN(TRIM(AI154))=0</formula>
    </cfRule>
    <cfRule type="containsBlanks" dxfId="10076" priority="4990">
      <formula>LEN(TRIM(AI154))=0</formula>
    </cfRule>
    <cfRule type="containsBlanks" dxfId="10075" priority="4991">
      <formula>LEN(TRIM(AI154))=0</formula>
    </cfRule>
    <cfRule type="containsBlanks" dxfId="10074" priority="4992">
      <formula>LEN(TRIM(AI154))=0</formula>
    </cfRule>
    <cfRule type="containsBlanks" dxfId="10073" priority="4993">
      <formula>LEN(TRIM(AI154))=0</formula>
    </cfRule>
    <cfRule type="containsBlanks" dxfId="10072" priority="4994">
      <formula>LEN(TRIM(AI154))=0</formula>
    </cfRule>
    <cfRule type="containsBlanks" dxfId="10071" priority="4995">
      <formula>LEN(TRIM(AI154))=0</formula>
    </cfRule>
    <cfRule type="containsBlanks" dxfId="10070" priority="4996">
      <formula>LEN(TRIM(AI154))=0</formula>
    </cfRule>
    <cfRule type="containsBlanks" dxfId="10069" priority="4997">
      <formula>LEN(TRIM(AI154))=0</formula>
    </cfRule>
    <cfRule type="containsBlanks" dxfId="10068" priority="4998">
      <formula>LEN(TRIM(AI154))=0</formula>
    </cfRule>
    <cfRule type="containsBlanks" dxfId="10067" priority="4999">
      <formula>LEN(TRIM(AI154))=0</formula>
    </cfRule>
    <cfRule type="containsBlanks" dxfId="10066" priority="5000">
      <formula>LEN(TRIM(AI154))=0</formula>
    </cfRule>
    <cfRule type="containsBlanks" dxfId="10065" priority="5001">
      <formula>LEN(TRIM(AI154))=0</formula>
    </cfRule>
    <cfRule type="containsBlanks" dxfId="10064" priority="5002">
      <formula>LEN(TRIM(AI154))=0</formula>
    </cfRule>
    <cfRule type="containsBlanks" dxfId="10063" priority="5003">
      <formula>LEN(TRIM(AI154))=0</formula>
    </cfRule>
    <cfRule type="containsBlanks" dxfId="10062" priority="5004">
      <formula>LEN(TRIM(AI154))=0</formula>
    </cfRule>
    <cfRule type="containsBlanks" dxfId="10061" priority="5005">
      <formula>LEN(TRIM(AI154))=0</formula>
    </cfRule>
    <cfRule type="containsBlanks" dxfId="10060" priority="5006">
      <formula>LEN(TRIM(AI154))=0</formula>
    </cfRule>
    <cfRule type="containsBlanks" dxfId="10059" priority="5007">
      <formula>LEN(TRIM(AI154))=0</formula>
    </cfRule>
    <cfRule type="containsBlanks" dxfId="10058" priority="5008">
      <formula>LEN(TRIM(AI154))=0</formula>
    </cfRule>
    <cfRule type="containsBlanks" dxfId="10057" priority="5009">
      <formula>LEN(TRIM(AI154))=0</formula>
    </cfRule>
    <cfRule type="containsBlanks" dxfId="10056" priority="5010">
      <formula>LEN(TRIM(AI154))=0</formula>
    </cfRule>
    <cfRule type="containsBlanks" dxfId="10055" priority="5011">
      <formula>LEN(TRIM(AI154))=0</formula>
    </cfRule>
    <cfRule type="containsBlanks" dxfId="10054" priority="5012">
      <formula>LEN(TRIM(AI154))=0</formula>
    </cfRule>
    <cfRule type="containsBlanks" dxfId="10053" priority="5013">
      <formula>LEN(TRIM(AI154))=0</formula>
    </cfRule>
    <cfRule type="containsBlanks" dxfId="10052" priority="5014">
      <formula>LEN(TRIM(AI154))=0</formula>
    </cfRule>
    <cfRule type="containsBlanks" dxfId="10051" priority="5015">
      <formula>LEN(TRIM(AI154))=0</formula>
    </cfRule>
    <cfRule type="containsBlanks" dxfId="10050" priority="5016">
      <formula>LEN(TRIM(AI154))=0</formula>
    </cfRule>
    <cfRule type="containsBlanks" dxfId="10049" priority="5017">
      <formula>LEN(TRIM(AI154))=0</formula>
    </cfRule>
    <cfRule type="containsBlanks" dxfId="10048" priority="5018">
      <formula>LEN(TRIM(AI154))=0</formula>
    </cfRule>
    <cfRule type="containsBlanks" dxfId="10047" priority="5019">
      <formula>LEN(TRIM(AI154))=0</formula>
    </cfRule>
    <cfRule type="containsBlanks" dxfId="10046" priority="5020">
      <formula>LEN(TRIM(AI154))=0</formula>
    </cfRule>
    <cfRule type="containsBlanks" dxfId="10045" priority="5021">
      <formula>LEN(TRIM(AI154))=0</formula>
    </cfRule>
    <cfRule type="containsBlanks" dxfId="10044" priority="5022">
      <formula>LEN(TRIM(AI154))=0</formula>
    </cfRule>
    <cfRule type="containsBlanks" dxfId="10043" priority="5023">
      <formula>LEN(TRIM(AI154))=0</formula>
    </cfRule>
    <cfRule type="containsBlanks" dxfId="10042" priority="5024">
      <formula>LEN(TRIM(AI154))=0</formula>
    </cfRule>
    <cfRule type="containsBlanks" dxfId="10041" priority="5025">
      <formula>LEN(TRIM(AI154))=0</formula>
    </cfRule>
    <cfRule type="containsBlanks" dxfId="10040" priority="5026">
      <formula>LEN(TRIM(AI154))=0</formula>
    </cfRule>
    <cfRule type="containsBlanks" dxfId="10039" priority="5027">
      <formula>LEN(TRIM(AI154))=0</formula>
    </cfRule>
    <cfRule type="containsBlanks" dxfId="10038" priority="5028">
      <formula>LEN(TRIM(AI154))=0</formula>
    </cfRule>
    <cfRule type="containsBlanks" dxfId="10037" priority="5029">
      <formula>LEN(TRIM(AI154))=0</formula>
    </cfRule>
    <cfRule type="containsBlanks" dxfId="10036" priority="5030">
      <formula>LEN(TRIM(AI154))=0</formula>
    </cfRule>
    <cfRule type="containsBlanks" dxfId="10035" priority="5031">
      <formula>LEN(TRIM(AI154))=0</formula>
    </cfRule>
    <cfRule type="containsBlanks" dxfId="10034" priority="5032">
      <formula>LEN(TRIM(AI154))=0</formula>
    </cfRule>
    <cfRule type="containsBlanks" dxfId="10033" priority="5033">
      <formula>LEN(TRIM(AI154))=0</formula>
    </cfRule>
    <cfRule type="containsBlanks" dxfId="10032" priority="5034">
      <formula>LEN(TRIM(AI154))=0</formula>
    </cfRule>
    <cfRule type="containsBlanks" dxfId="10031" priority="5035">
      <formula>LEN(TRIM(AI154))=0</formula>
    </cfRule>
    <cfRule type="containsBlanks" dxfId="10030" priority="5036">
      <formula>LEN(TRIM(AI154))=0</formula>
    </cfRule>
    <cfRule type="containsBlanks" dxfId="10029" priority="5037">
      <formula>LEN(TRIM(AI154))=0</formula>
    </cfRule>
    <cfRule type="containsBlanks" dxfId="10028" priority="5038">
      <formula>LEN(TRIM(AI154))=0</formula>
    </cfRule>
    <cfRule type="containsBlanks" dxfId="10027" priority="5039">
      <formula>LEN(TRIM(AI154))=0</formula>
    </cfRule>
    <cfRule type="containsBlanks" dxfId="10026" priority="5040">
      <formula>LEN(TRIM(AI154))=0</formula>
    </cfRule>
    <cfRule type="containsBlanks" dxfId="10025" priority="5041">
      <formula>LEN(TRIM(AI154))=0</formula>
    </cfRule>
    <cfRule type="containsBlanks" dxfId="10024" priority="5042">
      <formula>LEN(TRIM(AI154))=0</formula>
    </cfRule>
    <cfRule type="containsBlanks" dxfId="10023" priority="5043">
      <formula>LEN(TRIM(AI154))=0</formula>
    </cfRule>
    <cfRule type="containsBlanks" dxfId="10022" priority="5044">
      <formula>LEN(TRIM(AI154))=0</formula>
    </cfRule>
    <cfRule type="containsBlanks" dxfId="10021" priority="5045">
      <formula>LEN(TRIM(AI154))=0</formula>
    </cfRule>
    <cfRule type="containsBlanks" dxfId="10020" priority="5046">
      <formula>LEN(TRIM(AI154))=0</formula>
    </cfRule>
    <cfRule type="containsBlanks" dxfId="10019" priority="5047">
      <formula>LEN(TRIM(AI154))=0</formula>
    </cfRule>
    <cfRule type="containsBlanks" dxfId="10018" priority="5048">
      <formula>LEN(TRIM(AI154))=0</formula>
    </cfRule>
  </conditionalFormatting>
  <conditionalFormatting sqref="AI154:AI155">
    <cfRule type="containsBlanks" dxfId="10017" priority="4928">
      <formula>LEN(TRIM(AI154))=0</formula>
    </cfRule>
    <cfRule type="containsBlanks" dxfId="10016" priority="4929">
      <formula>LEN(TRIM(AI154))=0</formula>
    </cfRule>
    <cfRule type="containsBlanks" dxfId="10015" priority="4930">
      <formula>LEN(TRIM(AI154))=0</formula>
    </cfRule>
    <cfRule type="containsBlanks" dxfId="10014" priority="4931">
      <formula>LEN(TRIM(AI154))=0</formula>
    </cfRule>
    <cfRule type="containsBlanks" dxfId="10013" priority="4932">
      <formula>LEN(TRIM(AI154))=0</formula>
    </cfRule>
    <cfRule type="containsBlanks" dxfId="10012" priority="4933">
      <formula>LEN(TRIM(AI154))=0</formula>
    </cfRule>
    <cfRule type="containsBlanks" dxfId="10011" priority="4934">
      <formula>LEN(TRIM(AI154))=0</formula>
    </cfRule>
    <cfRule type="containsBlanks" dxfId="10010" priority="4935">
      <formula>LEN(TRIM(AI154))=0</formula>
    </cfRule>
    <cfRule type="containsBlanks" dxfId="10009" priority="4936">
      <formula>LEN(TRIM(AI154))=0</formula>
    </cfRule>
    <cfRule type="containsBlanks" dxfId="10008" priority="4937">
      <formula>LEN(TRIM(AI154))=0</formula>
    </cfRule>
    <cfRule type="containsBlanks" dxfId="10007" priority="4938">
      <formula>LEN(TRIM(AI154))=0</formula>
    </cfRule>
    <cfRule type="containsBlanks" dxfId="10006" priority="4939">
      <formula>LEN(TRIM(AI154))=0</formula>
    </cfRule>
    <cfRule type="containsBlanks" dxfId="10005" priority="4940">
      <formula>LEN(TRIM(AI154))=0</formula>
    </cfRule>
    <cfRule type="containsBlanks" dxfId="10004" priority="4941">
      <formula>LEN(TRIM(AI154))=0</formula>
    </cfRule>
    <cfRule type="containsBlanks" dxfId="10003" priority="4942">
      <formula>LEN(TRIM(AI154))=0</formula>
    </cfRule>
    <cfRule type="containsBlanks" dxfId="10002" priority="4943">
      <formula>LEN(TRIM(AI154))=0</formula>
    </cfRule>
    <cfRule type="containsBlanks" dxfId="10001" priority="4944">
      <formula>LEN(TRIM(AI154))=0</formula>
    </cfRule>
    <cfRule type="containsBlanks" dxfId="10000" priority="4945">
      <formula>LEN(TRIM(AI154))=0</formula>
    </cfRule>
    <cfRule type="containsBlanks" dxfId="9999" priority="4946">
      <formula>LEN(TRIM(AI154))=0</formula>
    </cfRule>
    <cfRule type="containsBlanks" dxfId="9998" priority="4947">
      <formula>LEN(TRIM(AI154))=0</formula>
    </cfRule>
    <cfRule type="containsBlanks" dxfId="9997" priority="4948">
      <formula>LEN(TRIM(AI154))=0</formula>
    </cfRule>
    <cfRule type="containsBlanks" dxfId="9996" priority="4949">
      <formula>LEN(TRIM(AI154))=0</formula>
    </cfRule>
    <cfRule type="containsBlanks" dxfId="9995" priority="4950">
      <formula>LEN(TRIM(AI154))=0</formula>
    </cfRule>
    <cfRule type="containsBlanks" dxfId="9994" priority="4951">
      <formula>LEN(TRIM(AI154))=0</formula>
    </cfRule>
    <cfRule type="containsBlanks" dxfId="9993" priority="4952">
      <formula>LEN(TRIM(AI154))=0</formula>
    </cfRule>
    <cfRule type="containsBlanks" dxfId="9992" priority="4953">
      <formula>LEN(TRIM(AI154))=0</formula>
    </cfRule>
    <cfRule type="containsBlanks" dxfId="9991" priority="4954">
      <formula>LEN(TRIM(AI154))=0</formula>
    </cfRule>
    <cfRule type="containsBlanks" dxfId="9990" priority="4955">
      <formula>LEN(TRIM(AI154))=0</formula>
    </cfRule>
    <cfRule type="containsBlanks" dxfId="9989" priority="4956">
      <formula>LEN(TRIM(AI154))=0</formula>
    </cfRule>
    <cfRule type="containsBlanks" dxfId="9988" priority="4957">
      <formula>LEN(TRIM(AI154))=0</formula>
    </cfRule>
    <cfRule type="containsBlanks" dxfId="9987" priority="4958">
      <formula>LEN(TRIM(AI154))=0</formula>
    </cfRule>
    <cfRule type="containsBlanks" dxfId="9986" priority="4959">
      <formula>LEN(TRIM(AI154))=0</formula>
    </cfRule>
    <cfRule type="containsBlanks" dxfId="9985" priority="4960">
      <formula>LEN(TRIM(AI154))=0</formula>
    </cfRule>
    <cfRule type="containsBlanks" dxfId="9984" priority="4961">
      <formula>LEN(TRIM(AI154))=0</formula>
    </cfRule>
    <cfRule type="containsBlanks" dxfId="9983" priority="4962">
      <formula>LEN(TRIM(AI154))=0</formula>
    </cfRule>
    <cfRule type="containsBlanks" dxfId="9982" priority="4963">
      <formula>LEN(TRIM(AI154))=0</formula>
    </cfRule>
    <cfRule type="containsBlanks" dxfId="9981" priority="4964">
      <formula>LEN(TRIM(AI154))=0</formula>
    </cfRule>
    <cfRule type="containsBlanks" dxfId="9980" priority="4965">
      <formula>LEN(TRIM(AI154))=0</formula>
    </cfRule>
    <cfRule type="containsBlanks" dxfId="9979" priority="4966">
      <formula>LEN(TRIM(AI154))=0</formula>
    </cfRule>
    <cfRule type="containsBlanks" dxfId="9978" priority="4967">
      <formula>LEN(TRIM(AI154))=0</formula>
    </cfRule>
    <cfRule type="containsBlanks" dxfId="9977" priority="4968">
      <formula>LEN(TRIM(AI154))=0</formula>
    </cfRule>
    <cfRule type="containsBlanks" dxfId="9976" priority="4969">
      <formula>LEN(TRIM(AI154))=0</formula>
    </cfRule>
    <cfRule type="containsBlanks" dxfId="9975" priority="4970">
      <formula>LEN(TRIM(AI154))=0</formula>
    </cfRule>
    <cfRule type="containsBlanks" dxfId="9974" priority="4971">
      <formula>LEN(TRIM(AI154))=0</formula>
    </cfRule>
    <cfRule type="containsBlanks" dxfId="9973" priority="4972">
      <formula>LEN(TRIM(AI154))=0</formula>
    </cfRule>
    <cfRule type="containsBlanks" dxfId="9972" priority="4973">
      <formula>LEN(TRIM(AI154))=0</formula>
    </cfRule>
    <cfRule type="containsBlanks" dxfId="9971" priority="4974">
      <formula>LEN(TRIM(AI154))=0</formula>
    </cfRule>
    <cfRule type="containsBlanks" dxfId="9970" priority="4975">
      <formula>LEN(TRIM(AI154))=0</formula>
    </cfRule>
    <cfRule type="containsBlanks" dxfId="9969" priority="4976">
      <formula>LEN(TRIM(AI154))=0</formula>
    </cfRule>
    <cfRule type="containsBlanks" dxfId="9968" priority="4977">
      <formula>LEN(TRIM(AI154))=0</formula>
    </cfRule>
    <cfRule type="containsBlanks" dxfId="9967" priority="4978">
      <formula>LEN(TRIM(AI154))=0</formula>
    </cfRule>
    <cfRule type="containsBlanks" dxfId="9966" priority="4979">
      <formula>LEN(TRIM(AI154))=0</formula>
    </cfRule>
    <cfRule type="containsBlanks" dxfId="9965" priority="4980">
      <formula>LEN(TRIM(AI154))=0</formula>
    </cfRule>
    <cfRule type="containsBlanks" dxfId="9964" priority="4981">
      <formula>LEN(TRIM(AI154))=0</formula>
    </cfRule>
    <cfRule type="containsBlanks" dxfId="9963" priority="4982">
      <formula>LEN(TRIM(AI154))=0</formula>
    </cfRule>
  </conditionalFormatting>
  <conditionalFormatting sqref="AI154:AI155">
    <cfRule type="containsBlanks" dxfId="9962" priority="4844">
      <formula>LEN(TRIM(AI154))=0</formula>
    </cfRule>
    <cfRule type="containsBlanks" dxfId="9961" priority="4845">
      <formula>LEN(TRIM(AI154))=0</formula>
    </cfRule>
    <cfRule type="containsBlanks" dxfId="9960" priority="4846">
      <formula>LEN(TRIM(AI154))=0</formula>
    </cfRule>
    <cfRule type="containsBlanks" dxfId="9959" priority="4847">
      <formula>LEN(TRIM(AI154))=0</formula>
    </cfRule>
    <cfRule type="containsBlanks" dxfId="9958" priority="4848">
      <formula>LEN(TRIM(AI154))=0</formula>
    </cfRule>
    <cfRule type="containsBlanks" dxfId="9957" priority="4849">
      <formula>LEN(TRIM(AI154))=0</formula>
    </cfRule>
    <cfRule type="containsBlanks" dxfId="9956" priority="4850">
      <formula>LEN(TRIM(AI154))=0</formula>
    </cfRule>
    <cfRule type="containsBlanks" dxfId="9955" priority="4851">
      <formula>LEN(TRIM(AI154))=0</formula>
    </cfRule>
    <cfRule type="containsBlanks" dxfId="9954" priority="4852">
      <formula>LEN(TRIM(AI154))=0</formula>
    </cfRule>
    <cfRule type="containsBlanks" dxfId="9953" priority="4853">
      <formula>LEN(TRIM(AI154))=0</formula>
    </cfRule>
    <cfRule type="containsBlanks" dxfId="9952" priority="4854">
      <formula>LEN(TRIM(AI154))=0</formula>
    </cfRule>
    <cfRule type="containsBlanks" dxfId="9951" priority="4855">
      <formula>LEN(TRIM(AI154))=0</formula>
    </cfRule>
    <cfRule type="containsBlanks" dxfId="9950" priority="4856">
      <formula>LEN(TRIM(AI154))=0</formula>
    </cfRule>
    <cfRule type="containsBlanks" dxfId="9949" priority="4857">
      <formula>LEN(TRIM(AI154))=0</formula>
    </cfRule>
    <cfRule type="containsBlanks" dxfId="9948" priority="4858">
      <formula>LEN(TRIM(AI154))=0</formula>
    </cfRule>
    <cfRule type="containsBlanks" dxfId="9947" priority="4859">
      <formula>LEN(TRIM(AI154))=0</formula>
    </cfRule>
    <cfRule type="containsBlanks" dxfId="9946" priority="4860">
      <formula>LEN(TRIM(AI154))=0</formula>
    </cfRule>
    <cfRule type="containsBlanks" dxfId="9945" priority="4861">
      <formula>LEN(TRIM(AI154))=0</formula>
    </cfRule>
    <cfRule type="containsBlanks" dxfId="9944" priority="4862">
      <formula>LEN(TRIM(AI154))=0</formula>
    </cfRule>
    <cfRule type="containsBlanks" dxfId="9943" priority="4863">
      <formula>LEN(TRIM(AI154))=0</formula>
    </cfRule>
    <cfRule type="containsBlanks" dxfId="9942" priority="4864">
      <formula>LEN(TRIM(AI154))=0</formula>
    </cfRule>
    <cfRule type="containsBlanks" dxfId="9941" priority="4865">
      <formula>LEN(TRIM(AI154))=0</formula>
    </cfRule>
    <cfRule type="containsBlanks" dxfId="9940" priority="4866">
      <formula>LEN(TRIM(AI154))=0</formula>
    </cfRule>
    <cfRule type="containsBlanks" dxfId="9939" priority="4867">
      <formula>LEN(TRIM(AI154))=0</formula>
    </cfRule>
    <cfRule type="containsBlanks" dxfId="9938" priority="4868">
      <formula>LEN(TRIM(AI154))=0</formula>
    </cfRule>
    <cfRule type="containsBlanks" dxfId="9937" priority="4869">
      <formula>LEN(TRIM(AI154))=0</formula>
    </cfRule>
    <cfRule type="containsBlanks" dxfId="9936" priority="4870">
      <formula>LEN(TRIM(AI154))=0</formula>
    </cfRule>
    <cfRule type="containsBlanks" dxfId="9935" priority="4871">
      <formula>LEN(TRIM(AI154))=0</formula>
    </cfRule>
    <cfRule type="containsBlanks" dxfId="9934" priority="4872">
      <formula>LEN(TRIM(AI154))=0</formula>
    </cfRule>
    <cfRule type="containsBlanks" dxfId="9933" priority="4873">
      <formula>LEN(TRIM(AI154))=0</formula>
    </cfRule>
    <cfRule type="containsBlanks" dxfId="9932" priority="4874">
      <formula>LEN(TRIM(AI154))=0</formula>
    </cfRule>
    <cfRule type="containsBlanks" dxfId="9931" priority="4875">
      <formula>LEN(TRIM(AI154))=0</formula>
    </cfRule>
    <cfRule type="containsBlanks" dxfId="9930" priority="4876">
      <formula>LEN(TRIM(AI154))=0</formula>
    </cfRule>
    <cfRule type="containsBlanks" dxfId="9929" priority="4877">
      <formula>LEN(TRIM(AI154))=0</formula>
    </cfRule>
    <cfRule type="containsBlanks" dxfId="9928" priority="4878">
      <formula>LEN(TRIM(AI154))=0</formula>
    </cfRule>
    <cfRule type="containsBlanks" dxfId="9927" priority="4879">
      <formula>LEN(TRIM(AI154))=0</formula>
    </cfRule>
    <cfRule type="containsBlanks" dxfId="9926" priority="4880">
      <formula>LEN(TRIM(AI154))=0</formula>
    </cfRule>
    <cfRule type="containsBlanks" dxfId="9925" priority="4881">
      <formula>LEN(TRIM(AI154))=0</formula>
    </cfRule>
    <cfRule type="containsBlanks" dxfId="9924" priority="4882">
      <formula>LEN(TRIM(AI154))=0</formula>
    </cfRule>
    <cfRule type="containsBlanks" dxfId="9923" priority="4883">
      <formula>LEN(TRIM(AI154))=0</formula>
    </cfRule>
    <cfRule type="containsBlanks" dxfId="9922" priority="4884">
      <formula>LEN(TRIM(AI154))=0</formula>
    </cfRule>
    <cfRule type="containsBlanks" dxfId="9921" priority="4885">
      <formula>LEN(TRIM(AI154))=0</formula>
    </cfRule>
    <cfRule type="containsBlanks" dxfId="9920" priority="4886">
      <formula>LEN(TRIM(AI154))=0</formula>
    </cfRule>
    <cfRule type="containsBlanks" dxfId="9919" priority="4887">
      <formula>LEN(TRIM(AI154))=0</formula>
    </cfRule>
    <cfRule type="containsBlanks" dxfId="9918" priority="4888">
      <formula>LEN(TRIM(AI154))=0</formula>
    </cfRule>
    <cfRule type="containsBlanks" dxfId="9917" priority="4889">
      <formula>LEN(TRIM(AI154))=0</formula>
    </cfRule>
    <cfRule type="containsBlanks" dxfId="9916" priority="4890">
      <formula>LEN(TRIM(AI154))=0</formula>
    </cfRule>
    <cfRule type="containsBlanks" dxfId="9915" priority="4891">
      <formula>LEN(TRIM(AI154))=0</formula>
    </cfRule>
    <cfRule type="containsBlanks" dxfId="9914" priority="4892">
      <formula>LEN(TRIM(AI154))=0</formula>
    </cfRule>
    <cfRule type="containsBlanks" dxfId="9913" priority="4893">
      <formula>LEN(TRIM(AI154))=0</formula>
    </cfRule>
    <cfRule type="containsBlanks" dxfId="9912" priority="4894">
      <formula>LEN(TRIM(AI154))=0</formula>
    </cfRule>
    <cfRule type="containsBlanks" dxfId="9911" priority="4895">
      <formula>LEN(TRIM(AI154))=0</formula>
    </cfRule>
    <cfRule type="containsBlanks" dxfId="9910" priority="4896">
      <formula>LEN(TRIM(AI154))=0</formula>
    </cfRule>
    <cfRule type="containsBlanks" dxfId="9909" priority="4897">
      <formula>LEN(TRIM(AI154))=0</formula>
    </cfRule>
    <cfRule type="containsBlanks" dxfId="9908" priority="4898">
      <formula>LEN(TRIM(AI154))=0</formula>
    </cfRule>
    <cfRule type="containsBlanks" dxfId="9907" priority="4899">
      <formula>LEN(TRIM(AI154))=0</formula>
    </cfRule>
    <cfRule type="containsBlanks" dxfId="9906" priority="4900">
      <formula>LEN(TRIM(AI154))=0</formula>
    </cfRule>
    <cfRule type="containsBlanks" dxfId="9905" priority="4901">
      <formula>LEN(TRIM(AI154))=0</formula>
    </cfRule>
    <cfRule type="containsBlanks" dxfId="9904" priority="4902">
      <formula>LEN(TRIM(AI154))=0</formula>
    </cfRule>
    <cfRule type="containsBlanks" dxfId="9903" priority="4903">
      <formula>LEN(TRIM(AI154))=0</formula>
    </cfRule>
    <cfRule type="containsBlanks" dxfId="9902" priority="4904">
      <formula>LEN(TRIM(AI154))=0</formula>
    </cfRule>
    <cfRule type="containsBlanks" dxfId="9901" priority="4905">
      <formula>LEN(TRIM(AI154))=0</formula>
    </cfRule>
    <cfRule type="containsBlanks" dxfId="9900" priority="4906">
      <formula>LEN(TRIM(AI154))=0</formula>
    </cfRule>
    <cfRule type="containsBlanks" dxfId="9899" priority="4907">
      <formula>LEN(TRIM(AI154))=0</formula>
    </cfRule>
    <cfRule type="containsBlanks" dxfId="9898" priority="4908">
      <formula>LEN(TRIM(AI154))=0</formula>
    </cfRule>
    <cfRule type="containsBlanks" dxfId="9897" priority="4909">
      <formula>LEN(TRIM(AI154))=0</formula>
    </cfRule>
    <cfRule type="containsBlanks" dxfId="9896" priority="4910">
      <formula>LEN(TRIM(AI154))=0</formula>
    </cfRule>
    <cfRule type="containsBlanks" dxfId="9895" priority="4911">
      <formula>LEN(TRIM(AI154))=0</formula>
    </cfRule>
    <cfRule type="containsBlanks" dxfId="9894" priority="4912">
      <formula>LEN(TRIM(AI154))=0</formula>
    </cfRule>
    <cfRule type="containsBlanks" dxfId="9893" priority="4913">
      <formula>LEN(TRIM(AI154))=0</formula>
    </cfRule>
    <cfRule type="containsBlanks" dxfId="9892" priority="4914">
      <formula>LEN(TRIM(AI154))=0</formula>
    </cfRule>
    <cfRule type="containsBlanks" dxfId="9891" priority="4915">
      <formula>LEN(TRIM(AI154))=0</formula>
    </cfRule>
    <cfRule type="containsBlanks" dxfId="9890" priority="4916">
      <formula>LEN(TRIM(AI154))=0</formula>
    </cfRule>
    <cfRule type="containsBlanks" dxfId="9889" priority="4917">
      <formula>LEN(TRIM(AI154))=0</formula>
    </cfRule>
    <cfRule type="containsBlanks" dxfId="9888" priority="4918">
      <formula>LEN(TRIM(AI154))=0</formula>
    </cfRule>
    <cfRule type="containsBlanks" dxfId="9887" priority="4919">
      <formula>LEN(TRIM(AI154))=0</formula>
    </cfRule>
    <cfRule type="containsBlanks" dxfId="9886" priority="4920">
      <formula>LEN(TRIM(AI154))=0</formula>
    </cfRule>
    <cfRule type="containsBlanks" dxfId="9885" priority="4921">
      <formula>LEN(TRIM(AI154))=0</formula>
    </cfRule>
    <cfRule type="containsBlanks" dxfId="9884" priority="4922">
      <formula>LEN(TRIM(AI154))=0</formula>
    </cfRule>
    <cfRule type="containsBlanks" dxfId="9883" priority="4923">
      <formula>LEN(TRIM(AI154))=0</formula>
    </cfRule>
    <cfRule type="containsBlanks" dxfId="9882" priority="4924">
      <formula>LEN(TRIM(AI154))=0</formula>
    </cfRule>
    <cfRule type="containsBlanks" dxfId="9881" priority="4925">
      <formula>LEN(TRIM(AI154))=0</formula>
    </cfRule>
    <cfRule type="containsBlanks" dxfId="9880" priority="4926">
      <formula>LEN(TRIM(AI154))=0</formula>
    </cfRule>
    <cfRule type="containsBlanks" dxfId="9879" priority="4927">
      <formula>LEN(TRIM(AI154))=0</formula>
    </cfRule>
  </conditionalFormatting>
  <conditionalFormatting sqref="AI162">
    <cfRule type="containsBlanks" dxfId="9878" priority="4843">
      <formula>LEN(TRIM(AI162))=0</formula>
    </cfRule>
  </conditionalFormatting>
  <conditionalFormatting sqref="AI162">
    <cfRule type="containsBlanks" dxfId="9877" priority="4842">
      <formula>LEN(TRIM(AI162))=0</formula>
    </cfRule>
  </conditionalFormatting>
  <conditionalFormatting sqref="AI162">
    <cfRule type="containsBlanks" dxfId="9876" priority="4840">
      <formula>LEN(TRIM(AI162))=0</formula>
    </cfRule>
    <cfRule type="containsBlanks" dxfId="9875" priority="4841">
      <formula>LEN(TRIM(AI162))=0</formula>
    </cfRule>
  </conditionalFormatting>
  <conditionalFormatting sqref="AI162">
    <cfRule type="containsBlanks" dxfId="9874" priority="4839">
      <formula>LEN(TRIM(AI162))=0</formula>
    </cfRule>
  </conditionalFormatting>
  <conditionalFormatting sqref="AI162">
    <cfRule type="containsBlanks" dxfId="9873" priority="4838">
      <formula>LEN(TRIM(AI162))=0</formula>
    </cfRule>
  </conditionalFormatting>
  <conditionalFormatting sqref="AI162">
    <cfRule type="containsBlanks" dxfId="9872" priority="4837">
      <formula>LEN(TRIM(AI162))=0</formula>
    </cfRule>
  </conditionalFormatting>
  <conditionalFormatting sqref="AI162">
    <cfRule type="containsBlanks" dxfId="9871" priority="4835">
      <formula>LEN(TRIM(AI162))=0</formula>
    </cfRule>
    <cfRule type="containsBlanks" dxfId="9870" priority="4836">
      <formula>LEN(TRIM(AI162))=0</formula>
    </cfRule>
  </conditionalFormatting>
  <conditionalFormatting sqref="AI162">
    <cfRule type="containsBlanks" dxfId="9869" priority="4833">
      <formula>LEN(TRIM(AI162))=0</formula>
    </cfRule>
    <cfRule type="containsBlanks" dxfId="9868" priority="4834">
      <formula>LEN(TRIM(AI162))=0</formula>
    </cfRule>
  </conditionalFormatting>
  <conditionalFormatting sqref="AI162">
    <cfRule type="containsBlanks" dxfId="9867" priority="4831">
      <formula>LEN(TRIM(AI162))=0</formula>
    </cfRule>
    <cfRule type="containsBlanks" dxfId="9866" priority="4832">
      <formula>LEN(TRIM(AI162))=0</formula>
    </cfRule>
  </conditionalFormatting>
  <conditionalFormatting sqref="AI162">
    <cfRule type="containsBlanks" dxfId="9865" priority="4829">
      <formula>LEN(TRIM(AI162))=0</formula>
    </cfRule>
    <cfRule type="containsBlanks" dxfId="9864" priority="4830">
      <formula>LEN(TRIM(AI162))=0</formula>
    </cfRule>
  </conditionalFormatting>
  <conditionalFormatting sqref="AI162">
    <cfRule type="containsBlanks" dxfId="9863" priority="4763">
      <formula>LEN(TRIM(AI162))=0</formula>
    </cfRule>
    <cfRule type="containsBlanks" dxfId="9862" priority="4764">
      <formula>LEN(TRIM(AI162))=0</formula>
    </cfRule>
    <cfRule type="containsBlanks" dxfId="9861" priority="4765">
      <formula>LEN(TRIM(AI162))=0</formula>
    </cfRule>
    <cfRule type="containsBlanks" dxfId="9860" priority="4766">
      <formula>LEN(TRIM(AI162))=0</formula>
    </cfRule>
    <cfRule type="containsBlanks" dxfId="9859" priority="4767">
      <formula>LEN(TRIM(AI162))=0</formula>
    </cfRule>
    <cfRule type="containsBlanks" dxfId="9858" priority="4768">
      <formula>LEN(TRIM(AI162))=0</formula>
    </cfRule>
    <cfRule type="containsBlanks" dxfId="9857" priority="4769">
      <formula>LEN(TRIM(AI162))=0</formula>
    </cfRule>
    <cfRule type="containsBlanks" dxfId="9856" priority="4770">
      <formula>LEN(TRIM(AI162))=0</formula>
    </cfRule>
    <cfRule type="containsBlanks" dxfId="9855" priority="4771">
      <formula>LEN(TRIM(AI162))=0</formula>
    </cfRule>
    <cfRule type="containsBlanks" dxfId="9854" priority="4772">
      <formula>LEN(TRIM(AI162))=0</formula>
    </cfRule>
    <cfRule type="containsBlanks" dxfId="9853" priority="4773">
      <formula>LEN(TRIM(AI162))=0</formula>
    </cfRule>
    <cfRule type="containsBlanks" dxfId="9852" priority="4774">
      <formula>LEN(TRIM(AI162))=0</formula>
    </cfRule>
    <cfRule type="containsBlanks" dxfId="9851" priority="4775">
      <formula>LEN(TRIM(AI162))=0</formula>
    </cfRule>
    <cfRule type="containsBlanks" dxfId="9850" priority="4776">
      <formula>LEN(TRIM(AI162))=0</formula>
    </cfRule>
    <cfRule type="containsBlanks" dxfId="9849" priority="4777">
      <formula>LEN(TRIM(AI162))=0</formula>
    </cfRule>
    <cfRule type="containsBlanks" dxfId="9848" priority="4778">
      <formula>LEN(TRIM(AI162))=0</formula>
    </cfRule>
    <cfRule type="containsBlanks" dxfId="9847" priority="4779">
      <formula>LEN(TRIM(AI162))=0</formula>
    </cfRule>
    <cfRule type="containsBlanks" dxfId="9846" priority="4780">
      <formula>LEN(TRIM(AI162))=0</formula>
    </cfRule>
    <cfRule type="containsBlanks" dxfId="9845" priority="4781">
      <formula>LEN(TRIM(AI162))=0</formula>
    </cfRule>
    <cfRule type="containsBlanks" dxfId="9844" priority="4782">
      <formula>LEN(TRIM(AI162))=0</formula>
    </cfRule>
    <cfRule type="containsBlanks" dxfId="9843" priority="4783">
      <formula>LEN(TRIM(AI162))=0</formula>
    </cfRule>
    <cfRule type="containsBlanks" dxfId="9842" priority="4784">
      <formula>LEN(TRIM(AI162))=0</formula>
    </cfRule>
    <cfRule type="containsBlanks" dxfId="9841" priority="4785">
      <formula>LEN(TRIM(AI162))=0</formula>
    </cfRule>
    <cfRule type="containsBlanks" dxfId="9840" priority="4786">
      <formula>LEN(TRIM(AI162))=0</formula>
    </cfRule>
    <cfRule type="containsBlanks" dxfId="9839" priority="4787">
      <formula>LEN(TRIM(AI162))=0</formula>
    </cfRule>
    <cfRule type="containsBlanks" dxfId="9838" priority="4788">
      <formula>LEN(TRIM(AI162))=0</formula>
    </cfRule>
    <cfRule type="containsBlanks" dxfId="9837" priority="4789">
      <formula>LEN(TRIM(AI162))=0</formula>
    </cfRule>
    <cfRule type="containsBlanks" dxfId="9836" priority="4790">
      <formula>LEN(TRIM(AI162))=0</formula>
    </cfRule>
    <cfRule type="containsBlanks" dxfId="9835" priority="4791">
      <formula>LEN(TRIM(AI162))=0</formula>
    </cfRule>
    <cfRule type="containsBlanks" dxfId="9834" priority="4792">
      <formula>LEN(TRIM(AI162))=0</formula>
    </cfRule>
    <cfRule type="containsBlanks" dxfId="9833" priority="4793">
      <formula>LEN(TRIM(AI162))=0</formula>
    </cfRule>
    <cfRule type="containsBlanks" dxfId="9832" priority="4794">
      <formula>LEN(TRIM(AI162))=0</formula>
    </cfRule>
    <cfRule type="containsBlanks" dxfId="9831" priority="4795">
      <formula>LEN(TRIM(AI162))=0</formula>
    </cfRule>
    <cfRule type="containsBlanks" dxfId="9830" priority="4796">
      <formula>LEN(TRIM(AI162))=0</formula>
    </cfRule>
    <cfRule type="containsBlanks" dxfId="9829" priority="4797">
      <formula>LEN(TRIM(AI162))=0</formula>
    </cfRule>
    <cfRule type="containsBlanks" dxfId="9828" priority="4798">
      <formula>LEN(TRIM(AI162))=0</formula>
    </cfRule>
    <cfRule type="containsBlanks" dxfId="9827" priority="4799">
      <formula>LEN(TRIM(AI162))=0</formula>
    </cfRule>
    <cfRule type="containsBlanks" dxfId="9826" priority="4800">
      <formula>LEN(TRIM(AI162))=0</formula>
    </cfRule>
    <cfRule type="containsBlanks" dxfId="9825" priority="4801">
      <formula>LEN(TRIM(AI162))=0</formula>
    </cfRule>
    <cfRule type="containsBlanks" dxfId="9824" priority="4802">
      <formula>LEN(TRIM(AI162))=0</formula>
    </cfRule>
    <cfRule type="containsBlanks" dxfId="9823" priority="4803">
      <formula>LEN(TRIM(AI162))=0</formula>
    </cfRule>
    <cfRule type="containsBlanks" dxfId="9822" priority="4804">
      <formula>LEN(TRIM(AI162))=0</formula>
    </cfRule>
    <cfRule type="containsBlanks" dxfId="9821" priority="4805">
      <formula>LEN(TRIM(AI162))=0</formula>
    </cfRule>
    <cfRule type="containsBlanks" dxfId="9820" priority="4806">
      <formula>LEN(TRIM(AI162))=0</formula>
    </cfRule>
    <cfRule type="containsBlanks" dxfId="9819" priority="4807">
      <formula>LEN(TRIM(AI162))=0</formula>
    </cfRule>
    <cfRule type="containsBlanks" dxfId="9818" priority="4808">
      <formula>LEN(TRIM(AI162))=0</formula>
    </cfRule>
    <cfRule type="containsBlanks" dxfId="9817" priority="4809">
      <formula>LEN(TRIM(AI162))=0</formula>
    </cfRule>
    <cfRule type="containsBlanks" dxfId="9816" priority="4810">
      <formula>LEN(TRIM(AI162))=0</formula>
    </cfRule>
    <cfRule type="containsBlanks" dxfId="9815" priority="4811">
      <formula>LEN(TRIM(AI162))=0</formula>
    </cfRule>
    <cfRule type="containsBlanks" dxfId="9814" priority="4812">
      <formula>LEN(TRIM(AI162))=0</formula>
    </cfRule>
    <cfRule type="containsBlanks" dxfId="9813" priority="4813">
      <formula>LEN(TRIM(AI162))=0</formula>
    </cfRule>
    <cfRule type="containsBlanks" dxfId="9812" priority="4814">
      <formula>LEN(TRIM(AI162))=0</formula>
    </cfRule>
    <cfRule type="containsBlanks" dxfId="9811" priority="4815">
      <formula>LEN(TRIM(AI162))=0</formula>
    </cfRule>
    <cfRule type="containsBlanks" dxfId="9810" priority="4816">
      <formula>LEN(TRIM(AI162))=0</formula>
    </cfRule>
    <cfRule type="containsBlanks" dxfId="9809" priority="4817">
      <formula>LEN(TRIM(AI162))=0</formula>
    </cfRule>
    <cfRule type="containsBlanks" dxfId="9808" priority="4818">
      <formula>LEN(TRIM(AI162))=0</formula>
    </cfRule>
    <cfRule type="containsBlanks" dxfId="9807" priority="4819">
      <formula>LEN(TRIM(AI162))=0</formula>
    </cfRule>
    <cfRule type="containsBlanks" dxfId="9806" priority="4820">
      <formula>LEN(TRIM(AI162))=0</formula>
    </cfRule>
    <cfRule type="containsBlanks" dxfId="9805" priority="4821">
      <formula>LEN(TRIM(AI162))=0</formula>
    </cfRule>
    <cfRule type="containsBlanks" dxfId="9804" priority="4822">
      <formula>LEN(TRIM(AI162))=0</formula>
    </cfRule>
    <cfRule type="containsBlanks" dxfId="9803" priority="4823">
      <formula>LEN(TRIM(AI162))=0</formula>
    </cfRule>
    <cfRule type="containsBlanks" dxfId="9802" priority="4824">
      <formula>LEN(TRIM(AI162))=0</formula>
    </cfRule>
    <cfRule type="containsBlanks" dxfId="9801" priority="4825">
      <formula>LEN(TRIM(AI162))=0</formula>
    </cfRule>
    <cfRule type="containsBlanks" dxfId="9800" priority="4826">
      <formula>LEN(TRIM(AI162))=0</formula>
    </cfRule>
    <cfRule type="containsBlanks" dxfId="9799" priority="4827">
      <formula>LEN(TRIM(AI162))=0</formula>
    </cfRule>
    <cfRule type="containsBlanks" dxfId="9798" priority="4828">
      <formula>LEN(TRIM(AI162))=0</formula>
    </cfRule>
  </conditionalFormatting>
  <conditionalFormatting sqref="AI162">
    <cfRule type="containsBlanks" dxfId="9797" priority="4708">
      <formula>LEN(TRIM(AI162))=0</formula>
    </cfRule>
    <cfRule type="containsBlanks" dxfId="9796" priority="4709">
      <formula>LEN(TRIM(AI162))=0</formula>
    </cfRule>
    <cfRule type="containsBlanks" dxfId="9795" priority="4710">
      <formula>LEN(TRIM(AI162))=0</formula>
    </cfRule>
    <cfRule type="containsBlanks" dxfId="9794" priority="4711">
      <formula>LEN(TRIM(AI162))=0</formula>
    </cfRule>
    <cfRule type="containsBlanks" dxfId="9793" priority="4712">
      <formula>LEN(TRIM(AI162))=0</formula>
    </cfRule>
    <cfRule type="containsBlanks" dxfId="9792" priority="4713">
      <formula>LEN(TRIM(AI162))=0</formula>
    </cfRule>
    <cfRule type="containsBlanks" dxfId="9791" priority="4714">
      <formula>LEN(TRIM(AI162))=0</formula>
    </cfRule>
    <cfRule type="containsBlanks" dxfId="9790" priority="4715">
      <formula>LEN(TRIM(AI162))=0</formula>
    </cfRule>
    <cfRule type="containsBlanks" dxfId="9789" priority="4716">
      <formula>LEN(TRIM(AI162))=0</formula>
    </cfRule>
    <cfRule type="containsBlanks" dxfId="9788" priority="4717">
      <formula>LEN(TRIM(AI162))=0</formula>
    </cfRule>
    <cfRule type="containsBlanks" dxfId="9787" priority="4718">
      <formula>LEN(TRIM(AI162))=0</formula>
    </cfRule>
    <cfRule type="containsBlanks" dxfId="9786" priority="4719">
      <formula>LEN(TRIM(AI162))=0</formula>
    </cfRule>
    <cfRule type="containsBlanks" dxfId="9785" priority="4720">
      <formula>LEN(TRIM(AI162))=0</formula>
    </cfRule>
    <cfRule type="containsBlanks" dxfId="9784" priority="4721">
      <formula>LEN(TRIM(AI162))=0</formula>
    </cfRule>
    <cfRule type="containsBlanks" dxfId="9783" priority="4722">
      <formula>LEN(TRIM(AI162))=0</formula>
    </cfRule>
    <cfRule type="containsBlanks" dxfId="9782" priority="4723">
      <formula>LEN(TRIM(AI162))=0</formula>
    </cfRule>
    <cfRule type="containsBlanks" dxfId="9781" priority="4724">
      <formula>LEN(TRIM(AI162))=0</formula>
    </cfRule>
    <cfRule type="containsBlanks" dxfId="9780" priority="4725">
      <formula>LEN(TRIM(AI162))=0</formula>
    </cfRule>
    <cfRule type="containsBlanks" dxfId="9779" priority="4726">
      <formula>LEN(TRIM(AI162))=0</formula>
    </cfRule>
    <cfRule type="containsBlanks" dxfId="9778" priority="4727">
      <formula>LEN(TRIM(AI162))=0</formula>
    </cfRule>
    <cfRule type="containsBlanks" dxfId="9777" priority="4728">
      <formula>LEN(TRIM(AI162))=0</formula>
    </cfRule>
    <cfRule type="containsBlanks" dxfId="9776" priority="4729">
      <formula>LEN(TRIM(AI162))=0</formula>
    </cfRule>
    <cfRule type="containsBlanks" dxfId="9775" priority="4730">
      <formula>LEN(TRIM(AI162))=0</formula>
    </cfRule>
    <cfRule type="containsBlanks" dxfId="9774" priority="4731">
      <formula>LEN(TRIM(AI162))=0</formula>
    </cfRule>
    <cfRule type="containsBlanks" dxfId="9773" priority="4732">
      <formula>LEN(TRIM(AI162))=0</formula>
    </cfRule>
    <cfRule type="containsBlanks" dxfId="9772" priority="4733">
      <formula>LEN(TRIM(AI162))=0</formula>
    </cfRule>
    <cfRule type="containsBlanks" dxfId="9771" priority="4734">
      <formula>LEN(TRIM(AI162))=0</formula>
    </cfRule>
    <cfRule type="containsBlanks" dxfId="9770" priority="4735">
      <formula>LEN(TRIM(AI162))=0</formula>
    </cfRule>
    <cfRule type="containsBlanks" dxfId="9769" priority="4736">
      <formula>LEN(TRIM(AI162))=0</formula>
    </cfRule>
    <cfRule type="containsBlanks" dxfId="9768" priority="4737">
      <formula>LEN(TRIM(AI162))=0</formula>
    </cfRule>
    <cfRule type="containsBlanks" dxfId="9767" priority="4738">
      <formula>LEN(TRIM(AI162))=0</formula>
    </cfRule>
    <cfRule type="containsBlanks" dxfId="9766" priority="4739">
      <formula>LEN(TRIM(AI162))=0</formula>
    </cfRule>
    <cfRule type="containsBlanks" dxfId="9765" priority="4740">
      <formula>LEN(TRIM(AI162))=0</formula>
    </cfRule>
    <cfRule type="containsBlanks" dxfId="9764" priority="4741">
      <formula>LEN(TRIM(AI162))=0</formula>
    </cfRule>
    <cfRule type="containsBlanks" dxfId="9763" priority="4742">
      <formula>LEN(TRIM(AI162))=0</formula>
    </cfRule>
    <cfRule type="containsBlanks" dxfId="9762" priority="4743">
      <formula>LEN(TRIM(AI162))=0</formula>
    </cfRule>
    <cfRule type="containsBlanks" dxfId="9761" priority="4744">
      <formula>LEN(TRIM(AI162))=0</formula>
    </cfRule>
    <cfRule type="containsBlanks" dxfId="9760" priority="4745">
      <formula>LEN(TRIM(AI162))=0</formula>
    </cfRule>
    <cfRule type="containsBlanks" dxfId="9759" priority="4746">
      <formula>LEN(TRIM(AI162))=0</formula>
    </cfRule>
    <cfRule type="containsBlanks" dxfId="9758" priority="4747">
      <formula>LEN(TRIM(AI162))=0</formula>
    </cfRule>
    <cfRule type="containsBlanks" dxfId="9757" priority="4748">
      <formula>LEN(TRIM(AI162))=0</formula>
    </cfRule>
    <cfRule type="containsBlanks" dxfId="9756" priority="4749">
      <formula>LEN(TRIM(AI162))=0</formula>
    </cfRule>
    <cfRule type="containsBlanks" dxfId="9755" priority="4750">
      <formula>LEN(TRIM(AI162))=0</formula>
    </cfRule>
    <cfRule type="containsBlanks" dxfId="9754" priority="4751">
      <formula>LEN(TRIM(AI162))=0</formula>
    </cfRule>
    <cfRule type="containsBlanks" dxfId="9753" priority="4752">
      <formula>LEN(TRIM(AI162))=0</formula>
    </cfRule>
    <cfRule type="containsBlanks" dxfId="9752" priority="4753">
      <formula>LEN(TRIM(AI162))=0</formula>
    </cfRule>
    <cfRule type="containsBlanks" dxfId="9751" priority="4754">
      <formula>LEN(TRIM(AI162))=0</formula>
    </cfRule>
    <cfRule type="containsBlanks" dxfId="9750" priority="4755">
      <formula>LEN(TRIM(AI162))=0</formula>
    </cfRule>
    <cfRule type="containsBlanks" dxfId="9749" priority="4756">
      <formula>LEN(TRIM(AI162))=0</formula>
    </cfRule>
    <cfRule type="containsBlanks" dxfId="9748" priority="4757">
      <formula>LEN(TRIM(AI162))=0</formula>
    </cfRule>
    <cfRule type="containsBlanks" dxfId="9747" priority="4758">
      <formula>LEN(TRIM(AI162))=0</formula>
    </cfRule>
    <cfRule type="containsBlanks" dxfId="9746" priority="4759">
      <formula>LEN(TRIM(AI162))=0</formula>
    </cfRule>
    <cfRule type="containsBlanks" dxfId="9745" priority="4760">
      <formula>LEN(TRIM(AI162))=0</formula>
    </cfRule>
    <cfRule type="containsBlanks" dxfId="9744" priority="4761">
      <formula>LEN(TRIM(AI162))=0</formula>
    </cfRule>
    <cfRule type="containsBlanks" dxfId="9743" priority="4762">
      <formula>LEN(TRIM(AI162))=0</formula>
    </cfRule>
  </conditionalFormatting>
  <conditionalFormatting sqref="AI162">
    <cfRule type="containsBlanks" dxfId="9742" priority="4624">
      <formula>LEN(TRIM(AI162))=0</formula>
    </cfRule>
    <cfRule type="containsBlanks" dxfId="9741" priority="4625">
      <formula>LEN(TRIM(AI162))=0</formula>
    </cfRule>
    <cfRule type="containsBlanks" dxfId="9740" priority="4626">
      <formula>LEN(TRIM(AI162))=0</formula>
    </cfRule>
    <cfRule type="containsBlanks" dxfId="9739" priority="4627">
      <formula>LEN(TRIM(AI162))=0</formula>
    </cfRule>
    <cfRule type="containsBlanks" dxfId="9738" priority="4628">
      <formula>LEN(TRIM(AI162))=0</formula>
    </cfRule>
    <cfRule type="containsBlanks" dxfId="9737" priority="4629">
      <formula>LEN(TRIM(AI162))=0</formula>
    </cfRule>
    <cfRule type="containsBlanks" dxfId="9736" priority="4630">
      <formula>LEN(TRIM(AI162))=0</formula>
    </cfRule>
    <cfRule type="containsBlanks" dxfId="9735" priority="4631">
      <formula>LEN(TRIM(AI162))=0</formula>
    </cfRule>
    <cfRule type="containsBlanks" dxfId="9734" priority="4632">
      <formula>LEN(TRIM(AI162))=0</formula>
    </cfRule>
    <cfRule type="containsBlanks" dxfId="9733" priority="4633">
      <formula>LEN(TRIM(AI162))=0</formula>
    </cfRule>
    <cfRule type="containsBlanks" dxfId="9732" priority="4634">
      <formula>LEN(TRIM(AI162))=0</formula>
    </cfRule>
    <cfRule type="containsBlanks" dxfId="9731" priority="4635">
      <formula>LEN(TRIM(AI162))=0</formula>
    </cfRule>
    <cfRule type="containsBlanks" dxfId="9730" priority="4636">
      <formula>LEN(TRIM(AI162))=0</formula>
    </cfRule>
    <cfRule type="containsBlanks" dxfId="9729" priority="4637">
      <formula>LEN(TRIM(AI162))=0</formula>
    </cfRule>
    <cfRule type="containsBlanks" dxfId="9728" priority="4638">
      <formula>LEN(TRIM(AI162))=0</formula>
    </cfRule>
    <cfRule type="containsBlanks" dxfId="9727" priority="4639">
      <formula>LEN(TRIM(AI162))=0</formula>
    </cfRule>
    <cfRule type="containsBlanks" dxfId="9726" priority="4640">
      <formula>LEN(TRIM(AI162))=0</formula>
    </cfRule>
    <cfRule type="containsBlanks" dxfId="9725" priority="4641">
      <formula>LEN(TRIM(AI162))=0</formula>
    </cfRule>
    <cfRule type="containsBlanks" dxfId="9724" priority="4642">
      <formula>LEN(TRIM(AI162))=0</formula>
    </cfRule>
    <cfRule type="containsBlanks" dxfId="9723" priority="4643">
      <formula>LEN(TRIM(AI162))=0</formula>
    </cfRule>
    <cfRule type="containsBlanks" dxfId="9722" priority="4644">
      <formula>LEN(TRIM(AI162))=0</formula>
    </cfRule>
    <cfRule type="containsBlanks" dxfId="9721" priority="4645">
      <formula>LEN(TRIM(AI162))=0</formula>
    </cfRule>
    <cfRule type="containsBlanks" dxfId="9720" priority="4646">
      <formula>LEN(TRIM(AI162))=0</formula>
    </cfRule>
    <cfRule type="containsBlanks" dxfId="9719" priority="4647">
      <formula>LEN(TRIM(AI162))=0</formula>
    </cfRule>
    <cfRule type="containsBlanks" dxfId="9718" priority="4648">
      <formula>LEN(TRIM(AI162))=0</formula>
    </cfRule>
    <cfRule type="containsBlanks" dxfId="9717" priority="4649">
      <formula>LEN(TRIM(AI162))=0</formula>
    </cfRule>
    <cfRule type="containsBlanks" dxfId="9716" priority="4650">
      <formula>LEN(TRIM(AI162))=0</formula>
    </cfRule>
    <cfRule type="containsBlanks" dxfId="9715" priority="4651">
      <formula>LEN(TRIM(AI162))=0</formula>
    </cfRule>
    <cfRule type="containsBlanks" dxfId="9714" priority="4652">
      <formula>LEN(TRIM(AI162))=0</formula>
    </cfRule>
    <cfRule type="containsBlanks" dxfId="9713" priority="4653">
      <formula>LEN(TRIM(AI162))=0</formula>
    </cfRule>
    <cfRule type="containsBlanks" dxfId="9712" priority="4654">
      <formula>LEN(TRIM(AI162))=0</formula>
    </cfRule>
    <cfRule type="containsBlanks" dxfId="9711" priority="4655">
      <formula>LEN(TRIM(AI162))=0</formula>
    </cfRule>
    <cfRule type="containsBlanks" dxfId="9710" priority="4656">
      <formula>LEN(TRIM(AI162))=0</formula>
    </cfRule>
    <cfRule type="containsBlanks" dxfId="9709" priority="4657">
      <formula>LEN(TRIM(AI162))=0</formula>
    </cfRule>
    <cfRule type="containsBlanks" dxfId="9708" priority="4658">
      <formula>LEN(TRIM(AI162))=0</formula>
    </cfRule>
    <cfRule type="containsBlanks" dxfId="9707" priority="4659">
      <formula>LEN(TRIM(AI162))=0</formula>
    </cfRule>
    <cfRule type="containsBlanks" dxfId="9706" priority="4660">
      <formula>LEN(TRIM(AI162))=0</formula>
    </cfRule>
    <cfRule type="containsBlanks" dxfId="9705" priority="4661">
      <formula>LEN(TRIM(AI162))=0</formula>
    </cfRule>
    <cfRule type="containsBlanks" dxfId="9704" priority="4662">
      <formula>LEN(TRIM(AI162))=0</formula>
    </cfRule>
    <cfRule type="containsBlanks" dxfId="9703" priority="4663">
      <formula>LEN(TRIM(AI162))=0</formula>
    </cfRule>
    <cfRule type="containsBlanks" dxfId="9702" priority="4664">
      <formula>LEN(TRIM(AI162))=0</formula>
    </cfRule>
    <cfRule type="containsBlanks" dxfId="9701" priority="4665">
      <formula>LEN(TRIM(AI162))=0</formula>
    </cfRule>
    <cfRule type="containsBlanks" dxfId="9700" priority="4666">
      <formula>LEN(TRIM(AI162))=0</formula>
    </cfRule>
    <cfRule type="containsBlanks" dxfId="9699" priority="4667">
      <formula>LEN(TRIM(AI162))=0</formula>
    </cfRule>
    <cfRule type="containsBlanks" dxfId="9698" priority="4668">
      <formula>LEN(TRIM(AI162))=0</formula>
    </cfRule>
    <cfRule type="containsBlanks" dxfId="9697" priority="4669">
      <formula>LEN(TRIM(AI162))=0</formula>
    </cfRule>
    <cfRule type="containsBlanks" dxfId="9696" priority="4670">
      <formula>LEN(TRIM(AI162))=0</formula>
    </cfRule>
    <cfRule type="containsBlanks" dxfId="9695" priority="4671">
      <formula>LEN(TRIM(AI162))=0</formula>
    </cfRule>
    <cfRule type="containsBlanks" dxfId="9694" priority="4672">
      <formula>LEN(TRIM(AI162))=0</formula>
    </cfRule>
    <cfRule type="containsBlanks" dxfId="9693" priority="4673">
      <formula>LEN(TRIM(AI162))=0</formula>
    </cfRule>
    <cfRule type="containsBlanks" dxfId="9692" priority="4674">
      <formula>LEN(TRIM(AI162))=0</formula>
    </cfRule>
    <cfRule type="containsBlanks" dxfId="9691" priority="4675">
      <formula>LEN(TRIM(AI162))=0</formula>
    </cfRule>
    <cfRule type="containsBlanks" dxfId="9690" priority="4676">
      <formula>LEN(TRIM(AI162))=0</formula>
    </cfRule>
    <cfRule type="containsBlanks" dxfId="9689" priority="4677">
      <formula>LEN(TRIM(AI162))=0</formula>
    </cfRule>
    <cfRule type="containsBlanks" dxfId="9688" priority="4678">
      <formula>LEN(TRIM(AI162))=0</formula>
    </cfRule>
    <cfRule type="containsBlanks" dxfId="9687" priority="4679">
      <formula>LEN(TRIM(AI162))=0</formula>
    </cfRule>
    <cfRule type="containsBlanks" dxfId="9686" priority="4680">
      <formula>LEN(TRIM(AI162))=0</formula>
    </cfRule>
    <cfRule type="containsBlanks" dxfId="9685" priority="4681">
      <formula>LEN(TRIM(AI162))=0</formula>
    </cfRule>
    <cfRule type="containsBlanks" dxfId="9684" priority="4682">
      <formula>LEN(TRIM(AI162))=0</formula>
    </cfRule>
    <cfRule type="containsBlanks" dxfId="9683" priority="4683">
      <formula>LEN(TRIM(AI162))=0</formula>
    </cfRule>
    <cfRule type="containsBlanks" dxfId="9682" priority="4684">
      <formula>LEN(TRIM(AI162))=0</formula>
    </cfRule>
    <cfRule type="containsBlanks" dxfId="9681" priority="4685">
      <formula>LEN(TRIM(AI162))=0</formula>
    </cfRule>
    <cfRule type="containsBlanks" dxfId="9680" priority="4686">
      <formula>LEN(TRIM(AI162))=0</formula>
    </cfRule>
    <cfRule type="containsBlanks" dxfId="9679" priority="4687">
      <formula>LEN(TRIM(AI162))=0</formula>
    </cfRule>
    <cfRule type="containsBlanks" dxfId="9678" priority="4688">
      <formula>LEN(TRIM(AI162))=0</formula>
    </cfRule>
    <cfRule type="containsBlanks" dxfId="9677" priority="4689">
      <formula>LEN(TRIM(AI162))=0</formula>
    </cfRule>
    <cfRule type="containsBlanks" dxfId="9676" priority="4690">
      <formula>LEN(TRIM(AI162))=0</formula>
    </cfRule>
    <cfRule type="containsBlanks" dxfId="9675" priority="4691">
      <formula>LEN(TRIM(AI162))=0</formula>
    </cfRule>
    <cfRule type="containsBlanks" dxfId="9674" priority="4692">
      <formula>LEN(TRIM(AI162))=0</formula>
    </cfRule>
    <cfRule type="containsBlanks" dxfId="9673" priority="4693">
      <formula>LEN(TRIM(AI162))=0</formula>
    </cfRule>
    <cfRule type="containsBlanks" dxfId="9672" priority="4694">
      <formula>LEN(TRIM(AI162))=0</formula>
    </cfRule>
    <cfRule type="containsBlanks" dxfId="9671" priority="4695">
      <formula>LEN(TRIM(AI162))=0</formula>
    </cfRule>
    <cfRule type="containsBlanks" dxfId="9670" priority="4696">
      <formula>LEN(TRIM(AI162))=0</formula>
    </cfRule>
    <cfRule type="containsBlanks" dxfId="9669" priority="4697">
      <formula>LEN(TRIM(AI162))=0</formula>
    </cfRule>
    <cfRule type="containsBlanks" dxfId="9668" priority="4698">
      <formula>LEN(TRIM(AI162))=0</formula>
    </cfRule>
    <cfRule type="containsBlanks" dxfId="9667" priority="4699">
      <formula>LEN(TRIM(AI162))=0</formula>
    </cfRule>
    <cfRule type="containsBlanks" dxfId="9666" priority="4700">
      <formula>LEN(TRIM(AI162))=0</formula>
    </cfRule>
    <cfRule type="containsBlanks" dxfId="9665" priority="4701">
      <formula>LEN(TRIM(AI162))=0</formula>
    </cfRule>
    <cfRule type="containsBlanks" dxfId="9664" priority="4702">
      <formula>LEN(TRIM(AI162))=0</formula>
    </cfRule>
    <cfRule type="containsBlanks" dxfId="9663" priority="4703">
      <formula>LEN(TRIM(AI162))=0</formula>
    </cfRule>
    <cfRule type="containsBlanks" dxfId="9662" priority="4704">
      <formula>LEN(TRIM(AI162))=0</formula>
    </cfRule>
    <cfRule type="containsBlanks" dxfId="9661" priority="4705">
      <formula>LEN(TRIM(AI162))=0</formula>
    </cfRule>
    <cfRule type="containsBlanks" dxfId="9660" priority="4706">
      <formula>LEN(TRIM(AI162))=0</formula>
    </cfRule>
    <cfRule type="containsBlanks" dxfId="9659" priority="4707">
      <formula>LEN(TRIM(AI162))=0</formula>
    </cfRule>
  </conditionalFormatting>
  <conditionalFormatting sqref="AI163">
    <cfRule type="containsBlanks" dxfId="9658" priority="4623">
      <formula>LEN(TRIM(AI163))=0</formula>
    </cfRule>
  </conditionalFormatting>
  <conditionalFormatting sqref="AI163">
    <cfRule type="containsBlanks" dxfId="9657" priority="4622">
      <formula>LEN(TRIM(AI163))=0</formula>
    </cfRule>
  </conditionalFormatting>
  <conditionalFormatting sqref="AI163">
    <cfRule type="containsBlanks" dxfId="9656" priority="4620">
      <formula>LEN(TRIM(AI163))=0</formula>
    </cfRule>
    <cfRule type="containsBlanks" dxfId="9655" priority="4621">
      <formula>LEN(TRIM(AI163))=0</formula>
    </cfRule>
  </conditionalFormatting>
  <conditionalFormatting sqref="AI163">
    <cfRule type="containsBlanks" dxfId="9654" priority="4619">
      <formula>LEN(TRIM(AI163))=0</formula>
    </cfRule>
  </conditionalFormatting>
  <conditionalFormatting sqref="AI163">
    <cfRule type="containsBlanks" dxfId="9653" priority="4618">
      <formula>LEN(TRIM(AI163))=0</formula>
    </cfRule>
  </conditionalFormatting>
  <conditionalFormatting sqref="AI163">
    <cfRule type="containsBlanks" dxfId="9652" priority="4617">
      <formula>LEN(TRIM(AI163))=0</formula>
    </cfRule>
  </conditionalFormatting>
  <conditionalFormatting sqref="AI163">
    <cfRule type="containsBlanks" dxfId="9651" priority="4615">
      <formula>LEN(TRIM(AI163))=0</formula>
    </cfRule>
    <cfRule type="containsBlanks" dxfId="9650" priority="4616">
      <formula>LEN(TRIM(AI163))=0</formula>
    </cfRule>
  </conditionalFormatting>
  <conditionalFormatting sqref="AI163">
    <cfRule type="containsBlanks" dxfId="9649" priority="4613">
      <formula>LEN(TRIM(AI163))=0</formula>
    </cfRule>
    <cfRule type="containsBlanks" dxfId="9648" priority="4614">
      <formula>LEN(TRIM(AI163))=0</formula>
    </cfRule>
  </conditionalFormatting>
  <conditionalFormatting sqref="AI163">
    <cfRule type="containsBlanks" dxfId="9647" priority="4611">
      <formula>LEN(TRIM(AI163))=0</formula>
    </cfRule>
    <cfRule type="containsBlanks" dxfId="9646" priority="4612">
      <formula>LEN(TRIM(AI163))=0</formula>
    </cfRule>
  </conditionalFormatting>
  <conditionalFormatting sqref="AI163">
    <cfRule type="containsBlanks" dxfId="9645" priority="4609">
      <formula>LEN(TRIM(AI163))=0</formula>
    </cfRule>
    <cfRule type="containsBlanks" dxfId="9644" priority="4610">
      <formula>LEN(TRIM(AI163))=0</formula>
    </cfRule>
  </conditionalFormatting>
  <conditionalFormatting sqref="AI163">
    <cfRule type="containsBlanks" dxfId="9643" priority="4543">
      <formula>LEN(TRIM(AI163))=0</formula>
    </cfRule>
    <cfRule type="containsBlanks" dxfId="9642" priority="4544">
      <formula>LEN(TRIM(AI163))=0</formula>
    </cfRule>
    <cfRule type="containsBlanks" dxfId="9641" priority="4545">
      <formula>LEN(TRIM(AI163))=0</formula>
    </cfRule>
    <cfRule type="containsBlanks" dxfId="9640" priority="4546">
      <formula>LEN(TRIM(AI163))=0</formula>
    </cfRule>
    <cfRule type="containsBlanks" dxfId="9639" priority="4547">
      <formula>LEN(TRIM(AI163))=0</formula>
    </cfRule>
    <cfRule type="containsBlanks" dxfId="9638" priority="4548">
      <formula>LEN(TRIM(AI163))=0</formula>
    </cfRule>
    <cfRule type="containsBlanks" dxfId="9637" priority="4549">
      <formula>LEN(TRIM(AI163))=0</formula>
    </cfRule>
    <cfRule type="containsBlanks" dxfId="9636" priority="4550">
      <formula>LEN(TRIM(AI163))=0</formula>
    </cfRule>
    <cfRule type="containsBlanks" dxfId="9635" priority="4551">
      <formula>LEN(TRIM(AI163))=0</formula>
    </cfRule>
    <cfRule type="containsBlanks" dxfId="9634" priority="4552">
      <formula>LEN(TRIM(AI163))=0</formula>
    </cfRule>
    <cfRule type="containsBlanks" dxfId="9633" priority="4553">
      <formula>LEN(TRIM(AI163))=0</formula>
    </cfRule>
    <cfRule type="containsBlanks" dxfId="9632" priority="4554">
      <formula>LEN(TRIM(AI163))=0</formula>
    </cfRule>
    <cfRule type="containsBlanks" dxfId="9631" priority="4555">
      <formula>LEN(TRIM(AI163))=0</formula>
    </cfRule>
    <cfRule type="containsBlanks" dxfId="9630" priority="4556">
      <formula>LEN(TRIM(AI163))=0</formula>
    </cfRule>
    <cfRule type="containsBlanks" dxfId="9629" priority="4557">
      <formula>LEN(TRIM(AI163))=0</formula>
    </cfRule>
    <cfRule type="containsBlanks" dxfId="9628" priority="4558">
      <formula>LEN(TRIM(AI163))=0</formula>
    </cfRule>
    <cfRule type="containsBlanks" dxfId="9627" priority="4559">
      <formula>LEN(TRIM(AI163))=0</formula>
    </cfRule>
    <cfRule type="containsBlanks" dxfId="9626" priority="4560">
      <formula>LEN(TRIM(AI163))=0</formula>
    </cfRule>
    <cfRule type="containsBlanks" dxfId="9625" priority="4561">
      <formula>LEN(TRIM(AI163))=0</formula>
    </cfRule>
    <cfRule type="containsBlanks" dxfId="9624" priority="4562">
      <formula>LEN(TRIM(AI163))=0</formula>
    </cfRule>
    <cfRule type="containsBlanks" dxfId="9623" priority="4563">
      <formula>LEN(TRIM(AI163))=0</formula>
    </cfRule>
    <cfRule type="containsBlanks" dxfId="9622" priority="4564">
      <formula>LEN(TRIM(AI163))=0</formula>
    </cfRule>
    <cfRule type="containsBlanks" dxfId="9621" priority="4565">
      <formula>LEN(TRIM(AI163))=0</formula>
    </cfRule>
    <cfRule type="containsBlanks" dxfId="9620" priority="4566">
      <formula>LEN(TRIM(AI163))=0</formula>
    </cfRule>
    <cfRule type="containsBlanks" dxfId="9619" priority="4567">
      <formula>LEN(TRIM(AI163))=0</formula>
    </cfRule>
    <cfRule type="containsBlanks" dxfId="9618" priority="4568">
      <formula>LEN(TRIM(AI163))=0</formula>
    </cfRule>
    <cfRule type="containsBlanks" dxfId="9617" priority="4569">
      <formula>LEN(TRIM(AI163))=0</formula>
    </cfRule>
    <cfRule type="containsBlanks" dxfId="9616" priority="4570">
      <formula>LEN(TRIM(AI163))=0</formula>
    </cfRule>
    <cfRule type="containsBlanks" dxfId="9615" priority="4571">
      <formula>LEN(TRIM(AI163))=0</formula>
    </cfRule>
    <cfRule type="containsBlanks" dxfId="9614" priority="4572">
      <formula>LEN(TRIM(AI163))=0</formula>
    </cfRule>
    <cfRule type="containsBlanks" dxfId="9613" priority="4573">
      <formula>LEN(TRIM(AI163))=0</formula>
    </cfRule>
    <cfRule type="containsBlanks" dxfId="9612" priority="4574">
      <formula>LEN(TRIM(AI163))=0</formula>
    </cfRule>
    <cfRule type="containsBlanks" dxfId="9611" priority="4575">
      <formula>LEN(TRIM(AI163))=0</formula>
    </cfRule>
    <cfRule type="containsBlanks" dxfId="9610" priority="4576">
      <formula>LEN(TRIM(AI163))=0</formula>
    </cfRule>
    <cfRule type="containsBlanks" dxfId="9609" priority="4577">
      <formula>LEN(TRIM(AI163))=0</formula>
    </cfRule>
    <cfRule type="containsBlanks" dxfId="9608" priority="4578">
      <formula>LEN(TRIM(AI163))=0</formula>
    </cfRule>
    <cfRule type="containsBlanks" dxfId="9607" priority="4579">
      <formula>LEN(TRIM(AI163))=0</formula>
    </cfRule>
    <cfRule type="containsBlanks" dxfId="9606" priority="4580">
      <formula>LEN(TRIM(AI163))=0</formula>
    </cfRule>
    <cfRule type="containsBlanks" dxfId="9605" priority="4581">
      <formula>LEN(TRIM(AI163))=0</formula>
    </cfRule>
    <cfRule type="containsBlanks" dxfId="9604" priority="4582">
      <formula>LEN(TRIM(AI163))=0</formula>
    </cfRule>
    <cfRule type="containsBlanks" dxfId="9603" priority="4583">
      <formula>LEN(TRIM(AI163))=0</formula>
    </cfRule>
    <cfRule type="containsBlanks" dxfId="9602" priority="4584">
      <formula>LEN(TRIM(AI163))=0</formula>
    </cfRule>
    <cfRule type="containsBlanks" dxfId="9601" priority="4585">
      <formula>LEN(TRIM(AI163))=0</formula>
    </cfRule>
    <cfRule type="containsBlanks" dxfId="9600" priority="4586">
      <formula>LEN(TRIM(AI163))=0</formula>
    </cfRule>
    <cfRule type="containsBlanks" dxfId="9599" priority="4587">
      <formula>LEN(TRIM(AI163))=0</formula>
    </cfRule>
    <cfRule type="containsBlanks" dxfId="9598" priority="4588">
      <formula>LEN(TRIM(AI163))=0</formula>
    </cfRule>
    <cfRule type="containsBlanks" dxfId="9597" priority="4589">
      <formula>LEN(TRIM(AI163))=0</formula>
    </cfRule>
    <cfRule type="containsBlanks" dxfId="9596" priority="4590">
      <formula>LEN(TRIM(AI163))=0</formula>
    </cfRule>
    <cfRule type="containsBlanks" dxfId="9595" priority="4591">
      <formula>LEN(TRIM(AI163))=0</formula>
    </cfRule>
    <cfRule type="containsBlanks" dxfId="9594" priority="4592">
      <formula>LEN(TRIM(AI163))=0</formula>
    </cfRule>
    <cfRule type="containsBlanks" dxfId="9593" priority="4593">
      <formula>LEN(TRIM(AI163))=0</formula>
    </cfRule>
    <cfRule type="containsBlanks" dxfId="9592" priority="4594">
      <formula>LEN(TRIM(AI163))=0</formula>
    </cfRule>
    <cfRule type="containsBlanks" dxfId="9591" priority="4595">
      <formula>LEN(TRIM(AI163))=0</formula>
    </cfRule>
    <cfRule type="containsBlanks" dxfId="9590" priority="4596">
      <formula>LEN(TRIM(AI163))=0</formula>
    </cfRule>
    <cfRule type="containsBlanks" dxfId="9589" priority="4597">
      <formula>LEN(TRIM(AI163))=0</formula>
    </cfRule>
    <cfRule type="containsBlanks" dxfId="9588" priority="4598">
      <formula>LEN(TRIM(AI163))=0</formula>
    </cfRule>
    <cfRule type="containsBlanks" dxfId="9587" priority="4599">
      <formula>LEN(TRIM(AI163))=0</formula>
    </cfRule>
    <cfRule type="containsBlanks" dxfId="9586" priority="4600">
      <formula>LEN(TRIM(AI163))=0</formula>
    </cfRule>
    <cfRule type="containsBlanks" dxfId="9585" priority="4601">
      <formula>LEN(TRIM(AI163))=0</formula>
    </cfRule>
    <cfRule type="containsBlanks" dxfId="9584" priority="4602">
      <formula>LEN(TRIM(AI163))=0</formula>
    </cfRule>
    <cfRule type="containsBlanks" dxfId="9583" priority="4603">
      <formula>LEN(TRIM(AI163))=0</formula>
    </cfRule>
    <cfRule type="containsBlanks" dxfId="9582" priority="4604">
      <formula>LEN(TRIM(AI163))=0</formula>
    </cfRule>
    <cfRule type="containsBlanks" dxfId="9581" priority="4605">
      <formula>LEN(TRIM(AI163))=0</formula>
    </cfRule>
    <cfRule type="containsBlanks" dxfId="9580" priority="4606">
      <formula>LEN(TRIM(AI163))=0</formula>
    </cfRule>
    <cfRule type="containsBlanks" dxfId="9579" priority="4607">
      <formula>LEN(TRIM(AI163))=0</formula>
    </cfRule>
    <cfRule type="containsBlanks" dxfId="9578" priority="4608">
      <formula>LEN(TRIM(AI163))=0</formula>
    </cfRule>
  </conditionalFormatting>
  <conditionalFormatting sqref="AI163">
    <cfRule type="containsBlanks" dxfId="9577" priority="4488">
      <formula>LEN(TRIM(AI163))=0</formula>
    </cfRule>
    <cfRule type="containsBlanks" dxfId="9576" priority="4489">
      <formula>LEN(TRIM(AI163))=0</formula>
    </cfRule>
    <cfRule type="containsBlanks" dxfId="9575" priority="4490">
      <formula>LEN(TRIM(AI163))=0</formula>
    </cfRule>
    <cfRule type="containsBlanks" dxfId="9574" priority="4491">
      <formula>LEN(TRIM(AI163))=0</formula>
    </cfRule>
    <cfRule type="containsBlanks" dxfId="9573" priority="4492">
      <formula>LEN(TRIM(AI163))=0</formula>
    </cfRule>
    <cfRule type="containsBlanks" dxfId="9572" priority="4493">
      <formula>LEN(TRIM(AI163))=0</formula>
    </cfRule>
    <cfRule type="containsBlanks" dxfId="9571" priority="4494">
      <formula>LEN(TRIM(AI163))=0</formula>
    </cfRule>
    <cfRule type="containsBlanks" dxfId="9570" priority="4495">
      <formula>LEN(TRIM(AI163))=0</formula>
    </cfRule>
    <cfRule type="containsBlanks" dxfId="9569" priority="4496">
      <formula>LEN(TRIM(AI163))=0</formula>
    </cfRule>
    <cfRule type="containsBlanks" dxfId="9568" priority="4497">
      <formula>LEN(TRIM(AI163))=0</formula>
    </cfRule>
    <cfRule type="containsBlanks" dxfId="9567" priority="4498">
      <formula>LEN(TRIM(AI163))=0</formula>
    </cfRule>
    <cfRule type="containsBlanks" dxfId="9566" priority="4499">
      <formula>LEN(TRIM(AI163))=0</formula>
    </cfRule>
    <cfRule type="containsBlanks" dxfId="9565" priority="4500">
      <formula>LEN(TRIM(AI163))=0</formula>
    </cfRule>
    <cfRule type="containsBlanks" dxfId="9564" priority="4501">
      <formula>LEN(TRIM(AI163))=0</formula>
    </cfRule>
    <cfRule type="containsBlanks" dxfId="9563" priority="4502">
      <formula>LEN(TRIM(AI163))=0</formula>
    </cfRule>
    <cfRule type="containsBlanks" dxfId="9562" priority="4503">
      <formula>LEN(TRIM(AI163))=0</formula>
    </cfRule>
    <cfRule type="containsBlanks" dxfId="9561" priority="4504">
      <formula>LEN(TRIM(AI163))=0</formula>
    </cfRule>
    <cfRule type="containsBlanks" dxfId="9560" priority="4505">
      <formula>LEN(TRIM(AI163))=0</formula>
    </cfRule>
    <cfRule type="containsBlanks" dxfId="9559" priority="4506">
      <formula>LEN(TRIM(AI163))=0</formula>
    </cfRule>
    <cfRule type="containsBlanks" dxfId="9558" priority="4507">
      <formula>LEN(TRIM(AI163))=0</formula>
    </cfRule>
    <cfRule type="containsBlanks" dxfId="9557" priority="4508">
      <formula>LEN(TRIM(AI163))=0</formula>
    </cfRule>
    <cfRule type="containsBlanks" dxfId="9556" priority="4509">
      <formula>LEN(TRIM(AI163))=0</formula>
    </cfRule>
    <cfRule type="containsBlanks" dxfId="9555" priority="4510">
      <formula>LEN(TRIM(AI163))=0</formula>
    </cfRule>
    <cfRule type="containsBlanks" dxfId="9554" priority="4511">
      <formula>LEN(TRIM(AI163))=0</formula>
    </cfRule>
    <cfRule type="containsBlanks" dxfId="9553" priority="4512">
      <formula>LEN(TRIM(AI163))=0</formula>
    </cfRule>
    <cfRule type="containsBlanks" dxfId="9552" priority="4513">
      <formula>LEN(TRIM(AI163))=0</formula>
    </cfRule>
    <cfRule type="containsBlanks" dxfId="9551" priority="4514">
      <formula>LEN(TRIM(AI163))=0</formula>
    </cfRule>
    <cfRule type="containsBlanks" dxfId="9550" priority="4515">
      <formula>LEN(TRIM(AI163))=0</formula>
    </cfRule>
    <cfRule type="containsBlanks" dxfId="9549" priority="4516">
      <formula>LEN(TRIM(AI163))=0</formula>
    </cfRule>
    <cfRule type="containsBlanks" dxfId="9548" priority="4517">
      <formula>LEN(TRIM(AI163))=0</formula>
    </cfRule>
    <cfRule type="containsBlanks" dxfId="9547" priority="4518">
      <formula>LEN(TRIM(AI163))=0</formula>
    </cfRule>
    <cfRule type="containsBlanks" dxfId="9546" priority="4519">
      <formula>LEN(TRIM(AI163))=0</formula>
    </cfRule>
    <cfRule type="containsBlanks" dxfId="9545" priority="4520">
      <formula>LEN(TRIM(AI163))=0</formula>
    </cfRule>
    <cfRule type="containsBlanks" dxfId="9544" priority="4521">
      <formula>LEN(TRIM(AI163))=0</formula>
    </cfRule>
    <cfRule type="containsBlanks" dxfId="9543" priority="4522">
      <formula>LEN(TRIM(AI163))=0</formula>
    </cfRule>
    <cfRule type="containsBlanks" dxfId="9542" priority="4523">
      <formula>LEN(TRIM(AI163))=0</formula>
    </cfRule>
    <cfRule type="containsBlanks" dxfId="9541" priority="4524">
      <formula>LEN(TRIM(AI163))=0</formula>
    </cfRule>
    <cfRule type="containsBlanks" dxfId="9540" priority="4525">
      <formula>LEN(TRIM(AI163))=0</formula>
    </cfRule>
    <cfRule type="containsBlanks" dxfId="9539" priority="4526">
      <formula>LEN(TRIM(AI163))=0</formula>
    </cfRule>
    <cfRule type="containsBlanks" dxfId="9538" priority="4527">
      <formula>LEN(TRIM(AI163))=0</formula>
    </cfRule>
    <cfRule type="containsBlanks" dxfId="9537" priority="4528">
      <formula>LEN(TRIM(AI163))=0</formula>
    </cfRule>
    <cfRule type="containsBlanks" dxfId="9536" priority="4529">
      <formula>LEN(TRIM(AI163))=0</formula>
    </cfRule>
    <cfRule type="containsBlanks" dxfId="9535" priority="4530">
      <formula>LEN(TRIM(AI163))=0</formula>
    </cfRule>
    <cfRule type="containsBlanks" dxfId="9534" priority="4531">
      <formula>LEN(TRIM(AI163))=0</formula>
    </cfRule>
    <cfRule type="containsBlanks" dxfId="9533" priority="4532">
      <formula>LEN(TRIM(AI163))=0</formula>
    </cfRule>
    <cfRule type="containsBlanks" dxfId="9532" priority="4533">
      <formula>LEN(TRIM(AI163))=0</formula>
    </cfRule>
    <cfRule type="containsBlanks" dxfId="9531" priority="4534">
      <formula>LEN(TRIM(AI163))=0</formula>
    </cfRule>
    <cfRule type="containsBlanks" dxfId="9530" priority="4535">
      <formula>LEN(TRIM(AI163))=0</formula>
    </cfRule>
    <cfRule type="containsBlanks" dxfId="9529" priority="4536">
      <formula>LEN(TRIM(AI163))=0</formula>
    </cfRule>
    <cfRule type="containsBlanks" dxfId="9528" priority="4537">
      <formula>LEN(TRIM(AI163))=0</formula>
    </cfRule>
    <cfRule type="containsBlanks" dxfId="9527" priority="4538">
      <formula>LEN(TRIM(AI163))=0</formula>
    </cfRule>
    <cfRule type="containsBlanks" dxfId="9526" priority="4539">
      <formula>LEN(TRIM(AI163))=0</formula>
    </cfRule>
    <cfRule type="containsBlanks" dxfId="9525" priority="4540">
      <formula>LEN(TRIM(AI163))=0</formula>
    </cfRule>
    <cfRule type="containsBlanks" dxfId="9524" priority="4541">
      <formula>LEN(TRIM(AI163))=0</formula>
    </cfRule>
    <cfRule type="containsBlanks" dxfId="9523" priority="4542">
      <formula>LEN(TRIM(AI163))=0</formula>
    </cfRule>
  </conditionalFormatting>
  <conditionalFormatting sqref="AI163">
    <cfRule type="containsBlanks" dxfId="9522" priority="4404">
      <formula>LEN(TRIM(AI163))=0</formula>
    </cfRule>
    <cfRule type="containsBlanks" dxfId="9521" priority="4405">
      <formula>LEN(TRIM(AI163))=0</formula>
    </cfRule>
    <cfRule type="containsBlanks" dxfId="9520" priority="4406">
      <formula>LEN(TRIM(AI163))=0</formula>
    </cfRule>
    <cfRule type="containsBlanks" dxfId="9519" priority="4407">
      <formula>LEN(TRIM(AI163))=0</formula>
    </cfRule>
    <cfRule type="containsBlanks" dxfId="9518" priority="4408">
      <formula>LEN(TRIM(AI163))=0</formula>
    </cfRule>
    <cfRule type="containsBlanks" dxfId="9517" priority="4409">
      <formula>LEN(TRIM(AI163))=0</formula>
    </cfRule>
    <cfRule type="containsBlanks" dxfId="9516" priority="4410">
      <formula>LEN(TRIM(AI163))=0</formula>
    </cfRule>
    <cfRule type="containsBlanks" dxfId="9515" priority="4411">
      <formula>LEN(TRIM(AI163))=0</formula>
    </cfRule>
    <cfRule type="containsBlanks" dxfId="9514" priority="4412">
      <formula>LEN(TRIM(AI163))=0</formula>
    </cfRule>
    <cfRule type="containsBlanks" dxfId="9513" priority="4413">
      <formula>LEN(TRIM(AI163))=0</formula>
    </cfRule>
    <cfRule type="containsBlanks" dxfId="9512" priority="4414">
      <formula>LEN(TRIM(AI163))=0</formula>
    </cfRule>
    <cfRule type="containsBlanks" dxfId="9511" priority="4415">
      <formula>LEN(TRIM(AI163))=0</formula>
    </cfRule>
    <cfRule type="containsBlanks" dxfId="9510" priority="4416">
      <formula>LEN(TRIM(AI163))=0</formula>
    </cfRule>
    <cfRule type="containsBlanks" dxfId="9509" priority="4417">
      <formula>LEN(TRIM(AI163))=0</formula>
    </cfRule>
    <cfRule type="containsBlanks" dxfId="9508" priority="4418">
      <formula>LEN(TRIM(AI163))=0</formula>
    </cfRule>
    <cfRule type="containsBlanks" dxfId="9507" priority="4419">
      <formula>LEN(TRIM(AI163))=0</formula>
    </cfRule>
    <cfRule type="containsBlanks" dxfId="9506" priority="4420">
      <formula>LEN(TRIM(AI163))=0</formula>
    </cfRule>
    <cfRule type="containsBlanks" dxfId="9505" priority="4421">
      <formula>LEN(TRIM(AI163))=0</formula>
    </cfRule>
    <cfRule type="containsBlanks" dxfId="9504" priority="4422">
      <formula>LEN(TRIM(AI163))=0</formula>
    </cfRule>
    <cfRule type="containsBlanks" dxfId="9503" priority="4423">
      <formula>LEN(TRIM(AI163))=0</formula>
    </cfRule>
    <cfRule type="containsBlanks" dxfId="9502" priority="4424">
      <formula>LEN(TRIM(AI163))=0</formula>
    </cfRule>
    <cfRule type="containsBlanks" dxfId="9501" priority="4425">
      <formula>LEN(TRIM(AI163))=0</formula>
    </cfRule>
    <cfRule type="containsBlanks" dxfId="9500" priority="4426">
      <formula>LEN(TRIM(AI163))=0</formula>
    </cfRule>
    <cfRule type="containsBlanks" dxfId="9499" priority="4427">
      <formula>LEN(TRIM(AI163))=0</formula>
    </cfRule>
    <cfRule type="containsBlanks" dxfId="9498" priority="4428">
      <formula>LEN(TRIM(AI163))=0</formula>
    </cfRule>
    <cfRule type="containsBlanks" dxfId="9497" priority="4429">
      <formula>LEN(TRIM(AI163))=0</formula>
    </cfRule>
    <cfRule type="containsBlanks" dxfId="9496" priority="4430">
      <formula>LEN(TRIM(AI163))=0</formula>
    </cfRule>
    <cfRule type="containsBlanks" dxfId="9495" priority="4431">
      <formula>LEN(TRIM(AI163))=0</formula>
    </cfRule>
    <cfRule type="containsBlanks" dxfId="9494" priority="4432">
      <formula>LEN(TRIM(AI163))=0</formula>
    </cfRule>
    <cfRule type="containsBlanks" dxfId="9493" priority="4433">
      <formula>LEN(TRIM(AI163))=0</formula>
    </cfRule>
    <cfRule type="containsBlanks" dxfId="9492" priority="4434">
      <formula>LEN(TRIM(AI163))=0</formula>
    </cfRule>
    <cfRule type="containsBlanks" dxfId="9491" priority="4435">
      <formula>LEN(TRIM(AI163))=0</formula>
    </cfRule>
    <cfRule type="containsBlanks" dxfId="9490" priority="4436">
      <formula>LEN(TRIM(AI163))=0</formula>
    </cfRule>
    <cfRule type="containsBlanks" dxfId="9489" priority="4437">
      <formula>LEN(TRIM(AI163))=0</formula>
    </cfRule>
    <cfRule type="containsBlanks" dxfId="9488" priority="4438">
      <formula>LEN(TRIM(AI163))=0</formula>
    </cfRule>
    <cfRule type="containsBlanks" dxfId="9487" priority="4439">
      <formula>LEN(TRIM(AI163))=0</formula>
    </cfRule>
    <cfRule type="containsBlanks" dxfId="9486" priority="4440">
      <formula>LEN(TRIM(AI163))=0</formula>
    </cfRule>
    <cfRule type="containsBlanks" dxfId="9485" priority="4441">
      <formula>LEN(TRIM(AI163))=0</formula>
    </cfRule>
    <cfRule type="containsBlanks" dxfId="9484" priority="4442">
      <formula>LEN(TRIM(AI163))=0</formula>
    </cfRule>
    <cfRule type="containsBlanks" dxfId="9483" priority="4443">
      <formula>LEN(TRIM(AI163))=0</formula>
    </cfRule>
    <cfRule type="containsBlanks" dxfId="9482" priority="4444">
      <formula>LEN(TRIM(AI163))=0</formula>
    </cfRule>
    <cfRule type="containsBlanks" dxfId="9481" priority="4445">
      <formula>LEN(TRIM(AI163))=0</formula>
    </cfRule>
    <cfRule type="containsBlanks" dxfId="9480" priority="4446">
      <formula>LEN(TRIM(AI163))=0</formula>
    </cfRule>
    <cfRule type="containsBlanks" dxfId="9479" priority="4447">
      <formula>LEN(TRIM(AI163))=0</formula>
    </cfRule>
    <cfRule type="containsBlanks" dxfId="9478" priority="4448">
      <formula>LEN(TRIM(AI163))=0</formula>
    </cfRule>
    <cfRule type="containsBlanks" dxfId="9477" priority="4449">
      <formula>LEN(TRIM(AI163))=0</formula>
    </cfRule>
    <cfRule type="containsBlanks" dxfId="9476" priority="4450">
      <formula>LEN(TRIM(AI163))=0</formula>
    </cfRule>
    <cfRule type="containsBlanks" dxfId="9475" priority="4451">
      <formula>LEN(TRIM(AI163))=0</formula>
    </cfRule>
    <cfRule type="containsBlanks" dxfId="9474" priority="4452">
      <formula>LEN(TRIM(AI163))=0</formula>
    </cfRule>
    <cfRule type="containsBlanks" dxfId="9473" priority="4453">
      <formula>LEN(TRIM(AI163))=0</formula>
    </cfRule>
    <cfRule type="containsBlanks" dxfId="9472" priority="4454">
      <formula>LEN(TRIM(AI163))=0</formula>
    </cfRule>
    <cfRule type="containsBlanks" dxfId="9471" priority="4455">
      <formula>LEN(TRIM(AI163))=0</formula>
    </cfRule>
    <cfRule type="containsBlanks" dxfId="9470" priority="4456">
      <formula>LEN(TRIM(AI163))=0</formula>
    </cfRule>
    <cfRule type="containsBlanks" dxfId="9469" priority="4457">
      <formula>LEN(TRIM(AI163))=0</formula>
    </cfRule>
    <cfRule type="containsBlanks" dxfId="9468" priority="4458">
      <formula>LEN(TRIM(AI163))=0</formula>
    </cfRule>
    <cfRule type="containsBlanks" dxfId="9467" priority="4459">
      <formula>LEN(TRIM(AI163))=0</formula>
    </cfRule>
    <cfRule type="containsBlanks" dxfId="9466" priority="4460">
      <formula>LEN(TRIM(AI163))=0</formula>
    </cfRule>
    <cfRule type="containsBlanks" dxfId="9465" priority="4461">
      <formula>LEN(TRIM(AI163))=0</formula>
    </cfRule>
    <cfRule type="containsBlanks" dxfId="9464" priority="4462">
      <formula>LEN(TRIM(AI163))=0</formula>
    </cfRule>
    <cfRule type="containsBlanks" dxfId="9463" priority="4463">
      <formula>LEN(TRIM(AI163))=0</formula>
    </cfRule>
    <cfRule type="containsBlanks" dxfId="9462" priority="4464">
      <formula>LEN(TRIM(AI163))=0</formula>
    </cfRule>
    <cfRule type="containsBlanks" dxfId="9461" priority="4465">
      <formula>LEN(TRIM(AI163))=0</formula>
    </cfRule>
    <cfRule type="containsBlanks" dxfId="9460" priority="4466">
      <formula>LEN(TRIM(AI163))=0</formula>
    </cfRule>
    <cfRule type="containsBlanks" dxfId="9459" priority="4467">
      <formula>LEN(TRIM(AI163))=0</formula>
    </cfRule>
    <cfRule type="containsBlanks" dxfId="9458" priority="4468">
      <formula>LEN(TRIM(AI163))=0</formula>
    </cfRule>
    <cfRule type="containsBlanks" dxfId="9457" priority="4469">
      <formula>LEN(TRIM(AI163))=0</formula>
    </cfRule>
    <cfRule type="containsBlanks" dxfId="9456" priority="4470">
      <formula>LEN(TRIM(AI163))=0</formula>
    </cfRule>
    <cfRule type="containsBlanks" dxfId="9455" priority="4471">
      <formula>LEN(TRIM(AI163))=0</formula>
    </cfRule>
    <cfRule type="containsBlanks" dxfId="9454" priority="4472">
      <formula>LEN(TRIM(AI163))=0</formula>
    </cfRule>
    <cfRule type="containsBlanks" dxfId="9453" priority="4473">
      <formula>LEN(TRIM(AI163))=0</formula>
    </cfRule>
    <cfRule type="containsBlanks" dxfId="9452" priority="4474">
      <formula>LEN(TRIM(AI163))=0</formula>
    </cfRule>
    <cfRule type="containsBlanks" dxfId="9451" priority="4475">
      <formula>LEN(TRIM(AI163))=0</formula>
    </cfRule>
    <cfRule type="containsBlanks" dxfId="9450" priority="4476">
      <formula>LEN(TRIM(AI163))=0</formula>
    </cfRule>
    <cfRule type="containsBlanks" dxfId="9449" priority="4477">
      <formula>LEN(TRIM(AI163))=0</formula>
    </cfRule>
    <cfRule type="containsBlanks" dxfId="9448" priority="4478">
      <formula>LEN(TRIM(AI163))=0</formula>
    </cfRule>
    <cfRule type="containsBlanks" dxfId="9447" priority="4479">
      <formula>LEN(TRIM(AI163))=0</formula>
    </cfRule>
    <cfRule type="containsBlanks" dxfId="9446" priority="4480">
      <formula>LEN(TRIM(AI163))=0</formula>
    </cfRule>
    <cfRule type="containsBlanks" dxfId="9445" priority="4481">
      <formula>LEN(TRIM(AI163))=0</formula>
    </cfRule>
    <cfRule type="containsBlanks" dxfId="9444" priority="4482">
      <formula>LEN(TRIM(AI163))=0</formula>
    </cfRule>
    <cfRule type="containsBlanks" dxfId="9443" priority="4483">
      <formula>LEN(TRIM(AI163))=0</formula>
    </cfRule>
    <cfRule type="containsBlanks" dxfId="9442" priority="4484">
      <formula>LEN(TRIM(AI163))=0</formula>
    </cfRule>
    <cfRule type="containsBlanks" dxfId="9441" priority="4485">
      <formula>LEN(TRIM(AI163))=0</formula>
    </cfRule>
    <cfRule type="containsBlanks" dxfId="9440" priority="4486">
      <formula>LEN(TRIM(AI163))=0</formula>
    </cfRule>
    <cfRule type="containsBlanks" dxfId="9439" priority="4487">
      <formula>LEN(TRIM(AI163))=0</formula>
    </cfRule>
  </conditionalFormatting>
  <conditionalFormatting sqref="E177:K227 L177:O234 P182 E228:F228 H228:K228 E229:K234 E235:P238">
    <cfRule type="containsBlanks" dxfId="9438" priority="4403">
      <formula>LEN(TRIM(E177))=0</formula>
    </cfRule>
  </conditionalFormatting>
  <conditionalFormatting sqref="P184">
    <cfRule type="containsBlanks" dxfId="9437" priority="4402">
      <formula>LEN(TRIM(P184))=0</formula>
    </cfRule>
  </conditionalFormatting>
  <conditionalFormatting sqref="P185:P186">
    <cfRule type="containsBlanks" dxfId="9436" priority="4401">
      <formula>LEN(TRIM(P185))=0</formula>
    </cfRule>
  </conditionalFormatting>
  <conditionalFormatting sqref="P201">
    <cfRule type="containsBlanks" dxfId="9435" priority="4400">
      <formula>LEN(TRIM(P201))=0</formula>
    </cfRule>
  </conditionalFormatting>
  <conditionalFormatting sqref="P208">
    <cfRule type="containsBlanks" dxfId="9434" priority="4399">
      <formula>LEN(TRIM(P208))=0</formula>
    </cfRule>
  </conditionalFormatting>
  <conditionalFormatting sqref="P223:P224">
    <cfRule type="containsBlanks" dxfId="9433" priority="4398">
      <formula>LEN(TRIM(P223))=0</formula>
    </cfRule>
  </conditionalFormatting>
  <conditionalFormatting sqref="P230">
    <cfRule type="containsBlanks" dxfId="9432" priority="4397">
      <formula>LEN(TRIM(P230))=0</formula>
    </cfRule>
  </conditionalFormatting>
  <conditionalFormatting sqref="P232">
    <cfRule type="containsBlanks" dxfId="9431" priority="4396">
      <formula>LEN(TRIM(P232))=0</formula>
    </cfRule>
  </conditionalFormatting>
  <conditionalFormatting sqref="P177:W234 U235:X235 P235:S236 W236:W238">
    <cfRule type="containsBlanks" dxfId="9430" priority="4395">
      <formula>LEN(TRIM(P177))=0</formula>
    </cfRule>
  </conditionalFormatting>
  <conditionalFormatting sqref="Q177:S235">
    <cfRule type="containsBlanks" dxfId="9429" priority="4394">
      <formula>LEN(TRIM(Q177))=0</formula>
    </cfRule>
  </conditionalFormatting>
  <conditionalFormatting sqref="Q237:S238 X238">
    <cfRule type="containsBlanks" dxfId="9428" priority="4393">
      <formula>LEN(TRIM(Q237))=0</formula>
    </cfRule>
  </conditionalFormatting>
  <conditionalFormatting sqref="T208">
    <cfRule type="containsBlanks" dxfId="9427" priority="4391">
      <formula>LEN(TRIM(T208))=0</formula>
    </cfRule>
    <cfRule type="containsBlanks" dxfId="9426" priority="4392">
      <formula>LEN(TRIM(T208))=0</formula>
    </cfRule>
  </conditionalFormatting>
  <conditionalFormatting sqref="T213">
    <cfRule type="containsBlanks" dxfId="9425" priority="4390">
      <formula>LEN(TRIM(T213))=0</formula>
    </cfRule>
  </conditionalFormatting>
  <conditionalFormatting sqref="T218">
    <cfRule type="containsBlanks" dxfId="9424" priority="4389">
      <formula>LEN(TRIM(T218))=0</formula>
    </cfRule>
  </conditionalFormatting>
  <conditionalFormatting sqref="T220">
    <cfRule type="containsBlanks" dxfId="9423" priority="4388">
      <formula>LEN(TRIM(T220))=0</formula>
    </cfRule>
  </conditionalFormatting>
  <conditionalFormatting sqref="T177:AD238">
    <cfRule type="containsBlanks" dxfId="9422" priority="4387">
      <formula>LEN(TRIM(T177))=0</formula>
    </cfRule>
  </conditionalFormatting>
  <conditionalFormatting sqref="W182">
    <cfRule type="containsBlanks" dxfId="9421" priority="4386">
      <formula>LEN(TRIM(W182))=0</formula>
    </cfRule>
  </conditionalFormatting>
  <conditionalFormatting sqref="W210">
    <cfRule type="containsBlanks" dxfId="9420" priority="4385">
      <formula>LEN(TRIM(W210))=0</formula>
    </cfRule>
  </conditionalFormatting>
  <conditionalFormatting sqref="W223:W224">
    <cfRule type="containsBlanks" dxfId="9419" priority="4384">
      <formula>LEN(TRIM(W223))=0</formula>
    </cfRule>
  </conditionalFormatting>
  <conditionalFormatting sqref="W193:X193">
    <cfRule type="containsBlanks" dxfId="9418" priority="4383">
      <formula>LEN(TRIM(W193))=0</formula>
    </cfRule>
  </conditionalFormatting>
  <conditionalFormatting sqref="X177:X181">
    <cfRule type="containsBlanks" dxfId="9417" priority="4382">
      <formula>LEN(TRIM(X177))=0</formula>
    </cfRule>
  </conditionalFormatting>
  <conditionalFormatting sqref="X177:X238">
    <cfRule type="containsBlanks" dxfId="9416" priority="4381">
      <formula>LEN(TRIM(X177))=0</formula>
    </cfRule>
  </conditionalFormatting>
  <conditionalFormatting sqref="X183:X211">
    <cfRule type="containsBlanks" dxfId="9415" priority="4380">
      <formula>LEN(TRIM(X183))=0</formula>
    </cfRule>
  </conditionalFormatting>
  <conditionalFormatting sqref="X213:X216">
    <cfRule type="containsBlanks" dxfId="9414" priority="4379">
      <formula>LEN(TRIM(X213))=0</formula>
    </cfRule>
  </conditionalFormatting>
  <conditionalFormatting sqref="X218:X235">
    <cfRule type="containsBlanks" dxfId="9413" priority="4378">
      <formula>LEN(TRIM(X218))=0</formula>
    </cfRule>
  </conditionalFormatting>
  <conditionalFormatting sqref="Z184">
    <cfRule type="containsBlanks" dxfId="9412" priority="4377">
      <formula>LEN(TRIM(Z184))=0</formula>
    </cfRule>
  </conditionalFormatting>
  <conditionalFormatting sqref="Z177:AB238 X235:X238">
    <cfRule type="containsBlanks" dxfId="9411" priority="4375">
      <formula>LEN(TRIM(X177))=0</formula>
    </cfRule>
    <cfRule type="containsBlanks" dxfId="9410" priority="4376">
      <formula>LEN(TRIM(X177))=0</formula>
    </cfRule>
  </conditionalFormatting>
  <conditionalFormatting sqref="AA177:AA178">
    <cfRule type="containsBlanks" dxfId="9409" priority="4362">
      <formula>LEN(TRIM(AA177))=0</formula>
    </cfRule>
    <cfRule type="containsBlanks" dxfId="9408" priority="4363">
      <formula>LEN(TRIM(AA177))=0</formula>
    </cfRule>
    <cfRule type="containsBlanks" dxfId="9407" priority="4364">
      <formula>LEN(TRIM(AA177))=0</formula>
    </cfRule>
    <cfRule type="containsBlanks" dxfId="9406" priority="4365">
      <formula>LEN(TRIM(AA177))=0</formula>
    </cfRule>
    <cfRule type="containsBlanks" dxfId="9405" priority="4366">
      <formula>LEN(TRIM(AA177))=0</formula>
    </cfRule>
    <cfRule type="containsBlanks" dxfId="9404" priority="4367">
      <formula>LEN(TRIM(AA177))=0</formula>
    </cfRule>
    <cfRule type="containsBlanks" dxfId="9403" priority="4368">
      <formula>LEN(TRIM(AA177))=0</formula>
    </cfRule>
    <cfRule type="containsBlanks" dxfId="9402" priority="4369">
      <formula>LEN(TRIM(AA177))=0</formula>
    </cfRule>
    <cfRule type="containsBlanks" dxfId="9401" priority="4370">
      <formula>LEN(TRIM(AA177))=0</formula>
    </cfRule>
    <cfRule type="containsBlanks" dxfId="9400" priority="4371">
      <formula>LEN(TRIM(AA177))=0</formula>
    </cfRule>
    <cfRule type="containsBlanks" dxfId="9399" priority="4372">
      <formula>LEN(TRIM(AA177))=0</formula>
    </cfRule>
    <cfRule type="containsBlanks" dxfId="9398" priority="4373">
      <formula>LEN(TRIM(AA177))=0</formula>
    </cfRule>
    <cfRule type="containsBlanks" dxfId="9397" priority="4374">
      <formula>LEN(TRIM(AA177))=0</formula>
    </cfRule>
  </conditionalFormatting>
  <conditionalFormatting sqref="AA213">
    <cfRule type="containsBlanks" dxfId="9396" priority="4349">
      <formula>LEN(TRIM(AA213))=0</formula>
    </cfRule>
    <cfRule type="containsBlanks" dxfId="9395" priority="4350">
      <formula>LEN(TRIM(AA213))=0</formula>
    </cfRule>
    <cfRule type="containsBlanks" dxfId="9394" priority="4351">
      <formula>LEN(TRIM(AA213))=0</formula>
    </cfRule>
    <cfRule type="containsBlanks" dxfId="9393" priority="4352">
      <formula>LEN(TRIM(AA213))=0</formula>
    </cfRule>
    <cfRule type="containsBlanks" dxfId="9392" priority="4353">
      <formula>LEN(TRIM(AA213))=0</formula>
    </cfRule>
    <cfRule type="containsBlanks" dxfId="9391" priority="4354">
      <formula>LEN(TRIM(AA213))=0</formula>
    </cfRule>
    <cfRule type="containsBlanks" dxfId="9390" priority="4355">
      <formula>LEN(TRIM(AA213))=0</formula>
    </cfRule>
    <cfRule type="containsBlanks" dxfId="9389" priority="4356">
      <formula>LEN(TRIM(AA213))=0</formula>
    </cfRule>
    <cfRule type="containsBlanks" dxfId="9388" priority="4357">
      <formula>LEN(TRIM(AA213))=0</formula>
    </cfRule>
    <cfRule type="containsBlanks" dxfId="9387" priority="4358">
      <formula>LEN(TRIM(AA213))=0</formula>
    </cfRule>
    <cfRule type="containsBlanks" dxfId="9386" priority="4359">
      <formula>LEN(TRIM(AA213))=0</formula>
    </cfRule>
    <cfRule type="containsBlanks" dxfId="9385" priority="4360">
      <formula>LEN(TRIM(AA213))=0</formula>
    </cfRule>
    <cfRule type="containsBlanks" dxfId="9384" priority="4361">
      <formula>LEN(TRIM(AA213))=0</formula>
    </cfRule>
  </conditionalFormatting>
  <conditionalFormatting sqref="AA228">
    <cfRule type="containsBlanks" dxfId="9383" priority="4336">
      <formula>LEN(TRIM(AA228))=0</formula>
    </cfRule>
    <cfRule type="containsBlanks" dxfId="9382" priority="4337">
      <formula>LEN(TRIM(AA228))=0</formula>
    </cfRule>
    <cfRule type="containsBlanks" dxfId="9381" priority="4338">
      <formula>LEN(TRIM(AA228))=0</formula>
    </cfRule>
    <cfRule type="containsBlanks" dxfId="9380" priority="4339">
      <formula>LEN(TRIM(AA228))=0</formula>
    </cfRule>
    <cfRule type="containsBlanks" dxfId="9379" priority="4340">
      <formula>LEN(TRIM(AA228))=0</formula>
    </cfRule>
    <cfRule type="containsBlanks" dxfId="9378" priority="4341">
      <formula>LEN(TRIM(AA228))=0</formula>
    </cfRule>
    <cfRule type="containsBlanks" dxfId="9377" priority="4342">
      <formula>LEN(TRIM(AA228))=0</formula>
    </cfRule>
    <cfRule type="containsBlanks" dxfId="9376" priority="4343">
      <formula>LEN(TRIM(AA228))=0</formula>
    </cfRule>
    <cfRule type="containsBlanks" dxfId="9375" priority="4344">
      <formula>LEN(TRIM(AA228))=0</formula>
    </cfRule>
    <cfRule type="containsBlanks" dxfId="9374" priority="4345">
      <formula>LEN(TRIM(AA228))=0</formula>
    </cfRule>
    <cfRule type="containsBlanks" dxfId="9373" priority="4346">
      <formula>LEN(TRIM(AA228))=0</formula>
    </cfRule>
    <cfRule type="containsBlanks" dxfId="9372" priority="4347">
      <formula>LEN(TRIM(AA228))=0</formula>
    </cfRule>
    <cfRule type="containsBlanks" dxfId="9371" priority="4348">
      <formula>LEN(TRIM(AA228))=0</formula>
    </cfRule>
  </conditionalFormatting>
  <conditionalFormatting sqref="AA177:AC238">
    <cfRule type="containsBlanks" dxfId="9370" priority="4335">
      <formula>LEN(TRIM(AA177))=0</formula>
    </cfRule>
  </conditionalFormatting>
  <conditionalFormatting sqref="AB182">
    <cfRule type="containsBlanks" dxfId="9369" priority="4325">
      <formula>LEN(TRIM(AB182))=0</formula>
    </cfRule>
    <cfRule type="containsBlanks" dxfId="9368" priority="4326">
      <formula>LEN(TRIM(AB182))=0</formula>
    </cfRule>
    <cfRule type="containsBlanks" dxfId="9367" priority="4327">
      <formula>LEN(TRIM(AB182))=0</formula>
    </cfRule>
    <cfRule type="containsBlanks" dxfId="9366" priority="4328">
      <formula>LEN(TRIM(AB182))=0</formula>
    </cfRule>
    <cfRule type="containsBlanks" dxfId="9365" priority="4329">
      <formula>LEN(TRIM(AB182))=0</formula>
    </cfRule>
    <cfRule type="containsBlanks" dxfId="9364" priority="4330">
      <formula>LEN(TRIM(AB182))=0</formula>
    </cfRule>
    <cfRule type="containsBlanks" dxfId="9363" priority="4331">
      <formula>LEN(TRIM(AB182))=0</formula>
    </cfRule>
    <cfRule type="containsBlanks" dxfId="9362" priority="4332">
      <formula>LEN(TRIM(AB182))=0</formula>
    </cfRule>
    <cfRule type="containsBlanks" dxfId="9361" priority="4333">
      <formula>LEN(TRIM(AB182))=0</formula>
    </cfRule>
    <cfRule type="containsBlanks" dxfId="9360" priority="4334">
      <formula>LEN(TRIM(AB182))=0</formula>
    </cfRule>
  </conditionalFormatting>
  <conditionalFormatting sqref="AB199:AB200">
    <cfRule type="containsBlanks" dxfId="9359" priority="4278">
      <formula>LEN(TRIM(AB199))=0</formula>
    </cfRule>
    <cfRule type="containsBlanks" dxfId="9358" priority="4279">
      <formula>LEN(TRIM(AB199))=0</formula>
    </cfRule>
    <cfRule type="containsBlanks" dxfId="9357" priority="4280">
      <formula>LEN(TRIM(AB199))=0</formula>
    </cfRule>
    <cfRule type="containsBlanks" dxfId="9356" priority="4281">
      <formula>LEN(TRIM(AB199))=0</formula>
    </cfRule>
    <cfRule type="containsBlanks" dxfId="9355" priority="4282">
      <formula>LEN(TRIM(AB199))=0</formula>
    </cfRule>
    <cfRule type="containsBlanks" dxfId="9354" priority="4283">
      <formula>LEN(TRIM(AB199))=0</formula>
    </cfRule>
    <cfRule type="containsBlanks" dxfId="9353" priority="4284">
      <formula>LEN(TRIM(AB199))=0</formula>
    </cfRule>
    <cfRule type="containsBlanks" dxfId="9352" priority="4285">
      <formula>LEN(TRIM(AB199))=0</formula>
    </cfRule>
    <cfRule type="containsBlanks" dxfId="9351" priority="4286">
      <formula>LEN(TRIM(AB199))=0</formula>
    </cfRule>
    <cfRule type="containsBlanks" dxfId="9350" priority="4287">
      <formula>LEN(TRIM(AB199))=0</formula>
    </cfRule>
    <cfRule type="containsBlanks" dxfId="9349" priority="4288">
      <formula>LEN(TRIM(AB199))=0</formula>
    </cfRule>
    <cfRule type="containsBlanks" dxfId="9348" priority="4289">
      <formula>LEN(TRIM(AB199))=0</formula>
    </cfRule>
    <cfRule type="containsBlanks" dxfId="9347" priority="4290">
      <formula>LEN(TRIM(AB199))=0</formula>
    </cfRule>
    <cfRule type="containsBlanks" dxfId="9346" priority="4291">
      <formula>LEN(TRIM(AB199))=0</formula>
    </cfRule>
    <cfRule type="containsBlanks" dxfId="9345" priority="4292">
      <formula>LEN(TRIM(AB199))=0</formula>
    </cfRule>
    <cfRule type="containsBlanks" dxfId="9344" priority="4293">
      <formula>LEN(TRIM(AB199))=0</formula>
    </cfRule>
    <cfRule type="containsBlanks" dxfId="9343" priority="4294">
      <formula>LEN(TRIM(AB199))=0</formula>
    </cfRule>
    <cfRule type="containsBlanks" dxfId="9342" priority="4295">
      <formula>LEN(TRIM(AB199))=0</formula>
    </cfRule>
    <cfRule type="containsBlanks" dxfId="9341" priority="4296">
      <formula>LEN(TRIM(AB199))=0</formula>
    </cfRule>
    <cfRule type="containsBlanks" dxfId="9340" priority="4297">
      <formula>LEN(TRIM(AB199))=0</formula>
    </cfRule>
    <cfRule type="containsBlanks" dxfId="9339" priority="4298">
      <formula>LEN(TRIM(AB199))=0</formula>
    </cfRule>
    <cfRule type="containsBlanks" dxfId="9338" priority="4299">
      <formula>LEN(TRIM(AB199))=0</formula>
    </cfRule>
    <cfRule type="containsBlanks" dxfId="9337" priority="4300">
      <formula>LEN(TRIM(AB199))=0</formula>
    </cfRule>
    <cfRule type="containsBlanks" dxfId="9336" priority="4301">
      <formula>LEN(TRIM(AB199))=0</formula>
    </cfRule>
    <cfRule type="containsBlanks" dxfId="9335" priority="4302">
      <formula>LEN(TRIM(AB199))=0</formula>
    </cfRule>
    <cfRule type="containsBlanks" dxfId="9334" priority="4303">
      <formula>LEN(TRIM(AB199))=0</formula>
    </cfRule>
    <cfRule type="containsBlanks" dxfId="9333" priority="4304">
      <formula>LEN(TRIM(AB199))=0</formula>
    </cfRule>
    <cfRule type="containsBlanks" dxfId="9332" priority="4305">
      <formula>LEN(TRIM(AB199))=0</formula>
    </cfRule>
    <cfRule type="containsBlanks" dxfId="9331" priority="4306">
      <formula>LEN(TRIM(AB199))=0</formula>
    </cfRule>
    <cfRule type="containsBlanks" dxfId="9330" priority="4307">
      <formula>LEN(TRIM(AB199))=0</formula>
    </cfRule>
    <cfRule type="containsBlanks" dxfId="9329" priority="4308">
      <formula>LEN(TRIM(AB199))=0</formula>
    </cfRule>
    <cfRule type="containsBlanks" dxfId="9328" priority="4309">
      <formula>LEN(TRIM(AB199))=0</formula>
    </cfRule>
    <cfRule type="containsBlanks" dxfId="9327" priority="4310">
      <formula>LEN(TRIM(AB199))=0</formula>
    </cfRule>
    <cfRule type="containsBlanks" dxfId="9326" priority="4311">
      <formula>LEN(TRIM(AB199))=0</formula>
    </cfRule>
    <cfRule type="containsBlanks" dxfId="9325" priority="4312">
      <formula>LEN(TRIM(AB199))=0</formula>
    </cfRule>
    <cfRule type="containsBlanks" dxfId="9324" priority="4313">
      <formula>LEN(TRIM(AB199))=0</formula>
    </cfRule>
    <cfRule type="containsBlanks" dxfId="9323" priority="4314">
      <formula>LEN(TRIM(AB199))=0</formula>
    </cfRule>
    <cfRule type="containsBlanks" dxfId="9322" priority="4315">
      <formula>LEN(TRIM(AB199))=0</formula>
    </cfRule>
    <cfRule type="containsBlanks" dxfId="9321" priority="4316">
      <formula>LEN(TRIM(AB199))=0</formula>
    </cfRule>
    <cfRule type="containsBlanks" dxfId="9320" priority="4317">
      <formula>LEN(TRIM(AB199))=0</formula>
    </cfRule>
    <cfRule type="containsBlanks" dxfId="9319" priority="4318">
      <formula>LEN(TRIM(AB199))=0</formula>
    </cfRule>
    <cfRule type="containsBlanks" dxfId="9318" priority="4319">
      <formula>LEN(TRIM(AB199))=0</formula>
    </cfRule>
    <cfRule type="containsBlanks" dxfId="9317" priority="4320">
      <formula>LEN(TRIM(AB199))=0</formula>
    </cfRule>
    <cfRule type="containsBlanks" dxfId="9316" priority="4321">
      <formula>LEN(TRIM(AB199))=0</formula>
    </cfRule>
    <cfRule type="containsBlanks" dxfId="9315" priority="4322">
      <formula>LEN(TRIM(AB199))=0</formula>
    </cfRule>
    <cfRule type="containsBlanks" dxfId="9314" priority="4323">
      <formula>LEN(TRIM(AB199))=0</formula>
    </cfRule>
    <cfRule type="containsBlanks" dxfId="9313" priority="4324">
      <formula>LEN(TRIM(AB199))=0</formula>
    </cfRule>
  </conditionalFormatting>
  <conditionalFormatting sqref="AB205">
    <cfRule type="containsBlanks" dxfId="9312" priority="4231">
      <formula>LEN(TRIM(AB205))=0</formula>
    </cfRule>
    <cfRule type="containsBlanks" dxfId="9311" priority="4232">
      <formula>LEN(TRIM(AB205))=0</formula>
    </cfRule>
    <cfRule type="containsBlanks" dxfId="9310" priority="4233">
      <formula>LEN(TRIM(AB205))=0</formula>
    </cfRule>
    <cfRule type="containsBlanks" dxfId="9309" priority="4234">
      <formula>LEN(TRIM(AB205))=0</formula>
    </cfRule>
    <cfRule type="containsBlanks" dxfId="9308" priority="4235">
      <formula>LEN(TRIM(AB205))=0</formula>
    </cfRule>
    <cfRule type="containsBlanks" dxfId="9307" priority="4236">
      <formula>LEN(TRIM(AB205))=0</formula>
    </cfRule>
    <cfRule type="containsBlanks" dxfId="9306" priority="4237">
      <formula>LEN(TRIM(AB205))=0</formula>
    </cfRule>
    <cfRule type="containsBlanks" dxfId="9305" priority="4238">
      <formula>LEN(TRIM(AB205))=0</formula>
    </cfRule>
    <cfRule type="containsBlanks" dxfId="9304" priority="4239">
      <formula>LEN(TRIM(AB205))=0</formula>
    </cfRule>
    <cfRule type="containsBlanks" dxfId="9303" priority="4240">
      <formula>LEN(TRIM(AB205))=0</formula>
    </cfRule>
    <cfRule type="containsBlanks" dxfId="9302" priority="4241">
      <formula>LEN(TRIM(AB205))=0</formula>
    </cfRule>
    <cfRule type="containsBlanks" dxfId="9301" priority="4242">
      <formula>LEN(TRIM(AB205))=0</formula>
    </cfRule>
    <cfRule type="containsBlanks" dxfId="9300" priority="4243">
      <formula>LEN(TRIM(AB205))=0</formula>
    </cfRule>
    <cfRule type="containsBlanks" dxfId="9299" priority="4244">
      <formula>LEN(TRIM(AB205))=0</formula>
    </cfRule>
    <cfRule type="containsBlanks" dxfId="9298" priority="4245">
      <formula>LEN(TRIM(AB205))=0</formula>
    </cfRule>
    <cfRule type="containsBlanks" dxfId="9297" priority="4246">
      <formula>LEN(TRIM(AB205))=0</formula>
    </cfRule>
    <cfRule type="containsBlanks" dxfId="9296" priority="4247">
      <formula>LEN(TRIM(AB205))=0</formula>
    </cfRule>
    <cfRule type="containsBlanks" dxfId="9295" priority="4248">
      <formula>LEN(TRIM(AB205))=0</formula>
    </cfRule>
    <cfRule type="containsBlanks" dxfId="9294" priority="4249">
      <formula>LEN(TRIM(AB205))=0</formula>
    </cfRule>
    <cfRule type="containsBlanks" dxfId="9293" priority="4250">
      <formula>LEN(TRIM(AB205))=0</formula>
    </cfRule>
    <cfRule type="containsBlanks" dxfId="9292" priority="4251">
      <formula>LEN(TRIM(AB205))=0</formula>
    </cfRule>
    <cfRule type="containsBlanks" dxfId="9291" priority="4252">
      <formula>LEN(TRIM(AB205))=0</formula>
    </cfRule>
    <cfRule type="containsBlanks" dxfId="9290" priority="4253">
      <formula>LEN(TRIM(AB205))=0</formula>
    </cfRule>
    <cfRule type="containsBlanks" dxfId="9289" priority="4254">
      <formula>LEN(TRIM(AB205))=0</formula>
    </cfRule>
    <cfRule type="containsBlanks" dxfId="9288" priority="4255">
      <formula>LEN(TRIM(AB205))=0</formula>
    </cfRule>
    <cfRule type="containsBlanks" dxfId="9287" priority="4256">
      <formula>LEN(TRIM(AB205))=0</formula>
    </cfRule>
    <cfRule type="containsBlanks" dxfId="9286" priority="4257">
      <formula>LEN(TRIM(AB205))=0</formula>
    </cfRule>
    <cfRule type="containsBlanks" dxfId="9285" priority="4258">
      <formula>LEN(TRIM(AB205))=0</formula>
    </cfRule>
    <cfRule type="containsBlanks" dxfId="9284" priority="4259">
      <formula>LEN(TRIM(AB205))=0</formula>
    </cfRule>
    <cfRule type="containsBlanks" dxfId="9283" priority="4260">
      <formula>LEN(TRIM(AB205))=0</formula>
    </cfRule>
    <cfRule type="containsBlanks" dxfId="9282" priority="4261">
      <formula>LEN(TRIM(AB205))=0</formula>
    </cfRule>
    <cfRule type="containsBlanks" dxfId="9281" priority="4262">
      <formula>LEN(TRIM(AB205))=0</formula>
    </cfRule>
    <cfRule type="containsBlanks" dxfId="9280" priority="4263">
      <formula>LEN(TRIM(AB205))=0</formula>
    </cfRule>
    <cfRule type="containsBlanks" dxfId="9279" priority="4264">
      <formula>LEN(TRIM(AB205))=0</formula>
    </cfRule>
    <cfRule type="containsBlanks" dxfId="9278" priority="4265">
      <formula>LEN(TRIM(AB205))=0</formula>
    </cfRule>
    <cfRule type="containsBlanks" dxfId="9277" priority="4266">
      <formula>LEN(TRIM(AB205))=0</formula>
    </cfRule>
    <cfRule type="containsBlanks" dxfId="9276" priority="4267">
      <formula>LEN(TRIM(AB205))=0</formula>
    </cfRule>
    <cfRule type="containsBlanks" dxfId="9275" priority="4268">
      <formula>LEN(TRIM(AB205))=0</formula>
    </cfRule>
    <cfRule type="containsBlanks" dxfId="9274" priority="4269">
      <formula>LEN(TRIM(AB205))=0</formula>
    </cfRule>
    <cfRule type="containsBlanks" dxfId="9273" priority="4270">
      <formula>LEN(TRIM(AB205))=0</formula>
    </cfRule>
    <cfRule type="containsBlanks" dxfId="9272" priority="4271">
      <formula>LEN(TRIM(AB205))=0</formula>
    </cfRule>
    <cfRule type="containsBlanks" dxfId="9271" priority="4272">
      <formula>LEN(TRIM(AB205))=0</formula>
    </cfRule>
    <cfRule type="containsBlanks" dxfId="9270" priority="4273">
      <formula>LEN(TRIM(AB205))=0</formula>
    </cfRule>
    <cfRule type="containsBlanks" dxfId="9269" priority="4274">
      <formula>LEN(TRIM(AB205))=0</formula>
    </cfRule>
    <cfRule type="containsBlanks" dxfId="9268" priority="4275">
      <formula>LEN(TRIM(AB205))=0</formula>
    </cfRule>
    <cfRule type="containsBlanks" dxfId="9267" priority="4276">
      <formula>LEN(TRIM(AB205))=0</formula>
    </cfRule>
    <cfRule type="containsBlanks" dxfId="9266" priority="4277">
      <formula>LEN(TRIM(AB205))=0</formula>
    </cfRule>
  </conditionalFormatting>
  <conditionalFormatting sqref="AB209">
    <cfRule type="containsBlanks" dxfId="9265" priority="4184">
      <formula>LEN(TRIM(AB209))=0</formula>
    </cfRule>
    <cfRule type="containsBlanks" dxfId="9264" priority="4185">
      <formula>LEN(TRIM(AB209))=0</formula>
    </cfRule>
    <cfRule type="containsBlanks" dxfId="9263" priority="4186">
      <formula>LEN(TRIM(AB209))=0</formula>
    </cfRule>
    <cfRule type="containsBlanks" dxfId="9262" priority="4187">
      <formula>LEN(TRIM(AB209))=0</formula>
    </cfRule>
    <cfRule type="containsBlanks" dxfId="9261" priority="4188">
      <formula>LEN(TRIM(AB209))=0</formula>
    </cfRule>
    <cfRule type="containsBlanks" dxfId="9260" priority="4189">
      <formula>LEN(TRIM(AB209))=0</formula>
    </cfRule>
    <cfRule type="containsBlanks" dxfId="9259" priority="4190">
      <formula>LEN(TRIM(AB209))=0</formula>
    </cfRule>
    <cfRule type="containsBlanks" dxfId="9258" priority="4191">
      <formula>LEN(TRIM(AB209))=0</formula>
    </cfRule>
    <cfRule type="containsBlanks" dxfId="9257" priority="4192">
      <formula>LEN(TRIM(AB209))=0</formula>
    </cfRule>
    <cfRule type="containsBlanks" dxfId="9256" priority="4193">
      <formula>LEN(TRIM(AB209))=0</formula>
    </cfRule>
    <cfRule type="containsBlanks" dxfId="9255" priority="4194">
      <formula>LEN(TRIM(AB209))=0</formula>
    </cfRule>
    <cfRule type="containsBlanks" dxfId="9254" priority="4195">
      <formula>LEN(TRIM(AB209))=0</formula>
    </cfRule>
    <cfRule type="containsBlanks" dxfId="9253" priority="4196">
      <formula>LEN(TRIM(AB209))=0</formula>
    </cfRule>
    <cfRule type="containsBlanks" dxfId="9252" priority="4197">
      <formula>LEN(TRIM(AB209))=0</formula>
    </cfRule>
    <cfRule type="containsBlanks" dxfId="9251" priority="4198">
      <formula>LEN(TRIM(AB209))=0</formula>
    </cfRule>
    <cfRule type="containsBlanks" dxfId="9250" priority="4199">
      <formula>LEN(TRIM(AB209))=0</formula>
    </cfRule>
    <cfRule type="containsBlanks" dxfId="9249" priority="4200">
      <formula>LEN(TRIM(AB209))=0</formula>
    </cfRule>
    <cfRule type="containsBlanks" dxfId="9248" priority="4201">
      <formula>LEN(TRIM(AB209))=0</formula>
    </cfRule>
    <cfRule type="containsBlanks" dxfId="9247" priority="4202">
      <formula>LEN(TRIM(AB209))=0</formula>
    </cfRule>
    <cfRule type="containsBlanks" dxfId="9246" priority="4203">
      <formula>LEN(TRIM(AB209))=0</formula>
    </cfRule>
    <cfRule type="containsBlanks" dxfId="9245" priority="4204">
      <formula>LEN(TRIM(AB209))=0</formula>
    </cfRule>
    <cfRule type="containsBlanks" dxfId="9244" priority="4205">
      <formula>LEN(TRIM(AB209))=0</formula>
    </cfRule>
    <cfRule type="containsBlanks" dxfId="9243" priority="4206">
      <formula>LEN(TRIM(AB209))=0</formula>
    </cfRule>
    <cfRule type="containsBlanks" dxfId="9242" priority="4207">
      <formula>LEN(TRIM(AB209))=0</formula>
    </cfRule>
    <cfRule type="containsBlanks" dxfId="9241" priority="4208">
      <formula>LEN(TRIM(AB209))=0</formula>
    </cfRule>
    <cfRule type="containsBlanks" dxfId="9240" priority="4209">
      <formula>LEN(TRIM(AB209))=0</formula>
    </cfRule>
    <cfRule type="containsBlanks" dxfId="9239" priority="4210">
      <formula>LEN(TRIM(AB209))=0</formula>
    </cfRule>
    <cfRule type="containsBlanks" dxfId="9238" priority="4211">
      <formula>LEN(TRIM(AB209))=0</formula>
    </cfRule>
    <cfRule type="containsBlanks" dxfId="9237" priority="4212">
      <formula>LEN(TRIM(AB209))=0</formula>
    </cfRule>
    <cfRule type="containsBlanks" dxfId="9236" priority="4213">
      <formula>LEN(TRIM(AB209))=0</formula>
    </cfRule>
    <cfRule type="containsBlanks" dxfId="9235" priority="4214">
      <formula>LEN(TRIM(AB209))=0</formula>
    </cfRule>
    <cfRule type="containsBlanks" dxfId="9234" priority="4215">
      <formula>LEN(TRIM(AB209))=0</formula>
    </cfRule>
    <cfRule type="containsBlanks" dxfId="9233" priority="4216">
      <formula>LEN(TRIM(AB209))=0</formula>
    </cfRule>
    <cfRule type="containsBlanks" dxfId="9232" priority="4217">
      <formula>LEN(TRIM(AB209))=0</formula>
    </cfRule>
    <cfRule type="containsBlanks" dxfId="9231" priority="4218">
      <formula>LEN(TRIM(AB209))=0</formula>
    </cfRule>
    <cfRule type="containsBlanks" dxfId="9230" priority="4219">
      <formula>LEN(TRIM(AB209))=0</formula>
    </cfRule>
    <cfRule type="containsBlanks" dxfId="9229" priority="4220">
      <formula>LEN(TRIM(AB209))=0</formula>
    </cfRule>
    <cfRule type="containsBlanks" dxfId="9228" priority="4221">
      <formula>LEN(TRIM(AB209))=0</formula>
    </cfRule>
    <cfRule type="containsBlanks" dxfId="9227" priority="4222">
      <formula>LEN(TRIM(AB209))=0</formula>
    </cfRule>
    <cfRule type="containsBlanks" dxfId="9226" priority="4223">
      <formula>LEN(TRIM(AB209))=0</formula>
    </cfRule>
    <cfRule type="containsBlanks" dxfId="9225" priority="4224">
      <formula>LEN(TRIM(AB209))=0</formula>
    </cfRule>
    <cfRule type="containsBlanks" dxfId="9224" priority="4225">
      <formula>LEN(TRIM(AB209))=0</formula>
    </cfRule>
    <cfRule type="containsBlanks" dxfId="9223" priority="4226">
      <formula>LEN(TRIM(AB209))=0</formula>
    </cfRule>
    <cfRule type="containsBlanks" dxfId="9222" priority="4227">
      <formula>LEN(TRIM(AB209))=0</formula>
    </cfRule>
    <cfRule type="containsBlanks" dxfId="9221" priority="4228">
      <formula>LEN(TRIM(AB209))=0</formula>
    </cfRule>
    <cfRule type="containsBlanks" dxfId="9220" priority="4229">
      <formula>LEN(TRIM(AB209))=0</formula>
    </cfRule>
    <cfRule type="containsBlanks" dxfId="9219" priority="4230">
      <formula>LEN(TRIM(AB209))=0</formula>
    </cfRule>
  </conditionalFormatting>
  <conditionalFormatting sqref="AB222">
    <cfRule type="containsBlanks" dxfId="9218" priority="4137">
      <formula>LEN(TRIM(AB222))=0</formula>
    </cfRule>
    <cfRule type="containsBlanks" dxfId="9217" priority="4138">
      <formula>LEN(TRIM(AB222))=0</formula>
    </cfRule>
    <cfRule type="containsBlanks" dxfId="9216" priority="4139">
      <formula>LEN(TRIM(AB222))=0</formula>
    </cfRule>
    <cfRule type="containsBlanks" dxfId="9215" priority="4140">
      <formula>LEN(TRIM(AB222))=0</formula>
    </cfRule>
    <cfRule type="containsBlanks" dxfId="9214" priority="4141">
      <formula>LEN(TRIM(AB222))=0</formula>
    </cfRule>
    <cfRule type="containsBlanks" dxfId="9213" priority="4142">
      <formula>LEN(TRIM(AB222))=0</formula>
    </cfRule>
    <cfRule type="containsBlanks" dxfId="9212" priority="4143">
      <formula>LEN(TRIM(AB222))=0</formula>
    </cfRule>
    <cfRule type="containsBlanks" dxfId="9211" priority="4144">
      <formula>LEN(TRIM(AB222))=0</formula>
    </cfRule>
    <cfRule type="containsBlanks" dxfId="9210" priority="4145">
      <formula>LEN(TRIM(AB222))=0</formula>
    </cfRule>
    <cfRule type="containsBlanks" dxfId="9209" priority="4146">
      <formula>LEN(TRIM(AB222))=0</formula>
    </cfRule>
    <cfRule type="containsBlanks" dxfId="9208" priority="4147">
      <formula>LEN(TRIM(AB222))=0</formula>
    </cfRule>
    <cfRule type="containsBlanks" dxfId="9207" priority="4148">
      <formula>LEN(TRIM(AB222))=0</formula>
    </cfRule>
    <cfRule type="containsBlanks" dxfId="9206" priority="4149">
      <formula>LEN(TRIM(AB222))=0</formula>
    </cfRule>
    <cfRule type="containsBlanks" dxfId="9205" priority="4150">
      <formula>LEN(TRIM(AB222))=0</formula>
    </cfRule>
    <cfRule type="containsBlanks" dxfId="9204" priority="4151">
      <formula>LEN(TRIM(AB222))=0</formula>
    </cfRule>
    <cfRule type="containsBlanks" dxfId="9203" priority="4152">
      <formula>LEN(TRIM(AB222))=0</formula>
    </cfRule>
    <cfRule type="containsBlanks" dxfId="9202" priority="4153">
      <formula>LEN(TRIM(AB222))=0</formula>
    </cfRule>
    <cfRule type="containsBlanks" dxfId="9201" priority="4154">
      <formula>LEN(TRIM(AB222))=0</formula>
    </cfRule>
    <cfRule type="containsBlanks" dxfId="9200" priority="4155">
      <formula>LEN(TRIM(AB222))=0</formula>
    </cfRule>
    <cfRule type="containsBlanks" dxfId="9199" priority="4156">
      <formula>LEN(TRIM(AB222))=0</formula>
    </cfRule>
    <cfRule type="containsBlanks" dxfId="9198" priority="4157">
      <formula>LEN(TRIM(AB222))=0</formula>
    </cfRule>
    <cfRule type="containsBlanks" dxfId="9197" priority="4158">
      <formula>LEN(TRIM(AB222))=0</formula>
    </cfRule>
    <cfRule type="containsBlanks" dxfId="9196" priority="4159">
      <formula>LEN(TRIM(AB222))=0</formula>
    </cfRule>
    <cfRule type="containsBlanks" dxfId="9195" priority="4160">
      <formula>LEN(TRIM(AB222))=0</formula>
    </cfRule>
    <cfRule type="containsBlanks" dxfId="9194" priority="4161">
      <formula>LEN(TRIM(AB222))=0</formula>
    </cfRule>
    <cfRule type="containsBlanks" dxfId="9193" priority="4162">
      <formula>LEN(TRIM(AB222))=0</formula>
    </cfRule>
    <cfRule type="containsBlanks" dxfId="9192" priority="4163">
      <formula>LEN(TRIM(AB222))=0</formula>
    </cfRule>
    <cfRule type="containsBlanks" dxfId="9191" priority="4164">
      <formula>LEN(TRIM(AB222))=0</formula>
    </cfRule>
    <cfRule type="containsBlanks" dxfId="9190" priority="4165">
      <formula>LEN(TRIM(AB222))=0</formula>
    </cfRule>
    <cfRule type="containsBlanks" dxfId="9189" priority="4166">
      <formula>LEN(TRIM(AB222))=0</formula>
    </cfRule>
    <cfRule type="containsBlanks" dxfId="9188" priority="4167">
      <formula>LEN(TRIM(AB222))=0</formula>
    </cfRule>
    <cfRule type="containsBlanks" dxfId="9187" priority="4168">
      <formula>LEN(TRIM(AB222))=0</formula>
    </cfRule>
    <cfRule type="containsBlanks" dxfId="9186" priority="4169">
      <formula>LEN(TRIM(AB222))=0</formula>
    </cfRule>
    <cfRule type="containsBlanks" dxfId="9185" priority="4170">
      <formula>LEN(TRIM(AB222))=0</formula>
    </cfRule>
    <cfRule type="containsBlanks" dxfId="9184" priority="4171">
      <formula>LEN(TRIM(AB222))=0</formula>
    </cfRule>
    <cfRule type="containsBlanks" dxfId="9183" priority="4172">
      <formula>LEN(TRIM(AB222))=0</formula>
    </cfRule>
    <cfRule type="containsBlanks" dxfId="9182" priority="4173">
      <formula>LEN(TRIM(AB222))=0</formula>
    </cfRule>
    <cfRule type="containsBlanks" dxfId="9181" priority="4174">
      <formula>LEN(TRIM(AB222))=0</formula>
    </cfRule>
    <cfRule type="containsBlanks" dxfId="9180" priority="4175">
      <formula>LEN(TRIM(AB222))=0</formula>
    </cfRule>
    <cfRule type="containsBlanks" dxfId="9179" priority="4176">
      <formula>LEN(TRIM(AB222))=0</formula>
    </cfRule>
    <cfRule type="containsBlanks" dxfId="9178" priority="4177">
      <formula>LEN(TRIM(AB222))=0</formula>
    </cfRule>
    <cfRule type="containsBlanks" dxfId="9177" priority="4178">
      <formula>LEN(TRIM(AB222))=0</formula>
    </cfRule>
    <cfRule type="containsBlanks" dxfId="9176" priority="4179">
      <formula>LEN(TRIM(AB222))=0</formula>
    </cfRule>
    <cfRule type="containsBlanks" dxfId="9175" priority="4180">
      <formula>LEN(TRIM(AB222))=0</formula>
    </cfRule>
    <cfRule type="containsBlanks" dxfId="9174" priority="4181">
      <formula>LEN(TRIM(AB222))=0</formula>
    </cfRule>
    <cfRule type="containsBlanks" dxfId="9173" priority="4182">
      <formula>LEN(TRIM(AB222))=0</formula>
    </cfRule>
    <cfRule type="containsBlanks" dxfId="9172" priority="4183">
      <formula>LEN(TRIM(AB222))=0</formula>
    </cfRule>
  </conditionalFormatting>
  <conditionalFormatting sqref="AB225">
    <cfRule type="containsBlanks" dxfId="9171" priority="4090">
      <formula>LEN(TRIM(AB225))=0</formula>
    </cfRule>
    <cfRule type="containsBlanks" dxfId="9170" priority="4091">
      <formula>LEN(TRIM(AB225))=0</formula>
    </cfRule>
    <cfRule type="containsBlanks" dxfId="9169" priority="4092">
      <formula>LEN(TRIM(AB225))=0</formula>
    </cfRule>
    <cfRule type="containsBlanks" dxfId="9168" priority="4093">
      <formula>LEN(TRIM(AB225))=0</formula>
    </cfRule>
    <cfRule type="containsBlanks" dxfId="9167" priority="4094">
      <formula>LEN(TRIM(AB225))=0</formula>
    </cfRule>
    <cfRule type="containsBlanks" dxfId="9166" priority="4095">
      <formula>LEN(TRIM(AB225))=0</formula>
    </cfRule>
    <cfRule type="containsBlanks" dxfId="9165" priority="4096">
      <formula>LEN(TRIM(AB225))=0</formula>
    </cfRule>
    <cfRule type="containsBlanks" dxfId="9164" priority="4097">
      <formula>LEN(TRIM(AB225))=0</formula>
    </cfRule>
    <cfRule type="containsBlanks" dxfId="9163" priority="4098">
      <formula>LEN(TRIM(AB225))=0</formula>
    </cfRule>
    <cfRule type="containsBlanks" dxfId="9162" priority="4099">
      <formula>LEN(TRIM(AB225))=0</formula>
    </cfRule>
    <cfRule type="containsBlanks" dxfId="9161" priority="4100">
      <formula>LEN(TRIM(AB225))=0</formula>
    </cfRule>
    <cfRule type="containsBlanks" dxfId="9160" priority="4101">
      <formula>LEN(TRIM(AB225))=0</formula>
    </cfRule>
    <cfRule type="containsBlanks" dxfId="9159" priority="4102">
      <formula>LEN(TRIM(AB225))=0</formula>
    </cfRule>
    <cfRule type="containsBlanks" dxfId="9158" priority="4103">
      <formula>LEN(TRIM(AB225))=0</formula>
    </cfRule>
    <cfRule type="containsBlanks" dxfId="9157" priority="4104">
      <formula>LEN(TRIM(AB225))=0</formula>
    </cfRule>
    <cfRule type="containsBlanks" dxfId="9156" priority="4105">
      <formula>LEN(TRIM(AB225))=0</formula>
    </cfRule>
    <cfRule type="containsBlanks" dxfId="9155" priority="4106">
      <formula>LEN(TRIM(AB225))=0</formula>
    </cfRule>
    <cfRule type="containsBlanks" dxfId="9154" priority="4107">
      <formula>LEN(TRIM(AB225))=0</formula>
    </cfRule>
    <cfRule type="containsBlanks" dxfId="9153" priority="4108">
      <formula>LEN(TRIM(AB225))=0</formula>
    </cfRule>
    <cfRule type="containsBlanks" dxfId="9152" priority="4109">
      <formula>LEN(TRIM(AB225))=0</formula>
    </cfRule>
    <cfRule type="containsBlanks" dxfId="9151" priority="4110">
      <formula>LEN(TRIM(AB225))=0</formula>
    </cfRule>
    <cfRule type="containsBlanks" dxfId="9150" priority="4111">
      <formula>LEN(TRIM(AB225))=0</formula>
    </cfRule>
    <cfRule type="containsBlanks" dxfId="9149" priority="4112">
      <formula>LEN(TRIM(AB225))=0</formula>
    </cfRule>
    <cfRule type="containsBlanks" dxfId="9148" priority="4113">
      <formula>LEN(TRIM(AB225))=0</formula>
    </cfRule>
    <cfRule type="containsBlanks" dxfId="9147" priority="4114">
      <formula>LEN(TRIM(AB225))=0</formula>
    </cfRule>
    <cfRule type="containsBlanks" dxfId="9146" priority="4115">
      <formula>LEN(TRIM(AB225))=0</formula>
    </cfRule>
    <cfRule type="containsBlanks" dxfId="9145" priority="4116">
      <formula>LEN(TRIM(AB225))=0</formula>
    </cfRule>
    <cfRule type="containsBlanks" dxfId="9144" priority="4117">
      <formula>LEN(TRIM(AB225))=0</formula>
    </cfRule>
    <cfRule type="containsBlanks" dxfId="9143" priority="4118">
      <formula>LEN(TRIM(AB225))=0</formula>
    </cfRule>
    <cfRule type="containsBlanks" dxfId="9142" priority="4119">
      <formula>LEN(TRIM(AB225))=0</formula>
    </cfRule>
    <cfRule type="containsBlanks" dxfId="9141" priority="4120">
      <formula>LEN(TRIM(AB225))=0</formula>
    </cfRule>
    <cfRule type="containsBlanks" dxfId="9140" priority="4121">
      <formula>LEN(TRIM(AB225))=0</formula>
    </cfRule>
    <cfRule type="containsBlanks" dxfId="9139" priority="4122">
      <formula>LEN(TRIM(AB225))=0</formula>
    </cfRule>
    <cfRule type="containsBlanks" dxfId="9138" priority="4123">
      <formula>LEN(TRIM(AB225))=0</formula>
    </cfRule>
    <cfRule type="containsBlanks" dxfId="9137" priority="4124">
      <formula>LEN(TRIM(AB225))=0</formula>
    </cfRule>
    <cfRule type="containsBlanks" dxfId="9136" priority="4125">
      <formula>LEN(TRIM(AB225))=0</formula>
    </cfRule>
    <cfRule type="containsBlanks" dxfId="9135" priority="4126">
      <formula>LEN(TRIM(AB225))=0</formula>
    </cfRule>
    <cfRule type="containsBlanks" dxfId="9134" priority="4127">
      <formula>LEN(TRIM(AB225))=0</formula>
    </cfRule>
    <cfRule type="containsBlanks" dxfId="9133" priority="4128">
      <formula>LEN(TRIM(AB225))=0</formula>
    </cfRule>
    <cfRule type="containsBlanks" dxfId="9132" priority="4129">
      <formula>LEN(TRIM(AB225))=0</formula>
    </cfRule>
    <cfRule type="containsBlanks" dxfId="9131" priority="4130">
      <formula>LEN(TRIM(AB225))=0</formula>
    </cfRule>
    <cfRule type="containsBlanks" dxfId="9130" priority="4131">
      <formula>LEN(TRIM(AB225))=0</formula>
    </cfRule>
    <cfRule type="containsBlanks" dxfId="9129" priority="4132">
      <formula>LEN(TRIM(AB225))=0</formula>
    </cfRule>
    <cfRule type="containsBlanks" dxfId="9128" priority="4133">
      <formula>LEN(TRIM(AB225))=0</formula>
    </cfRule>
    <cfRule type="containsBlanks" dxfId="9127" priority="4134">
      <formula>LEN(TRIM(AB225))=0</formula>
    </cfRule>
    <cfRule type="containsBlanks" dxfId="9126" priority="4135">
      <formula>LEN(TRIM(AB225))=0</formula>
    </cfRule>
    <cfRule type="containsBlanks" dxfId="9125" priority="4136">
      <formula>LEN(TRIM(AB225))=0</formula>
    </cfRule>
  </conditionalFormatting>
  <conditionalFormatting sqref="AB177:AC238">
    <cfRule type="containsBlanks" dxfId="9124" priority="4089">
      <formula>LEN(TRIM(AB177))=0</formula>
    </cfRule>
  </conditionalFormatting>
  <conditionalFormatting sqref="AB182:AC182">
    <cfRule type="containsBlanks" dxfId="9123" priority="4087">
      <formula>LEN(TRIM(AB182))=0</formula>
    </cfRule>
    <cfRule type="containsBlanks" dxfId="9122" priority="4088">
      <formula>LEN(TRIM(AB182))=0</formula>
    </cfRule>
  </conditionalFormatting>
  <conditionalFormatting sqref="AC177:AC238">
    <cfRule type="containsBlanks" dxfId="9121" priority="4079">
      <formula>LEN(TRIM(AC177))=0</formula>
    </cfRule>
    <cfRule type="containsBlanks" dxfId="9120" priority="4080">
      <formula>LEN(TRIM(AC177))=0</formula>
    </cfRule>
    <cfRule type="containsBlanks" dxfId="9119" priority="4081">
      <formula>LEN(TRIM(AC177))=0</formula>
    </cfRule>
    <cfRule type="containsBlanks" dxfId="9118" priority="4082">
      <formula>LEN(TRIM(AC177))=0</formula>
    </cfRule>
    <cfRule type="containsBlanks" dxfId="9117" priority="4083">
      <formula>LEN(TRIM(AC177))=0</formula>
    </cfRule>
    <cfRule type="containsBlanks" dxfId="9116" priority="4084">
      <formula>LEN(TRIM(AC177))=0</formula>
    </cfRule>
    <cfRule type="containsBlanks" dxfId="9115" priority="4085">
      <formula>LEN(TRIM(AC177))=0</formula>
    </cfRule>
    <cfRule type="containsBlanks" dxfId="9114" priority="4086">
      <formula>LEN(TRIM(AC177))=0</formula>
    </cfRule>
  </conditionalFormatting>
  <conditionalFormatting sqref="AC229">
    <cfRule type="containsBlanks" dxfId="9113" priority="4077">
      <formula>LEN(TRIM(AC229))=0</formula>
    </cfRule>
    <cfRule type="containsBlanks" dxfId="9112" priority="4078">
      <formula>LEN(TRIM(AC229))=0</formula>
    </cfRule>
  </conditionalFormatting>
  <conditionalFormatting sqref="AC231">
    <cfRule type="containsBlanks" dxfId="9111" priority="4075">
      <formula>LEN(TRIM(AC231))=0</formula>
    </cfRule>
    <cfRule type="containsBlanks" dxfId="9110" priority="4076">
      <formula>LEN(TRIM(AC231))=0</formula>
    </cfRule>
  </conditionalFormatting>
  <conditionalFormatting sqref="AC236:AC238">
    <cfRule type="containsBlanks" dxfId="9109" priority="4073">
      <formula>LEN(TRIM(AC236))=0</formula>
    </cfRule>
    <cfRule type="containsBlanks" dxfId="9108" priority="4074">
      <formula>LEN(TRIM(AC236))=0</formula>
    </cfRule>
  </conditionalFormatting>
  <conditionalFormatting sqref="AC237:AC238">
    <cfRule type="containsBlanks" dxfId="9107" priority="4071">
      <formula>LEN(TRIM(AC237))=0</formula>
    </cfRule>
    <cfRule type="containsBlanks" dxfId="9106" priority="4072">
      <formula>LEN(TRIM(AC237))=0</formula>
    </cfRule>
  </conditionalFormatting>
  <conditionalFormatting sqref="AC238">
    <cfRule type="containsBlanks" dxfId="9105" priority="4069">
      <formula>LEN(TRIM(AC238))=0</formula>
    </cfRule>
    <cfRule type="containsBlanks" dxfId="9104" priority="4070">
      <formula>LEN(TRIM(AC238))=0</formula>
    </cfRule>
  </conditionalFormatting>
  <conditionalFormatting sqref="AC177:AD235 AC236:AC238">
    <cfRule type="containsBlanks" dxfId="9103" priority="4067">
      <formula>LEN(TRIM(AC177))=0</formula>
    </cfRule>
    <cfRule type="containsBlanks" dxfId="9102" priority="4068">
      <formula>LEN(TRIM(AC177))=0</formula>
    </cfRule>
  </conditionalFormatting>
  <conditionalFormatting sqref="AC177:AD238">
    <cfRule type="containsBlanks" dxfId="9101" priority="4066">
      <formula>LEN(TRIM(AC177))=0</formula>
    </cfRule>
  </conditionalFormatting>
  <conditionalFormatting sqref="AC193:AD193">
    <cfRule type="containsBlanks" dxfId="9100" priority="4064">
      <formula>LEN(TRIM(AC193))=0</formula>
    </cfRule>
    <cfRule type="containsBlanks" dxfId="9099" priority="4065">
      <formula>LEN(TRIM(AC193))=0</formula>
    </cfRule>
  </conditionalFormatting>
  <conditionalFormatting sqref="X177:AI238 L177:W234 E235:W238 E177:K227 E228:F228 H228:K228 E229:K234">
    <cfRule type="containsBlanks" dxfId="9098" priority="4063">
      <formula>LEN(TRIM(E177))=0</formula>
    </cfRule>
  </conditionalFormatting>
  <conditionalFormatting sqref="AC177:AE237 AB238:AE238 AF177:AI238">
    <cfRule type="containsBlanks" dxfId="9097" priority="4062">
      <formula>LEN(TRIM(AB177))=0</formula>
    </cfRule>
  </conditionalFormatting>
  <conditionalFormatting sqref="AD177:AD178">
    <cfRule type="containsBlanks" dxfId="9096" priority="4044">
      <formula>LEN(TRIM(AD177))=0</formula>
    </cfRule>
    <cfRule type="containsBlanks" dxfId="9095" priority="4045">
      <formula>LEN(TRIM(AD177))=0</formula>
    </cfRule>
    <cfRule type="containsBlanks" dxfId="9094" priority="4046">
      <formula>LEN(TRIM(AD177))=0</formula>
    </cfRule>
    <cfRule type="containsBlanks" dxfId="9093" priority="4047">
      <formula>LEN(TRIM(AD177))=0</formula>
    </cfRule>
    <cfRule type="containsBlanks" dxfId="9092" priority="4048">
      <formula>LEN(TRIM(AD177))=0</formula>
    </cfRule>
    <cfRule type="containsBlanks" dxfId="9091" priority="4049">
      <formula>LEN(TRIM(AD177))=0</formula>
    </cfRule>
    <cfRule type="containsBlanks" dxfId="9090" priority="4050">
      <formula>LEN(TRIM(AD177))=0</formula>
    </cfRule>
    <cfRule type="containsBlanks" dxfId="9089" priority="4051">
      <formula>LEN(TRIM(AD177))=0</formula>
    </cfRule>
    <cfRule type="containsBlanks" dxfId="9088" priority="4052">
      <formula>LEN(TRIM(AD177))=0</formula>
    </cfRule>
    <cfRule type="containsBlanks" dxfId="9087" priority="4053">
      <formula>LEN(TRIM(AD177))=0</formula>
    </cfRule>
    <cfRule type="containsBlanks" dxfId="9086" priority="4054">
      <formula>LEN(TRIM(AD177))=0</formula>
    </cfRule>
    <cfRule type="containsBlanks" dxfId="9085" priority="4055">
      <formula>LEN(TRIM(AD177))=0</formula>
    </cfRule>
    <cfRule type="containsBlanks" dxfId="9084" priority="4056">
      <formula>LEN(TRIM(AD177))=0</formula>
    </cfRule>
    <cfRule type="containsBlanks" dxfId="9083" priority="4057">
      <formula>LEN(TRIM(AD177))=0</formula>
    </cfRule>
    <cfRule type="containsBlanks" dxfId="9082" priority="4058">
      <formula>LEN(TRIM(AD177))=0</formula>
    </cfRule>
    <cfRule type="containsBlanks" dxfId="9081" priority="4059">
      <formula>LEN(TRIM(AD177))=0</formula>
    </cfRule>
    <cfRule type="containsBlanks" dxfId="9080" priority="4060">
      <formula>LEN(TRIM(AD177))=0</formula>
    </cfRule>
    <cfRule type="containsBlanks" dxfId="9079" priority="4061">
      <formula>LEN(TRIM(AD177))=0</formula>
    </cfRule>
  </conditionalFormatting>
  <conditionalFormatting sqref="AD177:AD238">
    <cfRule type="containsBlanks" dxfId="9078" priority="4016">
      <formula>LEN(TRIM(AD177))=0</formula>
    </cfRule>
    <cfRule type="containsBlanks" dxfId="9077" priority="4017">
      <formula>LEN(TRIM(AD177))=0</formula>
    </cfRule>
    <cfRule type="containsBlanks" dxfId="9076" priority="4018">
      <formula>LEN(TRIM(AD177))=0</formula>
    </cfRule>
    <cfRule type="containsBlanks" dxfId="9075" priority="4019">
      <formula>LEN(TRIM(AD177))=0</formula>
    </cfRule>
    <cfRule type="containsBlanks" dxfId="9074" priority="4020">
      <formula>LEN(TRIM(AD177))=0</formula>
    </cfRule>
    <cfRule type="containsBlanks" dxfId="9073" priority="4021">
      <formula>LEN(TRIM(AD177))=0</formula>
    </cfRule>
    <cfRule type="containsBlanks" dxfId="9072" priority="4022">
      <formula>LEN(TRIM(AD177))=0</formula>
    </cfRule>
    <cfRule type="containsBlanks" dxfId="9071" priority="4023">
      <formula>LEN(TRIM(AD177))=0</formula>
    </cfRule>
    <cfRule type="containsBlanks" dxfId="9070" priority="4024">
      <formula>LEN(TRIM(AD177))=0</formula>
    </cfRule>
    <cfRule type="containsBlanks" dxfId="9069" priority="4025">
      <formula>LEN(TRIM(AD177))=0</formula>
    </cfRule>
    <cfRule type="containsBlanks" dxfId="9068" priority="4026">
      <formula>LEN(TRIM(AD177))=0</formula>
    </cfRule>
    <cfRule type="containsBlanks" dxfId="9067" priority="4027">
      <formula>LEN(TRIM(AD177))=0</formula>
    </cfRule>
    <cfRule type="containsBlanks" dxfId="9066" priority="4028">
      <formula>LEN(TRIM(AD177))=0</formula>
    </cfRule>
    <cfRule type="containsBlanks" dxfId="9065" priority="4029">
      <formula>LEN(TRIM(AD177))=0</formula>
    </cfRule>
    <cfRule type="containsBlanks" dxfId="9064" priority="4030">
      <formula>LEN(TRIM(AD177))=0</formula>
    </cfRule>
    <cfRule type="containsBlanks" dxfId="9063" priority="4031">
      <formula>LEN(TRIM(AD177))=0</formula>
    </cfRule>
    <cfRule type="containsBlanks" dxfId="9062" priority="4032">
      <formula>LEN(TRIM(AD177))=0</formula>
    </cfRule>
    <cfRule type="containsBlanks" dxfId="9061" priority="4033">
      <formula>LEN(TRIM(AD177))=0</formula>
    </cfRule>
    <cfRule type="containsBlanks" dxfId="9060" priority="4034">
      <formula>LEN(TRIM(AD177))=0</formula>
    </cfRule>
    <cfRule type="containsBlanks" dxfId="9059" priority="4035">
      <formula>LEN(TRIM(AD177))=0</formula>
    </cfRule>
    <cfRule type="containsBlanks" dxfId="9058" priority="4036">
      <formula>LEN(TRIM(AD177))=0</formula>
    </cfRule>
    <cfRule type="containsBlanks" dxfId="9057" priority="4037">
      <formula>LEN(TRIM(AD177))=0</formula>
    </cfRule>
    <cfRule type="containsBlanks" dxfId="9056" priority="4038">
      <formula>LEN(TRIM(AD177))=0</formula>
    </cfRule>
    <cfRule type="containsBlanks" dxfId="9055" priority="4039">
      <formula>LEN(TRIM(AD177))=0</formula>
    </cfRule>
    <cfRule type="containsBlanks" dxfId="9054" priority="4040">
      <formula>LEN(TRIM(AD177))=0</formula>
    </cfRule>
    <cfRule type="containsBlanks" dxfId="9053" priority="4041">
      <formula>LEN(TRIM(AD177))=0</formula>
    </cfRule>
    <cfRule type="containsBlanks" dxfId="9052" priority="4042">
      <formula>LEN(TRIM(AD177))=0</formula>
    </cfRule>
    <cfRule type="containsBlanks" dxfId="9051" priority="4043">
      <formula>LEN(TRIM(AD177))=0</formula>
    </cfRule>
  </conditionalFormatting>
  <conditionalFormatting sqref="AD182">
    <cfRule type="containsBlanks" dxfId="9050" priority="4015">
      <formula>LEN(TRIM(AD182))=0</formula>
    </cfRule>
  </conditionalFormatting>
  <conditionalFormatting sqref="AD184">
    <cfRule type="containsBlanks" dxfId="9049" priority="4001">
      <formula>LEN(TRIM(AD184))=0</formula>
    </cfRule>
    <cfRule type="containsBlanks" dxfId="9048" priority="4002">
      <formula>LEN(TRIM(AD184))=0</formula>
    </cfRule>
    <cfRule type="containsBlanks" dxfId="9047" priority="4003">
      <formula>LEN(TRIM(AD184))=0</formula>
    </cfRule>
    <cfRule type="containsBlanks" dxfId="9046" priority="4004">
      <formula>LEN(TRIM(AD184))=0</formula>
    </cfRule>
    <cfRule type="containsBlanks" dxfId="9045" priority="4005">
      <formula>LEN(TRIM(AD184))=0</formula>
    </cfRule>
    <cfRule type="containsBlanks" dxfId="9044" priority="4006">
      <formula>LEN(TRIM(AD184))=0</formula>
    </cfRule>
    <cfRule type="containsBlanks" dxfId="9043" priority="4007">
      <formula>LEN(TRIM(AD184))=0</formula>
    </cfRule>
    <cfRule type="containsBlanks" dxfId="9042" priority="4008">
      <formula>LEN(TRIM(AD184))=0</formula>
    </cfRule>
    <cfRule type="containsBlanks" dxfId="9041" priority="4009">
      <formula>LEN(TRIM(AD184))=0</formula>
    </cfRule>
    <cfRule type="containsBlanks" dxfId="9040" priority="4010">
      <formula>LEN(TRIM(AD184))=0</formula>
    </cfRule>
    <cfRule type="containsBlanks" dxfId="9039" priority="4011">
      <formula>LEN(TRIM(AD184))=0</formula>
    </cfRule>
    <cfRule type="containsBlanks" dxfId="9038" priority="4012">
      <formula>LEN(TRIM(AD184))=0</formula>
    </cfRule>
    <cfRule type="containsBlanks" dxfId="9037" priority="4013">
      <formula>LEN(TRIM(AD184))=0</formula>
    </cfRule>
    <cfRule type="containsBlanks" dxfId="9036" priority="4014">
      <formula>LEN(TRIM(AD184))=0</formula>
    </cfRule>
  </conditionalFormatting>
  <conditionalFormatting sqref="AD193">
    <cfRule type="containsBlanks" dxfId="9035" priority="3995">
      <formula>LEN(TRIM(AD193))=0</formula>
    </cfRule>
    <cfRule type="containsBlanks" dxfId="9034" priority="3996">
      <formula>LEN(TRIM(AD193))=0</formula>
    </cfRule>
    <cfRule type="containsBlanks" dxfId="9033" priority="3997">
      <formula>LEN(TRIM(AD193))=0</formula>
    </cfRule>
    <cfRule type="containsBlanks" dxfId="9032" priority="3998">
      <formula>LEN(TRIM(AD193))=0</formula>
    </cfRule>
    <cfRule type="containsBlanks" dxfId="9031" priority="3999">
      <formula>LEN(TRIM(AD193))=0</formula>
    </cfRule>
    <cfRule type="containsBlanks" dxfId="9030" priority="4000">
      <formula>LEN(TRIM(AD193))=0</formula>
    </cfRule>
  </conditionalFormatting>
  <conditionalFormatting sqref="AD201">
    <cfRule type="containsBlanks" dxfId="9029" priority="3981">
      <formula>LEN(TRIM(AD201))=0</formula>
    </cfRule>
    <cfRule type="containsBlanks" dxfId="9028" priority="3982">
      <formula>LEN(TRIM(AD201))=0</formula>
    </cfRule>
    <cfRule type="containsBlanks" dxfId="9027" priority="3983">
      <formula>LEN(TRIM(AD201))=0</formula>
    </cfRule>
    <cfRule type="containsBlanks" dxfId="9026" priority="3984">
      <formula>LEN(TRIM(AD201))=0</formula>
    </cfRule>
    <cfRule type="containsBlanks" dxfId="9025" priority="3985">
      <formula>LEN(TRIM(AD201))=0</formula>
    </cfRule>
    <cfRule type="containsBlanks" dxfId="9024" priority="3986">
      <formula>LEN(TRIM(AD201))=0</formula>
    </cfRule>
    <cfRule type="containsBlanks" dxfId="9023" priority="3987">
      <formula>LEN(TRIM(AD201))=0</formula>
    </cfRule>
    <cfRule type="containsBlanks" dxfId="9022" priority="3988">
      <formula>LEN(TRIM(AD201))=0</formula>
    </cfRule>
    <cfRule type="containsBlanks" dxfId="9021" priority="3989">
      <formula>LEN(TRIM(AD201))=0</formula>
    </cfRule>
    <cfRule type="containsBlanks" dxfId="9020" priority="3990">
      <formula>LEN(TRIM(AD201))=0</formula>
    </cfRule>
    <cfRule type="containsBlanks" dxfId="9019" priority="3991">
      <formula>LEN(TRIM(AD201))=0</formula>
    </cfRule>
    <cfRule type="containsBlanks" dxfId="9018" priority="3992">
      <formula>LEN(TRIM(AD201))=0</formula>
    </cfRule>
    <cfRule type="containsBlanks" dxfId="9017" priority="3993">
      <formula>LEN(TRIM(AD201))=0</formula>
    </cfRule>
    <cfRule type="containsBlanks" dxfId="9016" priority="3994">
      <formula>LEN(TRIM(AD201))=0</formula>
    </cfRule>
  </conditionalFormatting>
  <conditionalFormatting sqref="AD214">
    <cfRule type="containsBlanks" dxfId="9015" priority="3965">
      <formula>LEN(TRIM(AD214))=0</formula>
    </cfRule>
    <cfRule type="containsBlanks" dxfId="9014" priority="3966">
      <formula>LEN(TRIM(AD214))=0</formula>
    </cfRule>
    <cfRule type="containsBlanks" dxfId="9013" priority="3967">
      <formula>LEN(TRIM(AD214))=0</formula>
    </cfRule>
    <cfRule type="containsBlanks" dxfId="9012" priority="3968">
      <formula>LEN(TRIM(AD214))=0</formula>
    </cfRule>
    <cfRule type="containsBlanks" dxfId="9011" priority="3969">
      <formula>LEN(TRIM(AD214))=0</formula>
    </cfRule>
    <cfRule type="containsBlanks" dxfId="9010" priority="3970">
      <formula>LEN(TRIM(AD214))=0</formula>
    </cfRule>
    <cfRule type="containsBlanks" dxfId="9009" priority="3971">
      <formula>LEN(TRIM(AD214))=0</formula>
    </cfRule>
    <cfRule type="containsBlanks" dxfId="9008" priority="3972">
      <formula>LEN(TRIM(AD214))=0</formula>
    </cfRule>
    <cfRule type="containsBlanks" dxfId="9007" priority="3973">
      <formula>LEN(TRIM(AD214))=0</formula>
    </cfRule>
    <cfRule type="containsBlanks" dxfId="9006" priority="3974">
      <formula>LEN(TRIM(AD214))=0</formula>
    </cfRule>
    <cfRule type="containsBlanks" dxfId="9005" priority="3975">
      <formula>LEN(TRIM(AD214))=0</formula>
    </cfRule>
    <cfRule type="containsBlanks" dxfId="9004" priority="3976">
      <formula>LEN(TRIM(AD214))=0</formula>
    </cfRule>
    <cfRule type="containsBlanks" dxfId="9003" priority="3977">
      <formula>LEN(TRIM(AD214))=0</formula>
    </cfRule>
    <cfRule type="containsBlanks" dxfId="9002" priority="3978">
      <formula>LEN(TRIM(AD214))=0</formula>
    </cfRule>
    <cfRule type="containsBlanks" dxfId="9001" priority="3979">
      <formula>LEN(TRIM(AD214))=0</formula>
    </cfRule>
    <cfRule type="containsBlanks" dxfId="9000" priority="3980">
      <formula>LEN(TRIM(AD214))=0</formula>
    </cfRule>
  </conditionalFormatting>
  <conditionalFormatting sqref="AD228">
    <cfRule type="containsBlanks" dxfId="8999" priority="3955">
      <formula>LEN(TRIM(AD228))=0</formula>
    </cfRule>
    <cfRule type="containsBlanks" dxfId="8998" priority="3956">
      <formula>LEN(TRIM(AD228))=0</formula>
    </cfRule>
    <cfRule type="containsBlanks" dxfId="8997" priority="3957">
      <formula>LEN(TRIM(AD228))=0</formula>
    </cfRule>
    <cfRule type="containsBlanks" dxfId="8996" priority="3958">
      <formula>LEN(TRIM(AD228))=0</formula>
    </cfRule>
    <cfRule type="containsBlanks" dxfId="8995" priority="3959">
      <formula>LEN(TRIM(AD228))=0</formula>
    </cfRule>
    <cfRule type="containsBlanks" dxfId="8994" priority="3960">
      <formula>LEN(TRIM(AD228))=0</formula>
    </cfRule>
    <cfRule type="containsBlanks" dxfId="8993" priority="3961">
      <formula>LEN(TRIM(AD228))=0</formula>
    </cfRule>
    <cfRule type="containsBlanks" dxfId="8992" priority="3962">
      <formula>LEN(TRIM(AD228))=0</formula>
    </cfRule>
    <cfRule type="containsBlanks" dxfId="8991" priority="3963">
      <formula>LEN(TRIM(AD228))=0</formula>
    </cfRule>
    <cfRule type="containsBlanks" dxfId="8990" priority="3964">
      <formula>LEN(TRIM(AD228))=0</formula>
    </cfRule>
  </conditionalFormatting>
  <conditionalFormatting sqref="AD235 AD236:AE238 AH236:AI238">
    <cfRule type="containsBlanks" dxfId="8989" priority="3953">
      <formula>LEN(TRIM(AD235))=0</formula>
    </cfRule>
    <cfRule type="containsBlanks" dxfId="8988" priority="3954">
      <formula>LEN(TRIM(AD235))=0</formula>
    </cfRule>
  </conditionalFormatting>
  <conditionalFormatting sqref="AD235">
    <cfRule type="containsBlanks" dxfId="8987" priority="3952">
      <formula>LEN(TRIM(AD235))=0</formula>
    </cfRule>
  </conditionalFormatting>
  <conditionalFormatting sqref="AD235:AD236">
    <cfRule type="containsBlanks" dxfId="8986" priority="3946">
      <formula>LEN(TRIM(AD235))=0</formula>
    </cfRule>
    <cfRule type="containsBlanks" dxfId="8985" priority="3947">
      <formula>LEN(TRIM(AD235))=0</formula>
    </cfRule>
    <cfRule type="containsBlanks" dxfId="8984" priority="3948">
      <formula>LEN(TRIM(AD235))=0</formula>
    </cfRule>
    <cfRule type="containsBlanks" dxfId="8983" priority="3949">
      <formula>LEN(TRIM(AD235))=0</formula>
    </cfRule>
    <cfRule type="containsBlanks" dxfId="8982" priority="3950">
      <formula>LEN(TRIM(AD235))=0</formula>
    </cfRule>
    <cfRule type="containsBlanks" dxfId="8981" priority="3951">
      <formula>LEN(TRIM(AD235))=0</formula>
    </cfRule>
  </conditionalFormatting>
  <conditionalFormatting sqref="AD235:AD238">
    <cfRule type="containsBlanks" dxfId="8980" priority="3938">
      <formula>LEN(TRIM(AD235))=0</formula>
    </cfRule>
    <cfRule type="containsBlanks" dxfId="8979" priority="3939">
      <formula>LEN(TRIM(AD235))=0</formula>
    </cfRule>
    <cfRule type="containsBlanks" dxfId="8978" priority="3940">
      <formula>LEN(TRIM(AD235))=0</formula>
    </cfRule>
    <cfRule type="containsBlanks" dxfId="8977" priority="3941">
      <formula>LEN(TRIM(AD235))=0</formula>
    </cfRule>
    <cfRule type="containsBlanks" dxfId="8976" priority="3942">
      <formula>LEN(TRIM(AD235))=0</formula>
    </cfRule>
    <cfRule type="containsBlanks" dxfId="8975" priority="3943">
      <formula>LEN(TRIM(AD235))=0</formula>
    </cfRule>
    <cfRule type="containsBlanks" dxfId="8974" priority="3944">
      <formula>LEN(TRIM(AD235))=0</formula>
    </cfRule>
    <cfRule type="containsBlanks" dxfId="8973" priority="3945">
      <formula>LEN(TRIM(AD235))=0</formula>
    </cfRule>
  </conditionalFormatting>
  <conditionalFormatting sqref="AD236:AD238">
    <cfRule type="containsBlanks" dxfId="8972" priority="3936">
      <formula>LEN(TRIM(AD236))=0</formula>
    </cfRule>
    <cfRule type="containsBlanks" dxfId="8971" priority="3937">
      <formula>LEN(TRIM(AD236))=0</formula>
    </cfRule>
  </conditionalFormatting>
  <conditionalFormatting sqref="AD177:AE234 AE235:AE238">
    <cfRule type="containsBlanks" dxfId="8970" priority="3934">
      <formula>LEN(TRIM(AD177))=0</formula>
    </cfRule>
    <cfRule type="containsBlanks" dxfId="8969" priority="3935">
      <formula>LEN(TRIM(AD177))=0</formula>
    </cfRule>
  </conditionalFormatting>
  <conditionalFormatting sqref="AD177:AE236 AD237:AD238">
    <cfRule type="containsBlanks" dxfId="8968" priority="3932">
      <formula>LEN(TRIM(AD177))=0</formula>
    </cfRule>
    <cfRule type="containsBlanks" dxfId="8967" priority="3933">
      <formula>LEN(TRIM(AD177))=0</formula>
    </cfRule>
  </conditionalFormatting>
  <conditionalFormatting sqref="AD193:AE193 AG193">
    <cfRule type="containsBlanks" dxfId="8966" priority="3931">
      <formula>LEN(TRIM(AD193))=0</formula>
    </cfRule>
  </conditionalFormatting>
  <conditionalFormatting sqref="AD193:AE193">
    <cfRule type="containsBlanks" dxfId="8965" priority="3930">
      <formula>LEN(TRIM(AD193))=0</formula>
    </cfRule>
  </conditionalFormatting>
  <conditionalFormatting sqref="AD214:AE214">
    <cfRule type="containsBlanks" dxfId="8964" priority="3924">
      <formula>LEN(TRIM(AD214))=0</formula>
    </cfRule>
    <cfRule type="containsBlanks" dxfId="8963" priority="3925">
      <formula>LEN(TRIM(AD214))=0</formula>
    </cfRule>
    <cfRule type="containsBlanks" dxfId="8962" priority="3926">
      <formula>LEN(TRIM(AD214))=0</formula>
    </cfRule>
    <cfRule type="containsBlanks" dxfId="8961" priority="3927">
      <formula>LEN(TRIM(AD214))=0</formula>
    </cfRule>
    <cfRule type="containsBlanks" dxfId="8960" priority="3928">
      <formula>LEN(TRIM(AD214))=0</formula>
    </cfRule>
    <cfRule type="containsBlanks" dxfId="8959" priority="3929">
      <formula>LEN(TRIM(AD214))=0</formula>
    </cfRule>
  </conditionalFormatting>
  <conditionalFormatting sqref="AD228:AE228">
    <cfRule type="containsBlanks" dxfId="8958" priority="3922">
      <formula>LEN(TRIM(AD228))=0</formula>
    </cfRule>
    <cfRule type="containsBlanks" dxfId="8957" priority="3923">
      <formula>LEN(TRIM(AD228))=0</formula>
    </cfRule>
  </conditionalFormatting>
  <conditionalFormatting sqref="AE177:AE238">
    <cfRule type="containsBlanks" dxfId="8956" priority="3847">
      <formula>LEN(TRIM(AE177))=0</formula>
    </cfRule>
    <cfRule type="containsBlanks" dxfId="8955" priority="3848">
      <formula>LEN(TRIM(AE177))=0</formula>
    </cfRule>
    <cfRule type="containsBlanks" dxfId="8954" priority="3849">
      <formula>LEN(TRIM(AE177))=0</formula>
    </cfRule>
    <cfRule type="containsBlanks" dxfId="8953" priority="3850">
      <formula>LEN(TRIM(AE177))=0</formula>
    </cfRule>
    <cfRule type="containsBlanks" dxfId="8952" priority="3851">
      <formula>LEN(TRIM(AE177))=0</formula>
    </cfRule>
    <cfRule type="containsBlanks" dxfId="8951" priority="3852">
      <formula>LEN(TRIM(AE177))=0</formula>
    </cfRule>
    <cfRule type="containsBlanks" dxfId="8950" priority="3853">
      <formula>LEN(TRIM(AE177))=0</formula>
    </cfRule>
    <cfRule type="containsBlanks" dxfId="8949" priority="3854">
      <formula>LEN(TRIM(AE177))=0</formula>
    </cfRule>
    <cfRule type="containsBlanks" dxfId="8948" priority="3855">
      <formula>LEN(TRIM(AE177))=0</formula>
    </cfRule>
    <cfRule type="containsBlanks" dxfId="8947" priority="3856">
      <formula>LEN(TRIM(AE177))=0</formula>
    </cfRule>
    <cfRule type="containsBlanks" dxfId="8946" priority="3857">
      <formula>LEN(TRIM(AE177))=0</formula>
    </cfRule>
    <cfRule type="containsBlanks" dxfId="8945" priority="3858">
      <formula>LEN(TRIM(AE177))=0</formula>
    </cfRule>
    <cfRule type="containsBlanks" dxfId="8944" priority="3859">
      <formula>LEN(TRIM(AE177))=0</formula>
    </cfRule>
    <cfRule type="containsBlanks" dxfId="8943" priority="3860">
      <formula>LEN(TRIM(AE177))=0</formula>
    </cfRule>
    <cfRule type="containsBlanks" dxfId="8942" priority="3861">
      <formula>LEN(TRIM(AE177))=0</formula>
    </cfRule>
    <cfRule type="containsBlanks" dxfId="8941" priority="3862">
      <formula>LEN(TRIM(AE177))=0</formula>
    </cfRule>
    <cfRule type="containsBlanks" dxfId="8940" priority="3863">
      <formula>LEN(TRIM(AE177))=0</formula>
    </cfRule>
    <cfRule type="containsBlanks" dxfId="8939" priority="3864">
      <formula>LEN(TRIM(AE177))=0</formula>
    </cfRule>
    <cfRule type="containsBlanks" dxfId="8938" priority="3865">
      <formula>LEN(TRIM(AE177))=0</formula>
    </cfRule>
    <cfRule type="containsBlanks" dxfId="8937" priority="3866">
      <formula>LEN(TRIM(AE177))=0</formula>
    </cfRule>
    <cfRule type="containsBlanks" dxfId="8936" priority="3867">
      <formula>LEN(TRIM(AE177))=0</formula>
    </cfRule>
    <cfRule type="containsBlanks" dxfId="8935" priority="3868">
      <formula>LEN(TRIM(AE177))=0</formula>
    </cfRule>
    <cfRule type="containsBlanks" dxfId="8934" priority="3869">
      <formula>LEN(TRIM(AE177))=0</formula>
    </cfRule>
    <cfRule type="containsBlanks" dxfId="8933" priority="3870">
      <formula>LEN(TRIM(AE177))=0</formula>
    </cfRule>
    <cfRule type="containsBlanks" dxfId="8932" priority="3871">
      <formula>LEN(TRIM(AE177))=0</formula>
    </cfRule>
    <cfRule type="containsBlanks" dxfId="8931" priority="3872">
      <formula>LEN(TRIM(AE177))=0</formula>
    </cfRule>
    <cfRule type="containsBlanks" dxfId="8930" priority="3873">
      <formula>LEN(TRIM(AE177))=0</formula>
    </cfRule>
    <cfRule type="containsBlanks" dxfId="8929" priority="3874">
      <formula>LEN(TRIM(AE177))=0</formula>
    </cfRule>
    <cfRule type="containsBlanks" dxfId="8928" priority="3875">
      <formula>LEN(TRIM(AE177))=0</formula>
    </cfRule>
    <cfRule type="containsBlanks" dxfId="8927" priority="3876">
      <formula>LEN(TRIM(AE177))=0</formula>
    </cfRule>
    <cfRule type="containsBlanks" dxfId="8926" priority="3877">
      <formula>LEN(TRIM(AE177))=0</formula>
    </cfRule>
    <cfRule type="containsBlanks" dxfId="8925" priority="3878">
      <formula>LEN(TRIM(AE177))=0</formula>
    </cfRule>
    <cfRule type="containsBlanks" dxfId="8924" priority="3879">
      <formula>LEN(TRIM(AE177))=0</formula>
    </cfRule>
    <cfRule type="containsBlanks" dxfId="8923" priority="3880">
      <formula>LEN(TRIM(AE177))=0</formula>
    </cfRule>
    <cfRule type="containsBlanks" dxfId="8922" priority="3881">
      <formula>LEN(TRIM(AE177))=0</formula>
    </cfRule>
    <cfRule type="containsBlanks" dxfId="8921" priority="3882">
      <formula>LEN(TRIM(AE177))=0</formula>
    </cfRule>
    <cfRule type="containsBlanks" dxfId="8920" priority="3883">
      <formula>LEN(TRIM(AE177))=0</formula>
    </cfRule>
    <cfRule type="containsBlanks" dxfId="8919" priority="3884">
      <formula>LEN(TRIM(AE177))=0</formula>
    </cfRule>
    <cfRule type="containsBlanks" dxfId="8918" priority="3885">
      <formula>LEN(TRIM(AE177))=0</formula>
    </cfRule>
    <cfRule type="containsBlanks" dxfId="8917" priority="3886">
      <formula>LEN(TRIM(AE177))=0</formula>
    </cfRule>
    <cfRule type="containsBlanks" dxfId="8916" priority="3887">
      <formula>LEN(TRIM(AE177))=0</formula>
    </cfRule>
    <cfRule type="containsBlanks" dxfId="8915" priority="3888">
      <formula>LEN(TRIM(AE177))=0</formula>
    </cfRule>
    <cfRule type="containsBlanks" dxfId="8914" priority="3889">
      <formula>LEN(TRIM(AE177))=0</formula>
    </cfRule>
    <cfRule type="containsBlanks" dxfId="8913" priority="3890">
      <formula>LEN(TRIM(AE177))=0</formula>
    </cfRule>
    <cfRule type="containsBlanks" dxfId="8912" priority="3891">
      <formula>LEN(TRIM(AE177))=0</formula>
    </cfRule>
    <cfRule type="containsBlanks" dxfId="8911" priority="3892">
      <formula>LEN(TRIM(AE177))=0</formula>
    </cfRule>
    <cfRule type="containsBlanks" dxfId="8910" priority="3893">
      <formula>LEN(TRIM(AE177))=0</formula>
    </cfRule>
    <cfRule type="containsBlanks" dxfId="8909" priority="3894">
      <formula>LEN(TRIM(AE177))=0</formula>
    </cfRule>
    <cfRule type="containsBlanks" dxfId="8908" priority="3895">
      <formula>LEN(TRIM(AE177))=0</formula>
    </cfRule>
    <cfRule type="containsBlanks" dxfId="8907" priority="3896">
      <formula>LEN(TRIM(AE177))=0</formula>
    </cfRule>
    <cfRule type="containsBlanks" dxfId="8906" priority="3897">
      <formula>LEN(TRIM(AE177))=0</formula>
    </cfRule>
    <cfRule type="containsBlanks" dxfId="8905" priority="3898">
      <formula>LEN(TRIM(AE177))=0</formula>
    </cfRule>
    <cfRule type="containsBlanks" dxfId="8904" priority="3899">
      <formula>LEN(TRIM(AE177))=0</formula>
    </cfRule>
    <cfRule type="containsBlanks" dxfId="8903" priority="3900">
      <formula>LEN(TRIM(AE177))=0</formula>
    </cfRule>
    <cfRule type="containsBlanks" dxfId="8902" priority="3901">
      <formula>LEN(TRIM(AE177))=0</formula>
    </cfRule>
    <cfRule type="containsBlanks" dxfId="8901" priority="3902">
      <formula>LEN(TRIM(AE177))=0</formula>
    </cfRule>
    <cfRule type="containsBlanks" dxfId="8900" priority="3903">
      <formula>LEN(TRIM(AE177))=0</formula>
    </cfRule>
    <cfRule type="containsBlanks" dxfId="8899" priority="3904">
      <formula>LEN(TRIM(AE177))=0</formula>
    </cfRule>
    <cfRule type="containsBlanks" dxfId="8898" priority="3905">
      <formula>LEN(TRIM(AE177))=0</formula>
    </cfRule>
    <cfRule type="containsBlanks" dxfId="8897" priority="3906">
      <formula>LEN(TRIM(AE177))=0</formula>
    </cfRule>
    <cfRule type="containsBlanks" dxfId="8896" priority="3907">
      <formula>LEN(TRIM(AE177))=0</formula>
    </cfRule>
    <cfRule type="containsBlanks" dxfId="8895" priority="3908">
      <formula>LEN(TRIM(AE177))=0</formula>
    </cfRule>
    <cfRule type="containsBlanks" dxfId="8894" priority="3909">
      <formula>LEN(TRIM(AE177))=0</formula>
    </cfRule>
    <cfRule type="containsBlanks" dxfId="8893" priority="3910">
      <formula>LEN(TRIM(AE177))=0</formula>
    </cfRule>
    <cfRule type="containsBlanks" dxfId="8892" priority="3911">
      <formula>LEN(TRIM(AE177))=0</formula>
    </cfRule>
    <cfRule type="containsBlanks" dxfId="8891" priority="3912">
      <formula>LEN(TRIM(AE177))=0</formula>
    </cfRule>
    <cfRule type="containsBlanks" dxfId="8890" priority="3913">
      <formula>LEN(TRIM(AE177))=0</formula>
    </cfRule>
    <cfRule type="containsBlanks" dxfId="8889" priority="3914">
      <formula>LEN(TRIM(AE177))=0</formula>
    </cfRule>
    <cfRule type="containsBlanks" dxfId="8888" priority="3915">
      <formula>LEN(TRIM(AE177))=0</formula>
    </cfRule>
    <cfRule type="containsBlanks" dxfId="8887" priority="3916">
      <formula>LEN(TRIM(AE177))=0</formula>
    </cfRule>
    <cfRule type="containsBlanks" dxfId="8886" priority="3917">
      <formula>LEN(TRIM(AE177))=0</formula>
    </cfRule>
    <cfRule type="containsBlanks" dxfId="8885" priority="3918">
      <formula>LEN(TRIM(AE177))=0</formula>
    </cfRule>
    <cfRule type="containsBlanks" dxfId="8884" priority="3919">
      <formula>LEN(TRIM(AE177))=0</formula>
    </cfRule>
    <cfRule type="containsBlanks" dxfId="8883" priority="3920">
      <formula>LEN(TRIM(AE177))=0</formula>
    </cfRule>
    <cfRule type="containsBlanks" dxfId="8882" priority="3921">
      <formula>LEN(TRIM(AE177))=0</formula>
    </cfRule>
  </conditionalFormatting>
  <conditionalFormatting sqref="AE185">
    <cfRule type="containsBlanks" dxfId="8881" priority="3821">
      <formula>LEN(TRIM(AE185))=0</formula>
    </cfRule>
    <cfRule type="containsBlanks" dxfId="8880" priority="3822">
      <formula>LEN(TRIM(AE185))=0</formula>
    </cfRule>
    <cfRule type="containsBlanks" dxfId="8879" priority="3823">
      <formula>LEN(TRIM(AE185))=0</formula>
    </cfRule>
    <cfRule type="containsBlanks" dxfId="8878" priority="3824">
      <formula>LEN(TRIM(AE185))=0</formula>
    </cfRule>
    <cfRule type="containsBlanks" dxfId="8877" priority="3825">
      <formula>LEN(TRIM(AE185))=0</formula>
    </cfRule>
    <cfRule type="containsBlanks" dxfId="8876" priority="3826">
      <formula>LEN(TRIM(AE185))=0</formula>
    </cfRule>
    <cfRule type="containsBlanks" dxfId="8875" priority="3827">
      <formula>LEN(TRIM(AE185))=0</formula>
    </cfRule>
    <cfRule type="containsBlanks" dxfId="8874" priority="3828">
      <formula>LEN(TRIM(AE185))=0</formula>
    </cfRule>
    <cfRule type="containsBlanks" dxfId="8873" priority="3829">
      <formula>LEN(TRIM(AE185))=0</formula>
    </cfRule>
    <cfRule type="containsBlanks" dxfId="8872" priority="3830">
      <formula>LEN(TRIM(AE185))=0</formula>
    </cfRule>
    <cfRule type="containsBlanks" dxfId="8871" priority="3831">
      <formula>LEN(TRIM(AE185))=0</formula>
    </cfRule>
    <cfRule type="containsBlanks" dxfId="8870" priority="3832">
      <formula>LEN(TRIM(AE185))=0</formula>
    </cfRule>
    <cfRule type="containsBlanks" dxfId="8869" priority="3833">
      <formula>LEN(TRIM(AE185))=0</formula>
    </cfRule>
    <cfRule type="containsBlanks" dxfId="8868" priority="3834">
      <formula>LEN(TRIM(AE185))=0</formula>
    </cfRule>
    <cfRule type="containsBlanks" dxfId="8867" priority="3835">
      <formula>LEN(TRIM(AE185))=0</formula>
    </cfRule>
    <cfRule type="containsBlanks" dxfId="8866" priority="3836">
      <formula>LEN(TRIM(AE185))=0</formula>
    </cfRule>
    <cfRule type="containsBlanks" dxfId="8865" priority="3837">
      <formula>LEN(TRIM(AE185))=0</formula>
    </cfRule>
    <cfRule type="containsBlanks" dxfId="8864" priority="3838">
      <formula>LEN(TRIM(AE185))=0</formula>
    </cfRule>
    <cfRule type="containsBlanks" dxfId="8863" priority="3839">
      <formula>LEN(TRIM(AE185))=0</formula>
    </cfRule>
    <cfRule type="containsBlanks" dxfId="8862" priority="3840">
      <formula>LEN(TRIM(AE185))=0</formula>
    </cfRule>
    <cfRule type="containsBlanks" dxfId="8861" priority="3841">
      <formula>LEN(TRIM(AE185))=0</formula>
    </cfRule>
    <cfRule type="containsBlanks" dxfId="8860" priority="3842">
      <formula>LEN(TRIM(AE185))=0</formula>
    </cfRule>
    <cfRule type="containsBlanks" dxfId="8859" priority="3843">
      <formula>LEN(TRIM(AE185))=0</formula>
    </cfRule>
    <cfRule type="containsBlanks" dxfId="8858" priority="3844">
      <formula>LEN(TRIM(AE185))=0</formula>
    </cfRule>
    <cfRule type="containsBlanks" dxfId="8857" priority="3845">
      <formula>LEN(TRIM(AE185))=0</formula>
    </cfRule>
    <cfRule type="containsBlanks" dxfId="8856" priority="3846">
      <formula>LEN(TRIM(AE185))=0</formula>
    </cfRule>
  </conditionalFormatting>
  <conditionalFormatting sqref="AE195">
    <cfRule type="containsBlanks" dxfId="8855" priority="3797">
      <formula>LEN(TRIM(AE195))=0</formula>
    </cfRule>
    <cfRule type="containsBlanks" dxfId="8854" priority="3798">
      <formula>LEN(TRIM(AE195))=0</formula>
    </cfRule>
    <cfRule type="containsBlanks" dxfId="8853" priority="3799">
      <formula>LEN(TRIM(AE195))=0</formula>
    </cfRule>
    <cfRule type="containsBlanks" dxfId="8852" priority="3800">
      <formula>LEN(TRIM(AE195))=0</formula>
    </cfRule>
    <cfRule type="containsBlanks" dxfId="8851" priority="3801">
      <formula>LEN(TRIM(AE195))=0</formula>
    </cfRule>
    <cfRule type="containsBlanks" dxfId="8850" priority="3802">
      <formula>LEN(TRIM(AE195))=0</formula>
    </cfRule>
    <cfRule type="containsBlanks" dxfId="8849" priority="3803">
      <formula>LEN(TRIM(AE195))=0</formula>
    </cfRule>
    <cfRule type="containsBlanks" dxfId="8848" priority="3804">
      <formula>LEN(TRIM(AE195))=0</formula>
    </cfRule>
    <cfRule type="containsBlanks" dxfId="8847" priority="3805">
      <formula>LEN(TRIM(AE195))=0</formula>
    </cfRule>
    <cfRule type="containsBlanks" dxfId="8846" priority="3806">
      <formula>LEN(TRIM(AE195))=0</formula>
    </cfRule>
    <cfRule type="containsBlanks" dxfId="8845" priority="3807">
      <formula>LEN(TRIM(AE195))=0</formula>
    </cfRule>
    <cfRule type="containsBlanks" dxfId="8844" priority="3808">
      <formula>LEN(TRIM(AE195))=0</formula>
    </cfRule>
    <cfRule type="containsBlanks" dxfId="8843" priority="3809">
      <formula>LEN(TRIM(AE195))=0</formula>
    </cfRule>
    <cfRule type="containsBlanks" dxfId="8842" priority="3810">
      <formula>LEN(TRIM(AE195))=0</formula>
    </cfRule>
    <cfRule type="containsBlanks" dxfId="8841" priority="3811">
      <formula>LEN(TRIM(AE195))=0</formula>
    </cfRule>
    <cfRule type="containsBlanks" dxfId="8840" priority="3812">
      <formula>LEN(TRIM(AE195))=0</formula>
    </cfRule>
    <cfRule type="containsBlanks" dxfId="8839" priority="3813">
      <formula>LEN(TRIM(AE195))=0</formula>
    </cfRule>
    <cfRule type="containsBlanks" dxfId="8838" priority="3814">
      <formula>LEN(TRIM(AE195))=0</formula>
    </cfRule>
    <cfRule type="containsBlanks" dxfId="8837" priority="3815">
      <formula>LEN(TRIM(AE195))=0</formula>
    </cfRule>
    <cfRule type="containsBlanks" dxfId="8836" priority="3816">
      <formula>LEN(TRIM(AE195))=0</formula>
    </cfRule>
    <cfRule type="containsBlanks" dxfId="8835" priority="3817">
      <formula>LEN(TRIM(AE195))=0</formula>
    </cfRule>
    <cfRule type="containsBlanks" dxfId="8834" priority="3818">
      <formula>LEN(TRIM(AE195))=0</formula>
    </cfRule>
    <cfRule type="containsBlanks" dxfId="8833" priority="3819">
      <formula>LEN(TRIM(AE195))=0</formula>
    </cfRule>
    <cfRule type="containsBlanks" dxfId="8832" priority="3820">
      <formula>LEN(TRIM(AE195))=0</formula>
    </cfRule>
  </conditionalFormatting>
  <conditionalFormatting sqref="AE199:AE200">
    <cfRule type="containsBlanks" dxfId="8831" priority="3795">
      <formula>LEN(TRIM(AE199))=0</formula>
    </cfRule>
    <cfRule type="containsBlanks" dxfId="8830" priority="3796">
      <formula>LEN(TRIM(AE199))=0</formula>
    </cfRule>
  </conditionalFormatting>
  <conditionalFormatting sqref="AE209">
    <cfRule type="containsBlanks" dxfId="8829" priority="3793">
      <formula>LEN(TRIM(AE209))=0</formula>
    </cfRule>
    <cfRule type="containsBlanks" dxfId="8828" priority="3794">
      <formula>LEN(TRIM(AE209))=0</formula>
    </cfRule>
  </conditionalFormatting>
  <conditionalFormatting sqref="AE214">
    <cfRule type="containsBlanks" dxfId="8827" priority="3775">
      <formula>LEN(TRIM(AE214))=0</formula>
    </cfRule>
    <cfRule type="containsBlanks" dxfId="8826" priority="3776">
      <formula>LEN(TRIM(AE214))=0</formula>
    </cfRule>
    <cfRule type="containsBlanks" dxfId="8825" priority="3777">
      <formula>LEN(TRIM(AE214))=0</formula>
    </cfRule>
    <cfRule type="containsBlanks" dxfId="8824" priority="3778">
      <formula>LEN(TRIM(AE214))=0</formula>
    </cfRule>
    <cfRule type="containsBlanks" dxfId="8823" priority="3779">
      <formula>LEN(TRIM(AE214))=0</formula>
    </cfRule>
    <cfRule type="containsBlanks" dxfId="8822" priority="3780">
      <formula>LEN(TRIM(AE214))=0</formula>
    </cfRule>
    <cfRule type="containsBlanks" dxfId="8821" priority="3781">
      <formula>LEN(TRIM(AE214))=0</formula>
    </cfRule>
    <cfRule type="containsBlanks" dxfId="8820" priority="3782">
      <formula>LEN(TRIM(AE214))=0</formula>
    </cfRule>
    <cfRule type="containsBlanks" dxfId="8819" priority="3783">
      <formula>LEN(TRIM(AE214))=0</formula>
    </cfRule>
    <cfRule type="containsBlanks" dxfId="8818" priority="3784">
      <formula>LEN(TRIM(AE214))=0</formula>
    </cfRule>
    <cfRule type="containsBlanks" dxfId="8817" priority="3785">
      <formula>LEN(TRIM(AE214))=0</formula>
    </cfRule>
    <cfRule type="containsBlanks" dxfId="8816" priority="3786">
      <formula>LEN(TRIM(AE214))=0</formula>
    </cfRule>
    <cfRule type="containsBlanks" dxfId="8815" priority="3787">
      <formula>LEN(TRIM(AE214))=0</formula>
    </cfRule>
    <cfRule type="containsBlanks" dxfId="8814" priority="3788">
      <formula>LEN(TRIM(AE214))=0</formula>
    </cfRule>
    <cfRule type="containsBlanks" dxfId="8813" priority="3789">
      <formula>LEN(TRIM(AE214))=0</formula>
    </cfRule>
    <cfRule type="containsBlanks" dxfId="8812" priority="3790">
      <formula>LEN(TRIM(AE214))=0</formula>
    </cfRule>
    <cfRule type="containsBlanks" dxfId="8811" priority="3791">
      <formula>LEN(TRIM(AE214))=0</formula>
    </cfRule>
    <cfRule type="containsBlanks" dxfId="8810" priority="3792">
      <formula>LEN(TRIM(AE214))=0</formula>
    </cfRule>
  </conditionalFormatting>
  <conditionalFormatting sqref="AE218:AE220">
    <cfRule type="containsBlanks" dxfId="8809" priority="3761">
      <formula>LEN(TRIM(AE218))=0</formula>
    </cfRule>
    <cfRule type="containsBlanks" dxfId="8808" priority="3762">
      <formula>LEN(TRIM(AE218))=0</formula>
    </cfRule>
    <cfRule type="containsBlanks" dxfId="8807" priority="3763">
      <formula>LEN(TRIM(AE218))=0</formula>
    </cfRule>
    <cfRule type="containsBlanks" dxfId="8806" priority="3764">
      <formula>LEN(TRIM(AE218))=0</formula>
    </cfRule>
    <cfRule type="containsBlanks" dxfId="8805" priority="3765">
      <formula>LEN(TRIM(AE218))=0</formula>
    </cfRule>
    <cfRule type="containsBlanks" dxfId="8804" priority="3766">
      <formula>LEN(TRIM(AE218))=0</formula>
    </cfRule>
    <cfRule type="containsBlanks" dxfId="8803" priority="3767">
      <formula>LEN(TRIM(AE218))=0</formula>
    </cfRule>
    <cfRule type="containsBlanks" dxfId="8802" priority="3768">
      <formula>LEN(TRIM(AE218))=0</formula>
    </cfRule>
    <cfRule type="containsBlanks" dxfId="8801" priority="3769">
      <formula>LEN(TRIM(AE218))=0</formula>
    </cfRule>
    <cfRule type="containsBlanks" dxfId="8800" priority="3770">
      <formula>LEN(TRIM(AE218))=0</formula>
    </cfRule>
    <cfRule type="containsBlanks" dxfId="8799" priority="3771">
      <formula>LEN(TRIM(AE218))=0</formula>
    </cfRule>
    <cfRule type="containsBlanks" dxfId="8798" priority="3772">
      <formula>LEN(TRIM(AE218))=0</formula>
    </cfRule>
    <cfRule type="containsBlanks" dxfId="8797" priority="3773">
      <formula>LEN(TRIM(AE218))=0</formula>
    </cfRule>
    <cfRule type="containsBlanks" dxfId="8796" priority="3774">
      <formula>LEN(TRIM(AE218))=0</formula>
    </cfRule>
  </conditionalFormatting>
  <conditionalFormatting sqref="AE228">
    <cfRule type="containsBlanks" dxfId="8795" priority="3739">
      <formula>LEN(TRIM(AE228))=0</formula>
    </cfRule>
    <cfRule type="containsBlanks" dxfId="8794" priority="3740">
      <formula>LEN(TRIM(AE228))=0</formula>
    </cfRule>
    <cfRule type="containsBlanks" dxfId="8793" priority="3741">
      <formula>LEN(TRIM(AE228))=0</formula>
    </cfRule>
    <cfRule type="containsBlanks" dxfId="8792" priority="3742">
      <formula>LEN(TRIM(AE228))=0</formula>
    </cfRule>
    <cfRule type="containsBlanks" dxfId="8791" priority="3743">
      <formula>LEN(TRIM(AE228))=0</formula>
    </cfRule>
    <cfRule type="containsBlanks" dxfId="8790" priority="3744">
      <formula>LEN(TRIM(AE228))=0</formula>
    </cfRule>
    <cfRule type="containsBlanks" dxfId="8789" priority="3745">
      <formula>LEN(TRIM(AE228))=0</formula>
    </cfRule>
    <cfRule type="containsBlanks" dxfId="8788" priority="3746">
      <formula>LEN(TRIM(AE228))=0</formula>
    </cfRule>
    <cfRule type="containsBlanks" dxfId="8787" priority="3747">
      <formula>LEN(TRIM(AE228))=0</formula>
    </cfRule>
    <cfRule type="containsBlanks" dxfId="8786" priority="3748">
      <formula>LEN(TRIM(AE228))=0</formula>
    </cfRule>
    <cfRule type="containsBlanks" dxfId="8785" priority="3749">
      <formula>LEN(TRIM(AE228))=0</formula>
    </cfRule>
    <cfRule type="containsBlanks" dxfId="8784" priority="3750">
      <formula>LEN(TRIM(AE228))=0</formula>
    </cfRule>
    <cfRule type="containsBlanks" dxfId="8783" priority="3751">
      <formula>LEN(TRIM(AE228))=0</formula>
    </cfRule>
    <cfRule type="containsBlanks" dxfId="8782" priority="3752">
      <formula>LEN(TRIM(AE228))=0</formula>
    </cfRule>
    <cfRule type="containsBlanks" dxfId="8781" priority="3753">
      <formula>LEN(TRIM(AE228))=0</formula>
    </cfRule>
    <cfRule type="containsBlanks" dxfId="8780" priority="3754">
      <formula>LEN(TRIM(AE228))=0</formula>
    </cfRule>
    <cfRule type="containsBlanks" dxfId="8779" priority="3755">
      <formula>LEN(TRIM(AE228))=0</formula>
    </cfRule>
    <cfRule type="containsBlanks" dxfId="8778" priority="3756">
      <formula>LEN(TRIM(AE228))=0</formula>
    </cfRule>
    <cfRule type="containsBlanks" dxfId="8777" priority="3757">
      <formula>LEN(TRIM(AE228))=0</formula>
    </cfRule>
    <cfRule type="containsBlanks" dxfId="8776" priority="3758">
      <formula>LEN(TRIM(AE228))=0</formula>
    </cfRule>
    <cfRule type="containsBlanks" dxfId="8775" priority="3759">
      <formula>LEN(TRIM(AE228))=0</formula>
    </cfRule>
    <cfRule type="containsBlanks" dxfId="8774" priority="3760">
      <formula>LEN(TRIM(AE228))=0</formula>
    </cfRule>
  </conditionalFormatting>
  <conditionalFormatting sqref="AE235">
    <cfRule type="containsBlanks" dxfId="8773" priority="3737">
      <formula>LEN(TRIM(AE235))=0</formula>
    </cfRule>
    <cfRule type="containsBlanks" dxfId="8772" priority="3738">
      <formula>LEN(TRIM(AE235))=0</formula>
    </cfRule>
  </conditionalFormatting>
  <conditionalFormatting sqref="AE236:AE238">
    <cfRule type="containsBlanks" dxfId="8771" priority="3729">
      <formula>LEN(TRIM(AE236))=0</formula>
    </cfRule>
    <cfRule type="containsBlanks" dxfId="8770" priority="3730">
      <formula>LEN(TRIM(AE236))=0</formula>
    </cfRule>
    <cfRule type="containsBlanks" dxfId="8769" priority="3731">
      <formula>LEN(TRIM(AE236))=0</formula>
    </cfRule>
    <cfRule type="containsBlanks" dxfId="8768" priority="3732">
      <formula>LEN(TRIM(AE236))=0</formula>
    </cfRule>
    <cfRule type="containsBlanks" dxfId="8767" priority="3733">
      <formula>LEN(TRIM(AE236))=0</formula>
    </cfRule>
    <cfRule type="containsBlanks" dxfId="8766" priority="3734">
      <formula>LEN(TRIM(AE236))=0</formula>
    </cfRule>
    <cfRule type="containsBlanks" dxfId="8765" priority="3735">
      <formula>LEN(TRIM(AE236))=0</formula>
    </cfRule>
    <cfRule type="containsBlanks" dxfId="8764" priority="3736">
      <formula>LEN(TRIM(AE236))=0</formula>
    </cfRule>
  </conditionalFormatting>
  <conditionalFormatting sqref="AE237:AE238">
    <cfRule type="containsBlanks" dxfId="8763" priority="3727">
      <formula>LEN(TRIM(AE237))=0</formula>
    </cfRule>
    <cfRule type="containsBlanks" dxfId="8762" priority="3728">
      <formula>LEN(TRIM(AE237))=0</formula>
    </cfRule>
  </conditionalFormatting>
  <conditionalFormatting sqref="AE177:AF238">
    <cfRule type="containsBlanks" dxfId="8761" priority="3726">
      <formula>LEN(TRIM(AE177))=0</formula>
    </cfRule>
  </conditionalFormatting>
  <conditionalFormatting sqref="AE195:AF195">
    <cfRule type="containsBlanks" dxfId="8760" priority="3724">
      <formula>LEN(TRIM(AE195))=0</formula>
    </cfRule>
    <cfRule type="containsBlanks" dxfId="8759" priority="3725">
      <formula>LEN(TRIM(AE195))=0</formula>
    </cfRule>
  </conditionalFormatting>
  <conditionalFormatting sqref="AE214:AF214">
    <cfRule type="containsBlanks" dxfId="8758" priority="3722">
      <formula>LEN(TRIM(AE214))=0</formula>
    </cfRule>
    <cfRule type="containsBlanks" dxfId="8757" priority="3723">
      <formula>LEN(TRIM(AE214))=0</formula>
    </cfRule>
  </conditionalFormatting>
  <conditionalFormatting sqref="AE228:AF228">
    <cfRule type="containsBlanks" dxfId="8756" priority="3720">
      <formula>LEN(TRIM(AE228))=0</formula>
    </cfRule>
    <cfRule type="containsBlanks" dxfId="8755" priority="3721">
      <formula>LEN(TRIM(AE228))=0</formula>
    </cfRule>
  </conditionalFormatting>
  <conditionalFormatting sqref="AE177:AG238">
    <cfRule type="containsBlanks" dxfId="8754" priority="3716">
      <formula>LEN(TRIM(AE177))=0</formula>
    </cfRule>
    <cfRule type="containsBlanks" dxfId="8753" priority="3717">
      <formula>LEN(TRIM(AE177))=0</formula>
    </cfRule>
    <cfRule type="containsBlanks" dxfId="8752" priority="3718">
      <formula>LEN(TRIM(AE177))=0</formula>
    </cfRule>
    <cfRule type="containsBlanks" dxfId="8751" priority="3719">
      <formula>LEN(TRIM(AE177))=0</formula>
    </cfRule>
  </conditionalFormatting>
  <conditionalFormatting sqref="AF177:AF238">
    <cfRule type="containsBlanks" dxfId="8750" priority="3638">
      <formula>LEN(TRIM(AF177))=0</formula>
    </cfRule>
    <cfRule type="containsBlanks" dxfId="8749" priority="3639">
      <formula>LEN(TRIM(AF177))=0</formula>
    </cfRule>
    <cfRule type="containsBlanks" dxfId="8748" priority="3640">
      <formula>LEN(TRIM(AF177))=0</formula>
    </cfRule>
    <cfRule type="containsBlanks" dxfId="8747" priority="3641">
      <formula>LEN(TRIM(AF177))=0</formula>
    </cfRule>
    <cfRule type="containsBlanks" dxfId="8746" priority="3642">
      <formula>LEN(TRIM(AF177))=0</formula>
    </cfRule>
    <cfRule type="containsBlanks" dxfId="8745" priority="3643">
      <formula>LEN(TRIM(AF177))=0</formula>
    </cfRule>
    <cfRule type="containsBlanks" dxfId="8744" priority="3644">
      <formula>LEN(TRIM(AF177))=0</formula>
    </cfRule>
    <cfRule type="containsBlanks" dxfId="8743" priority="3645">
      <formula>LEN(TRIM(AF177))=0</formula>
    </cfRule>
    <cfRule type="containsBlanks" dxfId="8742" priority="3646">
      <formula>LEN(TRIM(AF177))=0</formula>
    </cfRule>
    <cfRule type="containsBlanks" dxfId="8741" priority="3647">
      <formula>LEN(TRIM(AF177))=0</formula>
    </cfRule>
    <cfRule type="containsBlanks" dxfId="8740" priority="3648">
      <formula>LEN(TRIM(AF177))=0</formula>
    </cfRule>
    <cfRule type="containsBlanks" dxfId="8739" priority="3649">
      <formula>LEN(TRIM(AF177))=0</formula>
    </cfRule>
    <cfRule type="containsBlanks" dxfId="8738" priority="3650">
      <formula>LEN(TRIM(AF177))=0</formula>
    </cfRule>
    <cfRule type="containsBlanks" dxfId="8737" priority="3651">
      <formula>LEN(TRIM(AF177))=0</formula>
    </cfRule>
    <cfRule type="containsBlanks" dxfId="8736" priority="3652">
      <formula>LEN(TRIM(AF177))=0</formula>
    </cfRule>
    <cfRule type="containsBlanks" dxfId="8735" priority="3653">
      <formula>LEN(TRIM(AF177))=0</formula>
    </cfRule>
    <cfRule type="containsBlanks" dxfId="8734" priority="3654">
      <formula>LEN(TRIM(AF177))=0</formula>
    </cfRule>
    <cfRule type="containsBlanks" dxfId="8733" priority="3655">
      <formula>LEN(TRIM(AF177))=0</formula>
    </cfRule>
    <cfRule type="containsBlanks" dxfId="8732" priority="3656">
      <formula>LEN(TRIM(AF177))=0</formula>
    </cfRule>
    <cfRule type="containsBlanks" dxfId="8731" priority="3657">
      <formula>LEN(TRIM(AF177))=0</formula>
    </cfRule>
    <cfRule type="containsBlanks" dxfId="8730" priority="3658">
      <formula>LEN(TRIM(AF177))=0</formula>
    </cfRule>
    <cfRule type="containsBlanks" dxfId="8729" priority="3659">
      <formula>LEN(TRIM(AF177))=0</formula>
    </cfRule>
    <cfRule type="containsBlanks" dxfId="8728" priority="3660">
      <formula>LEN(TRIM(AF177))=0</formula>
    </cfRule>
    <cfRule type="containsBlanks" dxfId="8727" priority="3661">
      <formula>LEN(TRIM(AF177))=0</formula>
    </cfRule>
    <cfRule type="containsBlanks" dxfId="8726" priority="3662">
      <formula>LEN(TRIM(AF177))=0</formula>
    </cfRule>
    <cfRule type="containsBlanks" dxfId="8725" priority="3663">
      <formula>LEN(TRIM(AF177))=0</formula>
    </cfRule>
    <cfRule type="containsBlanks" dxfId="8724" priority="3664">
      <formula>LEN(TRIM(AF177))=0</formula>
    </cfRule>
    <cfRule type="containsBlanks" dxfId="8723" priority="3665">
      <formula>LEN(TRIM(AF177))=0</formula>
    </cfRule>
    <cfRule type="containsBlanks" dxfId="8722" priority="3666">
      <formula>LEN(TRIM(AF177))=0</formula>
    </cfRule>
    <cfRule type="containsBlanks" dxfId="8721" priority="3667">
      <formula>LEN(TRIM(AF177))=0</formula>
    </cfRule>
    <cfRule type="containsBlanks" dxfId="8720" priority="3668">
      <formula>LEN(TRIM(AF177))=0</formula>
    </cfRule>
    <cfRule type="containsBlanks" dxfId="8719" priority="3669">
      <formula>LEN(TRIM(AF177))=0</formula>
    </cfRule>
    <cfRule type="containsBlanks" dxfId="8718" priority="3670">
      <formula>LEN(TRIM(AF177))=0</formula>
    </cfRule>
    <cfRule type="containsBlanks" dxfId="8717" priority="3671">
      <formula>LEN(TRIM(AF177))=0</formula>
    </cfRule>
    <cfRule type="containsBlanks" dxfId="8716" priority="3672">
      <formula>LEN(TRIM(AF177))=0</formula>
    </cfRule>
    <cfRule type="containsBlanks" dxfId="8715" priority="3673">
      <formula>LEN(TRIM(AF177))=0</formula>
    </cfRule>
    <cfRule type="containsBlanks" dxfId="8714" priority="3674">
      <formula>LEN(TRIM(AF177))=0</formula>
    </cfRule>
    <cfRule type="containsBlanks" dxfId="8713" priority="3675">
      <formula>LEN(TRIM(AF177))=0</formula>
    </cfRule>
    <cfRule type="containsBlanks" dxfId="8712" priority="3676">
      <formula>LEN(TRIM(AF177))=0</formula>
    </cfRule>
    <cfRule type="containsBlanks" dxfId="8711" priority="3677">
      <formula>LEN(TRIM(AF177))=0</formula>
    </cfRule>
    <cfRule type="containsBlanks" dxfId="8710" priority="3678">
      <formula>LEN(TRIM(AF177))=0</formula>
    </cfRule>
    <cfRule type="containsBlanks" dxfId="8709" priority="3679">
      <formula>LEN(TRIM(AF177))=0</formula>
    </cfRule>
    <cfRule type="containsBlanks" dxfId="8708" priority="3680">
      <formula>LEN(TRIM(AF177))=0</formula>
    </cfRule>
    <cfRule type="containsBlanks" dxfId="8707" priority="3681">
      <formula>LEN(TRIM(AF177))=0</formula>
    </cfRule>
    <cfRule type="containsBlanks" dxfId="8706" priority="3682">
      <formula>LEN(TRIM(AF177))=0</formula>
    </cfRule>
    <cfRule type="containsBlanks" dxfId="8705" priority="3683">
      <formula>LEN(TRIM(AF177))=0</formula>
    </cfRule>
    <cfRule type="containsBlanks" dxfId="8704" priority="3684">
      <formula>LEN(TRIM(AF177))=0</formula>
    </cfRule>
    <cfRule type="containsBlanks" dxfId="8703" priority="3685">
      <formula>LEN(TRIM(AF177))=0</formula>
    </cfRule>
    <cfRule type="containsBlanks" dxfId="8702" priority="3686">
      <formula>LEN(TRIM(AF177))=0</formula>
    </cfRule>
    <cfRule type="containsBlanks" dxfId="8701" priority="3687">
      <formula>LEN(TRIM(AF177))=0</formula>
    </cfRule>
    <cfRule type="containsBlanks" dxfId="8700" priority="3688">
      <formula>LEN(TRIM(AF177))=0</formula>
    </cfRule>
    <cfRule type="containsBlanks" dxfId="8699" priority="3689">
      <formula>LEN(TRIM(AF177))=0</formula>
    </cfRule>
    <cfRule type="containsBlanks" dxfId="8698" priority="3690">
      <formula>LEN(TRIM(AF177))=0</formula>
    </cfRule>
    <cfRule type="containsBlanks" dxfId="8697" priority="3691">
      <formula>LEN(TRIM(AF177))=0</formula>
    </cfRule>
    <cfRule type="containsBlanks" dxfId="8696" priority="3692">
      <formula>LEN(TRIM(AF177))=0</formula>
    </cfRule>
    <cfRule type="containsBlanks" dxfId="8695" priority="3693">
      <formula>LEN(TRIM(AF177))=0</formula>
    </cfRule>
    <cfRule type="containsBlanks" dxfId="8694" priority="3694">
      <formula>LEN(TRIM(AF177))=0</formula>
    </cfRule>
    <cfRule type="containsBlanks" dxfId="8693" priority="3695">
      <formula>LEN(TRIM(AF177))=0</formula>
    </cfRule>
    <cfRule type="containsBlanks" dxfId="8692" priority="3696">
      <formula>LEN(TRIM(AF177))=0</formula>
    </cfRule>
    <cfRule type="containsBlanks" dxfId="8691" priority="3697">
      <formula>LEN(TRIM(AF177))=0</formula>
    </cfRule>
    <cfRule type="containsBlanks" dxfId="8690" priority="3698">
      <formula>LEN(TRIM(AF177))=0</formula>
    </cfRule>
    <cfRule type="containsBlanks" dxfId="8689" priority="3699">
      <formula>LEN(TRIM(AF177))=0</formula>
    </cfRule>
    <cfRule type="containsBlanks" dxfId="8688" priority="3700">
      <formula>LEN(TRIM(AF177))=0</formula>
    </cfRule>
    <cfRule type="containsBlanks" dxfId="8687" priority="3701">
      <formula>LEN(TRIM(AF177))=0</formula>
    </cfRule>
    <cfRule type="containsBlanks" dxfId="8686" priority="3702">
      <formula>LEN(TRIM(AF177))=0</formula>
    </cfRule>
    <cfRule type="containsBlanks" dxfId="8685" priority="3703">
      <formula>LEN(TRIM(AF177))=0</formula>
    </cfRule>
    <cfRule type="containsBlanks" dxfId="8684" priority="3704">
      <formula>LEN(TRIM(AF177))=0</formula>
    </cfRule>
    <cfRule type="containsBlanks" dxfId="8683" priority="3705">
      <formula>LEN(TRIM(AF177))=0</formula>
    </cfRule>
    <cfRule type="containsBlanks" dxfId="8682" priority="3706">
      <formula>LEN(TRIM(AF177))=0</formula>
    </cfRule>
    <cfRule type="containsBlanks" dxfId="8681" priority="3707">
      <formula>LEN(TRIM(AF177))=0</formula>
    </cfRule>
    <cfRule type="containsBlanks" dxfId="8680" priority="3708">
      <formula>LEN(TRIM(AF177))=0</formula>
    </cfRule>
    <cfRule type="containsBlanks" dxfId="8679" priority="3709">
      <formula>LEN(TRIM(AF177))=0</formula>
    </cfRule>
    <cfRule type="containsBlanks" dxfId="8678" priority="3710">
      <formula>LEN(TRIM(AF177))=0</formula>
    </cfRule>
    <cfRule type="containsBlanks" dxfId="8677" priority="3711">
      <formula>LEN(TRIM(AF177))=0</formula>
    </cfRule>
    <cfRule type="containsBlanks" dxfId="8676" priority="3712">
      <formula>LEN(TRIM(AF177))=0</formula>
    </cfRule>
    <cfRule type="containsBlanks" dxfId="8675" priority="3713">
      <formula>LEN(TRIM(AF177))=0</formula>
    </cfRule>
    <cfRule type="containsBlanks" dxfId="8674" priority="3714">
      <formula>LEN(TRIM(AF177))=0</formula>
    </cfRule>
    <cfRule type="containsBlanks" dxfId="8673" priority="3715">
      <formula>LEN(TRIM(AF177))=0</formula>
    </cfRule>
  </conditionalFormatting>
  <conditionalFormatting sqref="AF195">
    <cfRule type="containsBlanks" dxfId="8672" priority="3626">
      <formula>LEN(TRIM(AF195))=0</formula>
    </cfRule>
    <cfRule type="containsBlanks" dxfId="8671" priority="3627">
      <formula>LEN(TRIM(AF195))=0</formula>
    </cfRule>
    <cfRule type="containsBlanks" dxfId="8670" priority="3628">
      <formula>LEN(TRIM(AF195))=0</formula>
    </cfRule>
    <cfRule type="containsBlanks" dxfId="8669" priority="3629">
      <formula>LEN(TRIM(AF195))=0</formula>
    </cfRule>
    <cfRule type="containsBlanks" dxfId="8668" priority="3630">
      <formula>LEN(TRIM(AF195))=0</formula>
    </cfRule>
    <cfRule type="containsBlanks" dxfId="8667" priority="3631">
      <formula>LEN(TRIM(AF195))=0</formula>
    </cfRule>
    <cfRule type="containsBlanks" dxfId="8666" priority="3632">
      <formula>LEN(TRIM(AF195))=0</formula>
    </cfRule>
    <cfRule type="containsBlanks" dxfId="8665" priority="3633">
      <formula>LEN(TRIM(AF195))=0</formula>
    </cfRule>
    <cfRule type="containsBlanks" dxfId="8664" priority="3634">
      <formula>LEN(TRIM(AF195))=0</formula>
    </cfRule>
    <cfRule type="containsBlanks" dxfId="8663" priority="3635">
      <formula>LEN(TRIM(AF195))=0</formula>
    </cfRule>
    <cfRule type="containsBlanks" dxfId="8662" priority="3636">
      <formula>LEN(TRIM(AF195))=0</formula>
    </cfRule>
    <cfRule type="containsBlanks" dxfId="8661" priority="3637">
      <formula>LEN(TRIM(AF195))=0</formula>
    </cfRule>
  </conditionalFormatting>
  <conditionalFormatting sqref="AF214">
    <cfRule type="containsBlanks" dxfId="8660" priority="3614">
      <formula>LEN(TRIM(AF214))=0</formula>
    </cfRule>
    <cfRule type="containsBlanks" dxfId="8659" priority="3615">
      <formula>LEN(TRIM(AF214))=0</formula>
    </cfRule>
    <cfRule type="containsBlanks" dxfId="8658" priority="3616">
      <formula>LEN(TRIM(AF214))=0</formula>
    </cfRule>
    <cfRule type="containsBlanks" dxfId="8657" priority="3617">
      <formula>LEN(TRIM(AF214))=0</formula>
    </cfRule>
    <cfRule type="containsBlanks" dxfId="8656" priority="3618">
      <formula>LEN(TRIM(AF214))=0</formula>
    </cfRule>
    <cfRule type="containsBlanks" dxfId="8655" priority="3619">
      <formula>LEN(TRIM(AF214))=0</formula>
    </cfRule>
    <cfRule type="containsBlanks" dxfId="8654" priority="3620">
      <formula>LEN(TRIM(AF214))=0</formula>
    </cfRule>
    <cfRule type="containsBlanks" dxfId="8653" priority="3621">
      <formula>LEN(TRIM(AF214))=0</formula>
    </cfRule>
    <cfRule type="containsBlanks" dxfId="8652" priority="3622">
      <formula>LEN(TRIM(AF214))=0</formula>
    </cfRule>
    <cfRule type="containsBlanks" dxfId="8651" priority="3623">
      <formula>LEN(TRIM(AF214))=0</formula>
    </cfRule>
    <cfRule type="containsBlanks" dxfId="8650" priority="3624">
      <formula>LEN(TRIM(AF214))=0</formula>
    </cfRule>
    <cfRule type="containsBlanks" dxfId="8649" priority="3625">
      <formula>LEN(TRIM(AF214))=0</formula>
    </cfRule>
  </conditionalFormatting>
  <conditionalFormatting sqref="AF222:AF224">
    <cfRule type="containsBlanks" dxfId="8648" priority="3600">
      <formula>LEN(TRIM(AF222))=0</formula>
    </cfRule>
    <cfRule type="containsBlanks" dxfId="8647" priority="3601">
      <formula>LEN(TRIM(AF222))=0</formula>
    </cfRule>
    <cfRule type="containsBlanks" dxfId="8646" priority="3602">
      <formula>LEN(TRIM(AF222))=0</formula>
    </cfRule>
    <cfRule type="containsBlanks" dxfId="8645" priority="3603">
      <formula>LEN(TRIM(AF222))=0</formula>
    </cfRule>
    <cfRule type="containsBlanks" dxfId="8644" priority="3604">
      <formula>LEN(TRIM(AF222))=0</formula>
    </cfRule>
    <cfRule type="containsBlanks" dxfId="8643" priority="3605">
      <formula>LEN(TRIM(AF222))=0</formula>
    </cfRule>
    <cfRule type="containsBlanks" dxfId="8642" priority="3606">
      <formula>LEN(TRIM(AF222))=0</formula>
    </cfRule>
    <cfRule type="containsBlanks" dxfId="8641" priority="3607">
      <formula>LEN(TRIM(AF222))=0</formula>
    </cfRule>
    <cfRule type="containsBlanks" dxfId="8640" priority="3608">
      <formula>LEN(TRIM(AF222))=0</formula>
    </cfRule>
    <cfRule type="containsBlanks" dxfId="8639" priority="3609">
      <formula>LEN(TRIM(AF222))=0</formula>
    </cfRule>
    <cfRule type="containsBlanks" dxfId="8638" priority="3610">
      <formula>LEN(TRIM(AF222))=0</formula>
    </cfRule>
    <cfRule type="containsBlanks" dxfId="8637" priority="3611">
      <formula>LEN(TRIM(AF222))=0</formula>
    </cfRule>
    <cfRule type="containsBlanks" dxfId="8636" priority="3612">
      <formula>LEN(TRIM(AF222))=0</formula>
    </cfRule>
    <cfRule type="containsBlanks" dxfId="8635" priority="3613">
      <formula>LEN(TRIM(AF222))=0</formula>
    </cfRule>
  </conditionalFormatting>
  <conditionalFormatting sqref="AF227">
    <cfRule type="containsBlanks" dxfId="8634" priority="3556">
      <formula>LEN(TRIM(AF227))=0</formula>
    </cfRule>
    <cfRule type="containsBlanks" dxfId="8633" priority="3557">
      <formula>LEN(TRIM(AF227))=0</formula>
    </cfRule>
    <cfRule type="containsBlanks" dxfId="8632" priority="3558">
      <formula>LEN(TRIM(AF227))=0</formula>
    </cfRule>
    <cfRule type="containsBlanks" dxfId="8631" priority="3559">
      <formula>LEN(TRIM(AF227))=0</formula>
    </cfRule>
    <cfRule type="containsBlanks" dxfId="8630" priority="3560">
      <formula>LEN(TRIM(AF227))=0</formula>
    </cfRule>
    <cfRule type="containsBlanks" dxfId="8629" priority="3561">
      <formula>LEN(TRIM(AF227))=0</formula>
    </cfRule>
    <cfRule type="containsBlanks" dxfId="8628" priority="3562">
      <formula>LEN(TRIM(AF227))=0</formula>
    </cfRule>
    <cfRule type="containsBlanks" dxfId="8627" priority="3563">
      <formula>LEN(TRIM(AF227))=0</formula>
    </cfRule>
    <cfRule type="containsBlanks" dxfId="8626" priority="3564">
      <formula>LEN(TRIM(AF227))=0</formula>
    </cfRule>
    <cfRule type="containsBlanks" dxfId="8625" priority="3565">
      <formula>LEN(TRIM(AF227))=0</formula>
    </cfRule>
    <cfRule type="containsBlanks" dxfId="8624" priority="3566">
      <formula>LEN(TRIM(AF227))=0</formula>
    </cfRule>
    <cfRule type="containsBlanks" dxfId="8623" priority="3567">
      <formula>LEN(TRIM(AF227))=0</formula>
    </cfRule>
    <cfRule type="containsBlanks" dxfId="8622" priority="3568">
      <formula>LEN(TRIM(AF227))=0</formula>
    </cfRule>
    <cfRule type="containsBlanks" dxfId="8621" priority="3569">
      <formula>LEN(TRIM(AF227))=0</formula>
    </cfRule>
    <cfRule type="containsBlanks" dxfId="8620" priority="3570">
      <formula>LEN(TRIM(AF227))=0</formula>
    </cfRule>
    <cfRule type="containsBlanks" dxfId="8619" priority="3571">
      <formula>LEN(TRIM(AF227))=0</formula>
    </cfRule>
    <cfRule type="containsBlanks" dxfId="8618" priority="3572">
      <formula>LEN(TRIM(AF227))=0</formula>
    </cfRule>
    <cfRule type="containsBlanks" dxfId="8617" priority="3573">
      <formula>LEN(TRIM(AF227))=0</formula>
    </cfRule>
    <cfRule type="containsBlanks" dxfId="8616" priority="3574">
      <formula>LEN(TRIM(AF227))=0</formula>
    </cfRule>
    <cfRule type="containsBlanks" dxfId="8615" priority="3575">
      <formula>LEN(TRIM(AF227))=0</formula>
    </cfRule>
    <cfRule type="containsBlanks" dxfId="8614" priority="3576">
      <formula>LEN(TRIM(AF227))=0</formula>
    </cfRule>
    <cfRule type="containsBlanks" dxfId="8613" priority="3577">
      <formula>LEN(TRIM(AF227))=0</formula>
    </cfRule>
    <cfRule type="containsBlanks" dxfId="8612" priority="3578">
      <formula>LEN(TRIM(AF227))=0</formula>
    </cfRule>
    <cfRule type="containsBlanks" dxfId="8611" priority="3579">
      <formula>LEN(TRIM(AF227))=0</formula>
    </cfRule>
    <cfRule type="containsBlanks" dxfId="8610" priority="3580">
      <formula>LEN(TRIM(AF227))=0</formula>
    </cfRule>
    <cfRule type="containsBlanks" dxfId="8609" priority="3581">
      <formula>LEN(TRIM(AF227))=0</formula>
    </cfRule>
    <cfRule type="containsBlanks" dxfId="8608" priority="3582">
      <formula>LEN(TRIM(AF227))=0</formula>
    </cfRule>
    <cfRule type="containsBlanks" dxfId="8607" priority="3583">
      <formula>LEN(TRIM(AF227))=0</formula>
    </cfRule>
    <cfRule type="containsBlanks" dxfId="8606" priority="3584">
      <formula>LEN(TRIM(AF227))=0</formula>
    </cfRule>
    <cfRule type="containsBlanks" dxfId="8605" priority="3585">
      <formula>LEN(TRIM(AF227))=0</formula>
    </cfRule>
    <cfRule type="containsBlanks" dxfId="8604" priority="3586">
      <formula>LEN(TRIM(AF227))=0</formula>
    </cfRule>
    <cfRule type="containsBlanks" dxfId="8603" priority="3587">
      <formula>LEN(TRIM(AF227))=0</formula>
    </cfRule>
    <cfRule type="containsBlanks" dxfId="8602" priority="3588">
      <formula>LEN(TRIM(AF227))=0</formula>
    </cfRule>
    <cfRule type="containsBlanks" dxfId="8601" priority="3589">
      <formula>LEN(TRIM(AF227))=0</formula>
    </cfRule>
    <cfRule type="containsBlanks" dxfId="8600" priority="3590">
      <formula>LEN(TRIM(AF227))=0</formula>
    </cfRule>
    <cfRule type="containsBlanks" dxfId="8599" priority="3591">
      <formula>LEN(TRIM(AF227))=0</formula>
    </cfRule>
    <cfRule type="containsBlanks" dxfId="8598" priority="3592">
      <formula>LEN(TRIM(AF227))=0</formula>
    </cfRule>
    <cfRule type="containsBlanks" dxfId="8597" priority="3593">
      <formula>LEN(TRIM(AF227))=0</formula>
    </cfRule>
    <cfRule type="containsBlanks" dxfId="8596" priority="3594">
      <formula>LEN(TRIM(AF227))=0</formula>
    </cfRule>
    <cfRule type="containsBlanks" dxfId="8595" priority="3595">
      <formula>LEN(TRIM(AF227))=0</formula>
    </cfRule>
    <cfRule type="containsBlanks" dxfId="8594" priority="3596">
      <formula>LEN(TRIM(AF227))=0</formula>
    </cfRule>
    <cfRule type="containsBlanks" dxfId="8593" priority="3597">
      <formula>LEN(TRIM(AF227))=0</formula>
    </cfRule>
    <cfRule type="containsBlanks" dxfId="8592" priority="3598">
      <formula>LEN(TRIM(AF227))=0</formula>
    </cfRule>
    <cfRule type="containsBlanks" dxfId="8591" priority="3599">
      <formula>LEN(TRIM(AF227))=0</formula>
    </cfRule>
  </conditionalFormatting>
  <conditionalFormatting sqref="AF227:AF228">
    <cfRule type="containsBlanks" dxfId="8590" priority="3554">
      <formula>LEN(TRIM(AF227))=0</formula>
    </cfRule>
    <cfRule type="containsBlanks" dxfId="8589" priority="3555">
      <formula>LEN(TRIM(AF227))=0</formula>
    </cfRule>
  </conditionalFormatting>
  <conditionalFormatting sqref="AF228">
    <cfRule type="containsBlanks" dxfId="8588" priority="3466">
      <formula>LEN(TRIM(AF228))=0</formula>
    </cfRule>
    <cfRule type="containsBlanks" dxfId="8587" priority="3467">
      <formula>LEN(TRIM(AF228))=0</formula>
    </cfRule>
    <cfRule type="containsBlanks" dxfId="8586" priority="3468">
      <formula>LEN(TRIM(AF228))=0</formula>
    </cfRule>
    <cfRule type="containsBlanks" dxfId="8585" priority="3469">
      <formula>LEN(TRIM(AF228))=0</formula>
    </cfRule>
    <cfRule type="containsBlanks" dxfId="8584" priority="3470">
      <formula>LEN(TRIM(AF228))=0</formula>
    </cfRule>
    <cfRule type="containsBlanks" dxfId="8583" priority="3471">
      <formula>LEN(TRIM(AF228))=0</formula>
    </cfRule>
    <cfRule type="containsBlanks" dxfId="8582" priority="3472">
      <formula>LEN(TRIM(AF228))=0</formula>
    </cfRule>
    <cfRule type="containsBlanks" dxfId="8581" priority="3473">
      <formula>LEN(TRIM(AF228))=0</formula>
    </cfRule>
    <cfRule type="containsBlanks" dxfId="8580" priority="3474">
      <formula>LEN(TRIM(AF228))=0</formula>
    </cfRule>
    <cfRule type="containsBlanks" dxfId="8579" priority="3475">
      <formula>LEN(TRIM(AF228))=0</formula>
    </cfRule>
    <cfRule type="containsBlanks" dxfId="8578" priority="3476">
      <formula>LEN(TRIM(AF228))=0</formula>
    </cfRule>
    <cfRule type="containsBlanks" dxfId="8577" priority="3477">
      <formula>LEN(TRIM(AF228))=0</formula>
    </cfRule>
    <cfRule type="containsBlanks" dxfId="8576" priority="3478">
      <formula>LEN(TRIM(AF228))=0</formula>
    </cfRule>
    <cfRule type="containsBlanks" dxfId="8575" priority="3479">
      <formula>LEN(TRIM(AF228))=0</formula>
    </cfRule>
    <cfRule type="containsBlanks" dxfId="8574" priority="3480">
      <formula>LEN(TRIM(AF228))=0</formula>
    </cfRule>
    <cfRule type="containsBlanks" dxfId="8573" priority="3481">
      <formula>LEN(TRIM(AF228))=0</formula>
    </cfRule>
    <cfRule type="containsBlanks" dxfId="8572" priority="3482">
      <formula>LEN(TRIM(AF228))=0</formula>
    </cfRule>
    <cfRule type="containsBlanks" dxfId="8571" priority="3483">
      <formula>LEN(TRIM(AF228))=0</formula>
    </cfRule>
    <cfRule type="containsBlanks" dxfId="8570" priority="3484">
      <formula>LEN(TRIM(AF228))=0</formula>
    </cfRule>
    <cfRule type="containsBlanks" dxfId="8569" priority="3485">
      <formula>LEN(TRIM(AF228))=0</formula>
    </cfRule>
    <cfRule type="containsBlanks" dxfId="8568" priority="3486">
      <formula>LEN(TRIM(AF228))=0</formula>
    </cfRule>
    <cfRule type="containsBlanks" dxfId="8567" priority="3487">
      <formula>LEN(TRIM(AF228))=0</formula>
    </cfRule>
    <cfRule type="containsBlanks" dxfId="8566" priority="3488">
      <formula>LEN(TRIM(AF228))=0</formula>
    </cfRule>
    <cfRule type="containsBlanks" dxfId="8565" priority="3489">
      <formula>LEN(TRIM(AF228))=0</formula>
    </cfRule>
    <cfRule type="containsBlanks" dxfId="8564" priority="3490">
      <formula>LEN(TRIM(AF228))=0</formula>
    </cfRule>
    <cfRule type="containsBlanks" dxfId="8563" priority="3491">
      <formula>LEN(TRIM(AF228))=0</formula>
    </cfRule>
    <cfRule type="containsBlanks" dxfId="8562" priority="3492">
      <formula>LEN(TRIM(AF228))=0</formula>
    </cfRule>
    <cfRule type="containsBlanks" dxfId="8561" priority="3493">
      <formula>LEN(TRIM(AF228))=0</formula>
    </cfRule>
    <cfRule type="containsBlanks" dxfId="8560" priority="3494">
      <formula>LEN(TRIM(AF228))=0</formula>
    </cfRule>
    <cfRule type="containsBlanks" dxfId="8559" priority="3495">
      <formula>LEN(TRIM(AF228))=0</formula>
    </cfRule>
    <cfRule type="containsBlanks" dxfId="8558" priority="3496">
      <formula>LEN(TRIM(AF228))=0</formula>
    </cfRule>
    <cfRule type="containsBlanks" dxfId="8557" priority="3497">
      <formula>LEN(TRIM(AF228))=0</formula>
    </cfRule>
    <cfRule type="containsBlanks" dxfId="8556" priority="3498">
      <formula>LEN(TRIM(AF228))=0</formula>
    </cfRule>
    <cfRule type="containsBlanks" dxfId="8555" priority="3499">
      <formula>LEN(TRIM(AF228))=0</formula>
    </cfRule>
    <cfRule type="containsBlanks" dxfId="8554" priority="3500">
      <formula>LEN(TRIM(AF228))=0</formula>
    </cfRule>
    <cfRule type="containsBlanks" dxfId="8553" priority="3501">
      <formula>LEN(TRIM(AF228))=0</formula>
    </cfRule>
    <cfRule type="containsBlanks" dxfId="8552" priority="3502">
      <formula>LEN(TRIM(AF228))=0</formula>
    </cfRule>
    <cfRule type="containsBlanks" dxfId="8551" priority="3503">
      <formula>LEN(TRIM(AF228))=0</formula>
    </cfRule>
    <cfRule type="containsBlanks" dxfId="8550" priority="3504">
      <formula>LEN(TRIM(AF228))=0</formula>
    </cfRule>
    <cfRule type="containsBlanks" dxfId="8549" priority="3505">
      <formula>LEN(TRIM(AF228))=0</formula>
    </cfRule>
    <cfRule type="containsBlanks" dxfId="8548" priority="3506">
      <formula>LEN(TRIM(AF228))=0</formula>
    </cfRule>
    <cfRule type="containsBlanks" dxfId="8547" priority="3507">
      <formula>LEN(TRIM(AF228))=0</formula>
    </cfRule>
    <cfRule type="containsBlanks" dxfId="8546" priority="3508">
      <formula>LEN(TRIM(AF228))=0</formula>
    </cfRule>
    <cfRule type="containsBlanks" dxfId="8545" priority="3509">
      <formula>LEN(TRIM(AF228))=0</formula>
    </cfRule>
    <cfRule type="containsBlanks" dxfId="8544" priority="3510">
      <formula>LEN(TRIM(AF228))=0</formula>
    </cfRule>
    <cfRule type="containsBlanks" dxfId="8543" priority="3511">
      <formula>LEN(TRIM(AF228))=0</formula>
    </cfRule>
    <cfRule type="containsBlanks" dxfId="8542" priority="3512">
      <formula>LEN(TRIM(AF228))=0</formula>
    </cfRule>
    <cfRule type="containsBlanks" dxfId="8541" priority="3513">
      <formula>LEN(TRIM(AF228))=0</formula>
    </cfRule>
    <cfRule type="containsBlanks" dxfId="8540" priority="3514">
      <formula>LEN(TRIM(AF228))=0</formula>
    </cfRule>
    <cfRule type="containsBlanks" dxfId="8539" priority="3515">
      <formula>LEN(TRIM(AF228))=0</formula>
    </cfRule>
    <cfRule type="containsBlanks" dxfId="8538" priority="3516">
      <formula>LEN(TRIM(AF228))=0</formula>
    </cfRule>
    <cfRule type="containsBlanks" dxfId="8537" priority="3517">
      <formula>LEN(TRIM(AF228))=0</formula>
    </cfRule>
    <cfRule type="containsBlanks" dxfId="8536" priority="3518">
      <formula>LEN(TRIM(AF228))=0</formula>
    </cfRule>
    <cfRule type="containsBlanks" dxfId="8535" priority="3519">
      <formula>LEN(TRIM(AF228))=0</formula>
    </cfRule>
    <cfRule type="containsBlanks" dxfId="8534" priority="3520">
      <formula>LEN(TRIM(AF228))=0</formula>
    </cfRule>
    <cfRule type="containsBlanks" dxfId="8533" priority="3521">
      <formula>LEN(TRIM(AF228))=0</formula>
    </cfRule>
    <cfRule type="containsBlanks" dxfId="8532" priority="3522">
      <formula>LEN(TRIM(AF228))=0</formula>
    </cfRule>
    <cfRule type="containsBlanks" dxfId="8531" priority="3523">
      <formula>LEN(TRIM(AF228))=0</formula>
    </cfRule>
    <cfRule type="containsBlanks" dxfId="8530" priority="3524">
      <formula>LEN(TRIM(AF228))=0</formula>
    </cfRule>
    <cfRule type="containsBlanks" dxfId="8529" priority="3525">
      <formula>LEN(TRIM(AF228))=0</formula>
    </cfRule>
    <cfRule type="containsBlanks" dxfId="8528" priority="3526">
      <formula>LEN(TRIM(AF228))=0</formula>
    </cfRule>
    <cfRule type="containsBlanks" dxfId="8527" priority="3527">
      <formula>LEN(TRIM(AF228))=0</formula>
    </cfRule>
    <cfRule type="containsBlanks" dxfId="8526" priority="3528">
      <formula>LEN(TRIM(AF228))=0</formula>
    </cfRule>
    <cfRule type="containsBlanks" dxfId="8525" priority="3529">
      <formula>LEN(TRIM(AF228))=0</formula>
    </cfRule>
    <cfRule type="containsBlanks" dxfId="8524" priority="3530">
      <formula>LEN(TRIM(AF228))=0</formula>
    </cfRule>
    <cfRule type="containsBlanks" dxfId="8523" priority="3531">
      <formula>LEN(TRIM(AF228))=0</formula>
    </cfRule>
    <cfRule type="containsBlanks" dxfId="8522" priority="3532">
      <formula>LEN(TRIM(AF228))=0</formula>
    </cfRule>
    <cfRule type="containsBlanks" dxfId="8521" priority="3533">
      <formula>LEN(TRIM(AF228))=0</formula>
    </cfRule>
    <cfRule type="containsBlanks" dxfId="8520" priority="3534">
      <formula>LEN(TRIM(AF228))=0</formula>
    </cfRule>
    <cfRule type="containsBlanks" dxfId="8519" priority="3535">
      <formula>LEN(TRIM(AF228))=0</formula>
    </cfRule>
    <cfRule type="containsBlanks" dxfId="8518" priority="3536">
      <formula>LEN(TRIM(AF228))=0</formula>
    </cfRule>
    <cfRule type="containsBlanks" dxfId="8517" priority="3537">
      <formula>LEN(TRIM(AF228))=0</formula>
    </cfRule>
    <cfRule type="containsBlanks" dxfId="8516" priority="3538">
      <formula>LEN(TRIM(AF228))=0</formula>
    </cfRule>
    <cfRule type="containsBlanks" dxfId="8515" priority="3539">
      <formula>LEN(TRIM(AF228))=0</formula>
    </cfRule>
    <cfRule type="containsBlanks" dxfId="8514" priority="3540">
      <formula>LEN(TRIM(AF228))=0</formula>
    </cfRule>
    <cfRule type="containsBlanks" dxfId="8513" priority="3541">
      <formula>LEN(TRIM(AF228))=0</formula>
    </cfRule>
    <cfRule type="containsBlanks" dxfId="8512" priority="3542">
      <formula>LEN(TRIM(AF228))=0</formula>
    </cfRule>
    <cfRule type="containsBlanks" dxfId="8511" priority="3543">
      <formula>LEN(TRIM(AF228))=0</formula>
    </cfRule>
    <cfRule type="containsBlanks" dxfId="8510" priority="3544">
      <formula>LEN(TRIM(AF228))=0</formula>
    </cfRule>
    <cfRule type="containsBlanks" dxfId="8509" priority="3545">
      <formula>LEN(TRIM(AF228))=0</formula>
    </cfRule>
    <cfRule type="containsBlanks" dxfId="8508" priority="3546">
      <formula>LEN(TRIM(AF228))=0</formula>
    </cfRule>
    <cfRule type="containsBlanks" dxfId="8507" priority="3547">
      <formula>LEN(TRIM(AF228))=0</formula>
    </cfRule>
    <cfRule type="containsBlanks" dxfId="8506" priority="3548">
      <formula>LEN(TRIM(AF228))=0</formula>
    </cfRule>
    <cfRule type="containsBlanks" dxfId="8505" priority="3549">
      <formula>LEN(TRIM(AF228))=0</formula>
    </cfRule>
    <cfRule type="containsBlanks" dxfId="8504" priority="3550">
      <formula>LEN(TRIM(AF228))=0</formula>
    </cfRule>
    <cfRule type="containsBlanks" dxfId="8503" priority="3551">
      <formula>LEN(TRIM(AF228))=0</formula>
    </cfRule>
    <cfRule type="containsBlanks" dxfId="8502" priority="3552">
      <formula>LEN(TRIM(AF228))=0</formula>
    </cfRule>
    <cfRule type="containsBlanks" dxfId="8501" priority="3553">
      <formula>LEN(TRIM(AF228))=0</formula>
    </cfRule>
  </conditionalFormatting>
  <conditionalFormatting sqref="AG177:AG238">
    <cfRule type="containsBlanks" dxfId="8500" priority="3312">
      <formula>LEN(TRIM(AG177))=0</formula>
    </cfRule>
    <cfRule type="containsBlanks" dxfId="8499" priority="3313">
      <formula>LEN(TRIM(AG177))=0</formula>
    </cfRule>
    <cfRule type="containsBlanks" dxfId="8498" priority="3314">
      <formula>LEN(TRIM(AG177))=0</formula>
    </cfRule>
    <cfRule type="containsBlanks" dxfId="8497" priority="3315">
      <formula>LEN(TRIM(AG177))=0</formula>
    </cfRule>
    <cfRule type="containsBlanks" dxfId="8496" priority="3316">
      <formula>LEN(TRIM(AG177))=0</formula>
    </cfRule>
    <cfRule type="containsBlanks" dxfId="8495" priority="3317">
      <formula>LEN(TRIM(AG177))=0</formula>
    </cfRule>
    <cfRule type="containsBlanks" dxfId="8494" priority="3318">
      <formula>LEN(TRIM(AG177))=0</formula>
    </cfRule>
    <cfRule type="containsBlanks" dxfId="8493" priority="3319">
      <formula>LEN(TRIM(AG177))=0</formula>
    </cfRule>
    <cfRule type="containsBlanks" dxfId="8492" priority="3320">
      <formula>LEN(TRIM(AG177))=0</formula>
    </cfRule>
    <cfRule type="containsBlanks" dxfId="8491" priority="3321">
      <formula>LEN(TRIM(AG177))=0</formula>
    </cfRule>
    <cfRule type="containsBlanks" dxfId="8490" priority="3322">
      <formula>LEN(TRIM(AG177))=0</formula>
    </cfRule>
    <cfRule type="containsBlanks" dxfId="8489" priority="3323">
      <formula>LEN(TRIM(AG177))=0</formula>
    </cfRule>
    <cfRule type="containsBlanks" dxfId="8488" priority="3324">
      <formula>LEN(TRIM(AG177))=0</formula>
    </cfRule>
    <cfRule type="containsBlanks" dxfId="8487" priority="3325">
      <formula>LEN(TRIM(AG177))=0</formula>
    </cfRule>
    <cfRule type="containsBlanks" dxfId="8486" priority="3326">
      <formula>LEN(TRIM(AG177))=0</formula>
    </cfRule>
    <cfRule type="containsBlanks" dxfId="8485" priority="3327">
      <formula>LEN(TRIM(AG177))=0</formula>
    </cfRule>
    <cfRule type="containsBlanks" dxfId="8484" priority="3328">
      <formula>LEN(TRIM(AG177))=0</formula>
    </cfRule>
    <cfRule type="containsBlanks" dxfId="8483" priority="3329">
      <formula>LEN(TRIM(AG177))=0</formula>
    </cfRule>
    <cfRule type="containsBlanks" dxfId="8482" priority="3330">
      <formula>LEN(TRIM(AG177))=0</formula>
    </cfRule>
    <cfRule type="containsBlanks" dxfId="8481" priority="3331">
      <formula>LEN(TRIM(AG177))=0</formula>
    </cfRule>
    <cfRule type="containsBlanks" dxfId="8480" priority="3332">
      <formula>LEN(TRIM(AG177))=0</formula>
    </cfRule>
    <cfRule type="containsBlanks" dxfId="8479" priority="3333">
      <formula>LEN(TRIM(AG177))=0</formula>
    </cfRule>
    <cfRule type="containsBlanks" dxfId="8478" priority="3334">
      <formula>LEN(TRIM(AG177))=0</formula>
    </cfRule>
    <cfRule type="containsBlanks" dxfId="8477" priority="3335">
      <formula>LEN(TRIM(AG177))=0</formula>
    </cfRule>
    <cfRule type="containsBlanks" dxfId="8476" priority="3336">
      <formula>LEN(TRIM(AG177))=0</formula>
    </cfRule>
    <cfRule type="containsBlanks" dxfId="8475" priority="3337">
      <formula>LEN(TRIM(AG177))=0</formula>
    </cfRule>
    <cfRule type="containsBlanks" dxfId="8474" priority="3338">
      <formula>LEN(TRIM(AG177))=0</formula>
    </cfRule>
    <cfRule type="containsBlanks" dxfId="8473" priority="3339">
      <formula>LEN(TRIM(AG177))=0</formula>
    </cfRule>
    <cfRule type="containsBlanks" dxfId="8472" priority="3340">
      <formula>LEN(TRIM(AG177))=0</formula>
    </cfRule>
    <cfRule type="containsBlanks" dxfId="8471" priority="3341">
      <formula>LEN(TRIM(AG177))=0</formula>
    </cfRule>
    <cfRule type="containsBlanks" dxfId="8470" priority="3342">
      <formula>LEN(TRIM(AG177))=0</formula>
    </cfRule>
    <cfRule type="containsBlanks" dxfId="8469" priority="3343">
      <formula>LEN(TRIM(AG177))=0</formula>
    </cfRule>
    <cfRule type="containsBlanks" dxfId="8468" priority="3344">
      <formula>LEN(TRIM(AG177))=0</formula>
    </cfRule>
    <cfRule type="containsBlanks" dxfId="8467" priority="3345">
      <formula>LEN(TRIM(AG177))=0</formula>
    </cfRule>
    <cfRule type="containsBlanks" dxfId="8466" priority="3346">
      <formula>LEN(TRIM(AG177))=0</formula>
    </cfRule>
    <cfRule type="containsBlanks" dxfId="8465" priority="3347">
      <formula>LEN(TRIM(AG177))=0</formula>
    </cfRule>
    <cfRule type="containsBlanks" dxfId="8464" priority="3348">
      <formula>LEN(TRIM(AG177))=0</formula>
    </cfRule>
    <cfRule type="containsBlanks" dxfId="8463" priority="3349">
      <formula>LEN(TRIM(AG177))=0</formula>
    </cfRule>
    <cfRule type="containsBlanks" dxfId="8462" priority="3350">
      <formula>LEN(TRIM(AG177))=0</formula>
    </cfRule>
    <cfRule type="containsBlanks" dxfId="8461" priority="3351">
      <formula>LEN(TRIM(AG177))=0</formula>
    </cfRule>
    <cfRule type="containsBlanks" dxfId="8460" priority="3352">
      <formula>LEN(TRIM(AG177))=0</formula>
    </cfRule>
    <cfRule type="containsBlanks" dxfId="8459" priority="3353">
      <formula>LEN(TRIM(AG177))=0</formula>
    </cfRule>
    <cfRule type="containsBlanks" dxfId="8458" priority="3354">
      <formula>LEN(TRIM(AG177))=0</formula>
    </cfRule>
    <cfRule type="containsBlanks" dxfId="8457" priority="3355">
      <formula>LEN(TRIM(AG177))=0</formula>
    </cfRule>
    <cfRule type="containsBlanks" dxfId="8456" priority="3356">
      <formula>LEN(TRIM(AG177))=0</formula>
    </cfRule>
    <cfRule type="containsBlanks" dxfId="8455" priority="3357">
      <formula>LEN(TRIM(AG177))=0</formula>
    </cfRule>
    <cfRule type="containsBlanks" dxfId="8454" priority="3358">
      <formula>LEN(TRIM(AG177))=0</formula>
    </cfRule>
    <cfRule type="containsBlanks" dxfId="8453" priority="3359">
      <formula>LEN(TRIM(AG177))=0</formula>
    </cfRule>
    <cfRule type="containsBlanks" dxfId="8452" priority="3360">
      <formula>LEN(TRIM(AG177))=0</formula>
    </cfRule>
    <cfRule type="containsBlanks" dxfId="8451" priority="3361">
      <formula>LEN(TRIM(AG177))=0</formula>
    </cfRule>
    <cfRule type="containsBlanks" dxfId="8450" priority="3362">
      <formula>LEN(TRIM(AG177))=0</formula>
    </cfRule>
    <cfRule type="containsBlanks" dxfId="8449" priority="3363">
      <formula>LEN(TRIM(AG177))=0</formula>
    </cfRule>
    <cfRule type="containsBlanks" dxfId="8448" priority="3364">
      <formula>LEN(TRIM(AG177))=0</formula>
    </cfRule>
    <cfRule type="containsBlanks" dxfId="8447" priority="3365">
      <formula>LEN(TRIM(AG177))=0</formula>
    </cfRule>
    <cfRule type="containsBlanks" dxfId="8446" priority="3366">
      <formula>LEN(TRIM(AG177))=0</formula>
    </cfRule>
    <cfRule type="containsBlanks" dxfId="8445" priority="3367">
      <formula>LEN(TRIM(AG177))=0</formula>
    </cfRule>
    <cfRule type="containsBlanks" dxfId="8444" priority="3368">
      <formula>LEN(TRIM(AG177))=0</formula>
    </cfRule>
    <cfRule type="containsBlanks" dxfId="8443" priority="3369">
      <formula>LEN(TRIM(AG177))=0</formula>
    </cfRule>
    <cfRule type="containsBlanks" dxfId="8442" priority="3370">
      <formula>LEN(TRIM(AG177))=0</formula>
    </cfRule>
    <cfRule type="containsBlanks" dxfId="8441" priority="3371">
      <formula>LEN(TRIM(AG177))=0</formula>
    </cfRule>
    <cfRule type="containsBlanks" dxfId="8440" priority="3372">
      <formula>LEN(TRIM(AG177))=0</formula>
    </cfRule>
    <cfRule type="containsBlanks" dxfId="8439" priority="3373">
      <formula>LEN(TRIM(AG177))=0</formula>
    </cfRule>
    <cfRule type="containsBlanks" dxfId="8438" priority="3374">
      <formula>LEN(TRIM(AG177))=0</formula>
    </cfRule>
    <cfRule type="containsBlanks" dxfId="8437" priority="3375">
      <formula>LEN(TRIM(AG177))=0</formula>
    </cfRule>
    <cfRule type="containsBlanks" dxfId="8436" priority="3376">
      <formula>LEN(TRIM(AG177))=0</formula>
    </cfRule>
    <cfRule type="containsBlanks" dxfId="8435" priority="3377">
      <formula>LEN(TRIM(AG177))=0</formula>
    </cfRule>
    <cfRule type="containsBlanks" dxfId="8434" priority="3378">
      <formula>LEN(TRIM(AG177))=0</formula>
    </cfRule>
    <cfRule type="containsBlanks" dxfId="8433" priority="3379">
      <formula>LEN(TRIM(AG177))=0</formula>
    </cfRule>
    <cfRule type="containsBlanks" dxfId="8432" priority="3380">
      <formula>LEN(TRIM(AG177))=0</formula>
    </cfRule>
    <cfRule type="containsBlanks" dxfId="8431" priority="3381">
      <formula>LEN(TRIM(AG177))=0</formula>
    </cfRule>
    <cfRule type="containsBlanks" dxfId="8430" priority="3382">
      <formula>LEN(TRIM(AG177))=0</formula>
    </cfRule>
    <cfRule type="containsBlanks" dxfId="8429" priority="3383">
      <formula>LEN(TRIM(AG177))=0</formula>
    </cfRule>
    <cfRule type="containsBlanks" dxfId="8428" priority="3384">
      <formula>LEN(TRIM(AG177))=0</formula>
    </cfRule>
    <cfRule type="containsBlanks" dxfId="8427" priority="3385">
      <formula>LEN(TRIM(AG177))=0</formula>
    </cfRule>
    <cfRule type="containsBlanks" dxfId="8426" priority="3386">
      <formula>LEN(TRIM(AG177))=0</formula>
    </cfRule>
    <cfRule type="containsBlanks" dxfId="8425" priority="3387">
      <formula>LEN(TRIM(AG177))=0</formula>
    </cfRule>
    <cfRule type="containsBlanks" dxfId="8424" priority="3388">
      <formula>LEN(TRIM(AG177))=0</formula>
    </cfRule>
    <cfRule type="containsBlanks" dxfId="8423" priority="3389">
      <formula>LEN(TRIM(AG177))=0</formula>
    </cfRule>
    <cfRule type="containsBlanks" dxfId="8422" priority="3390">
      <formula>LEN(TRIM(AG177))=0</formula>
    </cfRule>
    <cfRule type="containsBlanks" dxfId="8421" priority="3391">
      <formula>LEN(TRIM(AG177))=0</formula>
    </cfRule>
    <cfRule type="containsBlanks" dxfId="8420" priority="3392">
      <formula>LEN(TRIM(AG177))=0</formula>
    </cfRule>
    <cfRule type="containsBlanks" dxfId="8419" priority="3393">
      <formula>LEN(TRIM(AG177))=0</formula>
    </cfRule>
    <cfRule type="containsBlanks" dxfId="8418" priority="3394">
      <formula>LEN(TRIM(AG177))=0</formula>
    </cfRule>
    <cfRule type="containsBlanks" dxfId="8417" priority="3395">
      <formula>LEN(TRIM(AG177))=0</formula>
    </cfRule>
    <cfRule type="containsBlanks" dxfId="8416" priority="3396">
      <formula>LEN(TRIM(AG177))=0</formula>
    </cfRule>
    <cfRule type="containsBlanks" dxfId="8415" priority="3397">
      <formula>LEN(TRIM(AG177))=0</formula>
    </cfRule>
    <cfRule type="containsBlanks" dxfId="8414" priority="3398">
      <formula>LEN(TRIM(AG177))=0</formula>
    </cfRule>
    <cfRule type="containsBlanks" dxfId="8413" priority="3399">
      <formula>LEN(TRIM(AG177))=0</formula>
    </cfRule>
    <cfRule type="containsBlanks" dxfId="8412" priority="3400">
      <formula>LEN(TRIM(AG177))=0</formula>
    </cfRule>
    <cfRule type="containsBlanks" dxfId="8411" priority="3401">
      <formula>LEN(TRIM(AG177))=0</formula>
    </cfRule>
    <cfRule type="containsBlanks" dxfId="8410" priority="3402">
      <formula>LEN(TRIM(AG177))=0</formula>
    </cfRule>
    <cfRule type="containsBlanks" dxfId="8409" priority="3403">
      <formula>LEN(TRIM(AG177))=0</formula>
    </cfRule>
    <cfRule type="containsBlanks" dxfId="8408" priority="3404">
      <formula>LEN(TRIM(AG177))=0</formula>
    </cfRule>
    <cfRule type="containsBlanks" dxfId="8407" priority="3405">
      <formula>LEN(TRIM(AG177))=0</formula>
    </cfRule>
    <cfRule type="containsBlanks" dxfId="8406" priority="3406">
      <formula>LEN(TRIM(AG177))=0</formula>
    </cfRule>
    <cfRule type="containsBlanks" dxfId="8405" priority="3407">
      <formula>LEN(TRIM(AG177))=0</formula>
    </cfRule>
    <cfRule type="containsBlanks" dxfId="8404" priority="3408">
      <formula>LEN(TRIM(AG177))=0</formula>
    </cfRule>
    <cfRule type="containsBlanks" dxfId="8403" priority="3409">
      <formula>LEN(TRIM(AG177))=0</formula>
    </cfRule>
    <cfRule type="containsBlanks" dxfId="8402" priority="3410">
      <formula>LEN(TRIM(AG177))=0</formula>
    </cfRule>
    <cfRule type="containsBlanks" dxfId="8401" priority="3411">
      <formula>LEN(TRIM(AG177))=0</formula>
    </cfRule>
    <cfRule type="containsBlanks" dxfId="8400" priority="3412">
      <formula>LEN(TRIM(AG177))=0</formula>
    </cfRule>
    <cfRule type="containsBlanks" dxfId="8399" priority="3413">
      <formula>LEN(TRIM(AG177))=0</formula>
    </cfRule>
    <cfRule type="containsBlanks" dxfId="8398" priority="3414">
      <formula>LEN(TRIM(AG177))=0</formula>
    </cfRule>
    <cfRule type="containsBlanks" dxfId="8397" priority="3415">
      <formula>LEN(TRIM(AG177))=0</formula>
    </cfRule>
    <cfRule type="containsBlanks" dxfId="8396" priority="3416">
      <formula>LEN(TRIM(AG177))=0</formula>
    </cfRule>
    <cfRule type="containsBlanks" dxfId="8395" priority="3417">
      <formula>LEN(TRIM(AG177))=0</formula>
    </cfRule>
    <cfRule type="containsBlanks" dxfId="8394" priority="3418">
      <formula>LEN(TRIM(AG177))=0</formula>
    </cfRule>
    <cfRule type="containsBlanks" dxfId="8393" priority="3419">
      <formula>LEN(TRIM(AG177))=0</formula>
    </cfRule>
    <cfRule type="containsBlanks" dxfId="8392" priority="3420">
      <formula>LEN(TRIM(AG177))=0</formula>
    </cfRule>
    <cfRule type="containsBlanks" dxfId="8391" priority="3421">
      <formula>LEN(TRIM(AG177))=0</formula>
    </cfRule>
    <cfRule type="containsBlanks" dxfId="8390" priority="3422">
      <formula>LEN(TRIM(AG177))=0</formula>
    </cfRule>
    <cfRule type="containsBlanks" dxfId="8389" priority="3423">
      <formula>LEN(TRIM(AG177))=0</formula>
    </cfRule>
    <cfRule type="containsBlanks" dxfId="8388" priority="3424">
      <formula>LEN(TRIM(AG177))=0</formula>
    </cfRule>
    <cfRule type="containsBlanks" dxfId="8387" priority="3425">
      <formula>LEN(TRIM(AG177))=0</formula>
    </cfRule>
    <cfRule type="containsBlanks" dxfId="8386" priority="3426">
      <formula>LEN(TRIM(AG177))=0</formula>
    </cfRule>
    <cfRule type="containsBlanks" dxfId="8385" priority="3427">
      <formula>LEN(TRIM(AG177))=0</formula>
    </cfRule>
    <cfRule type="containsBlanks" dxfId="8384" priority="3428">
      <formula>LEN(TRIM(AG177))=0</formula>
    </cfRule>
    <cfRule type="containsBlanks" dxfId="8383" priority="3429">
      <formula>LEN(TRIM(AG177))=0</formula>
    </cfRule>
    <cfRule type="containsBlanks" dxfId="8382" priority="3430">
      <formula>LEN(TRIM(AG177))=0</formula>
    </cfRule>
    <cfRule type="containsBlanks" dxfId="8381" priority="3431">
      <formula>LEN(TRIM(AG177))=0</formula>
    </cfRule>
    <cfRule type="containsBlanks" dxfId="8380" priority="3432">
      <formula>LEN(TRIM(AG177))=0</formula>
    </cfRule>
    <cfRule type="containsBlanks" dxfId="8379" priority="3433">
      <formula>LEN(TRIM(AG177))=0</formula>
    </cfRule>
    <cfRule type="containsBlanks" dxfId="8378" priority="3434">
      <formula>LEN(TRIM(AG177))=0</formula>
    </cfRule>
    <cfRule type="containsBlanks" dxfId="8377" priority="3435">
      <formula>LEN(TRIM(AG177))=0</formula>
    </cfRule>
    <cfRule type="containsBlanks" dxfId="8376" priority="3436">
      <formula>LEN(TRIM(AG177))=0</formula>
    </cfRule>
    <cfRule type="containsBlanks" dxfId="8375" priority="3437">
      <formula>LEN(TRIM(AG177))=0</formula>
    </cfRule>
    <cfRule type="containsBlanks" dxfId="8374" priority="3438">
      <formula>LEN(TRIM(AG177))=0</formula>
    </cfRule>
    <cfRule type="containsBlanks" dxfId="8373" priority="3439">
      <formula>LEN(TRIM(AG177))=0</formula>
    </cfRule>
    <cfRule type="containsBlanks" dxfId="8372" priority="3440">
      <formula>LEN(TRIM(AG177))=0</formula>
    </cfRule>
    <cfRule type="containsBlanks" dxfId="8371" priority="3441">
      <formula>LEN(TRIM(AG177))=0</formula>
    </cfRule>
    <cfRule type="containsBlanks" dxfId="8370" priority="3442">
      <formula>LEN(TRIM(AG177))=0</formula>
    </cfRule>
    <cfRule type="containsBlanks" dxfId="8369" priority="3443">
      <formula>LEN(TRIM(AG177))=0</formula>
    </cfRule>
    <cfRule type="containsBlanks" dxfId="8368" priority="3444">
      <formula>LEN(TRIM(AG177))=0</formula>
    </cfRule>
    <cfRule type="containsBlanks" dxfId="8367" priority="3445">
      <formula>LEN(TRIM(AG177))=0</formula>
    </cfRule>
    <cfRule type="containsBlanks" dxfId="8366" priority="3446">
      <formula>LEN(TRIM(AG177))=0</formula>
    </cfRule>
    <cfRule type="containsBlanks" dxfId="8365" priority="3447">
      <formula>LEN(TRIM(AG177))=0</formula>
    </cfRule>
    <cfRule type="containsBlanks" dxfId="8364" priority="3448">
      <formula>LEN(TRIM(AG177))=0</formula>
    </cfRule>
    <cfRule type="containsBlanks" dxfId="8363" priority="3449">
      <formula>LEN(TRIM(AG177))=0</formula>
    </cfRule>
    <cfRule type="containsBlanks" dxfId="8362" priority="3450">
      <formula>LEN(TRIM(AG177))=0</formula>
    </cfRule>
    <cfRule type="containsBlanks" dxfId="8361" priority="3451">
      <formula>LEN(TRIM(AG177))=0</formula>
    </cfRule>
    <cfRule type="containsBlanks" dxfId="8360" priority="3452">
      <formula>LEN(TRIM(AG177))=0</formula>
    </cfRule>
    <cfRule type="containsBlanks" dxfId="8359" priority="3453">
      <formula>LEN(TRIM(AG177))=0</formula>
    </cfRule>
    <cfRule type="containsBlanks" dxfId="8358" priority="3454">
      <formula>LEN(TRIM(AG177))=0</formula>
    </cfRule>
    <cfRule type="containsBlanks" dxfId="8357" priority="3455">
      <formula>LEN(TRIM(AG177))=0</formula>
    </cfRule>
    <cfRule type="containsBlanks" dxfId="8356" priority="3456">
      <formula>LEN(TRIM(AG177))=0</formula>
    </cfRule>
    <cfRule type="containsBlanks" dxfId="8355" priority="3457">
      <formula>LEN(TRIM(AG177))=0</formula>
    </cfRule>
    <cfRule type="containsBlanks" dxfId="8354" priority="3458">
      <formula>LEN(TRIM(AG177))=0</formula>
    </cfRule>
    <cfRule type="containsBlanks" dxfId="8353" priority="3459">
      <formula>LEN(TRIM(AG177))=0</formula>
    </cfRule>
    <cfRule type="containsBlanks" dxfId="8352" priority="3460">
      <formula>LEN(TRIM(AG177))=0</formula>
    </cfRule>
    <cfRule type="containsBlanks" dxfId="8351" priority="3461">
      <formula>LEN(TRIM(AG177))=0</formula>
    </cfRule>
    <cfRule type="containsBlanks" dxfId="8350" priority="3462">
      <formula>LEN(TRIM(AG177))=0</formula>
    </cfRule>
    <cfRule type="containsBlanks" dxfId="8349" priority="3463">
      <formula>LEN(TRIM(AG177))=0</formula>
    </cfRule>
    <cfRule type="containsBlanks" dxfId="8348" priority="3464">
      <formula>LEN(TRIM(AG177))=0</formula>
    </cfRule>
    <cfRule type="containsBlanks" dxfId="8347" priority="3465">
      <formula>LEN(TRIM(AG177))=0</formula>
    </cfRule>
  </conditionalFormatting>
  <conditionalFormatting sqref="AG182">
    <cfRule type="containsBlanks" dxfId="8346" priority="3232">
      <formula>LEN(TRIM(AG182))=0</formula>
    </cfRule>
    <cfRule type="containsBlanks" dxfId="8345" priority="3233">
      <formula>LEN(TRIM(AG182))=0</formula>
    </cfRule>
    <cfRule type="containsBlanks" dxfId="8344" priority="3234">
      <formula>LEN(TRIM(AG182))=0</formula>
    </cfRule>
    <cfRule type="containsBlanks" dxfId="8343" priority="3235">
      <formula>LEN(TRIM(AG182))=0</formula>
    </cfRule>
    <cfRule type="containsBlanks" dxfId="8342" priority="3236">
      <formula>LEN(TRIM(AG182))=0</formula>
    </cfRule>
    <cfRule type="containsBlanks" dxfId="8341" priority="3237">
      <formula>LEN(TRIM(AG182))=0</formula>
    </cfRule>
    <cfRule type="containsBlanks" dxfId="8340" priority="3238">
      <formula>LEN(TRIM(AG182))=0</formula>
    </cfRule>
    <cfRule type="containsBlanks" dxfId="8339" priority="3239">
      <formula>LEN(TRIM(AG182))=0</formula>
    </cfRule>
    <cfRule type="containsBlanks" dxfId="8338" priority="3240">
      <formula>LEN(TRIM(AG182))=0</formula>
    </cfRule>
    <cfRule type="containsBlanks" dxfId="8337" priority="3241">
      <formula>LEN(TRIM(AG182))=0</formula>
    </cfRule>
    <cfRule type="containsBlanks" dxfId="8336" priority="3242">
      <formula>LEN(TRIM(AG182))=0</formula>
    </cfRule>
    <cfRule type="containsBlanks" dxfId="8335" priority="3243">
      <formula>LEN(TRIM(AG182))=0</formula>
    </cfRule>
    <cfRule type="containsBlanks" dxfId="8334" priority="3244">
      <formula>LEN(TRIM(AG182))=0</formula>
    </cfRule>
    <cfRule type="containsBlanks" dxfId="8333" priority="3245">
      <formula>LEN(TRIM(AG182))=0</formula>
    </cfRule>
    <cfRule type="containsBlanks" dxfId="8332" priority="3246">
      <formula>LEN(TRIM(AG182))=0</formula>
    </cfRule>
    <cfRule type="containsBlanks" dxfId="8331" priority="3247">
      <formula>LEN(TRIM(AG182))=0</formula>
    </cfRule>
    <cfRule type="containsBlanks" dxfId="8330" priority="3248">
      <formula>LEN(TRIM(AG182))=0</formula>
    </cfRule>
    <cfRule type="containsBlanks" dxfId="8329" priority="3249">
      <formula>LEN(TRIM(AG182))=0</formula>
    </cfRule>
    <cfRule type="containsBlanks" dxfId="8328" priority="3250">
      <formula>LEN(TRIM(AG182))=0</formula>
    </cfRule>
    <cfRule type="containsBlanks" dxfId="8327" priority="3251">
      <formula>LEN(TRIM(AG182))=0</formula>
    </cfRule>
    <cfRule type="containsBlanks" dxfId="8326" priority="3252">
      <formula>LEN(TRIM(AG182))=0</formula>
    </cfRule>
    <cfRule type="containsBlanks" dxfId="8325" priority="3253">
      <formula>LEN(TRIM(AG182))=0</formula>
    </cfRule>
    <cfRule type="containsBlanks" dxfId="8324" priority="3254">
      <formula>LEN(TRIM(AG182))=0</formula>
    </cfRule>
    <cfRule type="containsBlanks" dxfId="8323" priority="3255">
      <formula>LEN(TRIM(AG182))=0</formula>
    </cfRule>
    <cfRule type="containsBlanks" dxfId="8322" priority="3256">
      <formula>LEN(TRIM(AG182))=0</formula>
    </cfRule>
    <cfRule type="containsBlanks" dxfId="8321" priority="3257">
      <formula>LEN(TRIM(AG182))=0</formula>
    </cfRule>
    <cfRule type="containsBlanks" dxfId="8320" priority="3258">
      <formula>LEN(TRIM(AG182))=0</formula>
    </cfRule>
    <cfRule type="containsBlanks" dxfId="8319" priority="3259">
      <formula>LEN(TRIM(AG182))=0</formula>
    </cfRule>
    <cfRule type="containsBlanks" dxfId="8318" priority="3260">
      <formula>LEN(TRIM(AG182))=0</formula>
    </cfRule>
    <cfRule type="containsBlanks" dxfId="8317" priority="3261">
      <formula>LEN(TRIM(AG182))=0</formula>
    </cfRule>
    <cfRule type="containsBlanks" dxfId="8316" priority="3262">
      <formula>LEN(TRIM(AG182))=0</formula>
    </cfRule>
    <cfRule type="containsBlanks" dxfId="8315" priority="3263">
      <formula>LEN(TRIM(AG182))=0</formula>
    </cfRule>
    <cfRule type="containsBlanks" dxfId="8314" priority="3264">
      <formula>LEN(TRIM(AG182))=0</formula>
    </cfRule>
    <cfRule type="containsBlanks" dxfId="8313" priority="3265">
      <formula>LEN(TRIM(AG182))=0</formula>
    </cfRule>
    <cfRule type="containsBlanks" dxfId="8312" priority="3266">
      <formula>LEN(TRIM(AG182))=0</formula>
    </cfRule>
    <cfRule type="containsBlanks" dxfId="8311" priority="3267">
      <formula>LEN(TRIM(AG182))=0</formula>
    </cfRule>
    <cfRule type="containsBlanks" dxfId="8310" priority="3268">
      <formula>LEN(TRIM(AG182))=0</formula>
    </cfRule>
    <cfRule type="containsBlanks" dxfId="8309" priority="3269">
      <formula>LEN(TRIM(AG182))=0</formula>
    </cfRule>
    <cfRule type="containsBlanks" dxfId="8308" priority="3270">
      <formula>LEN(TRIM(AG182))=0</formula>
    </cfRule>
    <cfRule type="containsBlanks" dxfId="8307" priority="3271">
      <formula>LEN(TRIM(AG182))=0</formula>
    </cfRule>
    <cfRule type="containsBlanks" dxfId="8306" priority="3272">
      <formula>LEN(TRIM(AG182))=0</formula>
    </cfRule>
    <cfRule type="containsBlanks" dxfId="8305" priority="3273">
      <formula>LEN(TRIM(AG182))=0</formula>
    </cfRule>
    <cfRule type="containsBlanks" dxfId="8304" priority="3274">
      <formula>LEN(TRIM(AG182))=0</formula>
    </cfRule>
    <cfRule type="containsBlanks" dxfId="8303" priority="3275">
      <formula>LEN(TRIM(AG182))=0</formula>
    </cfRule>
    <cfRule type="containsBlanks" dxfId="8302" priority="3276">
      <formula>LEN(TRIM(AG182))=0</formula>
    </cfRule>
    <cfRule type="containsBlanks" dxfId="8301" priority="3277">
      <formula>LEN(TRIM(AG182))=0</formula>
    </cfRule>
    <cfRule type="containsBlanks" dxfId="8300" priority="3278">
      <formula>LEN(TRIM(AG182))=0</formula>
    </cfRule>
    <cfRule type="containsBlanks" dxfId="8299" priority="3279">
      <formula>LEN(TRIM(AG182))=0</formula>
    </cfRule>
    <cfRule type="containsBlanks" dxfId="8298" priority="3280">
      <formula>LEN(TRIM(AG182))=0</formula>
    </cfRule>
    <cfRule type="containsBlanks" dxfId="8297" priority="3281">
      <formula>LEN(TRIM(AG182))=0</formula>
    </cfRule>
    <cfRule type="containsBlanks" dxfId="8296" priority="3282">
      <formula>LEN(TRIM(AG182))=0</formula>
    </cfRule>
    <cfRule type="containsBlanks" dxfId="8295" priority="3283">
      <formula>LEN(TRIM(AG182))=0</formula>
    </cfRule>
    <cfRule type="containsBlanks" dxfId="8294" priority="3284">
      <formula>LEN(TRIM(AG182))=0</formula>
    </cfRule>
    <cfRule type="containsBlanks" dxfId="8293" priority="3285">
      <formula>LEN(TRIM(AG182))=0</formula>
    </cfRule>
    <cfRule type="containsBlanks" dxfId="8292" priority="3286">
      <formula>LEN(TRIM(AG182))=0</formula>
    </cfRule>
    <cfRule type="containsBlanks" dxfId="8291" priority="3287">
      <formula>LEN(TRIM(AG182))=0</formula>
    </cfRule>
    <cfRule type="containsBlanks" dxfId="8290" priority="3288">
      <formula>LEN(TRIM(AG182))=0</formula>
    </cfRule>
    <cfRule type="containsBlanks" dxfId="8289" priority="3289">
      <formula>LEN(TRIM(AG182))=0</formula>
    </cfRule>
    <cfRule type="containsBlanks" dxfId="8288" priority="3290">
      <formula>LEN(TRIM(AG182))=0</formula>
    </cfRule>
    <cfRule type="containsBlanks" dxfId="8287" priority="3291">
      <formula>LEN(TRIM(AG182))=0</formula>
    </cfRule>
    <cfRule type="containsBlanks" dxfId="8286" priority="3292">
      <formula>LEN(TRIM(AG182))=0</formula>
    </cfRule>
    <cfRule type="containsBlanks" dxfId="8285" priority="3293">
      <formula>LEN(TRIM(AG182))=0</formula>
    </cfRule>
    <cfRule type="containsBlanks" dxfId="8284" priority="3294">
      <formula>LEN(TRIM(AG182))=0</formula>
    </cfRule>
    <cfRule type="containsBlanks" dxfId="8283" priority="3295">
      <formula>LEN(TRIM(AG182))=0</formula>
    </cfRule>
    <cfRule type="containsBlanks" dxfId="8282" priority="3296">
      <formula>LEN(TRIM(AG182))=0</formula>
    </cfRule>
    <cfRule type="containsBlanks" dxfId="8281" priority="3297">
      <formula>LEN(TRIM(AG182))=0</formula>
    </cfRule>
    <cfRule type="containsBlanks" dxfId="8280" priority="3298">
      <formula>LEN(TRIM(AG182))=0</formula>
    </cfRule>
    <cfRule type="containsBlanks" dxfId="8279" priority="3299">
      <formula>LEN(TRIM(AG182))=0</formula>
    </cfRule>
    <cfRule type="containsBlanks" dxfId="8278" priority="3300">
      <formula>LEN(TRIM(AG182))=0</formula>
    </cfRule>
    <cfRule type="containsBlanks" dxfId="8277" priority="3301">
      <formula>LEN(TRIM(AG182))=0</formula>
    </cfRule>
    <cfRule type="containsBlanks" dxfId="8276" priority="3302">
      <formula>LEN(TRIM(AG182))=0</formula>
    </cfRule>
    <cfRule type="containsBlanks" dxfId="8275" priority="3303">
      <formula>LEN(TRIM(AG182))=0</formula>
    </cfRule>
    <cfRule type="containsBlanks" dxfId="8274" priority="3304">
      <formula>LEN(TRIM(AG182))=0</formula>
    </cfRule>
    <cfRule type="containsBlanks" dxfId="8273" priority="3305">
      <formula>LEN(TRIM(AG182))=0</formula>
    </cfRule>
    <cfRule type="containsBlanks" dxfId="8272" priority="3306">
      <formula>LEN(TRIM(AG182))=0</formula>
    </cfRule>
    <cfRule type="containsBlanks" dxfId="8271" priority="3307">
      <formula>LEN(TRIM(AG182))=0</formula>
    </cfRule>
    <cfRule type="containsBlanks" dxfId="8270" priority="3308">
      <formula>LEN(TRIM(AG182))=0</formula>
    </cfRule>
    <cfRule type="containsBlanks" dxfId="8269" priority="3309">
      <formula>LEN(TRIM(AG182))=0</formula>
    </cfRule>
    <cfRule type="containsBlanks" dxfId="8268" priority="3310">
      <formula>LEN(TRIM(AG182))=0</formula>
    </cfRule>
    <cfRule type="containsBlanks" dxfId="8267" priority="3311">
      <formula>LEN(TRIM(AG182))=0</formula>
    </cfRule>
  </conditionalFormatting>
  <conditionalFormatting sqref="AG192">
    <cfRule type="containsBlanks" dxfId="8266" priority="3139">
      <formula>LEN(TRIM(AG192))=0</formula>
    </cfRule>
    <cfRule type="containsBlanks" dxfId="8265" priority="3140">
      <formula>LEN(TRIM(AG192))=0</formula>
    </cfRule>
    <cfRule type="containsBlanks" dxfId="8264" priority="3141">
      <formula>LEN(TRIM(AG192))=0</formula>
    </cfRule>
    <cfRule type="containsBlanks" dxfId="8263" priority="3142">
      <formula>LEN(TRIM(AG192))=0</formula>
    </cfRule>
    <cfRule type="containsBlanks" dxfId="8262" priority="3143">
      <formula>LEN(TRIM(AG192))=0</formula>
    </cfRule>
    <cfRule type="containsBlanks" dxfId="8261" priority="3144">
      <formula>LEN(TRIM(AG192))=0</formula>
    </cfRule>
    <cfRule type="containsBlanks" dxfId="8260" priority="3145">
      <formula>LEN(TRIM(AG192))=0</formula>
    </cfRule>
    <cfRule type="containsBlanks" dxfId="8259" priority="3146">
      <formula>LEN(TRIM(AG192))=0</formula>
    </cfRule>
    <cfRule type="containsBlanks" dxfId="8258" priority="3147">
      <formula>LEN(TRIM(AG192))=0</formula>
    </cfRule>
    <cfRule type="containsBlanks" dxfId="8257" priority="3148">
      <formula>LEN(TRIM(AG192))=0</formula>
    </cfRule>
    <cfRule type="containsBlanks" dxfId="8256" priority="3149">
      <formula>LEN(TRIM(AG192))=0</formula>
    </cfRule>
    <cfRule type="containsBlanks" dxfId="8255" priority="3150">
      <formula>LEN(TRIM(AG192))=0</formula>
    </cfRule>
    <cfRule type="containsBlanks" dxfId="8254" priority="3151">
      <formula>LEN(TRIM(AG192))=0</formula>
    </cfRule>
    <cfRule type="containsBlanks" dxfId="8253" priority="3152">
      <formula>LEN(TRIM(AG192))=0</formula>
    </cfRule>
    <cfRule type="containsBlanks" dxfId="8252" priority="3153">
      <formula>LEN(TRIM(AG192))=0</formula>
    </cfRule>
    <cfRule type="containsBlanks" dxfId="8251" priority="3154">
      <formula>LEN(TRIM(AG192))=0</formula>
    </cfRule>
    <cfRule type="containsBlanks" dxfId="8250" priority="3155">
      <formula>LEN(TRIM(AG192))=0</formula>
    </cfRule>
    <cfRule type="containsBlanks" dxfId="8249" priority="3156">
      <formula>LEN(TRIM(AG192))=0</formula>
    </cfRule>
    <cfRule type="containsBlanks" dxfId="8248" priority="3157">
      <formula>LEN(TRIM(AG192))=0</formula>
    </cfRule>
    <cfRule type="containsBlanks" dxfId="8247" priority="3158">
      <formula>LEN(TRIM(AG192))=0</formula>
    </cfRule>
    <cfRule type="containsBlanks" dxfId="8246" priority="3159">
      <formula>LEN(TRIM(AG192))=0</formula>
    </cfRule>
    <cfRule type="containsBlanks" dxfId="8245" priority="3160">
      <formula>LEN(TRIM(AG192))=0</formula>
    </cfRule>
    <cfRule type="containsBlanks" dxfId="8244" priority="3161">
      <formula>LEN(TRIM(AG192))=0</formula>
    </cfRule>
    <cfRule type="containsBlanks" dxfId="8243" priority="3162">
      <formula>LEN(TRIM(AG192))=0</formula>
    </cfRule>
    <cfRule type="containsBlanks" dxfId="8242" priority="3163">
      <formula>LEN(TRIM(AG192))=0</formula>
    </cfRule>
    <cfRule type="containsBlanks" dxfId="8241" priority="3164">
      <formula>LEN(TRIM(AG192))=0</formula>
    </cfRule>
    <cfRule type="containsBlanks" dxfId="8240" priority="3165">
      <formula>LEN(TRIM(AG192))=0</formula>
    </cfRule>
    <cfRule type="containsBlanks" dxfId="8239" priority="3166">
      <formula>LEN(TRIM(AG192))=0</formula>
    </cfRule>
    <cfRule type="containsBlanks" dxfId="8238" priority="3167">
      <formula>LEN(TRIM(AG192))=0</formula>
    </cfRule>
    <cfRule type="containsBlanks" dxfId="8237" priority="3168">
      <formula>LEN(TRIM(AG192))=0</formula>
    </cfRule>
    <cfRule type="containsBlanks" dxfId="8236" priority="3169">
      <formula>LEN(TRIM(AG192))=0</formula>
    </cfRule>
    <cfRule type="containsBlanks" dxfId="8235" priority="3170">
      <formula>LEN(TRIM(AG192))=0</formula>
    </cfRule>
    <cfRule type="containsBlanks" dxfId="8234" priority="3171">
      <formula>LEN(TRIM(AG192))=0</formula>
    </cfRule>
    <cfRule type="containsBlanks" dxfId="8233" priority="3172">
      <formula>LEN(TRIM(AG192))=0</formula>
    </cfRule>
    <cfRule type="containsBlanks" dxfId="8232" priority="3173">
      <formula>LEN(TRIM(AG192))=0</formula>
    </cfRule>
    <cfRule type="containsBlanks" dxfId="8231" priority="3174">
      <formula>LEN(TRIM(AG192))=0</formula>
    </cfRule>
    <cfRule type="containsBlanks" dxfId="8230" priority="3175">
      <formula>LEN(TRIM(AG192))=0</formula>
    </cfRule>
    <cfRule type="containsBlanks" dxfId="8229" priority="3176">
      <formula>LEN(TRIM(AG192))=0</formula>
    </cfRule>
    <cfRule type="containsBlanks" dxfId="8228" priority="3177">
      <formula>LEN(TRIM(AG192))=0</formula>
    </cfRule>
    <cfRule type="containsBlanks" dxfId="8227" priority="3178">
      <formula>LEN(TRIM(AG192))=0</formula>
    </cfRule>
    <cfRule type="containsBlanks" dxfId="8226" priority="3179">
      <formula>LEN(TRIM(AG192))=0</formula>
    </cfRule>
    <cfRule type="containsBlanks" dxfId="8225" priority="3180">
      <formula>LEN(TRIM(AG192))=0</formula>
    </cfRule>
    <cfRule type="containsBlanks" dxfId="8224" priority="3181">
      <formula>LEN(TRIM(AG192))=0</formula>
    </cfRule>
    <cfRule type="containsBlanks" dxfId="8223" priority="3182">
      <formula>LEN(TRIM(AG192))=0</formula>
    </cfRule>
    <cfRule type="containsBlanks" dxfId="8222" priority="3183">
      <formula>LEN(TRIM(AG192))=0</formula>
    </cfRule>
    <cfRule type="containsBlanks" dxfId="8221" priority="3184">
      <formula>LEN(TRIM(AG192))=0</formula>
    </cfRule>
    <cfRule type="containsBlanks" dxfId="8220" priority="3185">
      <formula>LEN(TRIM(AG192))=0</formula>
    </cfRule>
    <cfRule type="containsBlanks" dxfId="8219" priority="3186">
      <formula>LEN(TRIM(AG192))=0</formula>
    </cfRule>
    <cfRule type="containsBlanks" dxfId="8218" priority="3187">
      <formula>LEN(TRIM(AG192))=0</formula>
    </cfRule>
    <cfRule type="containsBlanks" dxfId="8217" priority="3188">
      <formula>LEN(TRIM(AG192))=0</formula>
    </cfRule>
    <cfRule type="containsBlanks" dxfId="8216" priority="3189">
      <formula>LEN(TRIM(AG192))=0</formula>
    </cfRule>
    <cfRule type="containsBlanks" dxfId="8215" priority="3190">
      <formula>LEN(TRIM(AG192))=0</formula>
    </cfRule>
    <cfRule type="containsBlanks" dxfId="8214" priority="3191">
      <formula>LEN(TRIM(AG192))=0</formula>
    </cfRule>
    <cfRule type="containsBlanks" dxfId="8213" priority="3192">
      <formula>LEN(TRIM(AG192))=0</formula>
    </cfRule>
    <cfRule type="containsBlanks" dxfId="8212" priority="3193">
      <formula>LEN(TRIM(AG192))=0</formula>
    </cfRule>
    <cfRule type="containsBlanks" dxfId="8211" priority="3194">
      <formula>LEN(TRIM(AG192))=0</formula>
    </cfRule>
    <cfRule type="containsBlanks" dxfId="8210" priority="3195">
      <formula>LEN(TRIM(AG192))=0</formula>
    </cfRule>
    <cfRule type="containsBlanks" dxfId="8209" priority="3196">
      <formula>LEN(TRIM(AG192))=0</formula>
    </cfRule>
    <cfRule type="containsBlanks" dxfId="8208" priority="3197">
      <formula>LEN(TRIM(AG192))=0</formula>
    </cfRule>
    <cfRule type="containsBlanks" dxfId="8207" priority="3198">
      <formula>LEN(TRIM(AG192))=0</formula>
    </cfRule>
    <cfRule type="containsBlanks" dxfId="8206" priority="3199">
      <formula>LEN(TRIM(AG192))=0</formula>
    </cfRule>
    <cfRule type="containsBlanks" dxfId="8205" priority="3200">
      <formula>LEN(TRIM(AG192))=0</formula>
    </cfRule>
    <cfRule type="containsBlanks" dxfId="8204" priority="3201">
      <formula>LEN(TRIM(AG192))=0</formula>
    </cfRule>
    <cfRule type="containsBlanks" dxfId="8203" priority="3202">
      <formula>LEN(TRIM(AG192))=0</formula>
    </cfRule>
    <cfRule type="containsBlanks" dxfId="8202" priority="3203">
      <formula>LEN(TRIM(AG192))=0</formula>
    </cfRule>
    <cfRule type="containsBlanks" dxfId="8201" priority="3204">
      <formula>LEN(TRIM(AG192))=0</formula>
    </cfRule>
    <cfRule type="containsBlanks" dxfId="8200" priority="3205">
      <formula>LEN(TRIM(AG192))=0</formula>
    </cfRule>
    <cfRule type="containsBlanks" dxfId="8199" priority="3206">
      <formula>LEN(TRIM(AG192))=0</formula>
    </cfRule>
    <cfRule type="containsBlanks" dxfId="8198" priority="3207">
      <formula>LEN(TRIM(AG192))=0</formula>
    </cfRule>
    <cfRule type="containsBlanks" dxfId="8197" priority="3208">
      <formula>LEN(TRIM(AG192))=0</formula>
    </cfRule>
    <cfRule type="containsBlanks" dxfId="8196" priority="3209">
      <formula>LEN(TRIM(AG192))=0</formula>
    </cfRule>
    <cfRule type="containsBlanks" dxfId="8195" priority="3210">
      <formula>LEN(TRIM(AG192))=0</formula>
    </cfRule>
    <cfRule type="containsBlanks" dxfId="8194" priority="3211">
      <formula>LEN(TRIM(AG192))=0</formula>
    </cfRule>
    <cfRule type="containsBlanks" dxfId="8193" priority="3212">
      <formula>LEN(TRIM(AG192))=0</formula>
    </cfRule>
    <cfRule type="containsBlanks" dxfId="8192" priority="3213">
      <formula>LEN(TRIM(AG192))=0</formula>
    </cfRule>
    <cfRule type="containsBlanks" dxfId="8191" priority="3214">
      <formula>LEN(TRIM(AG192))=0</formula>
    </cfRule>
    <cfRule type="containsBlanks" dxfId="8190" priority="3215">
      <formula>LEN(TRIM(AG192))=0</formula>
    </cfRule>
    <cfRule type="containsBlanks" dxfId="8189" priority="3216">
      <formula>LEN(TRIM(AG192))=0</formula>
    </cfRule>
    <cfRule type="containsBlanks" dxfId="8188" priority="3217">
      <formula>LEN(TRIM(AG192))=0</formula>
    </cfRule>
    <cfRule type="containsBlanks" dxfId="8187" priority="3218">
      <formula>LEN(TRIM(AG192))=0</formula>
    </cfRule>
    <cfRule type="containsBlanks" dxfId="8186" priority="3219">
      <formula>LEN(TRIM(AG192))=0</formula>
    </cfRule>
    <cfRule type="containsBlanks" dxfId="8185" priority="3220">
      <formula>LEN(TRIM(AG192))=0</formula>
    </cfRule>
    <cfRule type="containsBlanks" dxfId="8184" priority="3221">
      <formula>LEN(TRIM(AG192))=0</formula>
    </cfRule>
    <cfRule type="containsBlanks" dxfId="8183" priority="3222">
      <formula>LEN(TRIM(AG192))=0</formula>
    </cfRule>
    <cfRule type="containsBlanks" dxfId="8182" priority="3223">
      <formula>LEN(TRIM(AG192))=0</formula>
    </cfRule>
    <cfRule type="containsBlanks" dxfId="8181" priority="3224">
      <formula>LEN(TRIM(AG192))=0</formula>
    </cfRule>
    <cfRule type="containsBlanks" dxfId="8180" priority="3225">
      <formula>LEN(TRIM(AG192))=0</formula>
    </cfRule>
    <cfRule type="containsBlanks" dxfId="8179" priority="3226">
      <formula>LEN(TRIM(AG192))=0</formula>
    </cfRule>
    <cfRule type="containsBlanks" dxfId="8178" priority="3227">
      <formula>LEN(TRIM(AG192))=0</formula>
    </cfRule>
    <cfRule type="containsBlanks" dxfId="8177" priority="3228">
      <formula>LEN(TRIM(AG192))=0</formula>
    </cfRule>
    <cfRule type="containsBlanks" dxfId="8176" priority="3229">
      <formula>LEN(TRIM(AG192))=0</formula>
    </cfRule>
    <cfRule type="containsBlanks" dxfId="8175" priority="3230">
      <formula>LEN(TRIM(AG192))=0</formula>
    </cfRule>
    <cfRule type="containsBlanks" dxfId="8174" priority="3231">
      <formula>LEN(TRIM(AG192))=0</formula>
    </cfRule>
  </conditionalFormatting>
  <conditionalFormatting sqref="AG193">
    <cfRule type="containsBlanks" dxfId="8173" priority="3081">
      <formula>LEN(TRIM(AG193))=0</formula>
    </cfRule>
    <cfRule type="containsBlanks" dxfId="8172" priority="3082">
      <formula>LEN(TRIM(AG193))=0</formula>
    </cfRule>
    <cfRule type="containsBlanks" dxfId="8171" priority="3083">
      <formula>LEN(TRIM(AG193))=0</formula>
    </cfRule>
    <cfRule type="containsBlanks" dxfId="8170" priority="3084">
      <formula>LEN(TRIM(AG193))=0</formula>
    </cfRule>
    <cfRule type="containsBlanks" dxfId="8169" priority="3085">
      <formula>LEN(TRIM(AG193))=0</formula>
    </cfRule>
    <cfRule type="containsBlanks" dxfId="8168" priority="3086">
      <formula>LEN(TRIM(AG193))=0</formula>
    </cfRule>
    <cfRule type="containsBlanks" dxfId="8167" priority="3087">
      <formula>LEN(TRIM(AG193))=0</formula>
    </cfRule>
    <cfRule type="containsBlanks" dxfId="8166" priority="3088">
      <formula>LEN(TRIM(AG193))=0</formula>
    </cfRule>
    <cfRule type="containsBlanks" dxfId="8165" priority="3089">
      <formula>LEN(TRIM(AG193))=0</formula>
    </cfRule>
    <cfRule type="containsBlanks" dxfId="8164" priority="3090">
      <formula>LEN(TRIM(AG193))=0</formula>
    </cfRule>
    <cfRule type="containsBlanks" dxfId="8163" priority="3091">
      <formula>LEN(TRIM(AG193))=0</formula>
    </cfRule>
    <cfRule type="containsBlanks" dxfId="8162" priority="3092">
      <formula>LEN(TRIM(AG193))=0</formula>
    </cfRule>
    <cfRule type="containsBlanks" dxfId="8161" priority="3093">
      <formula>LEN(TRIM(AG193))=0</formula>
    </cfRule>
    <cfRule type="containsBlanks" dxfId="8160" priority="3094">
      <formula>LEN(TRIM(AG193))=0</formula>
    </cfRule>
    <cfRule type="containsBlanks" dxfId="8159" priority="3095">
      <formula>LEN(TRIM(AG193))=0</formula>
    </cfRule>
    <cfRule type="containsBlanks" dxfId="8158" priority="3096">
      <formula>LEN(TRIM(AG193))=0</formula>
    </cfRule>
    <cfRule type="containsBlanks" dxfId="8157" priority="3097">
      <formula>LEN(TRIM(AG193))=0</formula>
    </cfRule>
    <cfRule type="containsBlanks" dxfId="8156" priority="3098">
      <formula>LEN(TRIM(AG193))=0</formula>
    </cfRule>
    <cfRule type="containsBlanks" dxfId="8155" priority="3099">
      <formula>LEN(TRIM(AG193))=0</formula>
    </cfRule>
    <cfRule type="containsBlanks" dxfId="8154" priority="3100">
      <formula>LEN(TRIM(AG193))=0</formula>
    </cfRule>
    <cfRule type="containsBlanks" dxfId="8153" priority="3101">
      <formula>LEN(TRIM(AG193))=0</formula>
    </cfRule>
    <cfRule type="containsBlanks" dxfId="8152" priority="3102">
      <formula>LEN(TRIM(AG193))=0</formula>
    </cfRule>
    <cfRule type="containsBlanks" dxfId="8151" priority="3103">
      <formula>LEN(TRIM(AG193))=0</formula>
    </cfRule>
    <cfRule type="containsBlanks" dxfId="8150" priority="3104">
      <formula>LEN(TRIM(AG193))=0</formula>
    </cfRule>
    <cfRule type="containsBlanks" dxfId="8149" priority="3105">
      <formula>LEN(TRIM(AG193))=0</formula>
    </cfRule>
    <cfRule type="containsBlanks" dxfId="8148" priority="3106">
      <formula>LEN(TRIM(AG193))=0</formula>
    </cfRule>
    <cfRule type="containsBlanks" dxfId="8147" priority="3107">
      <formula>LEN(TRIM(AG193))=0</formula>
    </cfRule>
    <cfRule type="containsBlanks" dxfId="8146" priority="3108">
      <formula>LEN(TRIM(AG193))=0</formula>
    </cfRule>
    <cfRule type="containsBlanks" dxfId="8145" priority="3109">
      <formula>LEN(TRIM(AG193))=0</formula>
    </cfRule>
    <cfRule type="containsBlanks" dxfId="8144" priority="3110">
      <formula>LEN(TRIM(AG193))=0</formula>
    </cfRule>
    <cfRule type="containsBlanks" dxfId="8143" priority="3111">
      <formula>LEN(TRIM(AG193))=0</formula>
    </cfRule>
    <cfRule type="containsBlanks" dxfId="8142" priority="3112">
      <formula>LEN(TRIM(AG193))=0</formula>
    </cfRule>
    <cfRule type="containsBlanks" dxfId="8141" priority="3113">
      <formula>LEN(TRIM(AG193))=0</formula>
    </cfRule>
    <cfRule type="containsBlanks" dxfId="8140" priority="3114">
      <formula>LEN(TRIM(AG193))=0</formula>
    </cfRule>
    <cfRule type="containsBlanks" dxfId="8139" priority="3115">
      <formula>LEN(TRIM(AG193))=0</formula>
    </cfRule>
    <cfRule type="containsBlanks" dxfId="8138" priority="3116">
      <formula>LEN(TRIM(AG193))=0</formula>
    </cfRule>
    <cfRule type="containsBlanks" dxfId="8137" priority="3117">
      <formula>LEN(TRIM(AG193))=0</formula>
    </cfRule>
    <cfRule type="containsBlanks" dxfId="8136" priority="3118">
      <formula>LEN(TRIM(AG193))=0</formula>
    </cfRule>
    <cfRule type="containsBlanks" dxfId="8135" priority="3119">
      <formula>LEN(TRIM(AG193))=0</formula>
    </cfRule>
    <cfRule type="containsBlanks" dxfId="8134" priority="3120">
      <formula>LEN(TRIM(AG193))=0</formula>
    </cfRule>
    <cfRule type="containsBlanks" dxfId="8133" priority="3121">
      <formula>LEN(TRIM(AG193))=0</formula>
    </cfRule>
    <cfRule type="containsBlanks" dxfId="8132" priority="3122">
      <formula>LEN(TRIM(AG193))=0</formula>
    </cfRule>
    <cfRule type="containsBlanks" dxfId="8131" priority="3123">
      <formula>LEN(TRIM(AG193))=0</formula>
    </cfRule>
    <cfRule type="containsBlanks" dxfId="8130" priority="3124">
      <formula>LEN(TRIM(AG193))=0</formula>
    </cfRule>
    <cfRule type="containsBlanks" dxfId="8129" priority="3125">
      <formula>LEN(TRIM(AG193))=0</formula>
    </cfRule>
    <cfRule type="containsBlanks" dxfId="8128" priority="3126">
      <formula>LEN(TRIM(AG193))=0</formula>
    </cfRule>
    <cfRule type="containsBlanks" dxfId="8127" priority="3127">
      <formula>LEN(TRIM(AG193))=0</formula>
    </cfRule>
    <cfRule type="containsBlanks" dxfId="8126" priority="3128">
      <formula>LEN(TRIM(AG193))=0</formula>
    </cfRule>
    <cfRule type="containsBlanks" dxfId="8125" priority="3129">
      <formula>LEN(TRIM(AG193))=0</formula>
    </cfRule>
    <cfRule type="containsBlanks" dxfId="8124" priority="3130">
      <formula>LEN(TRIM(AG193))=0</formula>
    </cfRule>
    <cfRule type="containsBlanks" dxfId="8123" priority="3131">
      <formula>LEN(TRIM(AG193))=0</formula>
    </cfRule>
    <cfRule type="containsBlanks" dxfId="8122" priority="3132">
      <formula>LEN(TRIM(AG193))=0</formula>
    </cfRule>
    <cfRule type="containsBlanks" dxfId="8121" priority="3133">
      <formula>LEN(TRIM(AG193))=0</formula>
    </cfRule>
    <cfRule type="containsBlanks" dxfId="8120" priority="3134">
      <formula>LEN(TRIM(AG193))=0</formula>
    </cfRule>
    <cfRule type="containsBlanks" dxfId="8119" priority="3135">
      <formula>LEN(TRIM(AG193))=0</formula>
    </cfRule>
    <cfRule type="containsBlanks" dxfId="8118" priority="3136">
      <formula>LEN(TRIM(AG193))=0</formula>
    </cfRule>
    <cfRule type="containsBlanks" dxfId="8117" priority="3137">
      <formula>LEN(TRIM(AG193))=0</formula>
    </cfRule>
    <cfRule type="containsBlanks" dxfId="8116" priority="3138">
      <formula>LEN(TRIM(AG193))=0</formula>
    </cfRule>
  </conditionalFormatting>
  <conditionalFormatting sqref="AG195">
    <cfRule type="containsBlanks" dxfId="8115" priority="2988">
      <formula>LEN(TRIM(AG195))=0</formula>
    </cfRule>
    <cfRule type="containsBlanks" dxfId="8114" priority="2989">
      <formula>LEN(TRIM(AG195))=0</formula>
    </cfRule>
    <cfRule type="containsBlanks" dxfId="8113" priority="2990">
      <formula>LEN(TRIM(AG195))=0</formula>
    </cfRule>
    <cfRule type="containsBlanks" dxfId="8112" priority="2991">
      <formula>LEN(TRIM(AG195))=0</formula>
    </cfRule>
    <cfRule type="containsBlanks" dxfId="8111" priority="2992">
      <formula>LEN(TRIM(AG195))=0</formula>
    </cfRule>
    <cfRule type="containsBlanks" dxfId="8110" priority="2993">
      <formula>LEN(TRIM(AG195))=0</formula>
    </cfRule>
    <cfRule type="containsBlanks" dxfId="8109" priority="2994">
      <formula>LEN(TRIM(AG195))=0</formula>
    </cfRule>
    <cfRule type="containsBlanks" dxfId="8108" priority="2995">
      <formula>LEN(TRIM(AG195))=0</formula>
    </cfRule>
    <cfRule type="containsBlanks" dxfId="8107" priority="2996">
      <formula>LEN(TRIM(AG195))=0</formula>
    </cfRule>
    <cfRule type="containsBlanks" dxfId="8106" priority="2997">
      <formula>LEN(TRIM(AG195))=0</formula>
    </cfRule>
    <cfRule type="containsBlanks" dxfId="8105" priority="2998">
      <formula>LEN(TRIM(AG195))=0</formula>
    </cfRule>
    <cfRule type="containsBlanks" dxfId="8104" priority="2999">
      <formula>LEN(TRIM(AG195))=0</formula>
    </cfRule>
    <cfRule type="containsBlanks" dxfId="8103" priority="3000">
      <formula>LEN(TRIM(AG195))=0</formula>
    </cfRule>
    <cfRule type="containsBlanks" dxfId="8102" priority="3001">
      <formula>LEN(TRIM(AG195))=0</formula>
    </cfRule>
    <cfRule type="containsBlanks" dxfId="8101" priority="3002">
      <formula>LEN(TRIM(AG195))=0</formula>
    </cfRule>
    <cfRule type="containsBlanks" dxfId="8100" priority="3003">
      <formula>LEN(TRIM(AG195))=0</formula>
    </cfRule>
    <cfRule type="containsBlanks" dxfId="8099" priority="3004">
      <formula>LEN(TRIM(AG195))=0</formula>
    </cfRule>
    <cfRule type="containsBlanks" dxfId="8098" priority="3005">
      <formula>LEN(TRIM(AG195))=0</formula>
    </cfRule>
    <cfRule type="containsBlanks" dxfId="8097" priority="3006">
      <formula>LEN(TRIM(AG195))=0</formula>
    </cfRule>
    <cfRule type="containsBlanks" dxfId="8096" priority="3007">
      <formula>LEN(TRIM(AG195))=0</formula>
    </cfRule>
    <cfRule type="containsBlanks" dxfId="8095" priority="3008">
      <formula>LEN(TRIM(AG195))=0</formula>
    </cfRule>
    <cfRule type="containsBlanks" dxfId="8094" priority="3009">
      <formula>LEN(TRIM(AG195))=0</formula>
    </cfRule>
    <cfRule type="containsBlanks" dxfId="8093" priority="3010">
      <formula>LEN(TRIM(AG195))=0</formula>
    </cfRule>
    <cfRule type="containsBlanks" dxfId="8092" priority="3011">
      <formula>LEN(TRIM(AG195))=0</formula>
    </cfRule>
    <cfRule type="containsBlanks" dxfId="8091" priority="3012">
      <formula>LEN(TRIM(AG195))=0</formula>
    </cfRule>
    <cfRule type="containsBlanks" dxfId="8090" priority="3013">
      <formula>LEN(TRIM(AG195))=0</formula>
    </cfRule>
    <cfRule type="containsBlanks" dxfId="8089" priority="3014">
      <formula>LEN(TRIM(AG195))=0</formula>
    </cfRule>
    <cfRule type="containsBlanks" dxfId="8088" priority="3015">
      <formula>LEN(TRIM(AG195))=0</formula>
    </cfRule>
    <cfRule type="containsBlanks" dxfId="8087" priority="3016">
      <formula>LEN(TRIM(AG195))=0</formula>
    </cfRule>
    <cfRule type="containsBlanks" dxfId="8086" priority="3017">
      <formula>LEN(TRIM(AG195))=0</formula>
    </cfRule>
    <cfRule type="containsBlanks" dxfId="8085" priority="3018">
      <formula>LEN(TRIM(AG195))=0</formula>
    </cfRule>
    <cfRule type="containsBlanks" dxfId="8084" priority="3019">
      <formula>LEN(TRIM(AG195))=0</formula>
    </cfRule>
    <cfRule type="containsBlanks" dxfId="8083" priority="3020">
      <formula>LEN(TRIM(AG195))=0</formula>
    </cfRule>
    <cfRule type="containsBlanks" dxfId="8082" priority="3021">
      <formula>LEN(TRIM(AG195))=0</formula>
    </cfRule>
    <cfRule type="containsBlanks" dxfId="8081" priority="3022">
      <formula>LEN(TRIM(AG195))=0</formula>
    </cfRule>
    <cfRule type="containsBlanks" dxfId="8080" priority="3023">
      <formula>LEN(TRIM(AG195))=0</formula>
    </cfRule>
    <cfRule type="containsBlanks" dxfId="8079" priority="3024">
      <formula>LEN(TRIM(AG195))=0</formula>
    </cfRule>
    <cfRule type="containsBlanks" dxfId="8078" priority="3025">
      <formula>LEN(TRIM(AG195))=0</formula>
    </cfRule>
    <cfRule type="containsBlanks" dxfId="8077" priority="3026">
      <formula>LEN(TRIM(AG195))=0</formula>
    </cfRule>
    <cfRule type="containsBlanks" dxfId="8076" priority="3027">
      <formula>LEN(TRIM(AG195))=0</formula>
    </cfRule>
    <cfRule type="containsBlanks" dxfId="8075" priority="3028">
      <formula>LEN(TRIM(AG195))=0</formula>
    </cfRule>
    <cfRule type="containsBlanks" dxfId="8074" priority="3029">
      <formula>LEN(TRIM(AG195))=0</formula>
    </cfRule>
    <cfRule type="containsBlanks" dxfId="8073" priority="3030">
      <formula>LEN(TRIM(AG195))=0</formula>
    </cfRule>
    <cfRule type="containsBlanks" dxfId="8072" priority="3031">
      <formula>LEN(TRIM(AG195))=0</formula>
    </cfRule>
    <cfRule type="containsBlanks" dxfId="8071" priority="3032">
      <formula>LEN(TRIM(AG195))=0</formula>
    </cfRule>
    <cfRule type="containsBlanks" dxfId="8070" priority="3033">
      <formula>LEN(TRIM(AG195))=0</formula>
    </cfRule>
    <cfRule type="containsBlanks" dxfId="8069" priority="3034">
      <formula>LEN(TRIM(AG195))=0</formula>
    </cfRule>
    <cfRule type="containsBlanks" dxfId="8068" priority="3035">
      <formula>LEN(TRIM(AG195))=0</formula>
    </cfRule>
    <cfRule type="containsBlanks" dxfId="8067" priority="3036">
      <formula>LEN(TRIM(AG195))=0</formula>
    </cfRule>
    <cfRule type="containsBlanks" dxfId="8066" priority="3037">
      <formula>LEN(TRIM(AG195))=0</formula>
    </cfRule>
    <cfRule type="containsBlanks" dxfId="8065" priority="3038">
      <formula>LEN(TRIM(AG195))=0</formula>
    </cfRule>
    <cfRule type="containsBlanks" dxfId="8064" priority="3039">
      <formula>LEN(TRIM(AG195))=0</formula>
    </cfRule>
    <cfRule type="containsBlanks" dxfId="8063" priority="3040">
      <formula>LEN(TRIM(AG195))=0</formula>
    </cfRule>
    <cfRule type="containsBlanks" dxfId="8062" priority="3041">
      <formula>LEN(TRIM(AG195))=0</formula>
    </cfRule>
    <cfRule type="containsBlanks" dxfId="8061" priority="3042">
      <formula>LEN(TRIM(AG195))=0</formula>
    </cfRule>
    <cfRule type="containsBlanks" dxfId="8060" priority="3043">
      <formula>LEN(TRIM(AG195))=0</formula>
    </cfRule>
    <cfRule type="containsBlanks" dxfId="8059" priority="3044">
      <formula>LEN(TRIM(AG195))=0</formula>
    </cfRule>
    <cfRule type="containsBlanks" dxfId="8058" priority="3045">
      <formula>LEN(TRIM(AG195))=0</formula>
    </cfRule>
    <cfRule type="containsBlanks" dxfId="8057" priority="3046">
      <formula>LEN(TRIM(AG195))=0</formula>
    </cfRule>
    <cfRule type="containsBlanks" dxfId="8056" priority="3047">
      <formula>LEN(TRIM(AG195))=0</formula>
    </cfRule>
    <cfRule type="containsBlanks" dxfId="8055" priority="3048">
      <formula>LEN(TRIM(AG195))=0</formula>
    </cfRule>
    <cfRule type="containsBlanks" dxfId="8054" priority="3049">
      <formula>LEN(TRIM(AG195))=0</formula>
    </cfRule>
    <cfRule type="containsBlanks" dxfId="8053" priority="3050">
      <formula>LEN(TRIM(AG195))=0</formula>
    </cfRule>
    <cfRule type="containsBlanks" dxfId="8052" priority="3051">
      <formula>LEN(TRIM(AG195))=0</formula>
    </cfRule>
    <cfRule type="containsBlanks" dxfId="8051" priority="3052">
      <formula>LEN(TRIM(AG195))=0</formula>
    </cfRule>
    <cfRule type="containsBlanks" dxfId="8050" priority="3053">
      <formula>LEN(TRIM(AG195))=0</formula>
    </cfRule>
    <cfRule type="containsBlanks" dxfId="8049" priority="3054">
      <formula>LEN(TRIM(AG195))=0</formula>
    </cfRule>
    <cfRule type="containsBlanks" dxfId="8048" priority="3055">
      <formula>LEN(TRIM(AG195))=0</formula>
    </cfRule>
    <cfRule type="containsBlanks" dxfId="8047" priority="3056">
      <formula>LEN(TRIM(AG195))=0</formula>
    </cfRule>
    <cfRule type="containsBlanks" dxfId="8046" priority="3057">
      <formula>LEN(TRIM(AG195))=0</formula>
    </cfRule>
    <cfRule type="containsBlanks" dxfId="8045" priority="3058">
      <formula>LEN(TRIM(AG195))=0</formula>
    </cfRule>
    <cfRule type="containsBlanks" dxfId="8044" priority="3059">
      <formula>LEN(TRIM(AG195))=0</formula>
    </cfRule>
    <cfRule type="containsBlanks" dxfId="8043" priority="3060">
      <formula>LEN(TRIM(AG195))=0</formula>
    </cfRule>
    <cfRule type="containsBlanks" dxfId="8042" priority="3061">
      <formula>LEN(TRIM(AG195))=0</formula>
    </cfRule>
    <cfRule type="containsBlanks" dxfId="8041" priority="3062">
      <formula>LEN(TRIM(AG195))=0</formula>
    </cfRule>
    <cfRule type="containsBlanks" dxfId="8040" priority="3063">
      <formula>LEN(TRIM(AG195))=0</formula>
    </cfRule>
    <cfRule type="containsBlanks" dxfId="8039" priority="3064">
      <formula>LEN(TRIM(AG195))=0</formula>
    </cfRule>
    <cfRule type="containsBlanks" dxfId="8038" priority="3065">
      <formula>LEN(TRIM(AG195))=0</formula>
    </cfRule>
    <cfRule type="containsBlanks" dxfId="8037" priority="3066">
      <formula>LEN(TRIM(AG195))=0</formula>
    </cfRule>
    <cfRule type="containsBlanks" dxfId="8036" priority="3067">
      <formula>LEN(TRIM(AG195))=0</formula>
    </cfRule>
    <cfRule type="containsBlanks" dxfId="8035" priority="3068">
      <formula>LEN(TRIM(AG195))=0</formula>
    </cfRule>
    <cfRule type="containsBlanks" dxfId="8034" priority="3069">
      <formula>LEN(TRIM(AG195))=0</formula>
    </cfRule>
    <cfRule type="containsBlanks" dxfId="8033" priority="3070">
      <formula>LEN(TRIM(AG195))=0</formula>
    </cfRule>
    <cfRule type="containsBlanks" dxfId="8032" priority="3071">
      <formula>LEN(TRIM(AG195))=0</formula>
    </cfRule>
    <cfRule type="containsBlanks" dxfId="8031" priority="3072">
      <formula>LEN(TRIM(AG195))=0</formula>
    </cfRule>
    <cfRule type="containsBlanks" dxfId="8030" priority="3073">
      <formula>LEN(TRIM(AG195))=0</formula>
    </cfRule>
    <cfRule type="containsBlanks" dxfId="8029" priority="3074">
      <formula>LEN(TRIM(AG195))=0</formula>
    </cfRule>
    <cfRule type="containsBlanks" dxfId="8028" priority="3075">
      <formula>LEN(TRIM(AG195))=0</formula>
    </cfRule>
    <cfRule type="containsBlanks" dxfId="8027" priority="3076">
      <formula>LEN(TRIM(AG195))=0</formula>
    </cfRule>
    <cfRule type="containsBlanks" dxfId="8026" priority="3077">
      <formula>LEN(TRIM(AG195))=0</formula>
    </cfRule>
    <cfRule type="containsBlanks" dxfId="8025" priority="3078">
      <formula>LEN(TRIM(AG195))=0</formula>
    </cfRule>
    <cfRule type="containsBlanks" dxfId="8024" priority="3079">
      <formula>LEN(TRIM(AG195))=0</formula>
    </cfRule>
    <cfRule type="containsBlanks" dxfId="8023" priority="3080">
      <formula>LEN(TRIM(AG195))=0</formula>
    </cfRule>
  </conditionalFormatting>
  <conditionalFormatting sqref="AG201">
    <cfRule type="containsBlanks" dxfId="8022" priority="2908">
      <formula>LEN(TRIM(AG201))=0</formula>
    </cfRule>
    <cfRule type="containsBlanks" dxfId="8021" priority="2909">
      <formula>LEN(TRIM(AG201))=0</formula>
    </cfRule>
    <cfRule type="containsBlanks" dxfId="8020" priority="2910">
      <formula>LEN(TRIM(AG201))=0</formula>
    </cfRule>
    <cfRule type="containsBlanks" dxfId="8019" priority="2911">
      <formula>LEN(TRIM(AG201))=0</formula>
    </cfRule>
    <cfRule type="containsBlanks" dxfId="8018" priority="2912">
      <formula>LEN(TRIM(AG201))=0</formula>
    </cfRule>
    <cfRule type="containsBlanks" dxfId="8017" priority="2913">
      <formula>LEN(TRIM(AG201))=0</formula>
    </cfRule>
    <cfRule type="containsBlanks" dxfId="8016" priority="2914">
      <formula>LEN(TRIM(AG201))=0</formula>
    </cfRule>
    <cfRule type="containsBlanks" dxfId="8015" priority="2915">
      <formula>LEN(TRIM(AG201))=0</formula>
    </cfRule>
    <cfRule type="containsBlanks" dxfId="8014" priority="2916">
      <formula>LEN(TRIM(AG201))=0</formula>
    </cfRule>
    <cfRule type="containsBlanks" dxfId="8013" priority="2917">
      <formula>LEN(TRIM(AG201))=0</formula>
    </cfRule>
    <cfRule type="containsBlanks" dxfId="8012" priority="2918">
      <formula>LEN(TRIM(AG201))=0</formula>
    </cfRule>
    <cfRule type="containsBlanks" dxfId="8011" priority="2919">
      <formula>LEN(TRIM(AG201))=0</formula>
    </cfRule>
    <cfRule type="containsBlanks" dxfId="8010" priority="2920">
      <formula>LEN(TRIM(AG201))=0</formula>
    </cfRule>
    <cfRule type="containsBlanks" dxfId="8009" priority="2921">
      <formula>LEN(TRIM(AG201))=0</formula>
    </cfRule>
    <cfRule type="containsBlanks" dxfId="8008" priority="2922">
      <formula>LEN(TRIM(AG201))=0</formula>
    </cfRule>
    <cfRule type="containsBlanks" dxfId="8007" priority="2923">
      <formula>LEN(TRIM(AG201))=0</formula>
    </cfRule>
    <cfRule type="containsBlanks" dxfId="8006" priority="2924">
      <formula>LEN(TRIM(AG201))=0</formula>
    </cfRule>
    <cfRule type="containsBlanks" dxfId="8005" priority="2925">
      <formula>LEN(TRIM(AG201))=0</formula>
    </cfRule>
    <cfRule type="containsBlanks" dxfId="8004" priority="2926">
      <formula>LEN(TRIM(AG201))=0</formula>
    </cfRule>
    <cfRule type="containsBlanks" dxfId="8003" priority="2927">
      <formula>LEN(TRIM(AG201))=0</formula>
    </cfRule>
    <cfRule type="containsBlanks" dxfId="8002" priority="2928">
      <formula>LEN(TRIM(AG201))=0</formula>
    </cfRule>
    <cfRule type="containsBlanks" dxfId="8001" priority="2929">
      <formula>LEN(TRIM(AG201))=0</formula>
    </cfRule>
    <cfRule type="containsBlanks" dxfId="8000" priority="2930">
      <formula>LEN(TRIM(AG201))=0</formula>
    </cfRule>
    <cfRule type="containsBlanks" dxfId="7999" priority="2931">
      <formula>LEN(TRIM(AG201))=0</formula>
    </cfRule>
    <cfRule type="containsBlanks" dxfId="7998" priority="2932">
      <formula>LEN(TRIM(AG201))=0</formula>
    </cfRule>
    <cfRule type="containsBlanks" dxfId="7997" priority="2933">
      <formula>LEN(TRIM(AG201))=0</formula>
    </cfRule>
    <cfRule type="containsBlanks" dxfId="7996" priority="2934">
      <formula>LEN(TRIM(AG201))=0</formula>
    </cfRule>
    <cfRule type="containsBlanks" dxfId="7995" priority="2935">
      <formula>LEN(TRIM(AG201))=0</formula>
    </cfRule>
    <cfRule type="containsBlanks" dxfId="7994" priority="2936">
      <formula>LEN(TRIM(AG201))=0</formula>
    </cfRule>
    <cfRule type="containsBlanks" dxfId="7993" priority="2937">
      <formula>LEN(TRIM(AG201))=0</formula>
    </cfRule>
    <cfRule type="containsBlanks" dxfId="7992" priority="2938">
      <formula>LEN(TRIM(AG201))=0</formula>
    </cfRule>
    <cfRule type="containsBlanks" dxfId="7991" priority="2939">
      <formula>LEN(TRIM(AG201))=0</formula>
    </cfRule>
    <cfRule type="containsBlanks" dxfId="7990" priority="2940">
      <formula>LEN(TRIM(AG201))=0</formula>
    </cfRule>
    <cfRule type="containsBlanks" dxfId="7989" priority="2941">
      <formula>LEN(TRIM(AG201))=0</formula>
    </cfRule>
    <cfRule type="containsBlanks" dxfId="7988" priority="2942">
      <formula>LEN(TRIM(AG201))=0</formula>
    </cfRule>
    <cfRule type="containsBlanks" dxfId="7987" priority="2943">
      <formula>LEN(TRIM(AG201))=0</formula>
    </cfRule>
    <cfRule type="containsBlanks" dxfId="7986" priority="2944">
      <formula>LEN(TRIM(AG201))=0</formula>
    </cfRule>
    <cfRule type="containsBlanks" dxfId="7985" priority="2945">
      <formula>LEN(TRIM(AG201))=0</formula>
    </cfRule>
    <cfRule type="containsBlanks" dxfId="7984" priority="2946">
      <formula>LEN(TRIM(AG201))=0</formula>
    </cfRule>
    <cfRule type="containsBlanks" dxfId="7983" priority="2947">
      <formula>LEN(TRIM(AG201))=0</formula>
    </cfRule>
    <cfRule type="containsBlanks" dxfId="7982" priority="2948">
      <formula>LEN(TRIM(AG201))=0</formula>
    </cfRule>
    <cfRule type="containsBlanks" dxfId="7981" priority="2949">
      <formula>LEN(TRIM(AG201))=0</formula>
    </cfRule>
    <cfRule type="containsBlanks" dxfId="7980" priority="2950">
      <formula>LEN(TRIM(AG201))=0</formula>
    </cfRule>
    <cfRule type="containsBlanks" dxfId="7979" priority="2951">
      <formula>LEN(TRIM(AG201))=0</formula>
    </cfRule>
    <cfRule type="containsBlanks" dxfId="7978" priority="2952">
      <formula>LEN(TRIM(AG201))=0</formula>
    </cfRule>
    <cfRule type="containsBlanks" dxfId="7977" priority="2953">
      <formula>LEN(TRIM(AG201))=0</formula>
    </cfRule>
    <cfRule type="containsBlanks" dxfId="7976" priority="2954">
      <formula>LEN(TRIM(AG201))=0</formula>
    </cfRule>
    <cfRule type="containsBlanks" dxfId="7975" priority="2955">
      <formula>LEN(TRIM(AG201))=0</formula>
    </cfRule>
    <cfRule type="containsBlanks" dxfId="7974" priority="2956">
      <formula>LEN(TRIM(AG201))=0</formula>
    </cfRule>
    <cfRule type="containsBlanks" dxfId="7973" priority="2957">
      <formula>LEN(TRIM(AG201))=0</formula>
    </cfRule>
    <cfRule type="containsBlanks" dxfId="7972" priority="2958">
      <formula>LEN(TRIM(AG201))=0</formula>
    </cfRule>
    <cfRule type="containsBlanks" dxfId="7971" priority="2959">
      <formula>LEN(TRIM(AG201))=0</formula>
    </cfRule>
    <cfRule type="containsBlanks" dxfId="7970" priority="2960">
      <formula>LEN(TRIM(AG201))=0</formula>
    </cfRule>
    <cfRule type="containsBlanks" dxfId="7969" priority="2961">
      <formula>LEN(TRIM(AG201))=0</formula>
    </cfRule>
    <cfRule type="containsBlanks" dxfId="7968" priority="2962">
      <formula>LEN(TRIM(AG201))=0</formula>
    </cfRule>
    <cfRule type="containsBlanks" dxfId="7967" priority="2963">
      <formula>LEN(TRIM(AG201))=0</formula>
    </cfRule>
    <cfRule type="containsBlanks" dxfId="7966" priority="2964">
      <formula>LEN(TRIM(AG201))=0</formula>
    </cfRule>
    <cfRule type="containsBlanks" dxfId="7965" priority="2965">
      <formula>LEN(TRIM(AG201))=0</formula>
    </cfRule>
    <cfRule type="containsBlanks" dxfId="7964" priority="2966">
      <formula>LEN(TRIM(AG201))=0</formula>
    </cfRule>
    <cfRule type="containsBlanks" dxfId="7963" priority="2967">
      <formula>LEN(TRIM(AG201))=0</formula>
    </cfRule>
    <cfRule type="containsBlanks" dxfId="7962" priority="2968">
      <formula>LEN(TRIM(AG201))=0</formula>
    </cfRule>
    <cfRule type="containsBlanks" dxfId="7961" priority="2969">
      <formula>LEN(TRIM(AG201))=0</formula>
    </cfRule>
    <cfRule type="containsBlanks" dxfId="7960" priority="2970">
      <formula>LEN(TRIM(AG201))=0</formula>
    </cfRule>
    <cfRule type="containsBlanks" dxfId="7959" priority="2971">
      <formula>LEN(TRIM(AG201))=0</formula>
    </cfRule>
    <cfRule type="containsBlanks" dxfId="7958" priority="2972">
      <formula>LEN(TRIM(AG201))=0</formula>
    </cfRule>
    <cfRule type="containsBlanks" dxfId="7957" priority="2973">
      <formula>LEN(TRIM(AG201))=0</formula>
    </cfRule>
    <cfRule type="containsBlanks" dxfId="7956" priority="2974">
      <formula>LEN(TRIM(AG201))=0</formula>
    </cfRule>
    <cfRule type="containsBlanks" dxfId="7955" priority="2975">
      <formula>LEN(TRIM(AG201))=0</formula>
    </cfRule>
    <cfRule type="containsBlanks" dxfId="7954" priority="2976">
      <formula>LEN(TRIM(AG201))=0</formula>
    </cfRule>
    <cfRule type="containsBlanks" dxfId="7953" priority="2977">
      <formula>LEN(TRIM(AG201))=0</formula>
    </cfRule>
    <cfRule type="containsBlanks" dxfId="7952" priority="2978">
      <formula>LEN(TRIM(AG201))=0</formula>
    </cfRule>
    <cfRule type="containsBlanks" dxfId="7951" priority="2979">
      <formula>LEN(TRIM(AG201))=0</formula>
    </cfRule>
    <cfRule type="containsBlanks" dxfId="7950" priority="2980">
      <formula>LEN(TRIM(AG201))=0</formula>
    </cfRule>
    <cfRule type="containsBlanks" dxfId="7949" priority="2981">
      <formula>LEN(TRIM(AG201))=0</formula>
    </cfRule>
    <cfRule type="containsBlanks" dxfId="7948" priority="2982">
      <formula>LEN(TRIM(AG201))=0</formula>
    </cfRule>
    <cfRule type="containsBlanks" dxfId="7947" priority="2983">
      <formula>LEN(TRIM(AG201))=0</formula>
    </cfRule>
    <cfRule type="containsBlanks" dxfId="7946" priority="2984">
      <formula>LEN(TRIM(AG201))=0</formula>
    </cfRule>
    <cfRule type="containsBlanks" dxfId="7945" priority="2985">
      <formula>LEN(TRIM(AG201))=0</formula>
    </cfRule>
    <cfRule type="containsBlanks" dxfId="7944" priority="2986">
      <formula>LEN(TRIM(AG201))=0</formula>
    </cfRule>
    <cfRule type="containsBlanks" dxfId="7943" priority="2987">
      <formula>LEN(TRIM(AG201))=0</formula>
    </cfRule>
  </conditionalFormatting>
  <conditionalFormatting sqref="AG208">
    <cfRule type="containsBlanks" dxfId="7942" priority="2828">
      <formula>LEN(TRIM(AG208))=0</formula>
    </cfRule>
    <cfRule type="containsBlanks" dxfId="7941" priority="2829">
      <formula>LEN(TRIM(AG208))=0</formula>
    </cfRule>
    <cfRule type="containsBlanks" dxfId="7940" priority="2830">
      <formula>LEN(TRIM(AG208))=0</formula>
    </cfRule>
    <cfRule type="containsBlanks" dxfId="7939" priority="2831">
      <formula>LEN(TRIM(AG208))=0</formula>
    </cfRule>
    <cfRule type="containsBlanks" dxfId="7938" priority="2832">
      <formula>LEN(TRIM(AG208))=0</formula>
    </cfRule>
    <cfRule type="containsBlanks" dxfId="7937" priority="2833">
      <formula>LEN(TRIM(AG208))=0</formula>
    </cfRule>
    <cfRule type="containsBlanks" dxfId="7936" priority="2834">
      <formula>LEN(TRIM(AG208))=0</formula>
    </cfRule>
    <cfRule type="containsBlanks" dxfId="7935" priority="2835">
      <formula>LEN(TRIM(AG208))=0</formula>
    </cfRule>
    <cfRule type="containsBlanks" dxfId="7934" priority="2836">
      <formula>LEN(TRIM(AG208))=0</formula>
    </cfRule>
    <cfRule type="containsBlanks" dxfId="7933" priority="2837">
      <formula>LEN(TRIM(AG208))=0</formula>
    </cfRule>
    <cfRule type="containsBlanks" dxfId="7932" priority="2838">
      <formula>LEN(TRIM(AG208))=0</formula>
    </cfRule>
    <cfRule type="containsBlanks" dxfId="7931" priority="2839">
      <formula>LEN(TRIM(AG208))=0</formula>
    </cfRule>
    <cfRule type="containsBlanks" dxfId="7930" priority="2840">
      <formula>LEN(TRIM(AG208))=0</formula>
    </cfRule>
    <cfRule type="containsBlanks" dxfId="7929" priority="2841">
      <formula>LEN(TRIM(AG208))=0</formula>
    </cfRule>
    <cfRule type="containsBlanks" dxfId="7928" priority="2842">
      <formula>LEN(TRIM(AG208))=0</formula>
    </cfRule>
    <cfRule type="containsBlanks" dxfId="7927" priority="2843">
      <formula>LEN(TRIM(AG208))=0</formula>
    </cfRule>
    <cfRule type="containsBlanks" dxfId="7926" priority="2844">
      <formula>LEN(TRIM(AG208))=0</formula>
    </cfRule>
    <cfRule type="containsBlanks" dxfId="7925" priority="2845">
      <formula>LEN(TRIM(AG208))=0</formula>
    </cfRule>
    <cfRule type="containsBlanks" dxfId="7924" priority="2846">
      <formula>LEN(TRIM(AG208))=0</formula>
    </cfRule>
    <cfRule type="containsBlanks" dxfId="7923" priority="2847">
      <formula>LEN(TRIM(AG208))=0</formula>
    </cfRule>
    <cfRule type="containsBlanks" dxfId="7922" priority="2848">
      <formula>LEN(TRIM(AG208))=0</formula>
    </cfRule>
    <cfRule type="containsBlanks" dxfId="7921" priority="2849">
      <formula>LEN(TRIM(AG208))=0</formula>
    </cfRule>
    <cfRule type="containsBlanks" dxfId="7920" priority="2850">
      <formula>LEN(TRIM(AG208))=0</formula>
    </cfRule>
    <cfRule type="containsBlanks" dxfId="7919" priority="2851">
      <formula>LEN(TRIM(AG208))=0</formula>
    </cfRule>
    <cfRule type="containsBlanks" dxfId="7918" priority="2852">
      <formula>LEN(TRIM(AG208))=0</formula>
    </cfRule>
    <cfRule type="containsBlanks" dxfId="7917" priority="2853">
      <formula>LEN(TRIM(AG208))=0</formula>
    </cfRule>
    <cfRule type="containsBlanks" dxfId="7916" priority="2854">
      <formula>LEN(TRIM(AG208))=0</formula>
    </cfRule>
    <cfRule type="containsBlanks" dxfId="7915" priority="2855">
      <formula>LEN(TRIM(AG208))=0</formula>
    </cfRule>
    <cfRule type="containsBlanks" dxfId="7914" priority="2856">
      <formula>LEN(TRIM(AG208))=0</formula>
    </cfRule>
    <cfRule type="containsBlanks" dxfId="7913" priority="2857">
      <formula>LEN(TRIM(AG208))=0</formula>
    </cfRule>
    <cfRule type="containsBlanks" dxfId="7912" priority="2858">
      <formula>LEN(TRIM(AG208))=0</formula>
    </cfRule>
    <cfRule type="containsBlanks" dxfId="7911" priority="2859">
      <formula>LEN(TRIM(AG208))=0</formula>
    </cfRule>
    <cfRule type="containsBlanks" dxfId="7910" priority="2860">
      <formula>LEN(TRIM(AG208))=0</formula>
    </cfRule>
    <cfRule type="containsBlanks" dxfId="7909" priority="2861">
      <formula>LEN(TRIM(AG208))=0</formula>
    </cfRule>
    <cfRule type="containsBlanks" dxfId="7908" priority="2862">
      <formula>LEN(TRIM(AG208))=0</formula>
    </cfRule>
    <cfRule type="containsBlanks" dxfId="7907" priority="2863">
      <formula>LEN(TRIM(AG208))=0</formula>
    </cfRule>
    <cfRule type="containsBlanks" dxfId="7906" priority="2864">
      <formula>LEN(TRIM(AG208))=0</formula>
    </cfRule>
    <cfRule type="containsBlanks" dxfId="7905" priority="2865">
      <formula>LEN(TRIM(AG208))=0</formula>
    </cfRule>
    <cfRule type="containsBlanks" dxfId="7904" priority="2866">
      <formula>LEN(TRIM(AG208))=0</formula>
    </cfRule>
    <cfRule type="containsBlanks" dxfId="7903" priority="2867">
      <formula>LEN(TRIM(AG208))=0</formula>
    </cfRule>
    <cfRule type="containsBlanks" dxfId="7902" priority="2868">
      <formula>LEN(TRIM(AG208))=0</formula>
    </cfRule>
    <cfRule type="containsBlanks" dxfId="7901" priority="2869">
      <formula>LEN(TRIM(AG208))=0</formula>
    </cfRule>
    <cfRule type="containsBlanks" dxfId="7900" priority="2870">
      <formula>LEN(TRIM(AG208))=0</formula>
    </cfRule>
    <cfRule type="containsBlanks" dxfId="7899" priority="2871">
      <formula>LEN(TRIM(AG208))=0</formula>
    </cfRule>
    <cfRule type="containsBlanks" dxfId="7898" priority="2872">
      <formula>LEN(TRIM(AG208))=0</formula>
    </cfRule>
    <cfRule type="containsBlanks" dxfId="7897" priority="2873">
      <formula>LEN(TRIM(AG208))=0</formula>
    </cfRule>
    <cfRule type="containsBlanks" dxfId="7896" priority="2874">
      <formula>LEN(TRIM(AG208))=0</formula>
    </cfRule>
    <cfRule type="containsBlanks" dxfId="7895" priority="2875">
      <formula>LEN(TRIM(AG208))=0</formula>
    </cfRule>
    <cfRule type="containsBlanks" dxfId="7894" priority="2876">
      <formula>LEN(TRIM(AG208))=0</formula>
    </cfRule>
    <cfRule type="containsBlanks" dxfId="7893" priority="2877">
      <formula>LEN(TRIM(AG208))=0</formula>
    </cfRule>
    <cfRule type="containsBlanks" dxfId="7892" priority="2878">
      <formula>LEN(TRIM(AG208))=0</formula>
    </cfRule>
    <cfRule type="containsBlanks" dxfId="7891" priority="2879">
      <formula>LEN(TRIM(AG208))=0</formula>
    </cfRule>
    <cfRule type="containsBlanks" dxfId="7890" priority="2880">
      <formula>LEN(TRIM(AG208))=0</formula>
    </cfRule>
    <cfRule type="containsBlanks" dxfId="7889" priority="2881">
      <formula>LEN(TRIM(AG208))=0</formula>
    </cfRule>
    <cfRule type="containsBlanks" dxfId="7888" priority="2882">
      <formula>LEN(TRIM(AG208))=0</formula>
    </cfRule>
    <cfRule type="containsBlanks" dxfId="7887" priority="2883">
      <formula>LEN(TRIM(AG208))=0</formula>
    </cfRule>
    <cfRule type="containsBlanks" dxfId="7886" priority="2884">
      <formula>LEN(TRIM(AG208))=0</formula>
    </cfRule>
    <cfRule type="containsBlanks" dxfId="7885" priority="2885">
      <formula>LEN(TRIM(AG208))=0</formula>
    </cfRule>
    <cfRule type="containsBlanks" dxfId="7884" priority="2886">
      <formula>LEN(TRIM(AG208))=0</formula>
    </cfRule>
    <cfRule type="containsBlanks" dxfId="7883" priority="2887">
      <formula>LEN(TRIM(AG208))=0</formula>
    </cfRule>
    <cfRule type="containsBlanks" dxfId="7882" priority="2888">
      <formula>LEN(TRIM(AG208))=0</formula>
    </cfRule>
    <cfRule type="containsBlanks" dxfId="7881" priority="2889">
      <formula>LEN(TRIM(AG208))=0</formula>
    </cfRule>
    <cfRule type="containsBlanks" dxfId="7880" priority="2890">
      <formula>LEN(TRIM(AG208))=0</formula>
    </cfRule>
    <cfRule type="containsBlanks" dxfId="7879" priority="2891">
      <formula>LEN(TRIM(AG208))=0</formula>
    </cfRule>
    <cfRule type="containsBlanks" dxfId="7878" priority="2892">
      <formula>LEN(TRIM(AG208))=0</formula>
    </cfRule>
    <cfRule type="containsBlanks" dxfId="7877" priority="2893">
      <formula>LEN(TRIM(AG208))=0</formula>
    </cfRule>
    <cfRule type="containsBlanks" dxfId="7876" priority="2894">
      <formula>LEN(TRIM(AG208))=0</formula>
    </cfRule>
    <cfRule type="containsBlanks" dxfId="7875" priority="2895">
      <formula>LEN(TRIM(AG208))=0</formula>
    </cfRule>
    <cfRule type="containsBlanks" dxfId="7874" priority="2896">
      <formula>LEN(TRIM(AG208))=0</formula>
    </cfRule>
    <cfRule type="containsBlanks" dxfId="7873" priority="2897">
      <formula>LEN(TRIM(AG208))=0</formula>
    </cfRule>
    <cfRule type="containsBlanks" dxfId="7872" priority="2898">
      <formula>LEN(TRIM(AG208))=0</formula>
    </cfRule>
    <cfRule type="containsBlanks" dxfId="7871" priority="2899">
      <formula>LEN(TRIM(AG208))=0</formula>
    </cfRule>
    <cfRule type="containsBlanks" dxfId="7870" priority="2900">
      <formula>LEN(TRIM(AG208))=0</formula>
    </cfRule>
    <cfRule type="containsBlanks" dxfId="7869" priority="2901">
      <formula>LEN(TRIM(AG208))=0</formula>
    </cfRule>
    <cfRule type="containsBlanks" dxfId="7868" priority="2902">
      <formula>LEN(TRIM(AG208))=0</formula>
    </cfRule>
    <cfRule type="containsBlanks" dxfId="7867" priority="2903">
      <formula>LEN(TRIM(AG208))=0</formula>
    </cfRule>
    <cfRule type="containsBlanks" dxfId="7866" priority="2904">
      <formula>LEN(TRIM(AG208))=0</formula>
    </cfRule>
    <cfRule type="containsBlanks" dxfId="7865" priority="2905">
      <formula>LEN(TRIM(AG208))=0</formula>
    </cfRule>
    <cfRule type="containsBlanks" dxfId="7864" priority="2906">
      <formula>LEN(TRIM(AG208))=0</formula>
    </cfRule>
    <cfRule type="containsBlanks" dxfId="7863" priority="2907">
      <formula>LEN(TRIM(AG208))=0</formula>
    </cfRule>
  </conditionalFormatting>
  <conditionalFormatting sqref="AG213">
    <cfRule type="containsBlanks" dxfId="7862" priority="2748">
      <formula>LEN(TRIM(AG213))=0</formula>
    </cfRule>
    <cfRule type="containsBlanks" dxfId="7861" priority="2749">
      <formula>LEN(TRIM(AG213))=0</formula>
    </cfRule>
    <cfRule type="containsBlanks" dxfId="7860" priority="2750">
      <formula>LEN(TRIM(AG213))=0</formula>
    </cfRule>
    <cfRule type="containsBlanks" dxfId="7859" priority="2751">
      <formula>LEN(TRIM(AG213))=0</formula>
    </cfRule>
    <cfRule type="containsBlanks" dxfId="7858" priority="2752">
      <formula>LEN(TRIM(AG213))=0</formula>
    </cfRule>
    <cfRule type="containsBlanks" dxfId="7857" priority="2753">
      <formula>LEN(TRIM(AG213))=0</formula>
    </cfRule>
    <cfRule type="containsBlanks" dxfId="7856" priority="2754">
      <formula>LEN(TRIM(AG213))=0</formula>
    </cfRule>
    <cfRule type="containsBlanks" dxfId="7855" priority="2755">
      <formula>LEN(TRIM(AG213))=0</formula>
    </cfRule>
    <cfRule type="containsBlanks" dxfId="7854" priority="2756">
      <formula>LEN(TRIM(AG213))=0</formula>
    </cfRule>
    <cfRule type="containsBlanks" dxfId="7853" priority="2757">
      <formula>LEN(TRIM(AG213))=0</formula>
    </cfRule>
    <cfRule type="containsBlanks" dxfId="7852" priority="2758">
      <formula>LEN(TRIM(AG213))=0</formula>
    </cfRule>
    <cfRule type="containsBlanks" dxfId="7851" priority="2759">
      <formula>LEN(TRIM(AG213))=0</formula>
    </cfRule>
    <cfRule type="containsBlanks" dxfId="7850" priority="2760">
      <formula>LEN(TRIM(AG213))=0</formula>
    </cfRule>
    <cfRule type="containsBlanks" dxfId="7849" priority="2761">
      <formula>LEN(TRIM(AG213))=0</formula>
    </cfRule>
    <cfRule type="containsBlanks" dxfId="7848" priority="2762">
      <formula>LEN(TRIM(AG213))=0</formula>
    </cfRule>
    <cfRule type="containsBlanks" dxfId="7847" priority="2763">
      <formula>LEN(TRIM(AG213))=0</formula>
    </cfRule>
    <cfRule type="containsBlanks" dxfId="7846" priority="2764">
      <formula>LEN(TRIM(AG213))=0</formula>
    </cfRule>
    <cfRule type="containsBlanks" dxfId="7845" priority="2765">
      <formula>LEN(TRIM(AG213))=0</formula>
    </cfRule>
    <cfRule type="containsBlanks" dxfId="7844" priority="2766">
      <formula>LEN(TRIM(AG213))=0</formula>
    </cfRule>
    <cfRule type="containsBlanks" dxfId="7843" priority="2767">
      <formula>LEN(TRIM(AG213))=0</formula>
    </cfRule>
    <cfRule type="containsBlanks" dxfId="7842" priority="2768">
      <formula>LEN(TRIM(AG213))=0</formula>
    </cfRule>
    <cfRule type="containsBlanks" dxfId="7841" priority="2769">
      <formula>LEN(TRIM(AG213))=0</formula>
    </cfRule>
    <cfRule type="containsBlanks" dxfId="7840" priority="2770">
      <formula>LEN(TRIM(AG213))=0</formula>
    </cfRule>
    <cfRule type="containsBlanks" dxfId="7839" priority="2771">
      <formula>LEN(TRIM(AG213))=0</formula>
    </cfRule>
    <cfRule type="containsBlanks" dxfId="7838" priority="2772">
      <formula>LEN(TRIM(AG213))=0</formula>
    </cfRule>
    <cfRule type="containsBlanks" dxfId="7837" priority="2773">
      <formula>LEN(TRIM(AG213))=0</formula>
    </cfRule>
    <cfRule type="containsBlanks" dxfId="7836" priority="2774">
      <formula>LEN(TRIM(AG213))=0</formula>
    </cfRule>
    <cfRule type="containsBlanks" dxfId="7835" priority="2775">
      <formula>LEN(TRIM(AG213))=0</formula>
    </cfRule>
    <cfRule type="containsBlanks" dxfId="7834" priority="2776">
      <formula>LEN(TRIM(AG213))=0</formula>
    </cfRule>
    <cfRule type="containsBlanks" dxfId="7833" priority="2777">
      <formula>LEN(TRIM(AG213))=0</formula>
    </cfRule>
    <cfRule type="containsBlanks" dxfId="7832" priority="2778">
      <formula>LEN(TRIM(AG213))=0</formula>
    </cfRule>
    <cfRule type="containsBlanks" dxfId="7831" priority="2779">
      <formula>LEN(TRIM(AG213))=0</formula>
    </cfRule>
    <cfRule type="containsBlanks" dxfId="7830" priority="2780">
      <formula>LEN(TRIM(AG213))=0</formula>
    </cfRule>
    <cfRule type="containsBlanks" dxfId="7829" priority="2781">
      <formula>LEN(TRIM(AG213))=0</formula>
    </cfRule>
    <cfRule type="containsBlanks" dxfId="7828" priority="2782">
      <formula>LEN(TRIM(AG213))=0</formula>
    </cfRule>
    <cfRule type="containsBlanks" dxfId="7827" priority="2783">
      <formula>LEN(TRIM(AG213))=0</formula>
    </cfRule>
    <cfRule type="containsBlanks" dxfId="7826" priority="2784">
      <formula>LEN(TRIM(AG213))=0</formula>
    </cfRule>
    <cfRule type="containsBlanks" dxfId="7825" priority="2785">
      <formula>LEN(TRIM(AG213))=0</formula>
    </cfRule>
    <cfRule type="containsBlanks" dxfId="7824" priority="2786">
      <formula>LEN(TRIM(AG213))=0</formula>
    </cfRule>
    <cfRule type="containsBlanks" dxfId="7823" priority="2787">
      <formula>LEN(TRIM(AG213))=0</formula>
    </cfRule>
    <cfRule type="containsBlanks" dxfId="7822" priority="2788">
      <formula>LEN(TRIM(AG213))=0</formula>
    </cfRule>
    <cfRule type="containsBlanks" dxfId="7821" priority="2789">
      <formula>LEN(TRIM(AG213))=0</formula>
    </cfRule>
    <cfRule type="containsBlanks" dxfId="7820" priority="2790">
      <formula>LEN(TRIM(AG213))=0</formula>
    </cfRule>
    <cfRule type="containsBlanks" dxfId="7819" priority="2791">
      <formula>LEN(TRIM(AG213))=0</formula>
    </cfRule>
    <cfRule type="containsBlanks" dxfId="7818" priority="2792">
      <formula>LEN(TRIM(AG213))=0</formula>
    </cfRule>
    <cfRule type="containsBlanks" dxfId="7817" priority="2793">
      <formula>LEN(TRIM(AG213))=0</formula>
    </cfRule>
    <cfRule type="containsBlanks" dxfId="7816" priority="2794">
      <formula>LEN(TRIM(AG213))=0</formula>
    </cfRule>
    <cfRule type="containsBlanks" dxfId="7815" priority="2795">
      <formula>LEN(TRIM(AG213))=0</formula>
    </cfRule>
    <cfRule type="containsBlanks" dxfId="7814" priority="2796">
      <formula>LEN(TRIM(AG213))=0</formula>
    </cfRule>
    <cfRule type="containsBlanks" dxfId="7813" priority="2797">
      <formula>LEN(TRIM(AG213))=0</formula>
    </cfRule>
    <cfRule type="containsBlanks" dxfId="7812" priority="2798">
      <formula>LEN(TRIM(AG213))=0</formula>
    </cfRule>
    <cfRule type="containsBlanks" dxfId="7811" priority="2799">
      <formula>LEN(TRIM(AG213))=0</formula>
    </cfRule>
    <cfRule type="containsBlanks" dxfId="7810" priority="2800">
      <formula>LEN(TRIM(AG213))=0</formula>
    </cfRule>
    <cfRule type="containsBlanks" dxfId="7809" priority="2801">
      <formula>LEN(TRIM(AG213))=0</formula>
    </cfRule>
    <cfRule type="containsBlanks" dxfId="7808" priority="2802">
      <formula>LEN(TRIM(AG213))=0</formula>
    </cfRule>
    <cfRule type="containsBlanks" dxfId="7807" priority="2803">
      <formula>LEN(TRIM(AG213))=0</formula>
    </cfRule>
    <cfRule type="containsBlanks" dxfId="7806" priority="2804">
      <formula>LEN(TRIM(AG213))=0</formula>
    </cfRule>
    <cfRule type="containsBlanks" dxfId="7805" priority="2805">
      <formula>LEN(TRIM(AG213))=0</formula>
    </cfRule>
    <cfRule type="containsBlanks" dxfId="7804" priority="2806">
      <formula>LEN(TRIM(AG213))=0</formula>
    </cfRule>
    <cfRule type="containsBlanks" dxfId="7803" priority="2807">
      <formula>LEN(TRIM(AG213))=0</formula>
    </cfRule>
    <cfRule type="containsBlanks" dxfId="7802" priority="2808">
      <formula>LEN(TRIM(AG213))=0</formula>
    </cfRule>
    <cfRule type="containsBlanks" dxfId="7801" priority="2809">
      <formula>LEN(TRIM(AG213))=0</formula>
    </cfRule>
    <cfRule type="containsBlanks" dxfId="7800" priority="2810">
      <formula>LEN(TRIM(AG213))=0</formula>
    </cfRule>
    <cfRule type="containsBlanks" dxfId="7799" priority="2811">
      <formula>LEN(TRIM(AG213))=0</formula>
    </cfRule>
    <cfRule type="containsBlanks" dxfId="7798" priority="2812">
      <formula>LEN(TRIM(AG213))=0</formula>
    </cfRule>
    <cfRule type="containsBlanks" dxfId="7797" priority="2813">
      <formula>LEN(TRIM(AG213))=0</formula>
    </cfRule>
    <cfRule type="containsBlanks" dxfId="7796" priority="2814">
      <formula>LEN(TRIM(AG213))=0</formula>
    </cfRule>
    <cfRule type="containsBlanks" dxfId="7795" priority="2815">
      <formula>LEN(TRIM(AG213))=0</formula>
    </cfRule>
    <cfRule type="containsBlanks" dxfId="7794" priority="2816">
      <formula>LEN(TRIM(AG213))=0</formula>
    </cfRule>
    <cfRule type="containsBlanks" dxfId="7793" priority="2817">
      <formula>LEN(TRIM(AG213))=0</formula>
    </cfRule>
    <cfRule type="containsBlanks" dxfId="7792" priority="2818">
      <formula>LEN(TRIM(AG213))=0</formula>
    </cfRule>
    <cfRule type="containsBlanks" dxfId="7791" priority="2819">
      <formula>LEN(TRIM(AG213))=0</formula>
    </cfRule>
    <cfRule type="containsBlanks" dxfId="7790" priority="2820">
      <formula>LEN(TRIM(AG213))=0</formula>
    </cfRule>
    <cfRule type="containsBlanks" dxfId="7789" priority="2821">
      <formula>LEN(TRIM(AG213))=0</formula>
    </cfRule>
    <cfRule type="containsBlanks" dxfId="7788" priority="2822">
      <formula>LEN(TRIM(AG213))=0</formula>
    </cfRule>
    <cfRule type="containsBlanks" dxfId="7787" priority="2823">
      <formula>LEN(TRIM(AG213))=0</formula>
    </cfRule>
    <cfRule type="containsBlanks" dxfId="7786" priority="2824">
      <formula>LEN(TRIM(AG213))=0</formula>
    </cfRule>
    <cfRule type="containsBlanks" dxfId="7785" priority="2825">
      <formula>LEN(TRIM(AG213))=0</formula>
    </cfRule>
    <cfRule type="containsBlanks" dxfId="7784" priority="2826">
      <formula>LEN(TRIM(AG213))=0</formula>
    </cfRule>
    <cfRule type="containsBlanks" dxfId="7783" priority="2827">
      <formula>LEN(TRIM(AG213))=0</formula>
    </cfRule>
  </conditionalFormatting>
  <conditionalFormatting sqref="AG230">
    <cfRule type="containsBlanks" dxfId="7782" priority="2656">
      <formula>LEN(TRIM(AG230))=0</formula>
    </cfRule>
    <cfRule type="containsBlanks" dxfId="7781" priority="2657">
      <formula>LEN(TRIM(AG230))=0</formula>
    </cfRule>
    <cfRule type="containsBlanks" dxfId="7780" priority="2658">
      <formula>LEN(TRIM(AG230))=0</formula>
    </cfRule>
    <cfRule type="containsBlanks" dxfId="7779" priority="2659">
      <formula>LEN(TRIM(AG230))=0</formula>
    </cfRule>
    <cfRule type="containsBlanks" dxfId="7778" priority="2660">
      <formula>LEN(TRIM(AG230))=0</formula>
    </cfRule>
    <cfRule type="containsBlanks" dxfId="7777" priority="2661">
      <formula>LEN(TRIM(AG230))=0</formula>
    </cfRule>
    <cfRule type="containsBlanks" dxfId="7776" priority="2662">
      <formula>LEN(TRIM(AG230))=0</formula>
    </cfRule>
    <cfRule type="containsBlanks" dxfId="7775" priority="2663">
      <formula>LEN(TRIM(AG230))=0</formula>
    </cfRule>
    <cfRule type="containsBlanks" dxfId="7774" priority="2664">
      <formula>LEN(TRIM(AG230))=0</formula>
    </cfRule>
    <cfRule type="containsBlanks" dxfId="7773" priority="2665">
      <formula>LEN(TRIM(AG230))=0</formula>
    </cfRule>
    <cfRule type="containsBlanks" dxfId="7772" priority="2666">
      <formula>LEN(TRIM(AG230))=0</formula>
    </cfRule>
    <cfRule type="containsBlanks" dxfId="7771" priority="2667">
      <formula>LEN(TRIM(AG230))=0</formula>
    </cfRule>
    <cfRule type="containsBlanks" dxfId="7770" priority="2668">
      <formula>LEN(TRIM(AG230))=0</formula>
    </cfRule>
    <cfRule type="containsBlanks" dxfId="7769" priority="2669">
      <formula>LEN(TRIM(AG230))=0</formula>
    </cfRule>
    <cfRule type="containsBlanks" dxfId="7768" priority="2670">
      <formula>LEN(TRIM(AG230))=0</formula>
    </cfRule>
    <cfRule type="containsBlanks" dxfId="7767" priority="2671">
      <formula>LEN(TRIM(AG230))=0</formula>
    </cfRule>
    <cfRule type="containsBlanks" dxfId="7766" priority="2672">
      <formula>LEN(TRIM(AG230))=0</formula>
    </cfRule>
    <cfRule type="containsBlanks" dxfId="7765" priority="2673">
      <formula>LEN(TRIM(AG230))=0</formula>
    </cfRule>
    <cfRule type="containsBlanks" dxfId="7764" priority="2674">
      <formula>LEN(TRIM(AG230))=0</formula>
    </cfRule>
    <cfRule type="containsBlanks" dxfId="7763" priority="2675">
      <formula>LEN(TRIM(AG230))=0</formula>
    </cfRule>
    <cfRule type="containsBlanks" dxfId="7762" priority="2676">
      <formula>LEN(TRIM(AG230))=0</formula>
    </cfRule>
    <cfRule type="containsBlanks" dxfId="7761" priority="2677">
      <formula>LEN(TRIM(AG230))=0</formula>
    </cfRule>
    <cfRule type="containsBlanks" dxfId="7760" priority="2678">
      <formula>LEN(TRIM(AG230))=0</formula>
    </cfRule>
    <cfRule type="containsBlanks" dxfId="7759" priority="2679">
      <formula>LEN(TRIM(AG230))=0</formula>
    </cfRule>
    <cfRule type="containsBlanks" dxfId="7758" priority="2680">
      <formula>LEN(TRIM(AG230))=0</formula>
    </cfRule>
    <cfRule type="containsBlanks" dxfId="7757" priority="2681">
      <formula>LEN(TRIM(AG230))=0</formula>
    </cfRule>
    <cfRule type="containsBlanks" dxfId="7756" priority="2682">
      <formula>LEN(TRIM(AG230))=0</formula>
    </cfRule>
    <cfRule type="containsBlanks" dxfId="7755" priority="2683">
      <formula>LEN(TRIM(AG230))=0</formula>
    </cfRule>
    <cfRule type="containsBlanks" dxfId="7754" priority="2684">
      <formula>LEN(TRIM(AG230))=0</formula>
    </cfRule>
    <cfRule type="containsBlanks" dxfId="7753" priority="2685">
      <formula>LEN(TRIM(AG230))=0</formula>
    </cfRule>
    <cfRule type="containsBlanks" dxfId="7752" priority="2686">
      <formula>LEN(TRIM(AG230))=0</formula>
    </cfRule>
    <cfRule type="containsBlanks" dxfId="7751" priority="2687">
      <formula>LEN(TRIM(AG230))=0</formula>
    </cfRule>
    <cfRule type="containsBlanks" dxfId="7750" priority="2688">
      <formula>LEN(TRIM(AG230))=0</formula>
    </cfRule>
    <cfRule type="containsBlanks" dxfId="7749" priority="2689">
      <formula>LEN(TRIM(AG230))=0</formula>
    </cfRule>
    <cfRule type="containsBlanks" dxfId="7748" priority="2690">
      <formula>LEN(TRIM(AG230))=0</formula>
    </cfRule>
    <cfRule type="containsBlanks" dxfId="7747" priority="2691">
      <formula>LEN(TRIM(AG230))=0</formula>
    </cfRule>
    <cfRule type="containsBlanks" dxfId="7746" priority="2692">
      <formula>LEN(TRIM(AG230))=0</formula>
    </cfRule>
    <cfRule type="containsBlanks" dxfId="7745" priority="2693">
      <formula>LEN(TRIM(AG230))=0</formula>
    </cfRule>
    <cfRule type="containsBlanks" dxfId="7744" priority="2694">
      <formula>LEN(TRIM(AG230))=0</formula>
    </cfRule>
    <cfRule type="containsBlanks" dxfId="7743" priority="2695">
      <formula>LEN(TRIM(AG230))=0</formula>
    </cfRule>
    <cfRule type="containsBlanks" dxfId="7742" priority="2696">
      <formula>LEN(TRIM(AG230))=0</formula>
    </cfRule>
    <cfRule type="containsBlanks" dxfId="7741" priority="2697">
      <formula>LEN(TRIM(AG230))=0</formula>
    </cfRule>
    <cfRule type="containsBlanks" dxfId="7740" priority="2698">
      <formula>LEN(TRIM(AG230))=0</formula>
    </cfRule>
    <cfRule type="containsBlanks" dxfId="7739" priority="2699">
      <formula>LEN(TRIM(AG230))=0</formula>
    </cfRule>
    <cfRule type="containsBlanks" dxfId="7738" priority="2700">
      <formula>LEN(TRIM(AG230))=0</formula>
    </cfRule>
    <cfRule type="containsBlanks" dxfId="7737" priority="2701">
      <formula>LEN(TRIM(AG230))=0</formula>
    </cfRule>
    <cfRule type="containsBlanks" dxfId="7736" priority="2702">
      <formula>LEN(TRIM(AG230))=0</formula>
    </cfRule>
    <cfRule type="containsBlanks" dxfId="7735" priority="2703">
      <formula>LEN(TRIM(AG230))=0</formula>
    </cfRule>
    <cfRule type="containsBlanks" dxfId="7734" priority="2704">
      <formula>LEN(TRIM(AG230))=0</formula>
    </cfRule>
    <cfRule type="containsBlanks" dxfId="7733" priority="2705">
      <formula>LEN(TRIM(AG230))=0</formula>
    </cfRule>
    <cfRule type="containsBlanks" dxfId="7732" priority="2706">
      <formula>LEN(TRIM(AG230))=0</formula>
    </cfRule>
    <cfRule type="containsBlanks" dxfId="7731" priority="2707">
      <formula>LEN(TRIM(AG230))=0</formula>
    </cfRule>
    <cfRule type="containsBlanks" dxfId="7730" priority="2708">
      <formula>LEN(TRIM(AG230))=0</formula>
    </cfRule>
    <cfRule type="containsBlanks" dxfId="7729" priority="2709">
      <formula>LEN(TRIM(AG230))=0</formula>
    </cfRule>
    <cfRule type="containsBlanks" dxfId="7728" priority="2710">
      <formula>LEN(TRIM(AG230))=0</formula>
    </cfRule>
    <cfRule type="containsBlanks" dxfId="7727" priority="2711">
      <formula>LEN(TRIM(AG230))=0</formula>
    </cfRule>
    <cfRule type="containsBlanks" dxfId="7726" priority="2712">
      <formula>LEN(TRIM(AG230))=0</formula>
    </cfRule>
    <cfRule type="containsBlanks" dxfId="7725" priority="2713">
      <formula>LEN(TRIM(AG230))=0</formula>
    </cfRule>
    <cfRule type="containsBlanks" dxfId="7724" priority="2714">
      <formula>LEN(TRIM(AG230))=0</formula>
    </cfRule>
    <cfRule type="containsBlanks" dxfId="7723" priority="2715">
      <formula>LEN(TRIM(AG230))=0</formula>
    </cfRule>
    <cfRule type="containsBlanks" dxfId="7722" priority="2716">
      <formula>LEN(TRIM(AG230))=0</formula>
    </cfRule>
    <cfRule type="containsBlanks" dxfId="7721" priority="2717">
      <formula>LEN(TRIM(AG230))=0</formula>
    </cfRule>
    <cfRule type="containsBlanks" dxfId="7720" priority="2718">
      <formula>LEN(TRIM(AG230))=0</formula>
    </cfRule>
    <cfRule type="containsBlanks" dxfId="7719" priority="2719">
      <formula>LEN(TRIM(AG230))=0</formula>
    </cfRule>
    <cfRule type="containsBlanks" dxfId="7718" priority="2720">
      <formula>LEN(TRIM(AG230))=0</formula>
    </cfRule>
    <cfRule type="containsBlanks" dxfId="7717" priority="2721">
      <formula>LEN(TRIM(AG230))=0</formula>
    </cfRule>
    <cfRule type="containsBlanks" dxfId="7716" priority="2722">
      <formula>LEN(TRIM(AG230))=0</formula>
    </cfRule>
    <cfRule type="containsBlanks" dxfId="7715" priority="2723">
      <formula>LEN(TRIM(AG230))=0</formula>
    </cfRule>
    <cfRule type="containsBlanks" dxfId="7714" priority="2724">
      <formula>LEN(TRIM(AG230))=0</formula>
    </cfRule>
    <cfRule type="containsBlanks" dxfId="7713" priority="2725">
      <formula>LEN(TRIM(AG230))=0</formula>
    </cfRule>
    <cfRule type="containsBlanks" dxfId="7712" priority="2726">
      <formula>LEN(TRIM(AG230))=0</formula>
    </cfRule>
    <cfRule type="containsBlanks" dxfId="7711" priority="2727">
      <formula>LEN(TRIM(AG230))=0</formula>
    </cfRule>
    <cfRule type="containsBlanks" dxfId="7710" priority="2728">
      <formula>LEN(TRIM(AG230))=0</formula>
    </cfRule>
    <cfRule type="containsBlanks" dxfId="7709" priority="2729">
      <formula>LEN(TRIM(AG230))=0</formula>
    </cfRule>
    <cfRule type="containsBlanks" dxfId="7708" priority="2730">
      <formula>LEN(TRIM(AG230))=0</formula>
    </cfRule>
    <cfRule type="containsBlanks" dxfId="7707" priority="2731">
      <formula>LEN(TRIM(AG230))=0</formula>
    </cfRule>
    <cfRule type="containsBlanks" dxfId="7706" priority="2732">
      <formula>LEN(TRIM(AG230))=0</formula>
    </cfRule>
    <cfRule type="containsBlanks" dxfId="7705" priority="2733">
      <formula>LEN(TRIM(AG230))=0</formula>
    </cfRule>
    <cfRule type="containsBlanks" dxfId="7704" priority="2734">
      <formula>LEN(TRIM(AG230))=0</formula>
    </cfRule>
    <cfRule type="containsBlanks" dxfId="7703" priority="2735">
      <formula>LEN(TRIM(AG230))=0</formula>
    </cfRule>
    <cfRule type="containsBlanks" dxfId="7702" priority="2736">
      <formula>LEN(TRIM(AG230))=0</formula>
    </cfRule>
    <cfRule type="containsBlanks" dxfId="7701" priority="2737">
      <formula>LEN(TRIM(AG230))=0</formula>
    </cfRule>
    <cfRule type="containsBlanks" dxfId="7700" priority="2738">
      <formula>LEN(TRIM(AG230))=0</formula>
    </cfRule>
    <cfRule type="containsBlanks" dxfId="7699" priority="2739">
      <formula>LEN(TRIM(AG230))=0</formula>
    </cfRule>
    <cfRule type="containsBlanks" dxfId="7698" priority="2740">
      <formula>LEN(TRIM(AG230))=0</formula>
    </cfRule>
    <cfRule type="containsBlanks" dxfId="7697" priority="2741">
      <formula>LEN(TRIM(AG230))=0</formula>
    </cfRule>
    <cfRule type="containsBlanks" dxfId="7696" priority="2742">
      <formula>LEN(TRIM(AG230))=0</formula>
    </cfRule>
    <cfRule type="containsBlanks" dxfId="7695" priority="2743">
      <formula>LEN(TRIM(AG230))=0</formula>
    </cfRule>
    <cfRule type="containsBlanks" dxfId="7694" priority="2744">
      <formula>LEN(TRIM(AG230))=0</formula>
    </cfRule>
    <cfRule type="containsBlanks" dxfId="7693" priority="2745">
      <formula>LEN(TRIM(AG230))=0</formula>
    </cfRule>
    <cfRule type="containsBlanks" dxfId="7692" priority="2746">
      <formula>LEN(TRIM(AG230))=0</formula>
    </cfRule>
    <cfRule type="containsBlanks" dxfId="7691" priority="2747">
      <formula>LEN(TRIM(AG230))=0</formula>
    </cfRule>
  </conditionalFormatting>
  <conditionalFormatting sqref="AG232">
    <cfRule type="containsBlanks" dxfId="7690" priority="2563">
      <formula>LEN(TRIM(AG232))=0</formula>
    </cfRule>
    <cfRule type="containsBlanks" dxfId="7689" priority="2564">
      <formula>LEN(TRIM(AG232))=0</formula>
    </cfRule>
    <cfRule type="containsBlanks" dxfId="7688" priority="2565">
      <formula>LEN(TRIM(AG232))=0</formula>
    </cfRule>
    <cfRule type="containsBlanks" dxfId="7687" priority="2566">
      <formula>LEN(TRIM(AG232))=0</formula>
    </cfRule>
    <cfRule type="containsBlanks" dxfId="7686" priority="2567">
      <formula>LEN(TRIM(AG232))=0</formula>
    </cfRule>
    <cfRule type="containsBlanks" dxfId="7685" priority="2568">
      <formula>LEN(TRIM(AG232))=0</formula>
    </cfRule>
    <cfRule type="containsBlanks" dxfId="7684" priority="2569">
      <formula>LEN(TRIM(AG232))=0</formula>
    </cfRule>
    <cfRule type="containsBlanks" dxfId="7683" priority="2570">
      <formula>LEN(TRIM(AG232))=0</formula>
    </cfRule>
    <cfRule type="containsBlanks" dxfId="7682" priority="2571">
      <formula>LEN(TRIM(AG232))=0</formula>
    </cfRule>
    <cfRule type="containsBlanks" dxfId="7681" priority="2572">
      <formula>LEN(TRIM(AG232))=0</formula>
    </cfRule>
    <cfRule type="containsBlanks" dxfId="7680" priority="2573">
      <formula>LEN(TRIM(AG232))=0</formula>
    </cfRule>
    <cfRule type="containsBlanks" dxfId="7679" priority="2574">
      <formula>LEN(TRIM(AG232))=0</formula>
    </cfRule>
    <cfRule type="containsBlanks" dxfId="7678" priority="2575">
      <formula>LEN(TRIM(AG232))=0</formula>
    </cfRule>
    <cfRule type="containsBlanks" dxfId="7677" priority="2576">
      <formula>LEN(TRIM(AG232))=0</formula>
    </cfRule>
    <cfRule type="containsBlanks" dxfId="7676" priority="2577">
      <formula>LEN(TRIM(AG232))=0</formula>
    </cfRule>
    <cfRule type="containsBlanks" dxfId="7675" priority="2578">
      <formula>LEN(TRIM(AG232))=0</formula>
    </cfRule>
    <cfRule type="containsBlanks" dxfId="7674" priority="2579">
      <formula>LEN(TRIM(AG232))=0</formula>
    </cfRule>
    <cfRule type="containsBlanks" dxfId="7673" priority="2580">
      <formula>LEN(TRIM(AG232))=0</formula>
    </cfRule>
    <cfRule type="containsBlanks" dxfId="7672" priority="2581">
      <formula>LEN(TRIM(AG232))=0</formula>
    </cfRule>
    <cfRule type="containsBlanks" dxfId="7671" priority="2582">
      <formula>LEN(TRIM(AG232))=0</formula>
    </cfRule>
    <cfRule type="containsBlanks" dxfId="7670" priority="2583">
      <formula>LEN(TRIM(AG232))=0</formula>
    </cfRule>
    <cfRule type="containsBlanks" dxfId="7669" priority="2584">
      <formula>LEN(TRIM(AG232))=0</formula>
    </cfRule>
    <cfRule type="containsBlanks" dxfId="7668" priority="2585">
      <formula>LEN(TRIM(AG232))=0</formula>
    </cfRule>
    <cfRule type="containsBlanks" dxfId="7667" priority="2586">
      <formula>LEN(TRIM(AG232))=0</formula>
    </cfRule>
    <cfRule type="containsBlanks" dxfId="7666" priority="2587">
      <formula>LEN(TRIM(AG232))=0</formula>
    </cfRule>
    <cfRule type="containsBlanks" dxfId="7665" priority="2588">
      <formula>LEN(TRIM(AG232))=0</formula>
    </cfRule>
    <cfRule type="containsBlanks" dxfId="7664" priority="2589">
      <formula>LEN(TRIM(AG232))=0</formula>
    </cfRule>
    <cfRule type="containsBlanks" dxfId="7663" priority="2590">
      <formula>LEN(TRIM(AG232))=0</formula>
    </cfRule>
    <cfRule type="containsBlanks" dxfId="7662" priority="2591">
      <formula>LEN(TRIM(AG232))=0</formula>
    </cfRule>
    <cfRule type="containsBlanks" dxfId="7661" priority="2592">
      <formula>LEN(TRIM(AG232))=0</formula>
    </cfRule>
    <cfRule type="containsBlanks" dxfId="7660" priority="2593">
      <formula>LEN(TRIM(AG232))=0</formula>
    </cfRule>
    <cfRule type="containsBlanks" dxfId="7659" priority="2594">
      <formula>LEN(TRIM(AG232))=0</formula>
    </cfRule>
    <cfRule type="containsBlanks" dxfId="7658" priority="2595">
      <formula>LEN(TRIM(AG232))=0</formula>
    </cfRule>
    <cfRule type="containsBlanks" dxfId="7657" priority="2596">
      <formula>LEN(TRIM(AG232))=0</formula>
    </cfRule>
    <cfRule type="containsBlanks" dxfId="7656" priority="2597">
      <formula>LEN(TRIM(AG232))=0</formula>
    </cfRule>
    <cfRule type="containsBlanks" dxfId="7655" priority="2598">
      <formula>LEN(TRIM(AG232))=0</formula>
    </cfRule>
    <cfRule type="containsBlanks" dxfId="7654" priority="2599">
      <formula>LEN(TRIM(AG232))=0</formula>
    </cfRule>
    <cfRule type="containsBlanks" dxfId="7653" priority="2600">
      <formula>LEN(TRIM(AG232))=0</formula>
    </cfRule>
    <cfRule type="containsBlanks" dxfId="7652" priority="2601">
      <formula>LEN(TRIM(AG232))=0</formula>
    </cfRule>
    <cfRule type="containsBlanks" dxfId="7651" priority="2602">
      <formula>LEN(TRIM(AG232))=0</formula>
    </cfRule>
    <cfRule type="containsBlanks" dxfId="7650" priority="2603">
      <formula>LEN(TRIM(AG232))=0</formula>
    </cfRule>
    <cfRule type="containsBlanks" dxfId="7649" priority="2604">
      <formula>LEN(TRIM(AG232))=0</formula>
    </cfRule>
    <cfRule type="containsBlanks" dxfId="7648" priority="2605">
      <formula>LEN(TRIM(AG232))=0</formula>
    </cfRule>
    <cfRule type="containsBlanks" dxfId="7647" priority="2606">
      <formula>LEN(TRIM(AG232))=0</formula>
    </cfRule>
    <cfRule type="containsBlanks" dxfId="7646" priority="2607">
      <formula>LEN(TRIM(AG232))=0</formula>
    </cfRule>
    <cfRule type="containsBlanks" dxfId="7645" priority="2608">
      <formula>LEN(TRIM(AG232))=0</formula>
    </cfRule>
    <cfRule type="containsBlanks" dxfId="7644" priority="2609">
      <formula>LEN(TRIM(AG232))=0</formula>
    </cfRule>
    <cfRule type="containsBlanks" dxfId="7643" priority="2610">
      <formula>LEN(TRIM(AG232))=0</formula>
    </cfRule>
    <cfRule type="containsBlanks" dxfId="7642" priority="2611">
      <formula>LEN(TRIM(AG232))=0</formula>
    </cfRule>
    <cfRule type="containsBlanks" dxfId="7641" priority="2612">
      <formula>LEN(TRIM(AG232))=0</formula>
    </cfRule>
    <cfRule type="containsBlanks" dxfId="7640" priority="2613">
      <formula>LEN(TRIM(AG232))=0</formula>
    </cfRule>
    <cfRule type="containsBlanks" dxfId="7639" priority="2614">
      <formula>LEN(TRIM(AG232))=0</formula>
    </cfRule>
    <cfRule type="containsBlanks" dxfId="7638" priority="2615">
      <formula>LEN(TRIM(AG232))=0</formula>
    </cfRule>
    <cfRule type="containsBlanks" dxfId="7637" priority="2616">
      <formula>LEN(TRIM(AG232))=0</formula>
    </cfRule>
    <cfRule type="containsBlanks" dxfId="7636" priority="2617">
      <formula>LEN(TRIM(AG232))=0</formula>
    </cfRule>
    <cfRule type="containsBlanks" dxfId="7635" priority="2618">
      <formula>LEN(TRIM(AG232))=0</formula>
    </cfRule>
    <cfRule type="containsBlanks" dxfId="7634" priority="2619">
      <formula>LEN(TRIM(AG232))=0</formula>
    </cfRule>
    <cfRule type="containsBlanks" dxfId="7633" priority="2620">
      <formula>LEN(TRIM(AG232))=0</formula>
    </cfRule>
    <cfRule type="containsBlanks" dxfId="7632" priority="2621">
      <formula>LEN(TRIM(AG232))=0</formula>
    </cfRule>
    <cfRule type="containsBlanks" dxfId="7631" priority="2622">
      <formula>LEN(TRIM(AG232))=0</formula>
    </cfRule>
    <cfRule type="containsBlanks" dxfId="7630" priority="2623">
      <formula>LEN(TRIM(AG232))=0</formula>
    </cfRule>
    <cfRule type="containsBlanks" dxfId="7629" priority="2624">
      <formula>LEN(TRIM(AG232))=0</formula>
    </cfRule>
    <cfRule type="containsBlanks" dxfId="7628" priority="2625">
      <formula>LEN(TRIM(AG232))=0</formula>
    </cfRule>
    <cfRule type="containsBlanks" dxfId="7627" priority="2626">
      <formula>LEN(TRIM(AG232))=0</formula>
    </cfRule>
    <cfRule type="containsBlanks" dxfId="7626" priority="2627">
      <formula>LEN(TRIM(AG232))=0</formula>
    </cfRule>
    <cfRule type="containsBlanks" dxfId="7625" priority="2628">
      <formula>LEN(TRIM(AG232))=0</formula>
    </cfRule>
    <cfRule type="containsBlanks" dxfId="7624" priority="2629">
      <formula>LEN(TRIM(AG232))=0</formula>
    </cfRule>
    <cfRule type="containsBlanks" dxfId="7623" priority="2630">
      <formula>LEN(TRIM(AG232))=0</formula>
    </cfRule>
    <cfRule type="containsBlanks" dxfId="7622" priority="2631">
      <formula>LEN(TRIM(AG232))=0</formula>
    </cfRule>
    <cfRule type="containsBlanks" dxfId="7621" priority="2632">
      <formula>LEN(TRIM(AG232))=0</formula>
    </cfRule>
    <cfRule type="containsBlanks" dxfId="7620" priority="2633">
      <formula>LEN(TRIM(AG232))=0</formula>
    </cfRule>
    <cfRule type="containsBlanks" dxfId="7619" priority="2634">
      <formula>LEN(TRIM(AG232))=0</formula>
    </cfRule>
    <cfRule type="containsBlanks" dxfId="7618" priority="2635">
      <formula>LEN(TRIM(AG232))=0</formula>
    </cfRule>
    <cfRule type="containsBlanks" dxfId="7617" priority="2636">
      <formula>LEN(TRIM(AG232))=0</formula>
    </cfRule>
    <cfRule type="containsBlanks" dxfId="7616" priority="2637">
      <formula>LEN(TRIM(AG232))=0</formula>
    </cfRule>
    <cfRule type="containsBlanks" dxfId="7615" priority="2638">
      <formula>LEN(TRIM(AG232))=0</formula>
    </cfRule>
    <cfRule type="containsBlanks" dxfId="7614" priority="2639">
      <formula>LEN(TRIM(AG232))=0</formula>
    </cfRule>
    <cfRule type="containsBlanks" dxfId="7613" priority="2640">
      <formula>LEN(TRIM(AG232))=0</formula>
    </cfRule>
    <cfRule type="containsBlanks" dxfId="7612" priority="2641">
      <formula>LEN(TRIM(AG232))=0</formula>
    </cfRule>
    <cfRule type="containsBlanks" dxfId="7611" priority="2642">
      <formula>LEN(TRIM(AG232))=0</formula>
    </cfRule>
    <cfRule type="containsBlanks" dxfId="7610" priority="2643">
      <formula>LEN(TRIM(AG232))=0</formula>
    </cfRule>
    <cfRule type="containsBlanks" dxfId="7609" priority="2644">
      <formula>LEN(TRIM(AG232))=0</formula>
    </cfRule>
    <cfRule type="containsBlanks" dxfId="7608" priority="2645">
      <formula>LEN(TRIM(AG232))=0</formula>
    </cfRule>
    <cfRule type="containsBlanks" dxfId="7607" priority="2646">
      <formula>LEN(TRIM(AG232))=0</formula>
    </cfRule>
    <cfRule type="containsBlanks" dxfId="7606" priority="2647">
      <formula>LEN(TRIM(AG232))=0</formula>
    </cfRule>
    <cfRule type="containsBlanks" dxfId="7605" priority="2648">
      <formula>LEN(TRIM(AG232))=0</formula>
    </cfRule>
    <cfRule type="containsBlanks" dxfId="7604" priority="2649">
      <formula>LEN(TRIM(AG232))=0</formula>
    </cfRule>
    <cfRule type="containsBlanks" dxfId="7603" priority="2650">
      <formula>LEN(TRIM(AG232))=0</formula>
    </cfRule>
    <cfRule type="containsBlanks" dxfId="7602" priority="2651">
      <formula>LEN(TRIM(AG232))=0</formula>
    </cfRule>
    <cfRule type="containsBlanks" dxfId="7601" priority="2652">
      <formula>LEN(TRIM(AG232))=0</formula>
    </cfRule>
    <cfRule type="containsBlanks" dxfId="7600" priority="2653">
      <formula>LEN(TRIM(AG232))=0</formula>
    </cfRule>
    <cfRule type="containsBlanks" dxfId="7599" priority="2654">
      <formula>LEN(TRIM(AG232))=0</formula>
    </cfRule>
    <cfRule type="containsBlanks" dxfId="7598" priority="2655">
      <formula>LEN(TRIM(AG232))=0</formula>
    </cfRule>
  </conditionalFormatting>
  <conditionalFormatting sqref="AG235:AG238">
    <cfRule type="containsBlanks" dxfId="7597" priority="2562">
      <formula>LEN(TRIM(AG235))=0</formula>
    </cfRule>
  </conditionalFormatting>
  <conditionalFormatting sqref="AG236:AG238">
    <cfRule type="containsBlanks" dxfId="7596" priority="2560">
      <formula>LEN(TRIM(AG236))=0</formula>
    </cfRule>
    <cfRule type="containsBlanks" dxfId="7595" priority="2561">
      <formula>LEN(TRIM(AG236))=0</formula>
    </cfRule>
  </conditionalFormatting>
  <conditionalFormatting sqref="AG177:AH235 AH236:AH238">
    <cfRule type="containsBlanks" dxfId="7594" priority="2558">
      <formula>LEN(TRIM(AG177))=0</formula>
    </cfRule>
    <cfRule type="containsBlanks" dxfId="7593" priority="2559">
      <formula>LEN(TRIM(AG177))=0</formula>
    </cfRule>
  </conditionalFormatting>
  <conditionalFormatting sqref="AG193:AH193">
    <cfRule type="containsBlanks" dxfId="7592" priority="2556">
      <formula>LEN(TRIM(AG193))=0</formula>
    </cfRule>
    <cfRule type="containsBlanks" dxfId="7591" priority="2557">
      <formula>LEN(TRIM(AG193))=0</formula>
    </cfRule>
  </conditionalFormatting>
  <conditionalFormatting sqref="AH177:AH235">
    <cfRule type="containsBlanks" dxfId="7590" priority="2510">
      <formula>LEN(TRIM(AH177))=0</formula>
    </cfRule>
    <cfRule type="containsBlanks" dxfId="7589" priority="2511">
      <formula>LEN(TRIM(AH177))=0</formula>
    </cfRule>
    <cfRule type="containsBlanks" dxfId="7588" priority="2512">
      <formula>LEN(TRIM(AH177))=0</formula>
    </cfRule>
    <cfRule type="containsBlanks" dxfId="7587" priority="2513">
      <formula>LEN(TRIM(AH177))=0</formula>
    </cfRule>
    <cfRule type="containsBlanks" dxfId="7586" priority="2514">
      <formula>LEN(TRIM(AH177))=0</formula>
    </cfRule>
    <cfRule type="containsBlanks" dxfId="7585" priority="2515">
      <formula>LEN(TRIM(AH177))=0</formula>
    </cfRule>
    <cfRule type="containsBlanks" dxfId="7584" priority="2516">
      <formula>LEN(TRIM(AH177))=0</formula>
    </cfRule>
    <cfRule type="containsBlanks" dxfId="7583" priority="2517">
      <formula>LEN(TRIM(AH177))=0</formula>
    </cfRule>
    <cfRule type="containsBlanks" dxfId="7582" priority="2518">
      <formula>LEN(TRIM(AH177))=0</formula>
    </cfRule>
    <cfRule type="containsBlanks" dxfId="7581" priority="2519">
      <formula>LEN(TRIM(AH177))=0</formula>
    </cfRule>
    <cfRule type="containsBlanks" dxfId="7580" priority="2520">
      <formula>LEN(TRIM(AH177))=0</formula>
    </cfRule>
    <cfRule type="containsBlanks" dxfId="7579" priority="2521">
      <formula>LEN(TRIM(AH177))=0</formula>
    </cfRule>
    <cfRule type="containsBlanks" dxfId="7578" priority="2522">
      <formula>LEN(TRIM(AH177))=0</formula>
    </cfRule>
    <cfRule type="containsBlanks" dxfId="7577" priority="2523">
      <formula>LEN(TRIM(AH177))=0</formula>
    </cfRule>
    <cfRule type="containsBlanks" dxfId="7576" priority="2524">
      <formula>LEN(TRIM(AH177))=0</formula>
    </cfRule>
    <cfRule type="containsBlanks" dxfId="7575" priority="2525">
      <formula>LEN(TRIM(AH177))=0</formula>
    </cfRule>
    <cfRule type="containsBlanks" dxfId="7574" priority="2526">
      <formula>LEN(TRIM(AH177))=0</formula>
    </cfRule>
    <cfRule type="containsBlanks" dxfId="7573" priority="2527">
      <formula>LEN(TRIM(AH177))=0</formula>
    </cfRule>
    <cfRule type="containsBlanks" dxfId="7572" priority="2528">
      <formula>LEN(TRIM(AH177))=0</formula>
    </cfRule>
    <cfRule type="containsBlanks" dxfId="7571" priority="2529">
      <formula>LEN(TRIM(AH177))=0</formula>
    </cfRule>
    <cfRule type="containsBlanks" dxfId="7570" priority="2530">
      <formula>LEN(TRIM(AH177))=0</formula>
    </cfRule>
    <cfRule type="containsBlanks" dxfId="7569" priority="2531">
      <formula>LEN(TRIM(AH177))=0</formula>
    </cfRule>
    <cfRule type="containsBlanks" dxfId="7568" priority="2532">
      <formula>LEN(TRIM(AH177))=0</formula>
    </cfRule>
    <cfRule type="containsBlanks" dxfId="7567" priority="2533">
      <formula>LEN(TRIM(AH177))=0</formula>
    </cfRule>
    <cfRule type="containsBlanks" dxfId="7566" priority="2534">
      <formula>LEN(TRIM(AH177))=0</formula>
    </cfRule>
    <cfRule type="containsBlanks" dxfId="7565" priority="2535">
      <formula>LEN(TRIM(AH177))=0</formula>
    </cfRule>
    <cfRule type="containsBlanks" dxfId="7564" priority="2536">
      <formula>LEN(TRIM(AH177))=0</formula>
    </cfRule>
    <cfRule type="containsBlanks" dxfId="7563" priority="2537">
      <formula>LEN(TRIM(AH177))=0</formula>
    </cfRule>
    <cfRule type="containsBlanks" dxfId="7562" priority="2538">
      <formula>LEN(TRIM(AH177))=0</formula>
    </cfRule>
    <cfRule type="containsBlanks" dxfId="7561" priority="2539">
      <formula>LEN(TRIM(AH177))=0</formula>
    </cfRule>
    <cfRule type="containsBlanks" dxfId="7560" priority="2540">
      <formula>LEN(TRIM(AH177))=0</formula>
    </cfRule>
    <cfRule type="containsBlanks" dxfId="7559" priority="2541">
      <formula>LEN(TRIM(AH177))=0</formula>
    </cfRule>
    <cfRule type="containsBlanks" dxfId="7558" priority="2542">
      <formula>LEN(TRIM(AH177))=0</formula>
    </cfRule>
    <cfRule type="containsBlanks" dxfId="7557" priority="2543">
      <formula>LEN(TRIM(AH177))=0</formula>
    </cfRule>
    <cfRule type="containsBlanks" dxfId="7556" priority="2544">
      <formula>LEN(TRIM(AH177))=0</formula>
    </cfRule>
    <cfRule type="containsBlanks" dxfId="7555" priority="2545">
      <formula>LEN(TRIM(AH177))=0</formula>
    </cfRule>
    <cfRule type="containsBlanks" dxfId="7554" priority="2546">
      <formula>LEN(TRIM(AH177))=0</formula>
    </cfRule>
    <cfRule type="containsBlanks" dxfId="7553" priority="2547">
      <formula>LEN(TRIM(AH177))=0</formula>
    </cfRule>
    <cfRule type="containsBlanks" dxfId="7552" priority="2548">
      <formula>LEN(TRIM(AH177))=0</formula>
    </cfRule>
    <cfRule type="containsBlanks" dxfId="7551" priority="2549">
      <formula>LEN(TRIM(AH177))=0</formula>
    </cfRule>
    <cfRule type="containsBlanks" dxfId="7550" priority="2550">
      <formula>LEN(TRIM(AH177))=0</formula>
    </cfRule>
    <cfRule type="containsBlanks" dxfId="7549" priority="2551">
      <formula>LEN(TRIM(AH177))=0</formula>
    </cfRule>
    <cfRule type="containsBlanks" dxfId="7548" priority="2552">
      <formula>LEN(TRIM(AH177))=0</formula>
    </cfRule>
    <cfRule type="containsBlanks" dxfId="7547" priority="2553">
      <formula>LEN(TRIM(AH177))=0</formula>
    </cfRule>
    <cfRule type="containsBlanks" dxfId="7546" priority="2554">
      <formula>LEN(TRIM(AH177))=0</formula>
    </cfRule>
    <cfRule type="containsBlanks" dxfId="7545" priority="2555">
      <formula>LEN(TRIM(AH177))=0</formula>
    </cfRule>
  </conditionalFormatting>
  <conditionalFormatting sqref="AH177:AH236">
    <cfRule type="containsBlanks" dxfId="7544" priority="2478">
      <formula>LEN(TRIM(AH177))=0</formula>
    </cfRule>
    <cfRule type="containsBlanks" dxfId="7543" priority="2479">
      <formula>LEN(TRIM(AH177))=0</formula>
    </cfRule>
    <cfRule type="containsBlanks" dxfId="7542" priority="2480">
      <formula>LEN(TRIM(AH177))=0</formula>
    </cfRule>
    <cfRule type="containsBlanks" dxfId="7541" priority="2481">
      <formula>LEN(TRIM(AH177))=0</formula>
    </cfRule>
    <cfRule type="containsBlanks" dxfId="7540" priority="2482">
      <formula>LEN(TRIM(AH177))=0</formula>
    </cfRule>
    <cfRule type="containsBlanks" dxfId="7539" priority="2483">
      <formula>LEN(TRIM(AH177))=0</formula>
    </cfRule>
    <cfRule type="containsBlanks" dxfId="7538" priority="2484">
      <formula>LEN(TRIM(AH177))=0</formula>
    </cfRule>
    <cfRule type="containsBlanks" dxfId="7537" priority="2485">
      <formula>LEN(TRIM(AH177))=0</formula>
    </cfRule>
    <cfRule type="containsBlanks" dxfId="7536" priority="2486">
      <formula>LEN(TRIM(AH177))=0</formula>
    </cfRule>
    <cfRule type="containsBlanks" dxfId="7535" priority="2487">
      <formula>LEN(TRIM(AH177))=0</formula>
    </cfRule>
    <cfRule type="containsBlanks" dxfId="7534" priority="2488">
      <formula>LEN(TRIM(AH177))=0</formula>
    </cfRule>
    <cfRule type="containsBlanks" dxfId="7533" priority="2489">
      <formula>LEN(TRIM(AH177))=0</formula>
    </cfRule>
    <cfRule type="containsBlanks" dxfId="7532" priority="2490">
      <formula>LEN(TRIM(AH177))=0</formula>
    </cfRule>
    <cfRule type="containsBlanks" dxfId="7531" priority="2491">
      <formula>LEN(TRIM(AH177))=0</formula>
    </cfRule>
    <cfRule type="containsBlanks" dxfId="7530" priority="2492">
      <formula>LEN(TRIM(AH177))=0</formula>
    </cfRule>
    <cfRule type="containsBlanks" dxfId="7529" priority="2493">
      <formula>LEN(TRIM(AH177))=0</formula>
    </cfRule>
    <cfRule type="containsBlanks" dxfId="7528" priority="2494">
      <formula>LEN(TRIM(AH177))=0</formula>
    </cfRule>
    <cfRule type="containsBlanks" dxfId="7527" priority="2495">
      <formula>LEN(TRIM(AH177))=0</formula>
    </cfRule>
    <cfRule type="containsBlanks" dxfId="7526" priority="2496">
      <formula>LEN(TRIM(AH177))=0</formula>
    </cfRule>
    <cfRule type="containsBlanks" dxfId="7525" priority="2497">
      <formula>LEN(TRIM(AH177))=0</formula>
    </cfRule>
    <cfRule type="containsBlanks" dxfId="7524" priority="2498">
      <formula>LEN(TRIM(AH177))=0</formula>
    </cfRule>
    <cfRule type="containsBlanks" dxfId="7523" priority="2499">
      <formula>LEN(TRIM(AH177))=0</formula>
    </cfRule>
    <cfRule type="containsBlanks" dxfId="7522" priority="2500">
      <formula>LEN(TRIM(AH177))=0</formula>
    </cfRule>
    <cfRule type="containsBlanks" dxfId="7521" priority="2501">
      <formula>LEN(TRIM(AH177))=0</formula>
    </cfRule>
    <cfRule type="containsBlanks" dxfId="7520" priority="2502">
      <formula>LEN(TRIM(AH177))=0</formula>
    </cfRule>
    <cfRule type="containsBlanks" dxfId="7519" priority="2503">
      <formula>LEN(TRIM(AH177))=0</formula>
    </cfRule>
    <cfRule type="containsBlanks" dxfId="7518" priority="2504">
      <formula>LEN(TRIM(AH177))=0</formula>
    </cfRule>
    <cfRule type="containsBlanks" dxfId="7517" priority="2505">
      <formula>LEN(TRIM(AH177))=0</formula>
    </cfRule>
    <cfRule type="containsBlanks" dxfId="7516" priority="2506">
      <formula>LEN(TRIM(AH177))=0</formula>
    </cfRule>
    <cfRule type="containsBlanks" dxfId="7515" priority="2507">
      <formula>LEN(TRIM(AH177))=0</formula>
    </cfRule>
    <cfRule type="containsBlanks" dxfId="7514" priority="2508">
      <formula>LEN(TRIM(AH177))=0</formula>
    </cfRule>
    <cfRule type="containsBlanks" dxfId="7513" priority="2509">
      <formula>LEN(TRIM(AH177))=0</formula>
    </cfRule>
  </conditionalFormatting>
  <conditionalFormatting sqref="AH177:AH238">
    <cfRule type="containsBlanks" dxfId="7512" priority="2245">
      <formula>LEN(TRIM(AH177))=0</formula>
    </cfRule>
    <cfRule type="containsBlanks" dxfId="7511" priority="2246">
      <formula>LEN(TRIM(AH177))=0</formula>
    </cfRule>
    <cfRule type="containsBlanks" dxfId="7510" priority="2247">
      <formula>LEN(TRIM(AH177))=0</formula>
    </cfRule>
    <cfRule type="containsBlanks" dxfId="7509" priority="2248">
      <formula>LEN(TRIM(AH177))=0</formula>
    </cfRule>
    <cfRule type="containsBlanks" dxfId="7508" priority="2249">
      <formula>LEN(TRIM(AH177))=0</formula>
    </cfRule>
    <cfRule type="containsBlanks" dxfId="7507" priority="2250">
      <formula>LEN(TRIM(AH177))=0</formula>
    </cfRule>
    <cfRule type="containsBlanks" dxfId="7506" priority="2251">
      <formula>LEN(TRIM(AH177))=0</formula>
    </cfRule>
    <cfRule type="containsBlanks" dxfId="7505" priority="2252">
      <formula>LEN(TRIM(AH177))=0</formula>
    </cfRule>
    <cfRule type="containsBlanks" dxfId="7504" priority="2253">
      <formula>LEN(TRIM(AH177))=0</formula>
    </cfRule>
    <cfRule type="containsBlanks" dxfId="7503" priority="2254">
      <formula>LEN(TRIM(AH177))=0</formula>
    </cfRule>
    <cfRule type="containsBlanks" dxfId="7502" priority="2255">
      <formula>LEN(TRIM(AH177))=0</formula>
    </cfRule>
    <cfRule type="containsBlanks" dxfId="7501" priority="2256">
      <formula>LEN(TRIM(AH177))=0</formula>
    </cfRule>
    <cfRule type="containsBlanks" dxfId="7500" priority="2257">
      <formula>LEN(TRIM(AH177))=0</formula>
    </cfRule>
    <cfRule type="containsBlanks" dxfId="7499" priority="2258">
      <formula>LEN(TRIM(AH177))=0</formula>
    </cfRule>
    <cfRule type="containsBlanks" dxfId="7498" priority="2259">
      <formula>LEN(TRIM(AH177))=0</formula>
    </cfRule>
    <cfRule type="containsBlanks" dxfId="7497" priority="2260">
      <formula>LEN(TRIM(AH177))=0</formula>
    </cfRule>
    <cfRule type="containsBlanks" dxfId="7496" priority="2261">
      <formula>LEN(TRIM(AH177))=0</formula>
    </cfRule>
    <cfRule type="containsBlanks" dxfId="7495" priority="2262">
      <formula>LEN(TRIM(AH177))=0</formula>
    </cfRule>
    <cfRule type="containsBlanks" dxfId="7494" priority="2263">
      <formula>LEN(TRIM(AH177))=0</formula>
    </cfRule>
    <cfRule type="containsBlanks" dxfId="7493" priority="2264">
      <formula>LEN(TRIM(AH177))=0</formula>
    </cfRule>
    <cfRule type="containsBlanks" dxfId="7492" priority="2265">
      <formula>LEN(TRIM(AH177))=0</formula>
    </cfRule>
    <cfRule type="containsBlanks" dxfId="7491" priority="2266">
      <formula>LEN(TRIM(AH177))=0</formula>
    </cfRule>
    <cfRule type="containsBlanks" dxfId="7490" priority="2267">
      <formula>LEN(TRIM(AH177))=0</formula>
    </cfRule>
    <cfRule type="containsBlanks" dxfId="7489" priority="2268">
      <formula>LEN(TRIM(AH177))=0</formula>
    </cfRule>
    <cfRule type="containsBlanks" dxfId="7488" priority="2269">
      <formula>LEN(TRIM(AH177))=0</formula>
    </cfRule>
    <cfRule type="containsBlanks" dxfId="7487" priority="2270">
      <formula>LEN(TRIM(AH177))=0</formula>
    </cfRule>
    <cfRule type="containsBlanks" dxfId="7486" priority="2271">
      <formula>LEN(TRIM(AH177))=0</formula>
    </cfRule>
    <cfRule type="containsBlanks" dxfId="7485" priority="2272">
      <formula>LEN(TRIM(AH177))=0</formula>
    </cfRule>
    <cfRule type="containsBlanks" dxfId="7484" priority="2273">
      <formula>LEN(TRIM(AH177))=0</formula>
    </cfRule>
    <cfRule type="containsBlanks" dxfId="7483" priority="2274">
      <formula>LEN(TRIM(AH177))=0</formula>
    </cfRule>
    <cfRule type="containsBlanks" dxfId="7482" priority="2275">
      <formula>LEN(TRIM(AH177))=0</formula>
    </cfRule>
    <cfRule type="containsBlanks" dxfId="7481" priority="2276">
      <formula>LEN(TRIM(AH177))=0</formula>
    </cfRule>
    <cfRule type="containsBlanks" dxfId="7480" priority="2277">
      <formula>LEN(TRIM(AH177))=0</formula>
    </cfRule>
    <cfRule type="containsBlanks" dxfId="7479" priority="2278">
      <formula>LEN(TRIM(AH177))=0</formula>
    </cfRule>
    <cfRule type="containsBlanks" dxfId="7478" priority="2279">
      <formula>LEN(TRIM(AH177))=0</formula>
    </cfRule>
    <cfRule type="containsBlanks" dxfId="7477" priority="2280">
      <formula>LEN(TRIM(AH177))=0</formula>
    </cfRule>
    <cfRule type="containsBlanks" dxfId="7476" priority="2281">
      <formula>LEN(TRIM(AH177))=0</formula>
    </cfRule>
    <cfRule type="containsBlanks" dxfId="7475" priority="2282">
      <formula>LEN(TRIM(AH177))=0</formula>
    </cfRule>
    <cfRule type="containsBlanks" dxfId="7474" priority="2283">
      <formula>LEN(TRIM(AH177))=0</formula>
    </cfRule>
    <cfRule type="containsBlanks" dxfId="7473" priority="2284">
      <formula>LEN(TRIM(AH177))=0</formula>
    </cfRule>
    <cfRule type="containsBlanks" dxfId="7472" priority="2285">
      <formula>LEN(TRIM(AH177))=0</formula>
    </cfRule>
    <cfRule type="containsBlanks" dxfId="7471" priority="2286">
      <formula>LEN(TRIM(AH177))=0</formula>
    </cfRule>
    <cfRule type="containsBlanks" dxfId="7470" priority="2287">
      <formula>LEN(TRIM(AH177))=0</formula>
    </cfRule>
    <cfRule type="containsBlanks" dxfId="7469" priority="2288">
      <formula>LEN(TRIM(AH177))=0</formula>
    </cfRule>
    <cfRule type="containsBlanks" dxfId="7468" priority="2289">
      <formula>LEN(TRIM(AH177))=0</formula>
    </cfRule>
    <cfRule type="containsBlanks" dxfId="7467" priority="2290">
      <formula>LEN(TRIM(AH177))=0</formula>
    </cfRule>
    <cfRule type="containsBlanks" dxfId="7466" priority="2291">
      <formula>LEN(TRIM(AH177))=0</formula>
    </cfRule>
    <cfRule type="containsBlanks" dxfId="7465" priority="2292">
      <formula>LEN(TRIM(AH177))=0</formula>
    </cfRule>
    <cfRule type="containsBlanks" dxfId="7464" priority="2293">
      <formula>LEN(TRIM(AH177))=0</formula>
    </cfRule>
    <cfRule type="containsBlanks" dxfId="7463" priority="2294">
      <formula>LEN(TRIM(AH177))=0</formula>
    </cfRule>
    <cfRule type="containsBlanks" dxfId="7462" priority="2295">
      <formula>LEN(TRIM(AH177))=0</formula>
    </cfRule>
    <cfRule type="containsBlanks" dxfId="7461" priority="2296">
      <formula>LEN(TRIM(AH177))=0</formula>
    </cfRule>
    <cfRule type="containsBlanks" dxfId="7460" priority="2297">
      <formula>LEN(TRIM(AH177))=0</formula>
    </cfRule>
    <cfRule type="containsBlanks" dxfId="7459" priority="2298">
      <formula>LEN(TRIM(AH177))=0</formula>
    </cfRule>
    <cfRule type="containsBlanks" dxfId="7458" priority="2299">
      <formula>LEN(TRIM(AH177))=0</formula>
    </cfRule>
    <cfRule type="containsBlanks" dxfId="7457" priority="2300">
      <formula>LEN(TRIM(AH177))=0</formula>
    </cfRule>
    <cfRule type="containsBlanks" dxfId="7456" priority="2301">
      <formula>LEN(TRIM(AH177))=0</formula>
    </cfRule>
    <cfRule type="containsBlanks" dxfId="7455" priority="2302">
      <formula>LEN(TRIM(AH177))=0</formula>
    </cfRule>
    <cfRule type="containsBlanks" dxfId="7454" priority="2303">
      <formula>LEN(TRIM(AH177))=0</formula>
    </cfRule>
    <cfRule type="containsBlanks" dxfId="7453" priority="2304">
      <formula>LEN(TRIM(AH177))=0</formula>
    </cfRule>
    <cfRule type="containsBlanks" dxfId="7452" priority="2305">
      <formula>LEN(TRIM(AH177))=0</formula>
    </cfRule>
    <cfRule type="containsBlanks" dxfId="7451" priority="2306">
      <formula>LEN(TRIM(AH177))=0</formula>
    </cfRule>
    <cfRule type="containsBlanks" dxfId="7450" priority="2307">
      <formula>LEN(TRIM(AH177))=0</formula>
    </cfRule>
    <cfRule type="containsBlanks" dxfId="7449" priority="2308">
      <formula>LEN(TRIM(AH177))=0</formula>
    </cfRule>
    <cfRule type="containsBlanks" dxfId="7448" priority="2309">
      <formula>LEN(TRIM(AH177))=0</formula>
    </cfRule>
    <cfRule type="containsBlanks" dxfId="7447" priority="2310">
      <formula>LEN(TRIM(AH177))=0</formula>
    </cfRule>
    <cfRule type="containsBlanks" dxfId="7446" priority="2311">
      <formula>LEN(TRIM(AH177))=0</formula>
    </cfRule>
    <cfRule type="containsBlanks" dxfId="7445" priority="2312">
      <formula>LEN(TRIM(AH177))=0</formula>
    </cfRule>
    <cfRule type="containsBlanks" dxfId="7444" priority="2313">
      <formula>LEN(TRIM(AH177))=0</formula>
    </cfRule>
    <cfRule type="containsBlanks" dxfId="7443" priority="2314">
      <formula>LEN(TRIM(AH177))=0</formula>
    </cfRule>
    <cfRule type="containsBlanks" dxfId="7442" priority="2315">
      <formula>LEN(TRIM(AH177))=0</formula>
    </cfRule>
    <cfRule type="containsBlanks" dxfId="7441" priority="2316">
      <formula>LEN(TRIM(AH177))=0</formula>
    </cfRule>
    <cfRule type="containsBlanks" dxfId="7440" priority="2317">
      <formula>LEN(TRIM(AH177))=0</formula>
    </cfRule>
    <cfRule type="containsBlanks" dxfId="7439" priority="2318">
      <formula>LEN(TRIM(AH177))=0</formula>
    </cfRule>
    <cfRule type="containsBlanks" dxfId="7438" priority="2319">
      <formula>LEN(TRIM(AH177))=0</formula>
    </cfRule>
    <cfRule type="containsBlanks" dxfId="7437" priority="2320">
      <formula>LEN(TRIM(AH177))=0</formula>
    </cfRule>
    <cfRule type="containsBlanks" dxfId="7436" priority="2321">
      <formula>LEN(TRIM(AH177))=0</formula>
    </cfRule>
    <cfRule type="containsBlanks" dxfId="7435" priority="2322">
      <formula>LEN(TRIM(AH177))=0</formula>
    </cfRule>
    <cfRule type="containsBlanks" dxfId="7434" priority="2323">
      <formula>LEN(TRIM(AH177))=0</formula>
    </cfRule>
    <cfRule type="containsBlanks" dxfId="7433" priority="2324">
      <formula>LEN(TRIM(AH177))=0</formula>
    </cfRule>
    <cfRule type="containsBlanks" dxfId="7432" priority="2325">
      <formula>LEN(TRIM(AH177))=0</formula>
    </cfRule>
    <cfRule type="containsBlanks" dxfId="7431" priority="2326">
      <formula>LEN(TRIM(AH177))=0</formula>
    </cfRule>
    <cfRule type="containsBlanks" dxfId="7430" priority="2327">
      <formula>LEN(TRIM(AH177))=0</formula>
    </cfRule>
    <cfRule type="containsBlanks" dxfId="7429" priority="2328">
      <formula>LEN(TRIM(AH177))=0</formula>
    </cfRule>
    <cfRule type="containsBlanks" dxfId="7428" priority="2329">
      <formula>LEN(TRIM(AH177))=0</formula>
    </cfRule>
    <cfRule type="containsBlanks" dxfId="7427" priority="2330">
      <formula>LEN(TRIM(AH177))=0</formula>
    </cfRule>
    <cfRule type="containsBlanks" dxfId="7426" priority="2331">
      <formula>LEN(TRIM(AH177))=0</formula>
    </cfRule>
    <cfRule type="containsBlanks" dxfId="7425" priority="2332">
      <formula>LEN(TRIM(AH177))=0</formula>
    </cfRule>
    <cfRule type="containsBlanks" dxfId="7424" priority="2333">
      <formula>LEN(TRIM(AH177))=0</formula>
    </cfRule>
    <cfRule type="containsBlanks" dxfId="7423" priority="2334">
      <formula>LEN(TRIM(AH177))=0</formula>
    </cfRule>
    <cfRule type="containsBlanks" dxfId="7422" priority="2335">
      <formula>LEN(TRIM(AH177))=0</formula>
    </cfRule>
    <cfRule type="containsBlanks" dxfId="7421" priority="2336">
      <formula>LEN(TRIM(AH177))=0</formula>
    </cfRule>
    <cfRule type="containsBlanks" dxfId="7420" priority="2337">
      <formula>LEN(TRIM(AH177))=0</formula>
    </cfRule>
    <cfRule type="containsBlanks" dxfId="7419" priority="2338">
      <formula>LEN(TRIM(AH177))=0</formula>
    </cfRule>
    <cfRule type="containsBlanks" dxfId="7418" priority="2339">
      <formula>LEN(TRIM(AH177))=0</formula>
    </cfRule>
    <cfRule type="containsBlanks" dxfId="7417" priority="2340">
      <formula>LEN(TRIM(AH177))=0</formula>
    </cfRule>
    <cfRule type="containsBlanks" dxfId="7416" priority="2341">
      <formula>LEN(TRIM(AH177))=0</formula>
    </cfRule>
    <cfRule type="containsBlanks" dxfId="7415" priority="2342">
      <formula>LEN(TRIM(AH177))=0</formula>
    </cfRule>
    <cfRule type="containsBlanks" dxfId="7414" priority="2343">
      <formula>LEN(TRIM(AH177))=0</formula>
    </cfRule>
    <cfRule type="containsBlanks" dxfId="7413" priority="2344">
      <formula>LEN(TRIM(AH177))=0</formula>
    </cfRule>
    <cfRule type="containsBlanks" dxfId="7412" priority="2345">
      <formula>LEN(TRIM(AH177))=0</formula>
    </cfRule>
    <cfRule type="containsBlanks" dxfId="7411" priority="2346">
      <formula>LEN(TRIM(AH177))=0</formula>
    </cfRule>
    <cfRule type="containsBlanks" dxfId="7410" priority="2347">
      <formula>LEN(TRIM(AH177))=0</formula>
    </cfRule>
    <cfRule type="containsBlanks" dxfId="7409" priority="2348">
      <formula>LEN(TRIM(AH177))=0</formula>
    </cfRule>
    <cfRule type="containsBlanks" dxfId="7408" priority="2349">
      <formula>LEN(TRIM(AH177))=0</formula>
    </cfRule>
    <cfRule type="containsBlanks" dxfId="7407" priority="2350">
      <formula>LEN(TRIM(AH177))=0</formula>
    </cfRule>
    <cfRule type="containsBlanks" dxfId="7406" priority="2351">
      <formula>LEN(TRIM(AH177))=0</formula>
    </cfRule>
    <cfRule type="containsBlanks" dxfId="7405" priority="2352">
      <formula>LEN(TRIM(AH177))=0</formula>
    </cfRule>
    <cfRule type="containsBlanks" dxfId="7404" priority="2353">
      <formula>LEN(TRIM(AH177))=0</formula>
    </cfRule>
    <cfRule type="containsBlanks" dxfId="7403" priority="2354">
      <formula>LEN(TRIM(AH177))=0</formula>
    </cfRule>
    <cfRule type="containsBlanks" dxfId="7402" priority="2355">
      <formula>LEN(TRIM(AH177))=0</formula>
    </cfRule>
    <cfRule type="containsBlanks" dxfId="7401" priority="2356">
      <formula>LEN(TRIM(AH177))=0</formula>
    </cfRule>
    <cfRule type="containsBlanks" dxfId="7400" priority="2357">
      <formula>LEN(TRIM(AH177))=0</formula>
    </cfRule>
    <cfRule type="containsBlanks" dxfId="7399" priority="2358">
      <formula>LEN(TRIM(AH177))=0</formula>
    </cfRule>
    <cfRule type="containsBlanks" dxfId="7398" priority="2359">
      <formula>LEN(TRIM(AH177))=0</formula>
    </cfRule>
    <cfRule type="containsBlanks" dxfId="7397" priority="2360">
      <formula>LEN(TRIM(AH177))=0</formula>
    </cfRule>
    <cfRule type="containsBlanks" dxfId="7396" priority="2361">
      <formula>LEN(TRIM(AH177))=0</formula>
    </cfRule>
    <cfRule type="containsBlanks" dxfId="7395" priority="2362">
      <formula>LEN(TRIM(AH177))=0</formula>
    </cfRule>
    <cfRule type="containsBlanks" dxfId="7394" priority="2363">
      <formula>LEN(TRIM(AH177))=0</formula>
    </cfRule>
    <cfRule type="containsBlanks" dxfId="7393" priority="2364">
      <formula>LEN(TRIM(AH177))=0</formula>
    </cfRule>
    <cfRule type="containsBlanks" dxfId="7392" priority="2365">
      <formula>LEN(TRIM(AH177))=0</formula>
    </cfRule>
    <cfRule type="containsBlanks" dxfId="7391" priority="2366">
      <formula>LEN(TRIM(AH177))=0</formula>
    </cfRule>
    <cfRule type="containsBlanks" dxfId="7390" priority="2367">
      <formula>LEN(TRIM(AH177))=0</formula>
    </cfRule>
    <cfRule type="containsBlanks" dxfId="7389" priority="2368">
      <formula>LEN(TRIM(AH177))=0</formula>
    </cfRule>
    <cfRule type="containsBlanks" dxfId="7388" priority="2369">
      <formula>LEN(TRIM(AH177))=0</formula>
    </cfRule>
    <cfRule type="containsBlanks" dxfId="7387" priority="2370">
      <formula>LEN(TRIM(AH177))=0</formula>
    </cfRule>
    <cfRule type="containsBlanks" dxfId="7386" priority="2371">
      <formula>LEN(TRIM(AH177))=0</formula>
    </cfRule>
    <cfRule type="containsBlanks" dxfId="7385" priority="2372">
      <formula>LEN(TRIM(AH177))=0</formula>
    </cfRule>
    <cfRule type="containsBlanks" dxfId="7384" priority="2373">
      <formula>LEN(TRIM(AH177))=0</formula>
    </cfRule>
    <cfRule type="containsBlanks" dxfId="7383" priority="2374">
      <formula>LEN(TRIM(AH177))=0</formula>
    </cfRule>
    <cfRule type="containsBlanks" dxfId="7382" priority="2375">
      <formula>LEN(TRIM(AH177))=0</formula>
    </cfRule>
    <cfRule type="containsBlanks" dxfId="7381" priority="2376">
      <formula>LEN(TRIM(AH177))=0</formula>
    </cfRule>
    <cfRule type="containsBlanks" dxfId="7380" priority="2377">
      <formula>LEN(TRIM(AH177))=0</formula>
    </cfRule>
    <cfRule type="containsBlanks" dxfId="7379" priority="2378">
      <formula>LEN(TRIM(AH177))=0</formula>
    </cfRule>
    <cfRule type="containsBlanks" dxfId="7378" priority="2379">
      <formula>LEN(TRIM(AH177))=0</formula>
    </cfRule>
    <cfRule type="containsBlanks" dxfId="7377" priority="2380">
      <formula>LEN(TRIM(AH177))=0</formula>
    </cfRule>
    <cfRule type="containsBlanks" dxfId="7376" priority="2381">
      <formula>LEN(TRIM(AH177))=0</formula>
    </cfRule>
    <cfRule type="containsBlanks" dxfId="7375" priority="2382">
      <formula>LEN(TRIM(AH177))=0</formula>
    </cfRule>
    <cfRule type="containsBlanks" dxfId="7374" priority="2383">
      <formula>LEN(TRIM(AH177))=0</formula>
    </cfRule>
    <cfRule type="containsBlanks" dxfId="7373" priority="2384">
      <formula>LEN(TRIM(AH177))=0</formula>
    </cfRule>
    <cfRule type="containsBlanks" dxfId="7372" priority="2385">
      <formula>LEN(TRIM(AH177))=0</formula>
    </cfRule>
    <cfRule type="containsBlanks" dxfId="7371" priority="2386">
      <formula>LEN(TRIM(AH177))=0</formula>
    </cfRule>
    <cfRule type="containsBlanks" dxfId="7370" priority="2387">
      <formula>LEN(TRIM(AH177))=0</formula>
    </cfRule>
    <cfRule type="containsBlanks" dxfId="7369" priority="2388">
      <formula>LEN(TRIM(AH177))=0</formula>
    </cfRule>
    <cfRule type="containsBlanks" dxfId="7368" priority="2389">
      <formula>LEN(TRIM(AH177))=0</formula>
    </cfRule>
    <cfRule type="containsBlanks" dxfId="7367" priority="2390">
      <formula>LEN(TRIM(AH177))=0</formula>
    </cfRule>
    <cfRule type="containsBlanks" dxfId="7366" priority="2391">
      <formula>LEN(TRIM(AH177))=0</formula>
    </cfRule>
    <cfRule type="containsBlanks" dxfId="7365" priority="2392">
      <formula>LEN(TRIM(AH177))=0</formula>
    </cfRule>
    <cfRule type="containsBlanks" dxfId="7364" priority="2393">
      <formula>LEN(TRIM(AH177))=0</formula>
    </cfRule>
    <cfRule type="containsBlanks" dxfId="7363" priority="2394">
      <formula>LEN(TRIM(AH177))=0</formula>
    </cfRule>
    <cfRule type="containsBlanks" dxfId="7362" priority="2395">
      <formula>LEN(TRIM(AH177))=0</formula>
    </cfRule>
    <cfRule type="containsBlanks" dxfId="7361" priority="2396">
      <formula>LEN(TRIM(AH177))=0</formula>
    </cfRule>
    <cfRule type="containsBlanks" dxfId="7360" priority="2397">
      <formula>LEN(TRIM(AH177))=0</formula>
    </cfRule>
    <cfRule type="containsBlanks" dxfId="7359" priority="2398">
      <formula>LEN(TRIM(AH177))=0</formula>
    </cfRule>
    <cfRule type="containsBlanks" dxfId="7358" priority="2399">
      <formula>LEN(TRIM(AH177))=0</formula>
    </cfRule>
    <cfRule type="containsBlanks" dxfId="7357" priority="2400">
      <formula>LEN(TRIM(AH177))=0</formula>
    </cfRule>
    <cfRule type="containsBlanks" dxfId="7356" priority="2401">
      <formula>LEN(TRIM(AH177))=0</formula>
    </cfRule>
    <cfRule type="containsBlanks" dxfId="7355" priority="2402">
      <formula>LEN(TRIM(AH177))=0</formula>
    </cfRule>
    <cfRule type="containsBlanks" dxfId="7354" priority="2403">
      <formula>LEN(TRIM(AH177))=0</formula>
    </cfRule>
    <cfRule type="containsBlanks" dxfId="7353" priority="2404">
      <formula>LEN(TRIM(AH177))=0</formula>
    </cfRule>
    <cfRule type="containsBlanks" dxfId="7352" priority="2405">
      <formula>LEN(TRIM(AH177))=0</formula>
    </cfRule>
    <cfRule type="containsBlanks" dxfId="7351" priority="2406">
      <formula>LEN(TRIM(AH177))=0</formula>
    </cfRule>
    <cfRule type="containsBlanks" dxfId="7350" priority="2407">
      <formula>LEN(TRIM(AH177))=0</formula>
    </cfRule>
    <cfRule type="containsBlanks" dxfId="7349" priority="2408">
      <formula>LEN(TRIM(AH177))=0</formula>
    </cfRule>
    <cfRule type="containsBlanks" dxfId="7348" priority="2409">
      <formula>LEN(TRIM(AH177))=0</formula>
    </cfRule>
    <cfRule type="containsBlanks" dxfId="7347" priority="2410">
      <formula>LEN(TRIM(AH177))=0</formula>
    </cfRule>
    <cfRule type="containsBlanks" dxfId="7346" priority="2411">
      <formula>LEN(TRIM(AH177))=0</formula>
    </cfRule>
    <cfRule type="containsBlanks" dxfId="7345" priority="2412">
      <formula>LEN(TRIM(AH177))=0</formula>
    </cfRule>
    <cfRule type="containsBlanks" dxfId="7344" priority="2413">
      <formula>LEN(TRIM(AH177))=0</formula>
    </cfRule>
    <cfRule type="containsBlanks" dxfId="7343" priority="2414">
      <formula>LEN(TRIM(AH177))=0</formula>
    </cfRule>
    <cfRule type="containsBlanks" dxfId="7342" priority="2415">
      <formula>LEN(TRIM(AH177))=0</formula>
    </cfRule>
    <cfRule type="containsBlanks" dxfId="7341" priority="2416">
      <formula>LEN(TRIM(AH177))=0</formula>
    </cfRule>
    <cfRule type="containsBlanks" dxfId="7340" priority="2417">
      <formula>LEN(TRIM(AH177))=0</formula>
    </cfRule>
    <cfRule type="containsBlanks" dxfId="7339" priority="2418">
      <formula>LEN(TRIM(AH177))=0</formula>
    </cfRule>
    <cfRule type="containsBlanks" dxfId="7338" priority="2419">
      <formula>LEN(TRIM(AH177))=0</formula>
    </cfRule>
    <cfRule type="containsBlanks" dxfId="7337" priority="2420">
      <formula>LEN(TRIM(AH177))=0</formula>
    </cfRule>
    <cfRule type="containsBlanks" dxfId="7336" priority="2421">
      <formula>LEN(TRIM(AH177))=0</formula>
    </cfRule>
    <cfRule type="containsBlanks" dxfId="7335" priority="2422">
      <formula>LEN(TRIM(AH177))=0</formula>
    </cfRule>
    <cfRule type="containsBlanks" dxfId="7334" priority="2423">
      <formula>LEN(TRIM(AH177))=0</formula>
    </cfRule>
    <cfRule type="containsBlanks" dxfId="7333" priority="2424">
      <formula>LEN(TRIM(AH177))=0</formula>
    </cfRule>
    <cfRule type="containsBlanks" dxfId="7332" priority="2425">
      <formula>LEN(TRIM(AH177))=0</formula>
    </cfRule>
    <cfRule type="containsBlanks" dxfId="7331" priority="2426">
      <formula>LEN(TRIM(AH177))=0</formula>
    </cfRule>
    <cfRule type="containsBlanks" dxfId="7330" priority="2427">
      <formula>LEN(TRIM(AH177))=0</formula>
    </cfRule>
    <cfRule type="containsBlanks" dxfId="7329" priority="2428">
      <formula>LEN(TRIM(AH177))=0</formula>
    </cfRule>
    <cfRule type="containsBlanks" dxfId="7328" priority="2429">
      <formula>LEN(TRIM(AH177))=0</formula>
    </cfRule>
    <cfRule type="containsBlanks" dxfId="7327" priority="2430">
      <formula>LEN(TRIM(AH177))=0</formula>
    </cfRule>
    <cfRule type="containsBlanks" dxfId="7326" priority="2431">
      <formula>LEN(TRIM(AH177))=0</formula>
    </cfRule>
    <cfRule type="containsBlanks" dxfId="7325" priority="2432">
      <formula>LEN(TRIM(AH177))=0</formula>
    </cfRule>
    <cfRule type="containsBlanks" dxfId="7324" priority="2433">
      <formula>LEN(TRIM(AH177))=0</formula>
    </cfRule>
    <cfRule type="containsBlanks" dxfId="7323" priority="2434">
      <formula>LEN(TRIM(AH177))=0</formula>
    </cfRule>
    <cfRule type="containsBlanks" dxfId="7322" priority="2435">
      <formula>LEN(TRIM(AH177))=0</formula>
    </cfRule>
    <cfRule type="containsBlanks" dxfId="7321" priority="2436">
      <formula>LEN(TRIM(AH177))=0</formula>
    </cfRule>
    <cfRule type="containsBlanks" dxfId="7320" priority="2437">
      <formula>LEN(TRIM(AH177))=0</formula>
    </cfRule>
    <cfRule type="containsBlanks" dxfId="7319" priority="2438">
      <formula>LEN(TRIM(AH177))=0</formula>
    </cfRule>
    <cfRule type="containsBlanks" dxfId="7318" priority="2439">
      <formula>LEN(TRIM(AH177))=0</formula>
    </cfRule>
    <cfRule type="containsBlanks" dxfId="7317" priority="2440">
      <formula>LEN(TRIM(AH177))=0</formula>
    </cfRule>
    <cfRule type="containsBlanks" dxfId="7316" priority="2441">
      <formula>LEN(TRIM(AH177))=0</formula>
    </cfRule>
    <cfRule type="containsBlanks" dxfId="7315" priority="2442">
      <formula>LEN(TRIM(AH177))=0</formula>
    </cfRule>
    <cfRule type="containsBlanks" dxfId="7314" priority="2443">
      <formula>LEN(TRIM(AH177))=0</formula>
    </cfRule>
    <cfRule type="containsBlanks" dxfId="7313" priority="2444">
      <formula>LEN(TRIM(AH177))=0</formula>
    </cfRule>
    <cfRule type="containsBlanks" dxfId="7312" priority="2445">
      <formula>LEN(TRIM(AH177))=0</formula>
    </cfRule>
    <cfRule type="containsBlanks" dxfId="7311" priority="2446">
      <formula>LEN(TRIM(AH177))=0</formula>
    </cfRule>
    <cfRule type="containsBlanks" dxfId="7310" priority="2447">
      <formula>LEN(TRIM(AH177))=0</formula>
    </cfRule>
    <cfRule type="containsBlanks" dxfId="7309" priority="2448">
      <formula>LEN(TRIM(AH177))=0</formula>
    </cfRule>
    <cfRule type="containsBlanks" dxfId="7308" priority="2449">
      <formula>LEN(TRIM(AH177))=0</formula>
    </cfRule>
    <cfRule type="containsBlanks" dxfId="7307" priority="2450">
      <formula>LEN(TRIM(AH177))=0</formula>
    </cfRule>
    <cfRule type="containsBlanks" dxfId="7306" priority="2451">
      <formula>LEN(TRIM(AH177))=0</formula>
    </cfRule>
    <cfRule type="containsBlanks" dxfId="7305" priority="2452">
      <formula>LEN(TRIM(AH177))=0</formula>
    </cfRule>
    <cfRule type="containsBlanks" dxfId="7304" priority="2453">
      <formula>LEN(TRIM(AH177))=0</formula>
    </cfRule>
    <cfRule type="containsBlanks" dxfId="7303" priority="2454">
      <formula>LEN(TRIM(AH177))=0</formula>
    </cfRule>
    <cfRule type="containsBlanks" dxfId="7302" priority="2455">
      <formula>LEN(TRIM(AH177))=0</formula>
    </cfRule>
    <cfRule type="containsBlanks" dxfId="7301" priority="2456">
      <formula>LEN(TRIM(AH177))=0</formula>
    </cfRule>
    <cfRule type="containsBlanks" dxfId="7300" priority="2457">
      <formula>LEN(TRIM(AH177))=0</formula>
    </cfRule>
    <cfRule type="containsBlanks" dxfId="7299" priority="2458">
      <formula>LEN(TRIM(AH177))=0</formula>
    </cfRule>
    <cfRule type="containsBlanks" dxfId="7298" priority="2459">
      <formula>LEN(TRIM(AH177))=0</formula>
    </cfRule>
    <cfRule type="containsBlanks" dxfId="7297" priority="2460">
      <formula>LEN(TRIM(AH177))=0</formula>
    </cfRule>
    <cfRule type="containsBlanks" dxfId="7296" priority="2461">
      <formula>LEN(TRIM(AH177))=0</formula>
    </cfRule>
    <cfRule type="containsBlanks" dxfId="7295" priority="2462">
      <formula>LEN(TRIM(AH177))=0</formula>
    </cfRule>
    <cfRule type="containsBlanks" dxfId="7294" priority="2463">
      <formula>LEN(TRIM(AH177))=0</formula>
    </cfRule>
    <cfRule type="containsBlanks" dxfId="7293" priority="2464">
      <formula>LEN(TRIM(AH177))=0</formula>
    </cfRule>
    <cfRule type="containsBlanks" dxfId="7292" priority="2465">
      <formula>LEN(TRIM(AH177))=0</formula>
    </cfRule>
    <cfRule type="containsBlanks" dxfId="7291" priority="2466">
      <formula>LEN(TRIM(AH177))=0</formula>
    </cfRule>
    <cfRule type="containsBlanks" dxfId="7290" priority="2467">
      <formula>LEN(TRIM(AH177))=0</formula>
    </cfRule>
    <cfRule type="containsBlanks" dxfId="7289" priority="2468">
      <formula>LEN(TRIM(AH177))=0</formula>
    </cfRule>
    <cfRule type="containsBlanks" dxfId="7288" priority="2469">
      <formula>LEN(TRIM(AH177))=0</formula>
    </cfRule>
    <cfRule type="containsBlanks" dxfId="7287" priority="2470">
      <formula>LEN(TRIM(AH177))=0</formula>
    </cfRule>
    <cfRule type="containsBlanks" dxfId="7286" priority="2471">
      <formula>LEN(TRIM(AH177))=0</formula>
    </cfRule>
    <cfRule type="containsBlanks" dxfId="7285" priority="2472">
      <formula>LEN(TRIM(AH177))=0</formula>
    </cfRule>
    <cfRule type="containsBlanks" dxfId="7284" priority="2473">
      <formula>LEN(TRIM(AH177))=0</formula>
    </cfRule>
    <cfRule type="containsBlanks" dxfId="7283" priority="2474">
      <formula>LEN(TRIM(AH177))=0</formula>
    </cfRule>
    <cfRule type="containsBlanks" dxfId="7282" priority="2475">
      <formula>LEN(TRIM(AH177))=0</formula>
    </cfRule>
    <cfRule type="containsBlanks" dxfId="7281" priority="2476">
      <formula>LEN(TRIM(AH177))=0</formula>
    </cfRule>
    <cfRule type="containsBlanks" dxfId="7280" priority="2477">
      <formula>LEN(TRIM(AH177))=0</formula>
    </cfRule>
  </conditionalFormatting>
  <conditionalFormatting sqref="AH182">
    <cfRule type="containsBlanks" dxfId="7279" priority="2221">
      <formula>LEN(TRIM(AH182))=0</formula>
    </cfRule>
    <cfRule type="containsBlanks" dxfId="7278" priority="2222">
      <formula>LEN(TRIM(AH182))=0</formula>
    </cfRule>
    <cfRule type="containsBlanks" dxfId="7277" priority="2223">
      <formula>LEN(TRIM(AH182))=0</formula>
    </cfRule>
    <cfRule type="containsBlanks" dxfId="7276" priority="2224">
      <formula>LEN(TRIM(AH182))=0</formula>
    </cfRule>
    <cfRule type="containsBlanks" dxfId="7275" priority="2225">
      <formula>LEN(TRIM(AH182))=0</formula>
    </cfRule>
    <cfRule type="containsBlanks" dxfId="7274" priority="2226">
      <formula>LEN(TRIM(AH182))=0</formula>
    </cfRule>
    <cfRule type="containsBlanks" dxfId="7273" priority="2227">
      <formula>LEN(TRIM(AH182))=0</formula>
    </cfRule>
    <cfRule type="containsBlanks" dxfId="7272" priority="2228">
      <formula>LEN(TRIM(AH182))=0</formula>
    </cfRule>
    <cfRule type="containsBlanks" dxfId="7271" priority="2229">
      <formula>LEN(TRIM(AH182))=0</formula>
    </cfRule>
    <cfRule type="containsBlanks" dxfId="7270" priority="2230">
      <formula>LEN(TRIM(AH182))=0</formula>
    </cfRule>
    <cfRule type="containsBlanks" dxfId="7269" priority="2231">
      <formula>LEN(TRIM(AH182))=0</formula>
    </cfRule>
    <cfRule type="containsBlanks" dxfId="7268" priority="2232">
      <formula>LEN(TRIM(AH182))=0</formula>
    </cfRule>
    <cfRule type="containsBlanks" dxfId="7267" priority="2233">
      <formula>LEN(TRIM(AH182))=0</formula>
    </cfRule>
    <cfRule type="containsBlanks" dxfId="7266" priority="2234">
      <formula>LEN(TRIM(AH182))=0</formula>
    </cfRule>
    <cfRule type="containsBlanks" dxfId="7265" priority="2235">
      <formula>LEN(TRIM(AH182))=0</formula>
    </cfRule>
    <cfRule type="containsBlanks" dxfId="7264" priority="2236">
      <formula>LEN(TRIM(AH182))=0</formula>
    </cfRule>
    <cfRule type="containsBlanks" dxfId="7263" priority="2237">
      <formula>LEN(TRIM(AH182))=0</formula>
    </cfRule>
    <cfRule type="containsBlanks" dxfId="7262" priority="2238">
      <formula>LEN(TRIM(AH182))=0</formula>
    </cfRule>
    <cfRule type="containsBlanks" dxfId="7261" priority="2239">
      <formula>LEN(TRIM(AH182))=0</formula>
    </cfRule>
    <cfRule type="containsBlanks" dxfId="7260" priority="2240">
      <formula>LEN(TRIM(AH182))=0</formula>
    </cfRule>
    <cfRule type="containsBlanks" dxfId="7259" priority="2241">
      <formula>LEN(TRIM(AH182))=0</formula>
    </cfRule>
    <cfRule type="containsBlanks" dxfId="7258" priority="2242">
      <formula>LEN(TRIM(AH182))=0</formula>
    </cfRule>
    <cfRule type="containsBlanks" dxfId="7257" priority="2243">
      <formula>LEN(TRIM(AH182))=0</formula>
    </cfRule>
    <cfRule type="containsBlanks" dxfId="7256" priority="2244">
      <formula>LEN(TRIM(AH182))=0</formula>
    </cfRule>
  </conditionalFormatting>
  <conditionalFormatting sqref="AH186">
    <cfRule type="containsBlanks" dxfId="7255" priority="2204">
      <formula>LEN(TRIM(AH186))=0</formula>
    </cfRule>
    <cfRule type="containsBlanks" dxfId="7254" priority="2205">
      <formula>LEN(TRIM(AH186))=0</formula>
    </cfRule>
    <cfRule type="containsBlanks" dxfId="7253" priority="2206">
      <formula>LEN(TRIM(AH186))=0</formula>
    </cfRule>
    <cfRule type="containsBlanks" dxfId="7252" priority="2207">
      <formula>LEN(TRIM(AH186))=0</formula>
    </cfRule>
    <cfRule type="containsBlanks" dxfId="7251" priority="2208">
      <formula>LEN(TRIM(AH186))=0</formula>
    </cfRule>
    <cfRule type="containsBlanks" dxfId="7250" priority="2209">
      <formula>LEN(TRIM(AH186))=0</formula>
    </cfRule>
    <cfRule type="containsBlanks" dxfId="7249" priority="2210">
      <formula>LEN(TRIM(AH186))=0</formula>
    </cfRule>
    <cfRule type="containsBlanks" dxfId="7248" priority="2211">
      <formula>LEN(TRIM(AH186))=0</formula>
    </cfRule>
    <cfRule type="containsBlanks" dxfId="7247" priority="2212">
      <formula>LEN(TRIM(AH186))=0</formula>
    </cfRule>
    <cfRule type="containsBlanks" dxfId="7246" priority="2213">
      <formula>LEN(TRIM(AH186))=0</formula>
    </cfRule>
    <cfRule type="containsBlanks" dxfId="7245" priority="2214">
      <formula>LEN(TRIM(AH186))=0</formula>
    </cfRule>
    <cfRule type="containsBlanks" dxfId="7244" priority="2215">
      <formula>LEN(TRIM(AH186))=0</formula>
    </cfRule>
    <cfRule type="containsBlanks" dxfId="7243" priority="2216">
      <formula>LEN(TRIM(AH186))=0</formula>
    </cfRule>
    <cfRule type="containsBlanks" dxfId="7242" priority="2217">
      <formula>LEN(TRIM(AH186))=0</formula>
    </cfRule>
    <cfRule type="containsBlanks" dxfId="7241" priority="2218">
      <formula>LEN(TRIM(AH186))=0</formula>
    </cfRule>
    <cfRule type="containsBlanks" dxfId="7240" priority="2219">
      <formula>LEN(TRIM(AH186))=0</formula>
    </cfRule>
    <cfRule type="containsBlanks" dxfId="7239" priority="2220">
      <formula>LEN(TRIM(AH186))=0</formula>
    </cfRule>
  </conditionalFormatting>
  <conditionalFormatting sqref="AH192">
    <cfRule type="containsBlanks" dxfId="7238" priority="2180">
      <formula>LEN(TRIM(AH192))=0</formula>
    </cfRule>
    <cfRule type="containsBlanks" dxfId="7237" priority="2181">
      <formula>LEN(TRIM(AH192))=0</formula>
    </cfRule>
    <cfRule type="containsBlanks" dxfId="7236" priority="2182">
      <formula>LEN(TRIM(AH192))=0</formula>
    </cfRule>
    <cfRule type="containsBlanks" dxfId="7235" priority="2183">
      <formula>LEN(TRIM(AH192))=0</formula>
    </cfRule>
    <cfRule type="containsBlanks" dxfId="7234" priority="2184">
      <formula>LEN(TRIM(AH192))=0</formula>
    </cfRule>
    <cfRule type="containsBlanks" dxfId="7233" priority="2185">
      <formula>LEN(TRIM(AH192))=0</formula>
    </cfRule>
    <cfRule type="containsBlanks" dxfId="7232" priority="2186">
      <formula>LEN(TRIM(AH192))=0</formula>
    </cfRule>
    <cfRule type="containsBlanks" dxfId="7231" priority="2187">
      <formula>LEN(TRIM(AH192))=0</formula>
    </cfRule>
    <cfRule type="containsBlanks" dxfId="7230" priority="2188">
      <formula>LEN(TRIM(AH192))=0</formula>
    </cfRule>
    <cfRule type="containsBlanks" dxfId="7229" priority="2189">
      <formula>LEN(TRIM(AH192))=0</formula>
    </cfRule>
    <cfRule type="containsBlanks" dxfId="7228" priority="2190">
      <formula>LEN(TRIM(AH192))=0</formula>
    </cfRule>
    <cfRule type="containsBlanks" dxfId="7227" priority="2191">
      <formula>LEN(TRIM(AH192))=0</formula>
    </cfRule>
    <cfRule type="containsBlanks" dxfId="7226" priority="2192">
      <formula>LEN(TRIM(AH192))=0</formula>
    </cfRule>
    <cfRule type="containsBlanks" dxfId="7225" priority="2193">
      <formula>LEN(TRIM(AH192))=0</formula>
    </cfRule>
    <cfRule type="containsBlanks" dxfId="7224" priority="2194">
      <formula>LEN(TRIM(AH192))=0</formula>
    </cfRule>
    <cfRule type="containsBlanks" dxfId="7223" priority="2195">
      <formula>LEN(TRIM(AH192))=0</formula>
    </cfRule>
    <cfRule type="containsBlanks" dxfId="7222" priority="2196">
      <formula>LEN(TRIM(AH192))=0</formula>
    </cfRule>
    <cfRule type="containsBlanks" dxfId="7221" priority="2197">
      <formula>LEN(TRIM(AH192))=0</formula>
    </cfRule>
    <cfRule type="containsBlanks" dxfId="7220" priority="2198">
      <formula>LEN(TRIM(AH192))=0</formula>
    </cfRule>
    <cfRule type="containsBlanks" dxfId="7219" priority="2199">
      <formula>LEN(TRIM(AH192))=0</formula>
    </cfRule>
    <cfRule type="containsBlanks" dxfId="7218" priority="2200">
      <formula>LEN(TRIM(AH192))=0</formula>
    </cfRule>
    <cfRule type="containsBlanks" dxfId="7217" priority="2201">
      <formula>LEN(TRIM(AH192))=0</formula>
    </cfRule>
    <cfRule type="containsBlanks" dxfId="7216" priority="2202">
      <formula>LEN(TRIM(AH192))=0</formula>
    </cfRule>
    <cfRule type="containsBlanks" dxfId="7215" priority="2203">
      <formula>LEN(TRIM(AH192))=0</formula>
    </cfRule>
  </conditionalFormatting>
  <conditionalFormatting sqref="AH192:AH193">
    <cfRule type="containsBlanks" dxfId="7214" priority="2179">
      <formula>LEN(TRIM(AH192))=0</formula>
    </cfRule>
  </conditionalFormatting>
  <conditionalFormatting sqref="AH193">
    <cfRule type="containsBlanks" dxfId="7213" priority="2158">
      <formula>LEN(TRIM(AH193))=0</formula>
    </cfRule>
    <cfRule type="containsBlanks" dxfId="7212" priority="2159">
      <formula>LEN(TRIM(AH193))=0</formula>
    </cfRule>
    <cfRule type="containsBlanks" dxfId="7211" priority="2160">
      <formula>LEN(TRIM(AH193))=0</formula>
    </cfRule>
    <cfRule type="containsBlanks" dxfId="7210" priority="2161">
      <formula>LEN(TRIM(AH193))=0</formula>
    </cfRule>
    <cfRule type="containsBlanks" dxfId="7209" priority="2162">
      <formula>LEN(TRIM(AH193))=0</formula>
    </cfRule>
    <cfRule type="containsBlanks" dxfId="7208" priority="2163">
      <formula>LEN(TRIM(AH193))=0</formula>
    </cfRule>
    <cfRule type="containsBlanks" dxfId="7207" priority="2164">
      <formula>LEN(TRIM(AH193))=0</formula>
    </cfRule>
    <cfRule type="containsBlanks" dxfId="7206" priority="2165">
      <formula>LEN(TRIM(AH193))=0</formula>
    </cfRule>
    <cfRule type="containsBlanks" dxfId="7205" priority="2166">
      <formula>LEN(TRIM(AH193))=0</formula>
    </cfRule>
    <cfRule type="containsBlanks" dxfId="7204" priority="2167">
      <formula>LEN(TRIM(AH193))=0</formula>
    </cfRule>
    <cfRule type="containsBlanks" dxfId="7203" priority="2168">
      <formula>LEN(TRIM(AH193))=0</formula>
    </cfRule>
    <cfRule type="containsBlanks" dxfId="7202" priority="2169">
      <formula>LEN(TRIM(AH193))=0</formula>
    </cfRule>
    <cfRule type="containsBlanks" dxfId="7201" priority="2170">
      <formula>LEN(TRIM(AH193))=0</formula>
    </cfRule>
    <cfRule type="containsBlanks" dxfId="7200" priority="2171">
      <formula>LEN(TRIM(AH193))=0</formula>
    </cfRule>
    <cfRule type="containsBlanks" dxfId="7199" priority="2172">
      <formula>LEN(TRIM(AH193))=0</formula>
    </cfRule>
    <cfRule type="containsBlanks" dxfId="7198" priority="2173">
      <formula>LEN(TRIM(AH193))=0</formula>
    </cfRule>
    <cfRule type="containsBlanks" dxfId="7197" priority="2174">
      <formula>LEN(TRIM(AH193))=0</formula>
    </cfRule>
    <cfRule type="containsBlanks" dxfId="7196" priority="2175">
      <formula>LEN(TRIM(AH193))=0</formula>
    </cfRule>
    <cfRule type="containsBlanks" dxfId="7195" priority="2176">
      <formula>LEN(TRIM(AH193))=0</formula>
    </cfRule>
    <cfRule type="containsBlanks" dxfId="7194" priority="2177">
      <formula>LEN(TRIM(AH193))=0</formula>
    </cfRule>
    <cfRule type="containsBlanks" dxfId="7193" priority="2178">
      <formula>LEN(TRIM(AH193))=0</formula>
    </cfRule>
  </conditionalFormatting>
  <conditionalFormatting sqref="AH195">
    <cfRule type="containsBlanks" dxfId="7192" priority="2133">
      <formula>LEN(TRIM(AH195))=0</formula>
    </cfRule>
    <cfRule type="containsBlanks" dxfId="7191" priority="2134">
      <formula>LEN(TRIM(AH195))=0</formula>
    </cfRule>
    <cfRule type="containsBlanks" dxfId="7190" priority="2135">
      <formula>LEN(TRIM(AH195))=0</formula>
    </cfRule>
    <cfRule type="containsBlanks" dxfId="7189" priority="2136">
      <formula>LEN(TRIM(AH195))=0</formula>
    </cfRule>
    <cfRule type="containsBlanks" dxfId="7188" priority="2137">
      <formula>LEN(TRIM(AH195))=0</formula>
    </cfRule>
    <cfRule type="containsBlanks" dxfId="7187" priority="2138">
      <formula>LEN(TRIM(AH195))=0</formula>
    </cfRule>
    <cfRule type="containsBlanks" dxfId="7186" priority="2139">
      <formula>LEN(TRIM(AH195))=0</formula>
    </cfRule>
    <cfRule type="containsBlanks" dxfId="7185" priority="2140">
      <formula>LEN(TRIM(AH195))=0</formula>
    </cfRule>
    <cfRule type="containsBlanks" dxfId="7184" priority="2141">
      <formula>LEN(TRIM(AH195))=0</formula>
    </cfRule>
    <cfRule type="containsBlanks" dxfId="7183" priority="2142">
      <formula>LEN(TRIM(AH195))=0</formula>
    </cfRule>
    <cfRule type="containsBlanks" dxfId="7182" priority="2143">
      <formula>LEN(TRIM(AH195))=0</formula>
    </cfRule>
    <cfRule type="containsBlanks" dxfId="7181" priority="2144">
      <formula>LEN(TRIM(AH195))=0</formula>
    </cfRule>
    <cfRule type="containsBlanks" dxfId="7180" priority="2145">
      <formula>LEN(TRIM(AH195))=0</formula>
    </cfRule>
    <cfRule type="containsBlanks" dxfId="7179" priority="2146">
      <formula>LEN(TRIM(AH195))=0</formula>
    </cfRule>
    <cfRule type="containsBlanks" dxfId="7178" priority="2147">
      <formula>LEN(TRIM(AH195))=0</formula>
    </cfRule>
    <cfRule type="containsBlanks" dxfId="7177" priority="2148">
      <formula>LEN(TRIM(AH195))=0</formula>
    </cfRule>
    <cfRule type="containsBlanks" dxfId="7176" priority="2149">
      <formula>LEN(TRIM(AH195))=0</formula>
    </cfRule>
    <cfRule type="containsBlanks" dxfId="7175" priority="2150">
      <formula>LEN(TRIM(AH195))=0</formula>
    </cfRule>
    <cfRule type="containsBlanks" dxfId="7174" priority="2151">
      <formula>LEN(TRIM(AH195))=0</formula>
    </cfRule>
    <cfRule type="containsBlanks" dxfId="7173" priority="2152">
      <formula>LEN(TRIM(AH195))=0</formula>
    </cfRule>
    <cfRule type="containsBlanks" dxfId="7172" priority="2153">
      <formula>LEN(TRIM(AH195))=0</formula>
    </cfRule>
    <cfRule type="containsBlanks" dxfId="7171" priority="2154">
      <formula>LEN(TRIM(AH195))=0</formula>
    </cfRule>
    <cfRule type="containsBlanks" dxfId="7170" priority="2155">
      <formula>LEN(TRIM(AH195))=0</formula>
    </cfRule>
    <cfRule type="containsBlanks" dxfId="7169" priority="2156">
      <formula>LEN(TRIM(AH195))=0</formula>
    </cfRule>
    <cfRule type="containsBlanks" dxfId="7168" priority="2157">
      <formula>LEN(TRIM(AH195))=0</formula>
    </cfRule>
  </conditionalFormatting>
  <conditionalFormatting sqref="AH201">
    <cfRule type="containsBlanks" dxfId="7167" priority="2116">
      <formula>LEN(TRIM(AH201))=0</formula>
    </cfRule>
    <cfRule type="containsBlanks" dxfId="7166" priority="2117">
      <formula>LEN(TRIM(AH201))=0</formula>
    </cfRule>
    <cfRule type="containsBlanks" dxfId="7165" priority="2118">
      <formula>LEN(TRIM(AH201))=0</formula>
    </cfRule>
    <cfRule type="containsBlanks" dxfId="7164" priority="2119">
      <formula>LEN(TRIM(AH201))=0</formula>
    </cfRule>
    <cfRule type="containsBlanks" dxfId="7163" priority="2120">
      <formula>LEN(TRIM(AH201))=0</formula>
    </cfRule>
    <cfRule type="containsBlanks" dxfId="7162" priority="2121">
      <formula>LEN(TRIM(AH201))=0</formula>
    </cfRule>
    <cfRule type="containsBlanks" dxfId="7161" priority="2122">
      <formula>LEN(TRIM(AH201))=0</formula>
    </cfRule>
    <cfRule type="containsBlanks" dxfId="7160" priority="2123">
      <formula>LEN(TRIM(AH201))=0</formula>
    </cfRule>
    <cfRule type="containsBlanks" dxfId="7159" priority="2124">
      <formula>LEN(TRIM(AH201))=0</formula>
    </cfRule>
    <cfRule type="containsBlanks" dxfId="7158" priority="2125">
      <formula>LEN(TRIM(AH201))=0</formula>
    </cfRule>
    <cfRule type="containsBlanks" dxfId="7157" priority="2126">
      <formula>LEN(TRIM(AH201))=0</formula>
    </cfRule>
    <cfRule type="containsBlanks" dxfId="7156" priority="2127">
      <formula>LEN(TRIM(AH201))=0</formula>
    </cfRule>
    <cfRule type="containsBlanks" dxfId="7155" priority="2128">
      <formula>LEN(TRIM(AH201))=0</formula>
    </cfRule>
    <cfRule type="containsBlanks" dxfId="7154" priority="2129">
      <formula>LEN(TRIM(AH201))=0</formula>
    </cfRule>
    <cfRule type="containsBlanks" dxfId="7153" priority="2130">
      <formula>LEN(TRIM(AH201))=0</formula>
    </cfRule>
    <cfRule type="containsBlanks" dxfId="7152" priority="2131">
      <formula>LEN(TRIM(AH201))=0</formula>
    </cfRule>
    <cfRule type="containsBlanks" dxfId="7151" priority="2132">
      <formula>LEN(TRIM(AH201))=0</formula>
    </cfRule>
  </conditionalFormatting>
  <conditionalFormatting sqref="AH208">
    <cfRule type="containsBlanks" dxfId="7150" priority="2099">
      <formula>LEN(TRIM(AH208))=0</formula>
    </cfRule>
    <cfRule type="containsBlanks" dxfId="7149" priority="2100">
      <formula>LEN(TRIM(AH208))=0</formula>
    </cfRule>
    <cfRule type="containsBlanks" dxfId="7148" priority="2101">
      <formula>LEN(TRIM(AH208))=0</formula>
    </cfRule>
    <cfRule type="containsBlanks" dxfId="7147" priority="2102">
      <formula>LEN(TRIM(AH208))=0</formula>
    </cfRule>
    <cfRule type="containsBlanks" dxfId="7146" priority="2103">
      <formula>LEN(TRIM(AH208))=0</formula>
    </cfRule>
    <cfRule type="containsBlanks" dxfId="7145" priority="2104">
      <formula>LEN(TRIM(AH208))=0</formula>
    </cfRule>
    <cfRule type="containsBlanks" dxfId="7144" priority="2105">
      <formula>LEN(TRIM(AH208))=0</formula>
    </cfRule>
    <cfRule type="containsBlanks" dxfId="7143" priority="2106">
      <formula>LEN(TRIM(AH208))=0</formula>
    </cfRule>
    <cfRule type="containsBlanks" dxfId="7142" priority="2107">
      <formula>LEN(TRIM(AH208))=0</formula>
    </cfRule>
    <cfRule type="containsBlanks" dxfId="7141" priority="2108">
      <formula>LEN(TRIM(AH208))=0</formula>
    </cfRule>
    <cfRule type="containsBlanks" dxfId="7140" priority="2109">
      <formula>LEN(TRIM(AH208))=0</formula>
    </cfRule>
    <cfRule type="containsBlanks" dxfId="7139" priority="2110">
      <formula>LEN(TRIM(AH208))=0</formula>
    </cfRule>
    <cfRule type="containsBlanks" dxfId="7138" priority="2111">
      <formula>LEN(TRIM(AH208))=0</formula>
    </cfRule>
    <cfRule type="containsBlanks" dxfId="7137" priority="2112">
      <formula>LEN(TRIM(AH208))=0</formula>
    </cfRule>
    <cfRule type="containsBlanks" dxfId="7136" priority="2113">
      <formula>LEN(TRIM(AH208))=0</formula>
    </cfRule>
    <cfRule type="containsBlanks" dxfId="7135" priority="2114">
      <formula>LEN(TRIM(AH208))=0</formula>
    </cfRule>
    <cfRule type="containsBlanks" dxfId="7134" priority="2115">
      <formula>LEN(TRIM(AH208))=0</formula>
    </cfRule>
  </conditionalFormatting>
  <conditionalFormatting sqref="AH228">
    <cfRule type="containsBlanks" dxfId="7133" priority="2017">
      <formula>LEN(TRIM(AH228))=0</formula>
    </cfRule>
    <cfRule type="containsBlanks" dxfId="7132" priority="2018">
      <formula>LEN(TRIM(AH228))=0</formula>
    </cfRule>
    <cfRule type="containsBlanks" dxfId="7131" priority="2019">
      <formula>LEN(TRIM(AH228))=0</formula>
    </cfRule>
    <cfRule type="containsBlanks" dxfId="7130" priority="2020">
      <formula>LEN(TRIM(AH228))=0</formula>
    </cfRule>
    <cfRule type="containsBlanks" dxfId="7129" priority="2021">
      <formula>LEN(TRIM(AH228))=0</formula>
    </cfRule>
    <cfRule type="containsBlanks" dxfId="7128" priority="2022">
      <formula>LEN(TRIM(AH228))=0</formula>
    </cfRule>
    <cfRule type="containsBlanks" dxfId="7127" priority="2023">
      <formula>LEN(TRIM(AH228))=0</formula>
    </cfRule>
    <cfRule type="containsBlanks" dxfId="7126" priority="2024">
      <formula>LEN(TRIM(AH228))=0</formula>
    </cfRule>
    <cfRule type="containsBlanks" dxfId="7125" priority="2025">
      <formula>LEN(TRIM(AH228))=0</formula>
    </cfRule>
    <cfRule type="containsBlanks" dxfId="7124" priority="2026">
      <formula>LEN(TRIM(AH228))=0</formula>
    </cfRule>
    <cfRule type="containsBlanks" dxfId="7123" priority="2027">
      <formula>LEN(TRIM(AH228))=0</formula>
    </cfRule>
    <cfRule type="containsBlanks" dxfId="7122" priority="2028">
      <formula>LEN(TRIM(AH228))=0</formula>
    </cfRule>
    <cfRule type="containsBlanks" dxfId="7121" priority="2029">
      <formula>LEN(TRIM(AH228))=0</formula>
    </cfRule>
    <cfRule type="containsBlanks" dxfId="7120" priority="2030">
      <formula>LEN(TRIM(AH228))=0</formula>
    </cfRule>
    <cfRule type="containsBlanks" dxfId="7119" priority="2031">
      <formula>LEN(TRIM(AH228))=0</formula>
    </cfRule>
    <cfRule type="containsBlanks" dxfId="7118" priority="2032">
      <formula>LEN(TRIM(AH228))=0</formula>
    </cfRule>
    <cfRule type="containsBlanks" dxfId="7117" priority="2033">
      <formula>LEN(TRIM(AH228))=0</formula>
    </cfRule>
    <cfRule type="containsBlanks" dxfId="7116" priority="2034">
      <formula>LEN(TRIM(AH228))=0</formula>
    </cfRule>
    <cfRule type="containsBlanks" dxfId="7115" priority="2035">
      <formula>LEN(TRIM(AH228))=0</formula>
    </cfRule>
    <cfRule type="containsBlanks" dxfId="7114" priority="2036">
      <formula>LEN(TRIM(AH228))=0</formula>
    </cfRule>
    <cfRule type="containsBlanks" dxfId="7113" priority="2037">
      <formula>LEN(TRIM(AH228))=0</formula>
    </cfRule>
    <cfRule type="containsBlanks" dxfId="7112" priority="2038">
      <formula>LEN(TRIM(AH228))=0</formula>
    </cfRule>
    <cfRule type="containsBlanks" dxfId="7111" priority="2039">
      <formula>LEN(TRIM(AH228))=0</formula>
    </cfRule>
    <cfRule type="containsBlanks" dxfId="7110" priority="2040">
      <formula>LEN(TRIM(AH228))=0</formula>
    </cfRule>
    <cfRule type="containsBlanks" dxfId="7109" priority="2041">
      <formula>LEN(TRIM(AH228))=0</formula>
    </cfRule>
    <cfRule type="containsBlanks" dxfId="7108" priority="2042">
      <formula>LEN(TRIM(AH228))=0</formula>
    </cfRule>
    <cfRule type="containsBlanks" dxfId="7107" priority="2043">
      <formula>LEN(TRIM(AH228))=0</formula>
    </cfRule>
    <cfRule type="containsBlanks" dxfId="7106" priority="2044">
      <formula>LEN(TRIM(AH228))=0</formula>
    </cfRule>
    <cfRule type="containsBlanks" dxfId="7105" priority="2045">
      <formula>LEN(TRIM(AH228))=0</formula>
    </cfRule>
    <cfRule type="containsBlanks" dxfId="7104" priority="2046">
      <formula>LEN(TRIM(AH228))=0</formula>
    </cfRule>
    <cfRule type="containsBlanks" dxfId="7103" priority="2047">
      <formula>LEN(TRIM(AH228))=0</formula>
    </cfRule>
    <cfRule type="containsBlanks" dxfId="7102" priority="2048">
      <formula>LEN(TRIM(AH228))=0</formula>
    </cfRule>
    <cfRule type="containsBlanks" dxfId="7101" priority="2049">
      <formula>LEN(TRIM(AH228))=0</formula>
    </cfRule>
    <cfRule type="containsBlanks" dxfId="7100" priority="2050">
      <formula>LEN(TRIM(AH228))=0</formula>
    </cfRule>
    <cfRule type="containsBlanks" dxfId="7099" priority="2051">
      <formula>LEN(TRIM(AH228))=0</formula>
    </cfRule>
    <cfRule type="containsBlanks" dxfId="7098" priority="2052">
      <formula>LEN(TRIM(AH228))=0</formula>
    </cfRule>
    <cfRule type="containsBlanks" dxfId="7097" priority="2053">
      <formula>LEN(TRIM(AH228))=0</formula>
    </cfRule>
    <cfRule type="containsBlanks" dxfId="7096" priority="2054">
      <formula>LEN(TRIM(AH228))=0</formula>
    </cfRule>
    <cfRule type="containsBlanks" dxfId="7095" priority="2055">
      <formula>LEN(TRIM(AH228))=0</formula>
    </cfRule>
    <cfRule type="containsBlanks" dxfId="7094" priority="2056">
      <formula>LEN(TRIM(AH228))=0</formula>
    </cfRule>
    <cfRule type="containsBlanks" dxfId="7093" priority="2057">
      <formula>LEN(TRIM(AH228))=0</formula>
    </cfRule>
    <cfRule type="containsBlanks" dxfId="7092" priority="2058">
      <formula>LEN(TRIM(AH228))=0</formula>
    </cfRule>
    <cfRule type="containsBlanks" dxfId="7091" priority="2059">
      <formula>LEN(TRIM(AH228))=0</formula>
    </cfRule>
    <cfRule type="containsBlanks" dxfId="7090" priority="2060">
      <formula>LEN(TRIM(AH228))=0</formula>
    </cfRule>
    <cfRule type="containsBlanks" dxfId="7089" priority="2061">
      <formula>LEN(TRIM(AH228))=0</formula>
    </cfRule>
    <cfRule type="containsBlanks" dxfId="7088" priority="2062">
      <formula>LEN(TRIM(AH228))=0</formula>
    </cfRule>
    <cfRule type="containsBlanks" dxfId="7087" priority="2063">
      <formula>LEN(TRIM(AH228))=0</formula>
    </cfRule>
    <cfRule type="containsBlanks" dxfId="7086" priority="2064">
      <formula>LEN(TRIM(AH228))=0</formula>
    </cfRule>
    <cfRule type="containsBlanks" dxfId="7085" priority="2065">
      <formula>LEN(TRIM(AH228))=0</formula>
    </cfRule>
    <cfRule type="containsBlanks" dxfId="7084" priority="2066">
      <formula>LEN(TRIM(AH228))=0</formula>
    </cfRule>
    <cfRule type="containsBlanks" dxfId="7083" priority="2067">
      <formula>LEN(TRIM(AH228))=0</formula>
    </cfRule>
    <cfRule type="containsBlanks" dxfId="7082" priority="2068">
      <formula>LEN(TRIM(AH228))=0</formula>
    </cfRule>
    <cfRule type="containsBlanks" dxfId="7081" priority="2069">
      <formula>LEN(TRIM(AH228))=0</formula>
    </cfRule>
    <cfRule type="containsBlanks" dxfId="7080" priority="2070">
      <formula>LEN(TRIM(AH228))=0</formula>
    </cfRule>
    <cfRule type="containsBlanks" dxfId="7079" priority="2071">
      <formula>LEN(TRIM(AH228))=0</formula>
    </cfRule>
    <cfRule type="containsBlanks" dxfId="7078" priority="2072">
      <formula>LEN(TRIM(AH228))=0</formula>
    </cfRule>
    <cfRule type="containsBlanks" dxfId="7077" priority="2073">
      <formula>LEN(TRIM(AH228))=0</formula>
    </cfRule>
    <cfRule type="containsBlanks" dxfId="7076" priority="2074">
      <formula>LEN(TRIM(AH228))=0</formula>
    </cfRule>
    <cfRule type="containsBlanks" dxfId="7075" priority="2075">
      <formula>LEN(TRIM(AH228))=0</formula>
    </cfRule>
    <cfRule type="containsBlanks" dxfId="7074" priority="2076">
      <formula>LEN(TRIM(AH228))=0</formula>
    </cfRule>
    <cfRule type="containsBlanks" dxfId="7073" priority="2077">
      <formula>LEN(TRIM(AH228))=0</formula>
    </cfRule>
    <cfRule type="containsBlanks" dxfId="7072" priority="2078">
      <formula>LEN(TRIM(AH228))=0</formula>
    </cfRule>
    <cfRule type="containsBlanks" dxfId="7071" priority="2079">
      <formula>LEN(TRIM(AH228))=0</formula>
    </cfRule>
    <cfRule type="containsBlanks" dxfId="7070" priority="2080">
      <formula>LEN(TRIM(AH228))=0</formula>
    </cfRule>
    <cfRule type="containsBlanks" dxfId="7069" priority="2081">
      <formula>LEN(TRIM(AH228))=0</formula>
    </cfRule>
    <cfRule type="containsBlanks" dxfId="7068" priority="2082">
      <formula>LEN(TRIM(AH228))=0</formula>
    </cfRule>
    <cfRule type="containsBlanks" dxfId="7067" priority="2083">
      <formula>LEN(TRIM(AH228))=0</formula>
    </cfRule>
    <cfRule type="containsBlanks" dxfId="7066" priority="2084">
      <formula>LEN(TRIM(AH228))=0</formula>
    </cfRule>
    <cfRule type="containsBlanks" dxfId="7065" priority="2085">
      <formula>LEN(TRIM(AH228))=0</formula>
    </cfRule>
    <cfRule type="containsBlanks" dxfId="7064" priority="2086">
      <formula>LEN(TRIM(AH228))=0</formula>
    </cfRule>
    <cfRule type="containsBlanks" dxfId="7063" priority="2087">
      <formula>LEN(TRIM(AH228))=0</formula>
    </cfRule>
    <cfRule type="containsBlanks" dxfId="7062" priority="2088">
      <formula>LEN(TRIM(AH228))=0</formula>
    </cfRule>
    <cfRule type="containsBlanks" dxfId="7061" priority="2089">
      <formula>LEN(TRIM(AH228))=0</formula>
    </cfRule>
    <cfRule type="containsBlanks" dxfId="7060" priority="2090">
      <formula>LEN(TRIM(AH228))=0</formula>
    </cfRule>
    <cfRule type="containsBlanks" dxfId="7059" priority="2091">
      <formula>LEN(TRIM(AH228))=0</formula>
    </cfRule>
    <cfRule type="containsBlanks" dxfId="7058" priority="2092">
      <formula>LEN(TRIM(AH228))=0</formula>
    </cfRule>
    <cfRule type="containsBlanks" dxfId="7057" priority="2093">
      <formula>LEN(TRIM(AH228))=0</formula>
    </cfRule>
    <cfRule type="containsBlanks" dxfId="7056" priority="2094">
      <formula>LEN(TRIM(AH228))=0</formula>
    </cfRule>
    <cfRule type="containsBlanks" dxfId="7055" priority="2095">
      <formula>LEN(TRIM(AH228))=0</formula>
    </cfRule>
    <cfRule type="containsBlanks" dxfId="7054" priority="2096">
      <formula>LEN(TRIM(AH228))=0</formula>
    </cfRule>
    <cfRule type="containsBlanks" dxfId="7053" priority="2097">
      <formula>LEN(TRIM(AH228))=0</formula>
    </cfRule>
    <cfRule type="containsBlanks" dxfId="7052" priority="2098">
      <formula>LEN(TRIM(AH228))=0</formula>
    </cfRule>
  </conditionalFormatting>
  <conditionalFormatting sqref="AH236:AH237">
    <cfRule type="containsBlanks" dxfId="7051" priority="2015">
      <formula>LEN(TRIM(AH236))=0</formula>
    </cfRule>
    <cfRule type="containsBlanks" dxfId="7050" priority="2016">
      <formula>LEN(TRIM(AH236))=0</formula>
    </cfRule>
  </conditionalFormatting>
  <conditionalFormatting sqref="AH236:AH238">
    <cfRule type="containsBlanks" dxfId="7049" priority="2008">
      <formula>LEN(TRIM(AH236))=0</formula>
    </cfRule>
    <cfRule type="containsBlanks" dxfId="7048" priority="2009">
      <formula>LEN(TRIM(AH236))=0</formula>
    </cfRule>
    <cfRule type="containsBlanks" dxfId="7047" priority="2010">
      <formula>LEN(TRIM(AH236))=0</formula>
    </cfRule>
    <cfRule type="containsBlanks" dxfId="7046" priority="2011">
      <formula>LEN(TRIM(AH236))=0</formula>
    </cfRule>
    <cfRule type="containsBlanks" dxfId="7045" priority="2012">
      <formula>LEN(TRIM(AH236))=0</formula>
    </cfRule>
    <cfRule type="containsBlanks" dxfId="7044" priority="2013">
      <formula>LEN(TRIM(AH236))=0</formula>
    </cfRule>
    <cfRule type="containsBlanks" dxfId="7043" priority="2014">
      <formula>LEN(TRIM(AH236))=0</formula>
    </cfRule>
  </conditionalFormatting>
  <conditionalFormatting sqref="AH238">
    <cfRule type="containsBlanks" dxfId="7042" priority="2006">
      <formula>LEN(TRIM(AH238))=0</formula>
    </cfRule>
    <cfRule type="containsBlanks" dxfId="7041" priority="2007">
      <formula>LEN(TRIM(AH238))=0</formula>
    </cfRule>
  </conditionalFormatting>
  <conditionalFormatting sqref="AH177:AI236 AI237:AI238">
    <cfRule type="containsBlanks" dxfId="7040" priority="2004">
      <formula>LEN(TRIM(AH177))=0</formula>
    </cfRule>
    <cfRule type="containsBlanks" dxfId="7039" priority="2005">
      <formula>LEN(TRIM(AH177))=0</formula>
    </cfRule>
  </conditionalFormatting>
  <conditionalFormatting sqref="AH179:AI179">
    <cfRule type="containsBlanks" dxfId="7038" priority="1987">
      <formula>LEN(TRIM(AH179))=0</formula>
    </cfRule>
    <cfRule type="containsBlanks" dxfId="7037" priority="1988">
      <formula>LEN(TRIM(AH179))=0</formula>
    </cfRule>
    <cfRule type="containsBlanks" dxfId="7036" priority="1989">
      <formula>LEN(TRIM(AH179))=0</formula>
    </cfRule>
    <cfRule type="containsBlanks" dxfId="7035" priority="1990">
      <formula>LEN(TRIM(AH179))=0</formula>
    </cfRule>
    <cfRule type="containsBlanks" dxfId="7034" priority="1991">
      <formula>LEN(TRIM(AH179))=0</formula>
    </cfRule>
    <cfRule type="containsBlanks" dxfId="7033" priority="1992">
      <formula>LEN(TRIM(AH179))=0</formula>
    </cfRule>
    <cfRule type="containsBlanks" dxfId="7032" priority="1993">
      <formula>LEN(TRIM(AH179))=0</formula>
    </cfRule>
    <cfRule type="containsBlanks" dxfId="7031" priority="1994">
      <formula>LEN(TRIM(AH179))=0</formula>
    </cfRule>
    <cfRule type="containsBlanks" dxfId="7030" priority="1995">
      <formula>LEN(TRIM(AH179))=0</formula>
    </cfRule>
    <cfRule type="containsBlanks" dxfId="7029" priority="1996">
      <formula>LEN(TRIM(AH179))=0</formula>
    </cfRule>
    <cfRule type="containsBlanks" dxfId="7028" priority="1997">
      <formula>LEN(TRIM(AH179))=0</formula>
    </cfRule>
    <cfRule type="containsBlanks" dxfId="7027" priority="1998">
      <formula>LEN(TRIM(AH179))=0</formula>
    </cfRule>
    <cfRule type="containsBlanks" dxfId="7026" priority="1999">
      <formula>LEN(TRIM(AH179))=0</formula>
    </cfRule>
    <cfRule type="containsBlanks" dxfId="7025" priority="2000">
      <formula>LEN(TRIM(AH179))=0</formula>
    </cfRule>
    <cfRule type="containsBlanks" dxfId="7024" priority="2001">
      <formula>LEN(TRIM(AH179))=0</formula>
    </cfRule>
    <cfRule type="containsBlanks" dxfId="7023" priority="2002">
      <formula>LEN(TRIM(AH179))=0</formula>
    </cfRule>
    <cfRule type="containsBlanks" dxfId="7022" priority="2003">
      <formula>LEN(TRIM(AH179))=0</formula>
    </cfRule>
  </conditionalFormatting>
  <conditionalFormatting sqref="AI177:AI235">
    <cfRule type="containsBlanks" dxfId="7021" priority="1830">
      <formula>LEN(TRIM(AI177))=0</formula>
    </cfRule>
    <cfRule type="containsBlanks" dxfId="7020" priority="1831">
      <formula>LEN(TRIM(AI177))=0</formula>
    </cfRule>
    <cfRule type="containsBlanks" dxfId="7019" priority="1832">
      <formula>LEN(TRIM(AI177))=0</formula>
    </cfRule>
    <cfRule type="containsBlanks" dxfId="7018" priority="1833">
      <formula>LEN(TRIM(AI177))=0</formula>
    </cfRule>
    <cfRule type="containsBlanks" dxfId="7017" priority="1834">
      <formula>LEN(TRIM(AI177))=0</formula>
    </cfRule>
    <cfRule type="containsBlanks" dxfId="7016" priority="1835">
      <formula>LEN(TRIM(AI177))=0</formula>
    </cfRule>
    <cfRule type="containsBlanks" dxfId="7015" priority="1836">
      <formula>LEN(TRIM(AI177))=0</formula>
    </cfRule>
    <cfRule type="containsBlanks" dxfId="7014" priority="1837">
      <formula>LEN(TRIM(AI177))=0</formula>
    </cfRule>
    <cfRule type="containsBlanks" dxfId="7013" priority="1838">
      <formula>LEN(TRIM(AI177))=0</formula>
    </cfRule>
    <cfRule type="containsBlanks" dxfId="7012" priority="1839">
      <formula>LEN(TRIM(AI177))=0</formula>
    </cfRule>
    <cfRule type="containsBlanks" dxfId="7011" priority="1840">
      <formula>LEN(TRIM(AI177))=0</formula>
    </cfRule>
    <cfRule type="containsBlanks" dxfId="7010" priority="1841">
      <formula>LEN(TRIM(AI177))=0</formula>
    </cfRule>
    <cfRule type="containsBlanks" dxfId="7009" priority="1842">
      <formula>LEN(TRIM(AI177))=0</formula>
    </cfRule>
    <cfRule type="containsBlanks" dxfId="7008" priority="1843">
      <formula>LEN(TRIM(AI177))=0</formula>
    </cfRule>
    <cfRule type="containsBlanks" dxfId="7007" priority="1844">
      <formula>LEN(TRIM(AI177))=0</formula>
    </cfRule>
    <cfRule type="containsBlanks" dxfId="7006" priority="1845">
      <formula>LEN(TRIM(AI177))=0</formula>
    </cfRule>
    <cfRule type="containsBlanks" dxfId="7005" priority="1846">
      <formula>LEN(TRIM(AI177))=0</formula>
    </cfRule>
    <cfRule type="containsBlanks" dxfId="7004" priority="1847">
      <formula>LEN(TRIM(AI177))=0</formula>
    </cfRule>
    <cfRule type="containsBlanks" dxfId="7003" priority="1848">
      <formula>LEN(TRIM(AI177))=0</formula>
    </cfRule>
    <cfRule type="containsBlanks" dxfId="7002" priority="1849">
      <formula>LEN(TRIM(AI177))=0</formula>
    </cfRule>
    <cfRule type="containsBlanks" dxfId="7001" priority="1850">
      <formula>LEN(TRIM(AI177))=0</formula>
    </cfRule>
    <cfRule type="containsBlanks" dxfId="7000" priority="1851">
      <formula>LEN(TRIM(AI177))=0</formula>
    </cfRule>
    <cfRule type="containsBlanks" dxfId="6999" priority="1852">
      <formula>LEN(TRIM(AI177))=0</formula>
    </cfRule>
    <cfRule type="containsBlanks" dxfId="6998" priority="1853">
      <formula>LEN(TRIM(AI177))=0</formula>
    </cfRule>
    <cfRule type="containsBlanks" dxfId="6997" priority="1854">
      <formula>LEN(TRIM(AI177))=0</formula>
    </cfRule>
    <cfRule type="containsBlanks" dxfId="6996" priority="1855">
      <formula>LEN(TRIM(AI177))=0</formula>
    </cfRule>
    <cfRule type="containsBlanks" dxfId="6995" priority="1856">
      <formula>LEN(TRIM(AI177))=0</formula>
    </cfRule>
    <cfRule type="containsBlanks" dxfId="6994" priority="1857">
      <formula>LEN(TRIM(AI177))=0</formula>
    </cfRule>
    <cfRule type="containsBlanks" dxfId="6993" priority="1858">
      <formula>LEN(TRIM(AI177))=0</formula>
    </cfRule>
    <cfRule type="containsBlanks" dxfId="6992" priority="1859">
      <formula>LEN(TRIM(AI177))=0</formula>
    </cfRule>
    <cfRule type="containsBlanks" dxfId="6991" priority="1860">
      <formula>LEN(TRIM(AI177))=0</formula>
    </cfRule>
    <cfRule type="containsBlanks" dxfId="6990" priority="1861">
      <formula>LEN(TRIM(AI177))=0</formula>
    </cfRule>
    <cfRule type="containsBlanks" dxfId="6989" priority="1862">
      <formula>LEN(TRIM(AI177))=0</formula>
    </cfRule>
    <cfRule type="containsBlanks" dxfId="6988" priority="1863">
      <formula>LEN(TRIM(AI177))=0</formula>
    </cfRule>
    <cfRule type="containsBlanks" dxfId="6987" priority="1864">
      <formula>LEN(TRIM(AI177))=0</formula>
    </cfRule>
    <cfRule type="containsBlanks" dxfId="6986" priority="1865">
      <formula>LEN(TRIM(AI177))=0</formula>
    </cfRule>
    <cfRule type="containsBlanks" dxfId="6985" priority="1866">
      <formula>LEN(TRIM(AI177))=0</formula>
    </cfRule>
    <cfRule type="containsBlanks" dxfId="6984" priority="1867">
      <formula>LEN(TRIM(AI177))=0</formula>
    </cfRule>
    <cfRule type="containsBlanks" dxfId="6983" priority="1868">
      <formula>LEN(TRIM(AI177))=0</formula>
    </cfRule>
    <cfRule type="containsBlanks" dxfId="6982" priority="1869">
      <formula>LEN(TRIM(AI177))=0</formula>
    </cfRule>
    <cfRule type="containsBlanks" dxfId="6981" priority="1870">
      <formula>LEN(TRIM(AI177))=0</formula>
    </cfRule>
    <cfRule type="containsBlanks" dxfId="6980" priority="1871">
      <formula>LEN(TRIM(AI177))=0</formula>
    </cfRule>
    <cfRule type="containsBlanks" dxfId="6979" priority="1872">
      <formula>LEN(TRIM(AI177))=0</formula>
    </cfRule>
    <cfRule type="containsBlanks" dxfId="6978" priority="1873">
      <formula>LEN(TRIM(AI177))=0</formula>
    </cfRule>
    <cfRule type="containsBlanks" dxfId="6977" priority="1874">
      <formula>LEN(TRIM(AI177))=0</formula>
    </cfRule>
    <cfRule type="containsBlanks" dxfId="6976" priority="1875">
      <formula>LEN(TRIM(AI177))=0</formula>
    </cfRule>
    <cfRule type="containsBlanks" dxfId="6975" priority="1876">
      <formula>LEN(TRIM(AI177))=0</formula>
    </cfRule>
    <cfRule type="containsBlanks" dxfId="6974" priority="1877">
      <formula>LEN(TRIM(AI177))=0</formula>
    </cfRule>
    <cfRule type="containsBlanks" dxfId="6973" priority="1878">
      <formula>LEN(TRIM(AI177))=0</formula>
    </cfRule>
    <cfRule type="containsBlanks" dxfId="6972" priority="1879">
      <formula>LEN(TRIM(AI177))=0</formula>
    </cfRule>
    <cfRule type="containsBlanks" dxfId="6971" priority="1880">
      <formula>LEN(TRIM(AI177))=0</formula>
    </cfRule>
    <cfRule type="containsBlanks" dxfId="6970" priority="1881">
      <formula>LEN(TRIM(AI177))=0</formula>
    </cfRule>
    <cfRule type="containsBlanks" dxfId="6969" priority="1882">
      <formula>LEN(TRIM(AI177))=0</formula>
    </cfRule>
    <cfRule type="containsBlanks" dxfId="6968" priority="1883">
      <formula>LEN(TRIM(AI177))=0</formula>
    </cfRule>
    <cfRule type="containsBlanks" dxfId="6967" priority="1884">
      <formula>LEN(TRIM(AI177))=0</formula>
    </cfRule>
    <cfRule type="containsBlanks" dxfId="6966" priority="1885">
      <formula>LEN(TRIM(AI177))=0</formula>
    </cfRule>
    <cfRule type="containsBlanks" dxfId="6965" priority="1886">
      <formula>LEN(TRIM(AI177))=0</formula>
    </cfRule>
    <cfRule type="containsBlanks" dxfId="6964" priority="1887">
      <formula>LEN(TRIM(AI177))=0</formula>
    </cfRule>
    <cfRule type="containsBlanks" dxfId="6963" priority="1888">
      <formula>LEN(TRIM(AI177))=0</formula>
    </cfRule>
    <cfRule type="containsBlanks" dxfId="6962" priority="1889">
      <formula>LEN(TRIM(AI177))=0</formula>
    </cfRule>
    <cfRule type="containsBlanks" dxfId="6961" priority="1890">
      <formula>LEN(TRIM(AI177))=0</formula>
    </cfRule>
    <cfRule type="containsBlanks" dxfId="6960" priority="1891">
      <formula>LEN(TRIM(AI177))=0</formula>
    </cfRule>
    <cfRule type="containsBlanks" dxfId="6959" priority="1892">
      <formula>LEN(TRIM(AI177))=0</formula>
    </cfRule>
    <cfRule type="containsBlanks" dxfId="6958" priority="1893">
      <formula>LEN(TRIM(AI177))=0</formula>
    </cfRule>
    <cfRule type="containsBlanks" dxfId="6957" priority="1894">
      <formula>LEN(TRIM(AI177))=0</formula>
    </cfRule>
    <cfRule type="containsBlanks" dxfId="6956" priority="1895">
      <formula>LEN(TRIM(AI177))=0</formula>
    </cfRule>
    <cfRule type="containsBlanks" dxfId="6955" priority="1896">
      <formula>LEN(TRIM(AI177))=0</formula>
    </cfRule>
    <cfRule type="containsBlanks" dxfId="6954" priority="1897">
      <formula>LEN(TRIM(AI177))=0</formula>
    </cfRule>
    <cfRule type="containsBlanks" dxfId="6953" priority="1898">
      <formula>LEN(TRIM(AI177))=0</formula>
    </cfRule>
    <cfRule type="containsBlanks" dxfId="6952" priority="1899">
      <formula>LEN(TRIM(AI177))=0</formula>
    </cfRule>
    <cfRule type="containsBlanks" dxfId="6951" priority="1900">
      <formula>LEN(TRIM(AI177))=0</formula>
    </cfRule>
    <cfRule type="containsBlanks" dxfId="6950" priority="1901">
      <formula>LEN(TRIM(AI177))=0</formula>
    </cfRule>
    <cfRule type="containsBlanks" dxfId="6949" priority="1902">
      <formula>LEN(TRIM(AI177))=0</formula>
    </cfRule>
    <cfRule type="containsBlanks" dxfId="6948" priority="1903">
      <formula>LEN(TRIM(AI177))=0</formula>
    </cfRule>
    <cfRule type="containsBlanks" dxfId="6947" priority="1904">
      <formula>LEN(TRIM(AI177))=0</formula>
    </cfRule>
    <cfRule type="containsBlanks" dxfId="6946" priority="1905">
      <formula>LEN(TRIM(AI177))=0</formula>
    </cfRule>
    <cfRule type="containsBlanks" dxfId="6945" priority="1906">
      <formula>LEN(TRIM(AI177))=0</formula>
    </cfRule>
    <cfRule type="containsBlanks" dxfId="6944" priority="1907">
      <formula>LEN(TRIM(AI177))=0</formula>
    </cfRule>
    <cfRule type="containsBlanks" dxfId="6943" priority="1908">
      <formula>LEN(TRIM(AI177))=0</formula>
    </cfRule>
    <cfRule type="containsBlanks" dxfId="6942" priority="1909">
      <formula>LEN(TRIM(AI177))=0</formula>
    </cfRule>
    <cfRule type="containsBlanks" dxfId="6941" priority="1910">
      <formula>LEN(TRIM(AI177))=0</formula>
    </cfRule>
    <cfRule type="containsBlanks" dxfId="6940" priority="1911">
      <formula>LEN(TRIM(AI177))=0</formula>
    </cfRule>
    <cfRule type="containsBlanks" dxfId="6939" priority="1912">
      <formula>LEN(TRIM(AI177))=0</formula>
    </cfRule>
    <cfRule type="containsBlanks" dxfId="6938" priority="1913">
      <formula>LEN(TRIM(AI177))=0</formula>
    </cfRule>
    <cfRule type="containsBlanks" dxfId="6937" priority="1914">
      <formula>LEN(TRIM(AI177))=0</formula>
    </cfRule>
    <cfRule type="containsBlanks" dxfId="6936" priority="1915">
      <formula>LEN(TRIM(AI177))=0</formula>
    </cfRule>
    <cfRule type="containsBlanks" dxfId="6935" priority="1916">
      <formula>LEN(TRIM(AI177))=0</formula>
    </cfRule>
    <cfRule type="containsBlanks" dxfId="6934" priority="1917">
      <formula>LEN(TRIM(AI177))=0</formula>
    </cfRule>
    <cfRule type="containsBlanks" dxfId="6933" priority="1918">
      <formula>LEN(TRIM(AI177))=0</formula>
    </cfRule>
    <cfRule type="containsBlanks" dxfId="6932" priority="1919">
      <formula>LEN(TRIM(AI177))=0</formula>
    </cfRule>
    <cfRule type="containsBlanks" dxfId="6931" priority="1920">
      <formula>LEN(TRIM(AI177))=0</formula>
    </cfRule>
    <cfRule type="containsBlanks" dxfId="6930" priority="1921">
      <formula>LEN(TRIM(AI177))=0</formula>
    </cfRule>
    <cfRule type="containsBlanks" dxfId="6929" priority="1922">
      <formula>LEN(TRIM(AI177))=0</formula>
    </cfRule>
    <cfRule type="containsBlanks" dxfId="6928" priority="1923">
      <formula>LEN(TRIM(AI177))=0</formula>
    </cfRule>
    <cfRule type="containsBlanks" dxfId="6927" priority="1924">
      <formula>LEN(TRIM(AI177))=0</formula>
    </cfRule>
    <cfRule type="containsBlanks" dxfId="6926" priority="1925">
      <formula>LEN(TRIM(AI177))=0</formula>
    </cfRule>
    <cfRule type="containsBlanks" dxfId="6925" priority="1926">
      <formula>LEN(TRIM(AI177))=0</formula>
    </cfRule>
    <cfRule type="containsBlanks" dxfId="6924" priority="1927">
      <formula>LEN(TRIM(AI177))=0</formula>
    </cfRule>
    <cfRule type="containsBlanks" dxfId="6923" priority="1928">
      <formula>LEN(TRIM(AI177))=0</formula>
    </cfRule>
    <cfRule type="containsBlanks" dxfId="6922" priority="1929">
      <formula>LEN(TRIM(AI177))=0</formula>
    </cfRule>
    <cfRule type="containsBlanks" dxfId="6921" priority="1930">
      <formula>LEN(TRIM(AI177))=0</formula>
    </cfRule>
    <cfRule type="containsBlanks" dxfId="6920" priority="1931">
      <formula>LEN(TRIM(AI177))=0</formula>
    </cfRule>
    <cfRule type="containsBlanks" dxfId="6919" priority="1932">
      <formula>LEN(TRIM(AI177))=0</formula>
    </cfRule>
    <cfRule type="containsBlanks" dxfId="6918" priority="1933">
      <formula>LEN(TRIM(AI177))=0</formula>
    </cfRule>
    <cfRule type="containsBlanks" dxfId="6917" priority="1934">
      <formula>LEN(TRIM(AI177))=0</formula>
    </cfRule>
    <cfRule type="containsBlanks" dxfId="6916" priority="1935">
      <formula>LEN(TRIM(AI177))=0</formula>
    </cfRule>
    <cfRule type="containsBlanks" dxfId="6915" priority="1936">
      <formula>LEN(TRIM(AI177))=0</formula>
    </cfRule>
    <cfRule type="containsBlanks" dxfId="6914" priority="1937">
      <formula>LEN(TRIM(AI177))=0</formula>
    </cfRule>
    <cfRule type="containsBlanks" dxfId="6913" priority="1938">
      <formula>LEN(TRIM(AI177))=0</formula>
    </cfRule>
    <cfRule type="containsBlanks" dxfId="6912" priority="1939">
      <formula>LEN(TRIM(AI177))=0</formula>
    </cfRule>
    <cfRule type="containsBlanks" dxfId="6911" priority="1940">
      <formula>LEN(TRIM(AI177))=0</formula>
    </cfRule>
    <cfRule type="containsBlanks" dxfId="6910" priority="1941">
      <formula>LEN(TRIM(AI177))=0</formula>
    </cfRule>
    <cfRule type="containsBlanks" dxfId="6909" priority="1942">
      <formula>LEN(TRIM(AI177))=0</formula>
    </cfRule>
    <cfRule type="containsBlanks" dxfId="6908" priority="1943">
      <formula>LEN(TRIM(AI177))=0</formula>
    </cfRule>
    <cfRule type="containsBlanks" dxfId="6907" priority="1944">
      <formula>LEN(TRIM(AI177))=0</formula>
    </cfRule>
    <cfRule type="containsBlanks" dxfId="6906" priority="1945">
      <formula>LEN(TRIM(AI177))=0</formula>
    </cfRule>
    <cfRule type="containsBlanks" dxfId="6905" priority="1946">
      <formula>LEN(TRIM(AI177))=0</formula>
    </cfRule>
    <cfRule type="containsBlanks" dxfId="6904" priority="1947">
      <formula>LEN(TRIM(AI177))=0</formula>
    </cfRule>
    <cfRule type="containsBlanks" dxfId="6903" priority="1948">
      <formula>LEN(TRIM(AI177))=0</formula>
    </cfRule>
    <cfRule type="containsBlanks" dxfId="6902" priority="1949">
      <formula>LEN(TRIM(AI177))=0</formula>
    </cfRule>
    <cfRule type="containsBlanks" dxfId="6901" priority="1950">
      <formula>LEN(TRIM(AI177))=0</formula>
    </cfRule>
    <cfRule type="containsBlanks" dxfId="6900" priority="1951">
      <formula>LEN(TRIM(AI177))=0</formula>
    </cfRule>
    <cfRule type="containsBlanks" dxfId="6899" priority="1952">
      <formula>LEN(TRIM(AI177))=0</formula>
    </cfRule>
    <cfRule type="containsBlanks" dxfId="6898" priority="1953">
      <formula>LEN(TRIM(AI177))=0</formula>
    </cfRule>
    <cfRule type="containsBlanks" dxfId="6897" priority="1954">
      <formula>LEN(TRIM(AI177))=0</formula>
    </cfRule>
    <cfRule type="containsBlanks" dxfId="6896" priority="1955">
      <formula>LEN(TRIM(AI177))=0</formula>
    </cfRule>
    <cfRule type="containsBlanks" dxfId="6895" priority="1956">
      <formula>LEN(TRIM(AI177))=0</formula>
    </cfRule>
    <cfRule type="containsBlanks" dxfId="6894" priority="1957">
      <formula>LEN(TRIM(AI177))=0</formula>
    </cfRule>
    <cfRule type="containsBlanks" dxfId="6893" priority="1958">
      <formula>LEN(TRIM(AI177))=0</formula>
    </cfRule>
    <cfRule type="containsBlanks" dxfId="6892" priority="1959">
      <formula>LEN(TRIM(AI177))=0</formula>
    </cfRule>
    <cfRule type="containsBlanks" dxfId="6891" priority="1960">
      <formula>LEN(TRIM(AI177))=0</formula>
    </cfRule>
    <cfRule type="containsBlanks" dxfId="6890" priority="1961">
      <formula>LEN(TRIM(AI177))=0</formula>
    </cfRule>
    <cfRule type="containsBlanks" dxfId="6889" priority="1962">
      <formula>LEN(TRIM(AI177))=0</formula>
    </cfRule>
    <cfRule type="containsBlanks" dxfId="6888" priority="1963">
      <formula>LEN(TRIM(AI177))=0</formula>
    </cfRule>
    <cfRule type="containsBlanks" dxfId="6887" priority="1964">
      <formula>LEN(TRIM(AI177))=0</formula>
    </cfRule>
    <cfRule type="containsBlanks" dxfId="6886" priority="1965">
      <formula>LEN(TRIM(AI177))=0</formula>
    </cfRule>
    <cfRule type="containsBlanks" dxfId="6885" priority="1966">
      <formula>LEN(TRIM(AI177))=0</formula>
    </cfRule>
    <cfRule type="containsBlanks" dxfId="6884" priority="1967">
      <formula>LEN(TRIM(AI177))=0</formula>
    </cfRule>
    <cfRule type="containsBlanks" dxfId="6883" priority="1968">
      <formula>LEN(TRIM(AI177))=0</formula>
    </cfRule>
    <cfRule type="containsBlanks" dxfId="6882" priority="1969">
      <formula>LEN(TRIM(AI177))=0</formula>
    </cfRule>
    <cfRule type="containsBlanks" dxfId="6881" priority="1970">
      <formula>LEN(TRIM(AI177))=0</formula>
    </cfRule>
    <cfRule type="containsBlanks" dxfId="6880" priority="1971">
      <formula>LEN(TRIM(AI177))=0</formula>
    </cfRule>
    <cfRule type="containsBlanks" dxfId="6879" priority="1972">
      <formula>LEN(TRIM(AI177))=0</formula>
    </cfRule>
    <cfRule type="containsBlanks" dxfId="6878" priority="1973">
      <formula>LEN(TRIM(AI177))=0</formula>
    </cfRule>
    <cfRule type="containsBlanks" dxfId="6877" priority="1974">
      <formula>LEN(TRIM(AI177))=0</formula>
    </cfRule>
    <cfRule type="containsBlanks" dxfId="6876" priority="1975">
      <formula>LEN(TRIM(AI177))=0</formula>
    </cfRule>
    <cfRule type="containsBlanks" dxfId="6875" priority="1976">
      <formula>LEN(TRIM(AI177))=0</formula>
    </cfRule>
    <cfRule type="containsBlanks" dxfId="6874" priority="1977">
      <formula>LEN(TRIM(AI177))=0</formula>
    </cfRule>
    <cfRule type="containsBlanks" dxfId="6873" priority="1978">
      <formula>LEN(TRIM(AI177))=0</formula>
    </cfRule>
    <cfRule type="containsBlanks" dxfId="6872" priority="1979">
      <formula>LEN(TRIM(AI177))=0</formula>
    </cfRule>
    <cfRule type="containsBlanks" dxfId="6871" priority="1980">
      <formula>LEN(TRIM(AI177))=0</formula>
    </cfRule>
    <cfRule type="containsBlanks" dxfId="6870" priority="1981">
      <formula>LEN(TRIM(AI177))=0</formula>
    </cfRule>
    <cfRule type="containsBlanks" dxfId="6869" priority="1982">
      <formula>LEN(TRIM(AI177))=0</formula>
    </cfRule>
    <cfRule type="containsBlanks" dxfId="6868" priority="1983">
      <formula>LEN(TRIM(AI177))=0</formula>
    </cfRule>
    <cfRule type="containsBlanks" dxfId="6867" priority="1984">
      <formula>LEN(TRIM(AI177))=0</formula>
    </cfRule>
    <cfRule type="containsBlanks" dxfId="6866" priority="1985">
      <formula>LEN(TRIM(AI177))=0</formula>
    </cfRule>
    <cfRule type="containsBlanks" dxfId="6865" priority="1986">
      <formula>LEN(TRIM(AI177))=0</formula>
    </cfRule>
  </conditionalFormatting>
  <conditionalFormatting sqref="AI177:AI236">
    <cfRule type="containsBlanks" dxfId="6864" priority="1798">
      <formula>LEN(TRIM(AI177))=0</formula>
    </cfRule>
    <cfRule type="containsBlanks" dxfId="6863" priority="1799">
      <formula>LEN(TRIM(AI177))=0</formula>
    </cfRule>
    <cfRule type="containsBlanks" dxfId="6862" priority="1800">
      <formula>LEN(TRIM(AI177))=0</formula>
    </cfRule>
    <cfRule type="containsBlanks" dxfId="6861" priority="1801">
      <formula>LEN(TRIM(AI177))=0</formula>
    </cfRule>
    <cfRule type="containsBlanks" dxfId="6860" priority="1802">
      <formula>LEN(TRIM(AI177))=0</formula>
    </cfRule>
    <cfRule type="containsBlanks" dxfId="6859" priority="1803">
      <formula>LEN(TRIM(AI177))=0</formula>
    </cfRule>
    <cfRule type="containsBlanks" dxfId="6858" priority="1804">
      <formula>LEN(TRIM(AI177))=0</formula>
    </cfRule>
    <cfRule type="containsBlanks" dxfId="6857" priority="1805">
      <formula>LEN(TRIM(AI177))=0</formula>
    </cfRule>
    <cfRule type="containsBlanks" dxfId="6856" priority="1806">
      <formula>LEN(TRIM(AI177))=0</formula>
    </cfRule>
    <cfRule type="containsBlanks" dxfId="6855" priority="1807">
      <formula>LEN(TRIM(AI177))=0</formula>
    </cfRule>
    <cfRule type="containsBlanks" dxfId="6854" priority="1808">
      <formula>LEN(TRIM(AI177))=0</formula>
    </cfRule>
    <cfRule type="containsBlanks" dxfId="6853" priority="1809">
      <formula>LEN(TRIM(AI177))=0</formula>
    </cfRule>
    <cfRule type="containsBlanks" dxfId="6852" priority="1810">
      <formula>LEN(TRIM(AI177))=0</formula>
    </cfRule>
    <cfRule type="containsBlanks" dxfId="6851" priority="1811">
      <formula>LEN(TRIM(AI177))=0</formula>
    </cfRule>
    <cfRule type="containsBlanks" dxfId="6850" priority="1812">
      <formula>LEN(TRIM(AI177))=0</formula>
    </cfRule>
    <cfRule type="containsBlanks" dxfId="6849" priority="1813">
      <formula>LEN(TRIM(AI177))=0</formula>
    </cfRule>
    <cfRule type="containsBlanks" dxfId="6848" priority="1814">
      <formula>LEN(TRIM(AI177))=0</formula>
    </cfRule>
    <cfRule type="containsBlanks" dxfId="6847" priority="1815">
      <formula>LEN(TRIM(AI177))=0</formula>
    </cfRule>
    <cfRule type="containsBlanks" dxfId="6846" priority="1816">
      <formula>LEN(TRIM(AI177))=0</formula>
    </cfRule>
    <cfRule type="containsBlanks" dxfId="6845" priority="1817">
      <formula>LEN(TRIM(AI177))=0</formula>
    </cfRule>
    <cfRule type="containsBlanks" dxfId="6844" priority="1818">
      <formula>LEN(TRIM(AI177))=0</formula>
    </cfRule>
    <cfRule type="containsBlanks" dxfId="6843" priority="1819">
      <formula>LEN(TRIM(AI177))=0</formula>
    </cfRule>
    <cfRule type="containsBlanks" dxfId="6842" priority="1820">
      <formula>LEN(TRIM(AI177))=0</formula>
    </cfRule>
    <cfRule type="containsBlanks" dxfId="6841" priority="1821">
      <formula>LEN(TRIM(AI177))=0</formula>
    </cfRule>
    <cfRule type="containsBlanks" dxfId="6840" priority="1822">
      <formula>LEN(TRIM(AI177))=0</formula>
    </cfRule>
    <cfRule type="containsBlanks" dxfId="6839" priority="1823">
      <formula>LEN(TRIM(AI177))=0</formula>
    </cfRule>
    <cfRule type="containsBlanks" dxfId="6838" priority="1824">
      <formula>LEN(TRIM(AI177))=0</formula>
    </cfRule>
    <cfRule type="containsBlanks" dxfId="6837" priority="1825">
      <formula>LEN(TRIM(AI177))=0</formula>
    </cfRule>
    <cfRule type="containsBlanks" dxfId="6836" priority="1826">
      <formula>LEN(TRIM(AI177))=0</formula>
    </cfRule>
    <cfRule type="containsBlanks" dxfId="6835" priority="1827">
      <formula>LEN(TRIM(AI177))=0</formula>
    </cfRule>
    <cfRule type="containsBlanks" dxfId="6834" priority="1828">
      <formula>LEN(TRIM(AI177))=0</formula>
    </cfRule>
    <cfRule type="containsBlanks" dxfId="6833" priority="1829">
      <formula>LEN(TRIM(AI177))=0</formula>
    </cfRule>
  </conditionalFormatting>
  <conditionalFormatting sqref="AI177:AI238">
    <cfRule type="containsBlanks" dxfId="6832" priority="1485">
      <formula>LEN(TRIM(AI177))=0</formula>
    </cfRule>
    <cfRule type="containsBlanks" dxfId="6831" priority="1486">
      <formula>LEN(TRIM(AI177))=0</formula>
    </cfRule>
    <cfRule type="containsBlanks" dxfId="6830" priority="1487">
      <formula>LEN(TRIM(AI177))=0</formula>
    </cfRule>
    <cfRule type="containsBlanks" dxfId="6829" priority="1488">
      <formula>LEN(TRIM(AI177))=0</formula>
    </cfRule>
    <cfRule type="containsBlanks" dxfId="6828" priority="1489">
      <formula>LEN(TRIM(AI177))=0</formula>
    </cfRule>
    <cfRule type="containsBlanks" dxfId="6827" priority="1490">
      <formula>LEN(TRIM(AI177))=0</formula>
    </cfRule>
    <cfRule type="containsBlanks" dxfId="6826" priority="1491">
      <formula>LEN(TRIM(AI177))=0</formula>
    </cfRule>
    <cfRule type="containsBlanks" dxfId="6825" priority="1492">
      <formula>LEN(TRIM(AI177))=0</formula>
    </cfRule>
    <cfRule type="containsBlanks" dxfId="6824" priority="1493">
      <formula>LEN(TRIM(AI177))=0</formula>
    </cfRule>
    <cfRule type="containsBlanks" dxfId="6823" priority="1494">
      <formula>LEN(TRIM(AI177))=0</formula>
    </cfRule>
    <cfRule type="containsBlanks" dxfId="6822" priority="1495">
      <formula>LEN(TRIM(AI177))=0</formula>
    </cfRule>
    <cfRule type="containsBlanks" dxfId="6821" priority="1496">
      <formula>LEN(TRIM(AI177))=0</formula>
    </cfRule>
    <cfRule type="containsBlanks" dxfId="6820" priority="1497">
      <formula>LEN(TRIM(AI177))=0</formula>
    </cfRule>
    <cfRule type="containsBlanks" dxfId="6819" priority="1498">
      <formula>LEN(TRIM(AI177))=0</formula>
    </cfRule>
    <cfRule type="containsBlanks" dxfId="6818" priority="1499">
      <formula>LEN(TRIM(AI177))=0</formula>
    </cfRule>
    <cfRule type="containsBlanks" dxfId="6817" priority="1500">
      <formula>LEN(TRIM(AI177))=0</formula>
    </cfRule>
    <cfRule type="containsBlanks" dxfId="6816" priority="1501">
      <formula>LEN(TRIM(AI177))=0</formula>
    </cfRule>
    <cfRule type="containsBlanks" dxfId="6815" priority="1502">
      <formula>LEN(TRIM(AI177))=0</formula>
    </cfRule>
    <cfRule type="containsBlanks" dxfId="6814" priority="1503">
      <formula>LEN(TRIM(AI177))=0</formula>
    </cfRule>
    <cfRule type="containsBlanks" dxfId="6813" priority="1504">
      <formula>LEN(TRIM(AI177))=0</formula>
    </cfRule>
    <cfRule type="containsBlanks" dxfId="6812" priority="1505">
      <formula>LEN(TRIM(AI177))=0</formula>
    </cfRule>
    <cfRule type="containsBlanks" dxfId="6811" priority="1506">
      <formula>LEN(TRIM(AI177))=0</formula>
    </cfRule>
    <cfRule type="containsBlanks" dxfId="6810" priority="1507">
      <formula>LEN(TRIM(AI177))=0</formula>
    </cfRule>
    <cfRule type="containsBlanks" dxfId="6809" priority="1508">
      <formula>LEN(TRIM(AI177))=0</formula>
    </cfRule>
    <cfRule type="containsBlanks" dxfId="6808" priority="1509">
      <formula>LEN(TRIM(AI177))=0</formula>
    </cfRule>
    <cfRule type="containsBlanks" dxfId="6807" priority="1510">
      <formula>LEN(TRIM(AI177))=0</formula>
    </cfRule>
    <cfRule type="containsBlanks" dxfId="6806" priority="1511">
      <formula>LEN(TRIM(AI177))=0</formula>
    </cfRule>
    <cfRule type="containsBlanks" dxfId="6805" priority="1512">
      <formula>LEN(TRIM(AI177))=0</formula>
    </cfRule>
    <cfRule type="containsBlanks" dxfId="6804" priority="1513">
      <formula>LEN(TRIM(AI177))=0</formula>
    </cfRule>
    <cfRule type="containsBlanks" dxfId="6803" priority="1514">
      <formula>LEN(TRIM(AI177))=0</formula>
    </cfRule>
    <cfRule type="containsBlanks" dxfId="6802" priority="1515">
      <formula>LEN(TRIM(AI177))=0</formula>
    </cfRule>
    <cfRule type="containsBlanks" dxfId="6801" priority="1516">
      <formula>LEN(TRIM(AI177))=0</formula>
    </cfRule>
    <cfRule type="containsBlanks" dxfId="6800" priority="1517">
      <formula>LEN(TRIM(AI177))=0</formula>
    </cfRule>
    <cfRule type="containsBlanks" dxfId="6799" priority="1518">
      <formula>LEN(TRIM(AI177))=0</formula>
    </cfRule>
    <cfRule type="containsBlanks" dxfId="6798" priority="1519">
      <formula>LEN(TRIM(AI177))=0</formula>
    </cfRule>
    <cfRule type="containsBlanks" dxfId="6797" priority="1520">
      <formula>LEN(TRIM(AI177))=0</formula>
    </cfRule>
    <cfRule type="containsBlanks" dxfId="6796" priority="1521">
      <formula>LEN(TRIM(AI177))=0</formula>
    </cfRule>
    <cfRule type="containsBlanks" dxfId="6795" priority="1522">
      <formula>LEN(TRIM(AI177))=0</formula>
    </cfRule>
    <cfRule type="containsBlanks" dxfId="6794" priority="1523">
      <formula>LEN(TRIM(AI177))=0</formula>
    </cfRule>
    <cfRule type="containsBlanks" dxfId="6793" priority="1524">
      <formula>LEN(TRIM(AI177))=0</formula>
    </cfRule>
    <cfRule type="containsBlanks" dxfId="6792" priority="1525">
      <formula>LEN(TRIM(AI177))=0</formula>
    </cfRule>
    <cfRule type="containsBlanks" dxfId="6791" priority="1526">
      <formula>LEN(TRIM(AI177))=0</formula>
    </cfRule>
    <cfRule type="containsBlanks" dxfId="6790" priority="1527">
      <formula>LEN(TRIM(AI177))=0</formula>
    </cfRule>
    <cfRule type="containsBlanks" dxfId="6789" priority="1528">
      <formula>LEN(TRIM(AI177))=0</formula>
    </cfRule>
    <cfRule type="containsBlanks" dxfId="6788" priority="1529">
      <formula>LEN(TRIM(AI177))=0</formula>
    </cfRule>
    <cfRule type="containsBlanks" dxfId="6787" priority="1530">
      <formula>LEN(TRIM(AI177))=0</formula>
    </cfRule>
    <cfRule type="containsBlanks" dxfId="6786" priority="1531">
      <formula>LEN(TRIM(AI177))=0</formula>
    </cfRule>
    <cfRule type="containsBlanks" dxfId="6785" priority="1532">
      <formula>LEN(TRIM(AI177))=0</formula>
    </cfRule>
    <cfRule type="containsBlanks" dxfId="6784" priority="1533">
      <formula>LEN(TRIM(AI177))=0</formula>
    </cfRule>
    <cfRule type="containsBlanks" dxfId="6783" priority="1534">
      <formula>LEN(TRIM(AI177))=0</formula>
    </cfRule>
    <cfRule type="containsBlanks" dxfId="6782" priority="1535">
      <formula>LEN(TRIM(AI177))=0</formula>
    </cfRule>
    <cfRule type="containsBlanks" dxfId="6781" priority="1536">
      <formula>LEN(TRIM(AI177))=0</formula>
    </cfRule>
    <cfRule type="containsBlanks" dxfId="6780" priority="1537">
      <formula>LEN(TRIM(AI177))=0</formula>
    </cfRule>
    <cfRule type="containsBlanks" dxfId="6779" priority="1538">
      <formula>LEN(TRIM(AI177))=0</formula>
    </cfRule>
    <cfRule type="containsBlanks" dxfId="6778" priority="1539">
      <formula>LEN(TRIM(AI177))=0</formula>
    </cfRule>
    <cfRule type="containsBlanks" dxfId="6777" priority="1540">
      <formula>LEN(TRIM(AI177))=0</formula>
    </cfRule>
    <cfRule type="containsBlanks" dxfId="6776" priority="1541">
      <formula>LEN(TRIM(AI177))=0</formula>
    </cfRule>
    <cfRule type="containsBlanks" dxfId="6775" priority="1542">
      <formula>LEN(TRIM(AI177))=0</formula>
    </cfRule>
    <cfRule type="containsBlanks" dxfId="6774" priority="1543">
      <formula>LEN(TRIM(AI177))=0</formula>
    </cfRule>
    <cfRule type="containsBlanks" dxfId="6773" priority="1544">
      <formula>LEN(TRIM(AI177))=0</formula>
    </cfRule>
    <cfRule type="containsBlanks" dxfId="6772" priority="1545">
      <formula>LEN(TRIM(AI177))=0</formula>
    </cfRule>
    <cfRule type="containsBlanks" dxfId="6771" priority="1546">
      <formula>LEN(TRIM(AI177))=0</formula>
    </cfRule>
    <cfRule type="containsBlanks" dxfId="6770" priority="1547">
      <formula>LEN(TRIM(AI177))=0</formula>
    </cfRule>
    <cfRule type="containsBlanks" dxfId="6769" priority="1548">
      <formula>LEN(TRIM(AI177))=0</formula>
    </cfRule>
    <cfRule type="containsBlanks" dxfId="6768" priority="1549">
      <formula>LEN(TRIM(AI177))=0</formula>
    </cfRule>
    <cfRule type="containsBlanks" dxfId="6767" priority="1550">
      <formula>LEN(TRIM(AI177))=0</formula>
    </cfRule>
    <cfRule type="containsBlanks" dxfId="6766" priority="1551">
      <formula>LEN(TRIM(AI177))=0</formula>
    </cfRule>
    <cfRule type="containsBlanks" dxfId="6765" priority="1552">
      <formula>LEN(TRIM(AI177))=0</formula>
    </cfRule>
    <cfRule type="containsBlanks" dxfId="6764" priority="1553">
      <formula>LEN(TRIM(AI177))=0</formula>
    </cfRule>
    <cfRule type="containsBlanks" dxfId="6763" priority="1554">
      <formula>LEN(TRIM(AI177))=0</formula>
    </cfRule>
    <cfRule type="containsBlanks" dxfId="6762" priority="1555">
      <formula>LEN(TRIM(AI177))=0</formula>
    </cfRule>
    <cfRule type="containsBlanks" dxfId="6761" priority="1556">
      <formula>LEN(TRIM(AI177))=0</formula>
    </cfRule>
    <cfRule type="containsBlanks" dxfId="6760" priority="1557">
      <formula>LEN(TRIM(AI177))=0</formula>
    </cfRule>
    <cfRule type="containsBlanks" dxfId="6759" priority="1558">
      <formula>LEN(TRIM(AI177))=0</formula>
    </cfRule>
    <cfRule type="containsBlanks" dxfId="6758" priority="1559">
      <formula>LEN(TRIM(AI177))=0</formula>
    </cfRule>
    <cfRule type="containsBlanks" dxfId="6757" priority="1560">
      <formula>LEN(TRIM(AI177))=0</formula>
    </cfRule>
    <cfRule type="containsBlanks" dxfId="6756" priority="1561">
      <formula>LEN(TRIM(AI177))=0</formula>
    </cfRule>
    <cfRule type="containsBlanks" dxfId="6755" priority="1562">
      <formula>LEN(TRIM(AI177))=0</formula>
    </cfRule>
    <cfRule type="containsBlanks" dxfId="6754" priority="1563">
      <formula>LEN(TRIM(AI177))=0</formula>
    </cfRule>
    <cfRule type="containsBlanks" dxfId="6753" priority="1564">
      <formula>LEN(TRIM(AI177))=0</formula>
    </cfRule>
    <cfRule type="containsBlanks" dxfId="6752" priority="1565">
      <formula>LEN(TRIM(AI177))=0</formula>
    </cfRule>
    <cfRule type="containsBlanks" dxfId="6751" priority="1566">
      <formula>LEN(TRIM(AI177))=0</formula>
    </cfRule>
    <cfRule type="containsBlanks" dxfId="6750" priority="1567">
      <formula>LEN(TRIM(AI177))=0</formula>
    </cfRule>
    <cfRule type="containsBlanks" dxfId="6749" priority="1568">
      <formula>LEN(TRIM(AI177))=0</formula>
    </cfRule>
    <cfRule type="containsBlanks" dxfId="6748" priority="1569">
      <formula>LEN(TRIM(AI177))=0</formula>
    </cfRule>
    <cfRule type="containsBlanks" dxfId="6747" priority="1570">
      <formula>LEN(TRIM(AI177))=0</formula>
    </cfRule>
    <cfRule type="containsBlanks" dxfId="6746" priority="1571">
      <formula>LEN(TRIM(AI177))=0</formula>
    </cfRule>
    <cfRule type="containsBlanks" dxfId="6745" priority="1572">
      <formula>LEN(TRIM(AI177))=0</formula>
    </cfRule>
    <cfRule type="containsBlanks" dxfId="6744" priority="1573">
      <formula>LEN(TRIM(AI177))=0</formula>
    </cfRule>
    <cfRule type="containsBlanks" dxfId="6743" priority="1574">
      <formula>LEN(TRIM(AI177))=0</formula>
    </cfRule>
    <cfRule type="containsBlanks" dxfId="6742" priority="1575">
      <formula>LEN(TRIM(AI177))=0</formula>
    </cfRule>
    <cfRule type="containsBlanks" dxfId="6741" priority="1576">
      <formula>LEN(TRIM(AI177))=0</formula>
    </cfRule>
    <cfRule type="containsBlanks" dxfId="6740" priority="1577">
      <formula>LEN(TRIM(AI177))=0</formula>
    </cfRule>
    <cfRule type="containsBlanks" dxfId="6739" priority="1578">
      <formula>LEN(TRIM(AI177))=0</formula>
    </cfRule>
    <cfRule type="containsBlanks" dxfId="6738" priority="1579">
      <formula>LEN(TRIM(AI177))=0</formula>
    </cfRule>
    <cfRule type="containsBlanks" dxfId="6737" priority="1580">
      <formula>LEN(TRIM(AI177))=0</formula>
    </cfRule>
    <cfRule type="containsBlanks" dxfId="6736" priority="1581">
      <formula>LEN(TRIM(AI177))=0</formula>
    </cfRule>
    <cfRule type="containsBlanks" dxfId="6735" priority="1582">
      <formula>LEN(TRIM(AI177))=0</formula>
    </cfRule>
    <cfRule type="containsBlanks" dxfId="6734" priority="1583">
      <formula>LEN(TRIM(AI177))=0</formula>
    </cfRule>
    <cfRule type="containsBlanks" dxfId="6733" priority="1584">
      <formula>LEN(TRIM(AI177))=0</formula>
    </cfRule>
    <cfRule type="containsBlanks" dxfId="6732" priority="1585">
      <formula>LEN(TRIM(AI177))=0</formula>
    </cfRule>
    <cfRule type="containsBlanks" dxfId="6731" priority="1586">
      <formula>LEN(TRIM(AI177))=0</formula>
    </cfRule>
    <cfRule type="containsBlanks" dxfId="6730" priority="1587">
      <formula>LEN(TRIM(AI177))=0</formula>
    </cfRule>
    <cfRule type="containsBlanks" dxfId="6729" priority="1588">
      <formula>LEN(TRIM(AI177))=0</formula>
    </cfRule>
    <cfRule type="containsBlanks" dxfId="6728" priority="1589">
      <formula>LEN(TRIM(AI177))=0</formula>
    </cfRule>
    <cfRule type="containsBlanks" dxfId="6727" priority="1590">
      <formula>LEN(TRIM(AI177))=0</formula>
    </cfRule>
    <cfRule type="containsBlanks" dxfId="6726" priority="1591">
      <formula>LEN(TRIM(AI177))=0</formula>
    </cfRule>
    <cfRule type="containsBlanks" dxfId="6725" priority="1592">
      <formula>LEN(TRIM(AI177))=0</formula>
    </cfRule>
    <cfRule type="containsBlanks" dxfId="6724" priority="1593">
      <formula>LEN(TRIM(AI177))=0</formula>
    </cfRule>
    <cfRule type="containsBlanks" dxfId="6723" priority="1594">
      <formula>LEN(TRIM(AI177))=0</formula>
    </cfRule>
    <cfRule type="containsBlanks" dxfId="6722" priority="1595">
      <formula>LEN(TRIM(AI177))=0</formula>
    </cfRule>
    <cfRule type="containsBlanks" dxfId="6721" priority="1596">
      <formula>LEN(TRIM(AI177))=0</formula>
    </cfRule>
    <cfRule type="containsBlanks" dxfId="6720" priority="1597">
      <formula>LEN(TRIM(AI177))=0</formula>
    </cfRule>
    <cfRule type="containsBlanks" dxfId="6719" priority="1598">
      <formula>LEN(TRIM(AI177))=0</formula>
    </cfRule>
    <cfRule type="containsBlanks" dxfId="6718" priority="1599">
      <formula>LEN(TRIM(AI177))=0</formula>
    </cfRule>
    <cfRule type="containsBlanks" dxfId="6717" priority="1600">
      <formula>LEN(TRIM(AI177))=0</formula>
    </cfRule>
    <cfRule type="containsBlanks" dxfId="6716" priority="1601">
      <formula>LEN(TRIM(AI177))=0</formula>
    </cfRule>
    <cfRule type="containsBlanks" dxfId="6715" priority="1602">
      <formula>LEN(TRIM(AI177))=0</formula>
    </cfRule>
    <cfRule type="containsBlanks" dxfId="6714" priority="1603">
      <formula>LEN(TRIM(AI177))=0</formula>
    </cfRule>
    <cfRule type="containsBlanks" dxfId="6713" priority="1604">
      <formula>LEN(TRIM(AI177))=0</formula>
    </cfRule>
    <cfRule type="containsBlanks" dxfId="6712" priority="1605">
      <formula>LEN(TRIM(AI177))=0</formula>
    </cfRule>
    <cfRule type="containsBlanks" dxfId="6711" priority="1606">
      <formula>LEN(TRIM(AI177))=0</formula>
    </cfRule>
    <cfRule type="containsBlanks" dxfId="6710" priority="1607">
      <formula>LEN(TRIM(AI177))=0</formula>
    </cfRule>
    <cfRule type="containsBlanks" dxfId="6709" priority="1608">
      <formula>LEN(TRIM(AI177))=0</formula>
    </cfRule>
    <cfRule type="containsBlanks" dxfId="6708" priority="1609">
      <formula>LEN(TRIM(AI177))=0</formula>
    </cfRule>
    <cfRule type="containsBlanks" dxfId="6707" priority="1610">
      <formula>LEN(TRIM(AI177))=0</formula>
    </cfRule>
    <cfRule type="containsBlanks" dxfId="6706" priority="1611">
      <formula>LEN(TRIM(AI177))=0</formula>
    </cfRule>
    <cfRule type="containsBlanks" dxfId="6705" priority="1612">
      <formula>LEN(TRIM(AI177))=0</formula>
    </cfRule>
    <cfRule type="containsBlanks" dxfId="6704" priority="1613">
      <formula>LEN(TRIM(AI177))=0</formula>
    </cfRule>
    <cfRule type="containsBlanks" dxfId="6703" priority="1614">
      <formula>LEN(TRIM(AI177))=0</formula>
    </cfRule>
    <cfRule type="containsBlanks" dxfId="6702" priority="1615">
      <formula>LEN(TRIM(AI177))=0</formula>
    </cfRule>
    <cfRule type="containsBlanks" dxfId="6701" priority="1616">
      <formula>LEN(TRIM(AI177))=0</formula>
    </cfRule>
    <cfRule type="containsBlanks" dxfId="6700" priority="1617">
      <formula>LEN(TRIM(AI177))=0</formula>
    </cfRule>
    <cfRule type="containsBlanks" dxfId="6699" priority="1618">
      <formula>LEN(TRIM(AI177))=0</formula>
    </cfRule>
    <cfRule type="containsBlanks" dxfId="6698" priority="1619">
      <formula>LEN(TRIM(AI177))=0</formula>
    </cfRule>
    <cfRule type="containsBlanks" dxfId="6697" priority="1620">
      <formula>LEN(TRIM(AI177))=0</formula>
    </cfRule>
    <cfRule type="containsBlanks" dxfId="6696" priority="1621">
      <formula>LEN(TRIM(AI177))=0</formula>
    </cfRule>
    <cfRule type="containsBlanks" dxfId="6695" priority="1622">
      <formula>LEN(TRIM(AI177))=0</formula>
    </cfRule>
    <cfRule type="containsBlanks" dxfId="6694" priority="1623">
      <formula>LEN(TRIM(AI177))=0</formula>
    </cfRule>
    <cfRule type="containsBlanks" dxfId="6693" priority="1624">
      <formula>LEN(TRIM(AI177))=0</formula>
    </cfRule>
    <cfRule type="containsBlanks" dxfId="6692" priority="1625">
      <formula>LEN(TRIM(AI177))=0</formula>
    </cfRule>
    <cfRule type="containsBlanks" dxfId="6691" priority="1626">
      <formula>LEN(TRIM(AI177))=0</formula>
    </cfRule>
    <cfRule type="containsBlanks" dxfId="6690" priority="1627">
      <formula>LEN(TRIM(AI177))=0</formula>
    </cfRule>
    <cfRule type="containsBlanks" dxfId="6689" priority="1628">
      <formula>LEN(TRIM(AI177))=0</formula>
    </cfRule>
    <cfRule type="containsBlanks" dxfId="6688" priority="1629">
      <formula>LEN(TRIM(AI177))=0</formula>
    </cfRule>
    <cfRule type="containsBlanks" dxfId="6687" priority="1630">
      <formula>LEN(TRIM(AI177))=0</formula>
    </cfRule>
    <cfRule type="containsBlanks" dxfId="6686" priority="1631">
      <formula>LEN(TRIM(AI177))=0</formula>
    </cfRule>
    <cfRule type="containsBlanks" dxfId="6685" priority="1632">
      <formula>LEN(TRIM(AI177))=0</formula>
    </cfRule>
    <cfRule type="containsBlanks" dxfId="6684" priority="1633">
      <formula>LEN(TRIM(AI177))=0</formula>
    </cfRule>
    <cfRule type="containsBlanks" dxfId="6683" priority="1634">
      <formula>LEN(TRIM(AI177))=0</formula>
    </cfRule>
    <cfRule type="containsBlanks" dxfId="6682" priority="1635">
      <formula>LEN(TRIM(AI177))=0</formula>
    </cfRule>
    <cfRule type="containsBlanks" dxfId="6681" priority="1636">
      <formula>LEN(TRIM(AI177))=0</formula>
    </cfRule>
    <cfRule type="containsBlanks" dxfId="6680" priority="1637">
      <formula>LEN(TRIM(AI177))=0</formula>
    </cfRule>
    <cfRule type="containsBlanks" dxfId="6679" priority="1638">
      <formula>LEN(TRIM(AI177))=0</formula>
    </cfRule>
    <cfRule type="containsBlanks" dxfId="6678" priority="1639">
      <formula>LEN(TRIM(AI177))=0</formula>
    </cfRule>
    <cfRule type="containsBlanks" dxfId="6677" priority="1640">
      <formula>LEN(TRIM(AI177))=0</formula>
    </cfRule>
    <cfRule type="containsBlanks" dxfId="6676" priority="1641">
      <formula>LEN(TRIM(AI177))=0</formula>
    </cfRule>
    <cfRule type="containsBlanks" dxfId="6675" priority="1642">
      <formula>LEN(TRIM(AI177))=0</formula>
    </cfRule>
    <cfRule type="containsBlanks" dxfId="6674" priority="1643">
      <formula>LEN(TRIM(AI177))=0</formula>
    </cfRule>
    <cfRule type="containsBlanks" dxfId="6673" priority="1644">
      <formula>LEN(TRIM(AI177))=0</formula>
    </cfRule>
    <cfRule type="containsBlanks" dxfId="6672" priority="1645">
      <formula>LEN(TRIM(AI177))=0</formula>
    </cfRule>
    <cfRule type="containsBlanks" dxfId="6671" priority="1646">
      <formula>LEN(TRIM(AI177))=0</formula>
    </cfRule>
    <cfRule type="containsBlanks" dxfId="6670" priority="1647">
      <formula>LEN(TRIM(AI177))=0</formula>
    </cfRule>
    <cfRule type="containsBlanks" dxfId="6669" priority="1648">
      <formula>LEN(TRIM(AI177))=0</formula>
    </cfRule>
    <cfRule type="containsBlanks" dxfId="6668" priority="1649">
      <formula>LEN(TRIM(AI177))=0</formula>
    </cfRule>
    <cfRule type="containsBlanks" dxfId="6667" priority="1650">
      <formula>LEN(TRIM(AI177))=0</formula>
    </cfRule>
    <cfRule type="containsBlanks" dxfId="6666" priority="1651">
      <formula>LEN(TRIM(AI177))=0</formula>
    </cfRule>
    <cfRule type="containsBlanks" dxfId="6665" priority="1652">
      <formula>LEN(TRIM(AI177))=0</formula>
    </cfRule>
    <cfRule type="containsBlanks" dxfId="6664" priority="1653">
      <formula>LEN(TRIM(AI177))=0</formula>
    </cfRule>
    <cfRule type="containsBlanks" dxfId="6663" priority="1654">
      <formula>LEN(TRIM(AI177))=0</formula>
    </cfRule>
    <cfRule type="containsBlanks" dxfId="6662" priority="1655">
      <formula>LEN(TRIM(AI177))=0</formula>
    </cfRule>
    <cfRule type="containsBlanks" dxfId="6661" priority="1656">
      <formula>LEN(TRIM(AI177))=0</formula>
    </cfRule>
    <cfRule type="containsBlanks" dxfId="6660" priority="1657">
      <formula>LEN(TRIM(AI177))=0</formula>
    </cfRule>
    <cfRule type="containsBlanks" dxfId="6659" priority="1658">
      <formula>LEN(TRIM(AI177))=0</formula>
    </cfRule>
    <cfRule type="containsBlanks" dxfId="6658" priority="1659">
      <formula>LEN(TRIM(AI177))=0</formula>
    </cfRule>
    <cfRule type="containsBlanks" dxfId="6657" priority="1660">
      <formula>LEN(TRIM(AI177))=0</formula>
    </cfRule>
    <cfRule type="containsBlanks" dxfId="6656" priority="1661">
      <formula>LEN(TRIM(AI177))=0</formula>
    </cfRule>
    <cfRule type="containsBlanks" dxfId="6655" priority="1662">
      <formula>LEN(TRIM(AI177))=0</formula>
    </cfRule>
    <cfRule type="containsBlanks" dxfId="6654" priority="1663">
      <formula>LEN(TRIM(AI177))=0</formula>
    </cfRule>
    <cfRule type="containsBlanks" dxfId="6653" priority="1664">
      <formula>LEN(TRIM(AI177))=0</formula>
    </cfRule>
    <cfRule type="containsBlanks" dxfId="6652" priority="1665">
      <formula>LEN(TRIM(AI177))=0</formula>
    </cfRule>
    <cfRule type="containsBlanks" dxfId="6651" priority="1666">
      <formula>LEN(TRIM(AI177))=0</formula>
    </cfRule>
    <cfRule type="containsBlanks" dxfId="6650" priority="1667">
      <formula>LEN(TRIM(AI177))=0</formula>
    </cfRule>
    <cfRule type="containsBlanks" dxfId="6649" priority="1668">
      <formula>LEN(TRIM(AI177))=0</formula>
    </cfRule>
    <cfRule type="containsBlanks" dxfId="6648" priority="1669">
      <formula>LEN(TRIM(AI177))=0</formula>
    </cfRule>
    <cfRule type="containsBlanks" dxfId="6647" priority="1670">
      <formula>LEN(TRIM(AI177))=0</formula>
    </cfRule>
    <cfRule type="containsBlanks" dxfId="6646" priority="1671">
      <formula>LEN(TRIM(AI177))=0</formula>
    </cfRule>
    <cfRule type="containsBlanks" dxfId="6645" priority="1672">
      <formula>LEN(TRIM(AI177))=0</formula>
    </cfRule>
    <cfRule type="containsBlanks" dxfId="6644" priority="1673">
      <formula>LEN(TRIM(AI177))=0</formula>
    </cfRule>
    <cfRule type="containsBlanks" dxfId="6643" priority="1674">
      <formula>LEN(TRIM(AI177))=0</formula>
    </cfRule>
    <cfRule type="containsBlanks" dxfId="6642" priority="1675">
      <formula>LEN(TRIM(AI177))=0</formula>
    </cfRule>
    <cfRule type="containsBlanks" dxfId="6641" priority="1676">
      <formula>LEN(TRIM(AI177))=0</formula>
    </cfRule>
    <cfRule type="containsBlanks" dxfId="6640" priority="1677">
      <formula>LEN(TRIM(AI177))=0</formula>
    </cfRule>
    <cfRule type="containsBlanks" dxfId="6639" priority="1678">
      <formula>LEN(TRIM(AI177))=0</formula>
    </cfRule>
    <cfRule type="containsBlanks" dxfId="6638" priority="1679">
      <formula>LEN(TRIM(AI177))=0</formula>
    </cfRule>
    <cfRule type="containsBlanks" dxfId="6637" priority="1680">
      <formula>LEN(TRIM(AI177))=0</formula>
    </cfRule>
    <cfRule type="containsBlanks" dxfId="6636" priority="1681">
      <formula>LEN(TRIM(AI177))=0</formula>
    </cfRule>
    <cfRule type="containsBlanks" dxfId="6635" priority="1682">
      <formula>LEN(TRIM(AI177))=0</formula>
    </cfRule>
    <cfRule type="containsBlanks" dxfId="6634" priority="1683">
      <formula>LEN(TRIM(AI177))=0</formula>
    </cfRule>
    <cfRule type="containsBlanks" dxfId="6633" priority="1684">
      <formula>LEN(TRIM(AI177))=0</formula>
    </cfRule>
    <cfRule type="containsBlanks" dxfId="6632" priority="1685">
      <formula>LEN(TRIM(AI177))=0</formula>
    </cfRule>
    <cfRule type="containsBlanks" dxfId="6631" priority="1686">
      <formula>LEN(TRIM(AI177))=0</formula>
    </cfRule>
    <cfRule type="containsBlanks" dxfId="6630" priority="1687">
      <formula>LEN(TRIM(AI177))=0</formula>
    </cfRule>
    <cfRule type="containsBlanks" dxfId="6629" priority="1688">
      <formula>LEN(TRIM(AI177))=0</formula>
    </cfRule>
    <cfRule type="containsBlanks" dxfId="6628" priority="1689">
      <formula>LEN(TRIM(AI177))=0</formula>
    </cfRule>
    <cfRule type="containsBlanks" dxfId="6627" priority="1690">
      <formula>LEN(TRIM(AI177))=0</formula>
    </cfRule>
    <cfRule type="containsBlanks" dxfId="6626" priority="1691">
      <formula>LEN(TRIM(AI177))=0</formula>
    </cfRule>
    <cfRule type="containsBlanks" dxfId="6625" priority="1692">
      <formula>LEN(TRIM(AI177))=0</formula>
    </cfRule>
    <cfRule type="containsBlanks" dxfId="6624" priority="1693">
      <formula>LEN(TRIM(AI177))=0</formula>
    </cfRule>
    <cfRule type="containsBlanks" dxfId="6623" priority="1694">
      <formula>LEN(TRIM(AI177))=0</formula>
    </cfRule>
    <cfRule type="containsBlanks" dxfId="6622" priority="1695">
      <formula>LEN(TRIM(AI177))=0</formula>
    </cfRule>
    <cfRule type="containsBlanks" dxfId="6621" priority="1696">
      <formula>LEN(TRIM(AI177))=0</formula>
    </cfRule>
    <cfRule type="containsBlanks" dxfId="6620" priority="1697">
      <formula>LEN(TRIM(AI177))=0</formula>
    </cfRule>
    <cfRule type="containsBlanks" dxfId="6619" priority="1698">
      <formula>LEN(TRIM(AI177))=0</formula>
    </cfRule>
    <cfRule type="containsBlanks" dxfId="6618" priority="1699">
      <formula>LEN(TRIM(AI177))=0</formula>
    </cfRule>
    <cfRule type="containsBlanks" dxfId="6617" priority="1700">
      <formula>LEN(TRIM(AI177))=0</formula>
    </cfRule>
    <cfRule type="containsBlanks" dxfId="6616" priority="1701">
      <formula>LEN(TRIM(AI177))=0</formula>
    </cfRule>
    <cfRule type="containsBlanks" dxfId="6615" priority="1702">
      <formula>LEN(TRIM(AI177))=0</formula>
    </cfRule>
    <cfRule type="containsBlanks" dxfId="6614" priority="1703">
      <formula>LEN(TRIM(AI177))=0</formula>
    </cfRule>
    <cfRule type="containsBlanks" dxfId="6613" priority="1704">
      <formula>LEN(TRIM(AI177))=0</formula>
    </cfRule>
    <cfRule type="containsBlanks" dxfId="6612" priority="1705">
      <formula>LEN(TRIM(AI177))=0</formula>
    </cfRule>
    <cfRule type="containsBlanks" dxfId="6611" priority="1706">
      <formula>LEN(TRIM(AI177))=0</formula>
    </cfRule>
    <cfRule type="containsBlanks" dxfId="6610" priority="1707">
      <formula>LEN(TRIM(AI177))=0</formula>
    </cfRule>
    <cfRule type="containsBlanks" dxfId="6609" priority="1708">
      <formula>LEN(TRIM(AI177))=0</formula>
    </cfRule>
    <cfRule type="containsBlanks" dxfId="6608" priority="1709">
      <formula>LEN(TRIM(AI177))=0</formula>
    </cfRule>
    <cfRule type="containsBlanks" dxfId="6607" priority="1710">
      <formula>LEN(TRIM(AI177))=0</formula>
    </cfRule>
    <cfRule type="containsBlanks" dxfId="6606" priority="1711">
      <formula>LEN(TRIM(AI177))=0</formula>
    </cfRule>
    <cfRule type="containsBlanks" dxfId="6605" priority="1712">
      <formula>LEN(TRIM(AI177))=0</formula>
    </cfRule>
    <cfRule type="containsBlanks" dxfId="6604" priority="1713">
      <formula>LEN(TRIM(AI177))=0</formula>
    </cfRule>
    <cfRule type="containsBlanks" dxfId="6603" priority="1714">
      <formula>LEN(TRIM(AI177))=0</formula>
    </cfRule>
    <cfRule type="containsBlanks" dxfId="6602" priority="1715">
      <formula>LEN(TRIM(AI177))=0</formula>
    </cfRule>
    <cfRule type="containsBlanks" dxfId="6601" priority="1716">
      <formula>LEN(TRIM(AI177))=0</formula>
    </cfRule>
    <cfRule type="containsBlanks" dxfId="6600" priority="1717">
      <formula>LEN(TRIM(AI177))=0</formula>
    </cfRule>
    <cfRule type="containsBlanks" dxfId="6599" priority="1718">
      <formula>LEN(TRIM(AI177))=0</formula>
    </cfRule>
    <cfRule type="containsBlanks" dxfId="6598" priority="1719">
      <formula>LEN(TRIM(AI177))=0</formula>
    </cfRule>
    <cfRule type="containsBlanks" dxfId="6597" priority="1720">
      <formula>LEN(TRIM(AI177))=0</formula>
    </cfRule>
    <cfRule type="containsBlanks" dxfId="6596" priority="1721">
      <formula>LEN(TRIM(AI177))=0</formula>
    </cfRule>
    <cfRule type="containsBlanks" dxfId="6595" priority="1722">
      <formula>LEN(TRIM(AI177))=0</formula>
    </cfRule>
    <cfRule type="containsBlanks" dxfId="6594" priority="1723">
      <formula>LEN(TRIM(AI177))=0</formula>
    </cfRule>
    <cfRule type="containsBlanks" dxfId="6593" priority="1724">
      <formula>LEN(TRIM(AI177))=0</formula>
    </cfRule>
    <cfRule type="containsBlanks" dxfId="6592" priority="1725">
      <formula>LEN(TRIM(AI177))=0</formula>
    </cfRule>
    <cfRule type="containsBlanks" dxfId="6591" priority="1726">
      <formula>LEN(TRIM(AI177))=0</formula>
    </cfRule>
    <cfRule type="containsBlanks" dxfId="6590" priority="1727">
      <formula>LEN(TRIM(AI177))=0</formula>
    </cfRule>
    <cfRule type="containsBlanks" dxfId="6589" priority="1728">
      <formula>LEN(TRIM(AI177))=0</formula>
    </cfRule>
    <cfRule type="containsBlanks" dxfId="6588" priority="1729">
      <formula>LEN(TRIM(AI177))=0</formula>
    </cfRule>
    <cfRule type="containsBlanks" dxfId="6587" priority="1730">
      <formula>LEN(TRIM(AI177))=0</formula>
    </cfRule>
    <cfRule type="containsBlanks" dxfId="6586" priority="1731">
      <formula>LEN(TRIM(AI177))=0</formula>
    </cfRule>
    <cfRule type="containsBlanks" dxfId="6585" priority="1732">
      <formula>LEN(TRIM(AI177))=0</formula>
    </cfRule>
    <cfRule type="containsBlanks" dxfId="6584" priority="1733">
      <formula>LEN(TRIM(AI177))=0</formula>
    </cfRule>
    <cfRule type="containsBlanks" dxfId="6583" priority="1734">
      <formula>LEN(TRIM(AI177))=0</formula>
    </cfRule>
    <cfRule type="containsBlanks" dxfId="6582" priority="1735">
      <formula>LEN(TRIM(AI177))=0</formula>
    </cfRule>
    <cfRule type="containsBlanks" dxfId="6581" priority="1736">
      <formula>LEN(TRIM(AI177))=0</formula>
    </cfRule>
    <cfRule type="containsBlanks" dxfId="6580" priority="1737">
      <formula>LEN(TRIM(AI177))=0</formula>
    </cfRule>
    <cfRule type="containsBlanks" dxfId="6579" priority="1738">
      <formula>LEN(TRIM(AI177))=0</formula>
    </cfRule>
    <cfRule type="containsBlanks" dxfId="6578" priority="1739">
      <formula>LEN(TRIM(AI177))=0</formula>
    </cfRule>
    <cfRule type="containsBlanks" dxfId="6577" priority="1740">
      <formula>LEN(TRIM(AI177))=0</formula>
    </cfRule>
    <cfRule type="containsBlanks" dxfId="6576" priority="1741">
      <formula>LEN(TRIM(AI177))=0</formula>
    </cfRule>
    <cfRule type="containsBlanks" dxfId="6575" priority="1742">
      <formula>LEN(TRIM(AI177))=0</formula>
    </cfRule>
    <cfRule type="containsBlanks" dxfId="6574" priority="1743">
      <formula>LEN(TRIM(AI177))=0</formula>
    </cfRule>
    <cfRule type="containsBlanks" dxfId="6573" priority="1744">
      <formula>LEN(TRIM(AI177))=0</formula>
    </cfRule>
    <cfRule type="containsBlanks" dxfId="6572" priority="1745">
      <formula>LEN(TRIM(AI177))=0</formula>
    </cfRule>
    <cfRule type="containsBlanks" dxfId="6571" priority="1746">
      <formula>LEN(TRIM(AI177))=0</formula>
    </cfRule>
    <cfRule type="containsBlanks" dxfId="6570" priority="1747">
      <formula>LEN(TRIM(AI177))=0</formula>
    </cfRule>
    <cfRule type="containsBlanks" dxfId="6569" priority="1748">
      <formula>LEN(TRIM(AI177))=0</formula>
    </cfRule>
    <cfRule type="containsBlanks" dxfId="6568" priority="1749">
      <formula>LEN(TRIM(AI177))=0</formula>
    </cfRule>
    <cfRule type="containsBlanks" dxfId="6567" priority="1750">
      <formula>LEN(TRIM(AI177))=0</formula>
    </cfRule>
    <cfRule type="containsBlanks" dxfId="6566" priority="1751">
      <formula>LEN(TRIM(AI177))=0</formula>
    </cfRule>
    <cfRule type="containsBlanks" dxfId="6565" priority="1752">
      <formula>LEN(TRIM(AI177))=0</formula>
    </cfRule>
    <cfRule type="containsBlanks" dxfId="6564" priority="1753">
      <formula>LEN(TRIM(AI177))=0</formula>
    </cfRule>
    <cfRule type="containsBlanks" dxfId="6563" priority="1754">
      <formula>LEN(TRIM(AI177))=0</formula>
    </cfRule>
    <cfRule type="containsBlanks" dxfId="6562" priority="1755">
      <formula>LEN(TRIM(AI177))=0</formula>
    </cfRule>
    <cfRule type="containsBlanks" dxfId="6561" priority="1756">
      <formula>LEN(TRIM(AI177))=0</formula>
    </cfRule>
    <cfRule type="containsBlanks" dxfId="6560" priority="1757">
      <formula>LEN(TRIM(AI177))=0</formula>
    </cfRule>
    <cfRule type="containsBlanks" dxfId="6559" priority="1758">
      <formula>LEN(TRIM(AI177))=0</formula>
    </cfRule>
    <cfRule type="containsBlanks" dxfId="6558" priority="1759">
      <formula>LEN(TRIM(AI177))=0</formula>
    </cfRule>
    <cfRule type="containsBlanks" dxfId="6557" priority="1760">
      <formula>LEN(TRIM(AI177))=0</formula>
    </cfRule>
    <cfRule type="containsBlanks" dxfId="6556" priority="1761">
      <formula>LEN(TRIM(AI177))=0</formula>
    </cfRule>
    <cfRule type="containsBlanks" dxfId="6555" priority="1762">
      <formula>LEN(TRIM(AI177))=0</formula>
    </cfRule>
    <cfRule type="containsBlanks" dxfId="6554" priority="1763">
      <formula>LEN(TRIM(AI177))=0</formula>
    </cfRule>
    <cfRule type="containsBlanks" dxfId="6553" priority="1764">
      <formula>LEN(TRIM(AI177))=0</formula>
    </cfRule>
    <cfRule type="containsBlanks" dxfId="6552" priority="1765">
      <formula>LEN(TRIM(AI177))=0</formula>
    </cfRule>
    <cfRule type="containsBlanks" dxfId="6551" priority="1766">
      <formula>LEN(TRIM(AI177))=0</formula>
    </cfRule>
    <cfRule type="containsBlanks" dxfId="6550" priority="1767">
      <formula>LEN(TRIM(AI177))=0</formula>
    </cfRule>
    <cfRule type="containsBlanks" dxfId="6549" priority="1768">
      <formula>LEN(TRIM(AI177))=0</formula>
    </cfRule>
    <cfRule type="containsBlanks" dxfId="6548" priority="1769">
      <formula>LEN(TRIM(AI177))=0</formula>
    </cfRule>
    <cfRule type="containsBlanks" dxfId="6547" priority="1770">
      <formula>LEN(TRIM(AI177))=0</formula>
    </cfRule>
    <cfRule type="containsBlanks" dxfId="6546" priority="1771">
      <formula>LEN(TRIM(AI177))=0</formula>
    </cfRule>
    <cfRule type="containsBlanks" dxfId="6545" priority="1772">
      <formula>LEN(TRIM(AI177))=0</formula>
    </cfRule>
    <cfRule type="containsBlanks" dxfId="6544" priority="1773">
      <formula>LEN(TRIM(AI177))=0</formula>
    </cfRule>
    <cfRule type="containsBlanks" dxfId="6543" priority="1774">
      <formula>LEN(TRIM(AI177))=0</formula>
    </cfRule>
    <cfRule type="containsBlanks" dxfId="6542" priority="1775">
      <formula>LEN(TRIM(AI177))=0</formula>
    </cfRule>
    <cfRule type="containsBlanks" dxfId="6541" priority="1776">
      <formula>LEN(TRIM(AI177))=0</formula>
    </cfRule>
    <cfRule type="containsBlanks" dxfId="6540" priority="1777">
      <formula>LEN(TRIM(AI177))=0</formula>
    </cfRule>
    <cfRule type="containsBlanks" dxfId="6539" priority="1778">
      <formula>LEN(TRIM(AI177))=0</formula>
    </cfRule>
    <cfRule type="containsBlanks" dxfId="6538" priority="1779">
      <formula>LEN(TRIM(AI177))=0</formula>
    </cfRule>
    <cfRule type="containsBlanks" dxfId="6537" priority="1780">
      <formula>LEN(TRIM(AI177))=0</formula>
    </cfRule>
    <cfRule type="containsBlanks" dxfId="6536" priority="1781">
      <formula>LEN(TRIM(AI177))=0</formula>
    </cfRule>
    <cfRule type="containsBlanks" dxfId="6535" priority="1782">
      <formula>LEN(TRIM(AI177))=0</formula>
    </cfRule>
    <cfRule type="containsBlanks" dxfId="6534" priority="1783">
      <formula>LEN(TRIM(AI177))=0</formula>
    </cfRule>
    <cfRule type="containsBlanks" dxfId="6533" priority="1784">
      <formula>LEN(TRIM(AI177))=0</formula>
    </cfRule>
    <cfRule type="containsBlanks" dxfId="6532" priority="1785">
      <formula>LEN(TRIM(AI177))=0</formula>
    </cfRule>
    <cfRule type="containsBlanks" dxfId="6531" priority="1786">
      <formula>LEN(TRIM(AI177))=0</formula>
    </cfRule>
    <cfRule type="containsBlanks" dxfId="6530" priority="1787">
      <formula>LEN(TRIM(AI177))=0</formula>
    </cfRule>
    <cfRule type="containsBlanks" dxfId="6529" priority="1788">
      <formula>LEN(TRIM(AI177))=0</formula>
    </cfRule>
    <cfRule type="containsBlanks" dxfId="6528" priority="1789">
      <formula>LEN(TRIM(AI177))=0</formula>
    </cfRule>
    <cfRule type="containsBlanks" dxfId="6527" priority="1790">
      <formula>LEN(TRIM(AI177))=0</formula>
    </cfRule>
    <cfRule type="containsBlanks" dxfId="6526" priority="1791">
      <formula>LEN(TRIM(AI177))=0</formula>
    </cfRule>
    <cfRule type="containsBlanks" dxfId="6525" priority="1792">
      <formula>LEN(TRIM(AI177))=0</formula>
    </cfRule>
    <cfRule type="containsBlanks" dxfId="6524" priority="1793">
      <formula>LEN(TRIM(AI177))=0</formula>
    </cfRule>
    <cfRule type="containsBlanks" dxfId="6523" priority="1794">
      <formula>LEN(TRIM(AI177))=0</formula>
    </cfRule>
    <cfRule type="containsBlanks" dxfId="6522" priority="1795">
      <formula>LEN(TRIM(AI177))=0</formula>
    </cfRule>
    <cfRule type="containsBlanks" dxfId="6521" priority="1796">
      <formula>LEN(TRIM(AI177))=0</formula>
    </cfRule>
    <cfRule type="containsBlanks" dxfId="6520" priority="1797">
      <formula>LEN(TRIM(AI177))=0</formula>
    </cfRule>
  </conditionalFormatting>
  <conditionalFormatting sqref="AI179">
    <cfRule type="containsBlanks" dxfId="6519" priority="1172">
      <formula>LEN(TRIM(AI179))=0</formula>
    </cfRule>
    <cfRule type="containsBlanks" dxfId="6518" priority="1173">
      <formula>LEN(TRIM(AI179))=0</formula>
    </cfRule>
    <cfRule type="containsBlanks" dxfId="6517" priority="1174">
      <formula>LEN(TRIM(AI179))=0</formula>
    </cfRule>
    <cfRule type="containsBlanks" dxfId="6516" priority="1175">
      <formula>LEN(TRIM(AI179))=0</formula>
    </cfRule>
    <cfRule type="containsBlanks" dxfId="6515" priority="1176">
      <formula>LEN(TRIM(AI179))=0</formula>
    </cfRule>
    <cfRule type="containsBlanks" dxfId="6514" priority="1177">
      <formula>LEN(TRIM(AI179))=0</formula>
    </cfRule>
    <cfRule type="containsBlanks" dxfId="6513" priority="1178">
      <formula>LEN(TRIM(AI179))=0</formula>
    </cfRule>
    <cfRule type="containsBlanks" dxfId="6512" priority="1179">
      <formula>LEN(TRIM(AI179))=0</formula>
    </cfRule>
    <cfRule type="containsBlanks" dxfId="6511" priority="1180">
      <formula>LEN(TRIM(AI179))=0</formula>
    </cfRule>
    <cfRule type="containsBlanks" dxfId="6510" priority="1181">
      <formula>LEN(TRIM(AI179))=0</formula>
    </cfRule>
    <cfRule type="containsBlanks" dxfId="6509" priority="1182">
      <formula>LEN(TRIM(AI179))=0</formula>
    </cfRule>
    <cfRule type="containsBlanks" dxfId="6508" priority="1183">
      <formula>LEN(TRIM(AI179))=0</formula>
    </cfRule>
    <cfRule type="containsBlanks" dxfId="6507" priority="1184">
      <formula>LEN(TRIM(AI179))=0</formula>
    </cfRule>
    <cfRule type="containsBlanks" dxfId="6506" priority="1185">
      <formula>LEN(TRIM(AI179))=0</formula>
    </cfRule>
    <cfRule type="containsBlanks" dxfId="6505" priority="1186">
      <formula>LEN(TRIM(AI179))=0</formula>
    </cfRule>
    <cfRule type="containsBlanks" dxfId="6504" priority="1187">
      <formula>LEN(TRIM(AI179))=0</formula>
    </cfRule>
    <cfRule type="containsBlanks" dxfId="6503" priority="1188">
      <formula>LEN(TRIM(AI179))=0</formula>
    </cfRule>
    <cfRule type="containsBlanks" dxfId="6502" priority="1189">
      <formula>LEN(TRIM(AI179))=0</formula>
    </cfRule>
    <cfRule type="containsBlanks" dxfId="6501" priority="1190">
      <formula>LEN(TRIM(AI179))=0</formula>
    </cfRule>
    <cfRule type="containsBlanks" dxfId="6500" priority="1191">
      <formula>LEN(TRIM(AI179))=0</formula>
    </cfRule>
    <cfRule type="containsBlanks" dxfId="6499" priority="1192">
      <formula>LEN(TRIM(AI179))=0</formula>
    </cfRule>
    <cfRule type="containsBlanks" dxfId="6498" priority="1193">
      <formula>LEN(TRIM(AI179))=0</formula>
    </cfRule>
    <cfRule type="containsBlanks" dxfId="6497" priority="1194">
      <formula>LEN(TRIM(AI179))=0</formula>
    </cfRule>
    <cfRule type="containsBlanks" dxfId="6496" priority="1195">
      <formula>LEN(TRIM(AI179))=0</formula>
    </cfRule>
    <cfRule type="containsBlanks" dxfId="6495" priority="1196">
      <formula>LEN(TRIM(AI179))=0</formula>
    </cfRule>
    <cfRule type="containsBlanks" dxfId="6494" priority="1197">
      <formula>LEN(TRIM(AI179))=0</formula>
    </cfRule>
    <cfRule type="containsBlanks" dxfId="6493" priority="1198">
      <formula>LEN(TRIM(AI179))=0</formula>
    </cfRule>
    <cfRule type="containsBlanks" dxfId="6492" priority="1199">
      <formula>LEN(TRIM(AI179))=0</formula>
    </cfRule>
    <cfRule type="containsBlanks" dxfId="6491" priority="1200">
      <formula>LEN(TRIM(AI179))=0</formula>
    </cfRule>
    <cfRule type="containsBlanks" dxfId="6490" priority="1201">
      <formula>LEN(TRIM(AI179))=0</formula>
    </cfRule>
    <cfRule type="containsBlanks" dxfId="6489" priority="1202">
      <formula>LEN(TRIM(AI179))=0</formula>
    </cfRule>
    <cfRule type="containsBlanks" dxfId="6488" priority="1203">
      <formula>LEN(TRIM(AI179))=0</formula>
    </cfRule>
    <cfRule type="containsBlanks" dxfId="6487" priority="1204">
      <formula>LEN(TRIM(AI179))=0</formula>
    </cfRule>
    <cfRule type="containsBlanks" dxfId="6486" priority="1205">
      <formula>LEN(TRIM(AI179))=0</formula>
    </cfRule>
    <cfRule type="containsBlanks" dxfId="6485" priority="1206">
      <formula>LEN(TRIM(AI179))=0</formula>
    </cfRule>
    <cfRule type="containsBlanks" dxfId="6484" priority="1207">
      <formula>LEN(TRIM(AI179))=0</formula>
    </cfRule>
    <cfRule type="containsBlanks" dxfId="6483" priority="1208">
      <formula>LEN(TRIM(AI179))=0</formula>
    </cfRule>
    <cfRule type="containsBlanks" dxfId="6482" priority="1209">
      <formula>LEN(TRIM(AI179))=0</formula>
    </cfRule>
    <cfRule type="containsBlanks" dxfId="6481" priority="1210">
      <formula>LEN(TRIM(AI179))=0</formula>
    </cfRule>
    <cfRule type="containsBlanks" dxfId="6480" priority="1211">
      <formula>LEN(TRIM(AI179))=0</formula>
    </cfRule>
    <cfRule type="containsBlanks" dxfId="6479" priority="1212">
      <formula>LEN(TRIM(AI179))=0</formula>
    </cfRule>
    <cfRule type="containsBlanks" dxfId="6478" priority="1213">
      <formula>LEN(TRIM(AI179))=0</formula>
    </cfRule>
    <cfRule type="containsBlanks" dxfId="6477" priority="1214">
      <formula>LEN(TRIM(AI179))=0</formula>
    </cfRule>
    <cfRule type="containsBlanks" dxfId="6476" priority="1215">
      <formula>LEN(TRIM(AI179))=0</formula>
    </cfRule>
    <cfRule type="containsBlanks" dxfId="6475" priority="1216">
      <formula>LEN(TRIM(AI179))=0</formula>
    </cfRule>
    <cfRule type="containsBlanks" dxfId="6474" priority="1217">
      <formula>LEN(TRIM(AI179))=0</formula>
    </cfRule>
    <cfRule type="containsBlanks" dxfId="6473" priority="1218">
      <formula>LEN(TRIM(AI179))=0</formula>
    </cfRule>
    <cfRule type="containsBlanks" dxfId="6472" priority="1219">
      <formula>LEN(TRIM(AI179))=0</formula>
    </cfRule>
    <cfRule type="containsBlanks" dxfId="6471" priority="1220">
      <formula>LEN(TRIM(AI179))=0</formula>
    </cfRule>
    <cfRule type="containsBlanks" dxfId="6470" priority="1221">
      <formula>LEN(TRIM(AI179))=0</formula>
    </cfRule>
    <cfRule type="containsBlanks" dxfId="6469" priority="1222">
      <formula>LEN(TRIM(AI179))=0</formula>
    </cfRule>
    <cfRule type="containsBlanks" dxfId="6468" priority="1223">
      <formula>LEN(TRIM(AI179))=0</formula>
    </cfRule>
    <cfRule type="containsBlanks" dxfId="6467" priority="1224">
      <formula>LEN(TRIM(AI179))=0</formula>
    </cfRule>
    <cfRule type="containsBlanks" dxfId="6466" priority="1225">
      <formula>LEN(TRIM(AI179))=0</formula>
    </cfRule>
    <cfRule type="containsBlanks" dxfId="6465" priority="1226">
      <formula>LEN(TRIM(AI179))=0</formula>
    </cfRule>
    <cfRule type="containsBlanks" dxfId="6464" priority="1227">
      <formula>LEN(TRIM(AI179))=0</formula>
    </cfRule>
    <cfRule type="containsBlanks" dxfId="6463" priority="1228">
      <formula>LEN(TRIM(AI179))=0</formula>
    </cfRule>
    <cfRule type="containsBlanks" dxfId="6462" priority="1229">
      <formula>LEN(TRIM(AI179))=0</formula>
    </cfRule>
    <cfRule type="containsBlanks" dxfId="6461" priority="1230">
      <formula>LEN(TRIM(AI179))=0</formula>
    </cfRule>
    <cfRule type="containsBlanks" dxfId="6460" priority="1231">
      <formula>LEN(TRIM(AI179))=0</formula>
    </cfRule>
    <cfRule type="containsBlanks" dxfId="6459" priority="1232">
      <formula>LEN(TRIM(AI179))=0</formula>
    </cfRule>
    <cfRule type="containsBlanks" dxfId="6458" priority="1233">
      <formula>LEN(TRIM(AI179))=0</formula>
    </cfRule>
    <cfRule type="containsBlanks" dxfId="6457" priority="1234">
      <formula>LEN(TRIM(AI179))=0</formula>
    </cfRule>
    <cfRule type="containsBlanks" dxfId="6456" priority="1235">
      <formula>LEN(TRIM(AI179))=0</formula>
    </cfRule>
    <cfRule type="containsBlanks" dxfId="6455" priority="1236">
      <formula>LEN(TRIM(AI179))=0</formula>
    </cfRule>
    <cfRule type="containsBlanks" dxfId="6454" priority="1237">
      <formula>LEN(TRIM(AI179))=0</formula>
    </cfRule>
    <cfRule type="containsBlanks" dxfId="6453" priority="1238">
      <formula>LEN(TRIM(AI179))=0</formula>
    </cfRule>
    <cfRule type="containsBlanks" dxfId="6452" priority="1239">
      <formula>LEN(TRIM(AI179))=0</formula>
    </cfRule>
    <cfRule type="containsBlanks" dxfId="6451" priority="1240">
      <formula>LEN(TRIM(AI179))=0</formula>
    </cfRule>
    <cfRule type="containsBlanks" dxfId="6450" priority="1241">
      <formula>LEN(TRIM(AI179))=0</formula>
    </cfRule>
    <cfRule type="containsBlanks" dxfId="6449" priority="1242">
      <formula>LEN(TRIM(AI179))=0</formula>
    </cfRule>
    <cfRule type="containsBlanks" dxfId="6448" priority="1243">
      <formula>LEN(TRIM(AI179))=0</formula>
    </cfRule>
    <cfRule type="containsBlanks" dxfId="6447" priority="1244">
      <formula>LEN(TRIM(AI179))=0</formula>
    </cfRule>
    <cfRule type="containsBlanks" dxfId="6446" priority="1245">
      <formula>LEN(TRIM(AI179))=0</formula>
    </cfRule>
    <cfRule type="containsBlanks" dxfId="6445" priority="1246">
      <formula>LEN(TRIM(AI179))=0</formula>
    </cfRule>
    <cfRule type="containsBlanks" dxfId="6444" priority="1247">
      <formula>LEN(TRIM(AI179))=0</formula>
    </cfRule>
    <cfRule type="containsBlanks" dxfId="6443" priority="1248">
      <formula>LEN(TRIM(AI179))=0</formula>
    </cfRule>
    <cfRule type="containsBlanks" dxfId="6442" priority="1249">
      <formula>LEN(TRIM(AI179))=0</formula>
    </cfRule>
    <cfRule type="containsBlanks" dxfId="6441" priority="1250">
      <formula>LEN(TRIM(AI179))=0</formula>
    </cfRule>
    <cfRule type="containsBlanks" dxfId="6440" priority="1251">
      <formula>LEN(TRIM(AI179))=0</formula>
    </cfRule>
    <cfRule type="containsBlanks" dxfId="6439" priority="1252">
      <formula>LEN(TRIM(AI179))=0</formula>
    </cfRule>
    <cfRule type="containsBlanks" dxfId="6438" priority="1253">
      <formula>LEN(TRIM(AI179))=0</formula>
    </cfRule>
    <cfRule type="containsBlanks" dxfId="6437" priority="1254">
      <formula>LEN(TRIM(AI179))=0</formula>
    </cfRule>
    <cfRule type="containsBlanks" dxfId="6436" priority="1255">
      <formula>LEN(TRIM(AI179))=0</formula>
    </cfRule>
    <cfRule type="containsBlanks" dxfId="6435" priority="1256">
      <formula>LEN(TRIM(AI179))=0</formula>
    </cfRule>
    <cfRule type="containsBlanks" dxfId="6434" priority="1257">
      <formula>LEN(TRIM(AI179))=0</formula>
    </cfRule>
    <cfRule type="containsBlanks" dxfId="6433" priority="1258">
      <formula>LEN(TRIM(AI179))=0</formula>
    </cfRule>
    <cfRule type="containsBlanks" dxfId="6432" priority="1259">
      <formula>LEN(TRIM(AI179))=0</formula>
    </cfRule>
    <cfRule type="containsBlanks" dxfId="6431" priority="1260">
      <formula>LEN(TRIM(AI179))=0</formula>
    </cfRule>
    <cfRule type="containsBlanks" dxfId="6430" priority="1261">
      <formula>LEN(TRIM(AI179))=0</formula>
    </cfRule>
    <cfRule type="containsBlanks" dxfId="6429" priority="1262">
      <formula>LEN(TRIM(AI179))=0</formula>
    </cfRule>
    <cfRule type="containsBlanks" dxfId="6428" priority="1263">
      <formula>LEN(TRIM(AI179))=0</formula>
    </cfRule>
    <cfRule type="containsBlanks" dxfId="6427" priority="1264">
      <formula>LEN(TRIM(AI179))=0</formula>
    </cfRule>
    <cfRule type="containsBlanks" dxfId="6426" priority="1265">
      <formula>LEN(TRIM(AI179))=0</formula>
    </cfRule>
    <cfRule type="containsBlanks" dxfId="6425" priority="1266">
      <formula>LEN(TRIM(AI179))=0</formula>
    </cfRule>
    <cfRule type="containsBlanks" dxfId="6424" priority="1267">
      <formula>LEN(TRIM(AI179))=0</formula>
    </cfRule>
    <cfRule type="containsBlanks" dxfId="6423" priority="1268">
      <formula>LEN(TRIM(AI179))=0</formula>
    </cfRule>
    <cfRule type="containsBlanks" dxfId="6422" priority="1269">
      <formula>LEN(TRIM(AI179))=0</formula>
    </cfRule>
    <cfRule type="containsBlanks" dxfId="6421" priority="1270">
      <formula>LEN(TRIM(AI179))=0</formula>
    </cfRule>
    <cfRule type="containsBlanks" dxfId="6420" priority="1271">
      <formula>LEN(TRIM(AI179))=0</formula>
    </cfRule>
    <cfRule type="containsBlanks" dxfId="6419" priority="1272">
      <formula>LEN(TRIM(AI179))=0</formula>
    </cfRule>
    <cfRule type="containsBlanks" dxfId="6418" priority="1273">
      <formula>LEN(TRIM(AI179))=0</formula>
    </cfRule>
    <cfRule type="containsBlanks" dxfId="6417" priority="1274">
      <formula>LEN(TRIM(AI179))=0</formula>
    </cfRule>
    <cfRule type="containsBlanks" dxfId="6416" priority="1275">
      <formula>LEN(TRIM(AI179))=0</formula>
    </cfRule>
    <cfRule type="containsBlanks" dxfId="6415" priority="1276">
      <formula>LEN(TRIM(AI179))=0</formula>
    </cfRule>
    <cfRule type="containsBlanks" dxfId="6414" priority="1277">
      <formula>LEN(TRIM(AI179))=0</formula>
    </cfRule>
    <cfRule type="containsBlanks" dxfId="6413" priority="1278">
      <formula>LEN(TRIM(AI179))=0</formula>
    </cfRule>
    <cfRule type="containsBlanks" dxfId="6412" priority="1279">
      <formula>LEN(TRIM(AI179))=0</formula>
    </cfRule>
    <cfRule type="containsBlanks" dxfId="6411" priority="1280">
      <formula>LEN(TRIM(AI179))=0</formula>
    </cfRule>
    <cfRule type="containsBlanks" dxfId="6410" priority="1281">
      <formula>LEN(TRIM(AI179))=0</formula>
    </cfRule>
    <cfRule type="containsBlanks" dxfId="6409" priority="1282">
      <formula>LEN(TRIM(AI179))=0</formula>
    </cfRule>
    <cfRule type="containsBlanks" dxfId="6408" priority="1283">
      <formula>LEN(TRIM(AI179))=0</formula>
    </cfRule>
    <cfRule type="containsBlanks" dxfId="6407" priority="1284">
      <formula>LEN(TRIM(AI179))=0</formula>
    </cfRule>
    <cfRule type="containsBlanks" dxfId="6406" priority="1285">
      <formula>LEN(TRIM(AI179))=0</formula>
    </cfRule>
    <cfRule type="containsBlanks" dxfId="6405" priority="1286">
      <formula>LEN(TRIM(AI179))=0</formula>
    </cfRule>
    <cfRule type="containsBlanks" dxfId="6404" priority="1287">
      <formula>LEN(TRIM(AI179))=0</formula>
    </cfRule>
    <cfRule type="containsBlanks" dxfId="6403" priority="1288">
      <formula>LEN(TRIM(AI179))=0</formula>
    </cfRule>
    <cfRule type="containsBlanks" dxfId="6402" priority="1289">
      <formula>LEN(TRIM(AI179))=0</formula>
    </cfRule>
    <cfRule type="containsBlanks" dxfId="6401" priority="1290">
      <formula>LEN(TRIM(AI179))=0</formula>
    </cfRule>
    <cfRule type="containsBlanks" dxfId="6400" priority="1291">
      <formula>LEN(TRIM(AI179))=0</formula>
    </cfRule>
    <cfRule type="containsBlanks" dxfId="6399" priority="1292">
      <formula>LEN(TRIM(AI179))=0</formula>
    </cfRule>
    <cfRule type="containsBlanks" dxfId="6398" priority="1293">
      <formula>LEN(TRIM(AI179))=0</formula>
    </cfRule>
    <cfRule type="containsBlanks" dxfId="6397" priority="1294">
      <formula>LEN(TRIM(AI179))=0</formula>
    </cfRule>
    <cfRule type="containsBlanks" dxfId="6396" priority="1295">
      <formula>LEN(TRIM(AI179))=0</formula>
    </cfRule>
    <cfRule type="containsBlanks" dxfId="6395" priority="1296">
      <formula>LEN(TRIM(AI179))=0</formula>
    </cfRule>
    <cfRule type="containsBlanks" dxfId="6394" priority="1297">
      <formula>LEN(TRIM(AI179))=0</formula>
    </cfRule>
    <cfRule type="containsBlanks" dxfId="6393" priority="1298">
      <formula>LEN(TRIM(AI179))=0</formula>
    </cfRule>
    <cfRule type="containsBlanks" dxfId="6392" priority="1299">
      <formula>LEN(TRIM(AI179))=0</formula>
    </cfRule>
    <cfRule type="containsBlanks" dxfId="6391" priority="1300">
      <formula>LEN(TRIM(AI179))=0</formula>
    </cfRule>
    <cfRule type="containsBlanks" dxfId="6390" priority="1301">
      <formula>LEN(TRIM(AI179))=0</formula>
    </cfRule>
    <cfRule type="containsBlanks" dxfId="6389" priority="1302">
      <formula>LEN(TRIM(AI179))=0</formula>
    </cfRule>
    <cfRule type="containsBlanks" dxfId="6388" priority="1303">
      <formula>LEN(TRIM(AI179))=0</formula>
    </cfRule>
    <cfRule type="containsBlanks" dxfId="6387" priority="1304">
      <formula>LEN(TRIM(AI179))=0</formula>
    </cfRule>
    <cfRule type="containsBlanks" dxfId="6386" priority="1305">
      <formula>LEN(TRIM(AI179))=0</formula>
    </cfRule>
    <cfRule type="containsBlanks" dxfId="6385" priority="1306">
      <formula>LEN(TRIM(AI179))=0</formula>
    </cfRule>
    <cfRule type="containsBlanks" dxfId="6384" priority="1307">
      <formula>LEN(TRIM(AI179))=0</formula>
    </cfRule>
    <cfRule type="containsBlanks" dxfId="6383" priority="1308">
      <formula>LEN(TRIM(AI179))=0</formula>
    </cfRule>
    <cfRule type="containsBlanks" dxfId="6382" priority="1309">
      <formula>LEN(TRIM(AI179))=0</formula>
    </cfRule>
    <cfRule type="containsBlanks" dxfId="6381" priority="1310">
      <formula>LEN(TRIM(AI179))=0</formula>
    </cfRule>
    <cfRule type="containsBlanks" dxfId="6380" priority="1311">
      <formula>LEN(TRIM(AI179))=0</formula>
    </cfRule>
    <cfRule type="containsBlanks" dxfId="6379" priority="1312">
      <formula>LEN(TRIM(AI179))=0</formula>
    </cfRule>
    <cfRule type="containsBlanks" dxfId="6378" priority="1313">
      <formula>LEN(TRIM(AI179))=0</formula>
    </cfRule>
    <cfRule type="containsBlanks" dxfId="6377" priority="1314">
      <formula>LEN(TRIM(AI179))=0</formula>
    </cfRule>
    <cfRule type="containsBlanks" dxfId="6376" priority="1315">
      <formula>LEN(TRIM(AI179))=0</formula>
    </cfRule>
    <cfRule type="containsBlanks" dxfId="6375" priority="1316">
      <formula>LEN(TRIM(AI179))=0</formula>
    </cfRule>
    <cfRule type="containsBlanks" dxfId="6374" priority="1317">
      <formula>LEN(TRIM(AI179))=0</formula>
    </cfRule>
    <cfRule type="containsBlanks" dxfId="6373" priority="1318">
      <formula>LEN(TRIM(AI179))=0</formula>
    </cfRule>
    <cfRule type="containsBlanks" dxfId="6372" priority="1319">
      <formula>LEN(TRIM(AI179))=0</formula>
    </cfRule>
    <cfRule type="containsBlanks" dxfId="6371" priority="1320">
      <formula>LEN(TRIM(AI179))=0</formula>
    </cfRule>
    <cfRule type="containsBlanks" dxfId="6370" priority="1321">
      <formula>LEN(TRIM(AI179))=0</formula>
    </cfRule>
    <cfRule type="containsBlanks" dxfId="6369" priority="1322">
      <formula>LEN(TRIM(AI179))=0</formula>
    </cfRule>
    <cfRule type="containsBlanks" dxfId="6368" priority="1323">
      <formula>LEN(TRIM(AI179))=0</formula>
    </cfRule>
    <cfRule type="containsBlanks" dxfId="6367" priority="1324">
      <formula>LEN(TRIM(AI179))=0</formula>
    </cfRule>
    <cfRule type="containsBlanks" dxfId="6366" priority="1325">
      <formula>LEN(TRIM(AI179))=0</formula>
    </cfRule>
    <cfRule type="containsBlanks" dxfId="6365" priority="1326">
      <formula>LEN(TRIM(AI179))=0</formula>
    </cfRule>
    <cfRule type="containsBlanks" dxfId="6364" priority="1327">
      <formula>LEN(TRIM(AI179))=0</formula>
    </cfRule>
    <cfRule type="containsBlanks" dxfId="6363" priority="1328">
      <formula>LEN(TRIM(AI179))=0</formula>
    </cfRule>
    <cfRule type="containsBlanks" dxfId="6362" priority="1329">
      <formula>LEN(TRIM(AI179))=0</formula>
    </cfRule>
    <cfRule type="containsBlanks" dxfId="6361" priority="1330">
      <formula>LEN(TRIM(AI179))=0</formula>
    </cfRule>
    <cfRule type="containsBlanks" dxfId="6360" priority="1331">
      <formula>LEN(TRIM(AI179))=0</formula>
    </cfRule>
    <cfRule type="containsBlanks" dxfId="6359" priority="1332">
      <formula>LEN(TRIM(AI179))=0</formula>
    </cfRule>
    <cfRule type="containsBlanks" dxfId="6358" priority="1333">
      <formula>LEN(TRIM(AI179))=0</formula>
    </cfRule>
    <cfRule type="containsBlanks" dxfId="6357" priority="1334">
      <formula>LEN(TRIM(AI179))=0</formula>
    </cfRule>
    <cfRule type="containsBlanks" dxfId="6356" priority="1335">
      <formula>LEN(TRIM(AI179))=0</formula>
    </cfRule>
    <cfRule type="containsBlanks" dxfId="6355" priority="1336">
      <formula>LEN(TRIM(AI179))=0</formula>
    </cfRule>
    <cfRule type="containsBlanks" dxfId="6354" priority="1337">
      <formula>LEN(TRIM(AI179))=0</formula>
    </cfRule>
    <cfRule type="containsBlanks" dxfId="6353" priority="1338">
      <formula>LEN(TRIM(AI179))=0</formula>
    </cfRule>
    <cfRule type="containsBlanks" dxfId="6352" priority="1339">
      <formula>LEN(TRIM(AI179))=0</formula>
    </cfRule>
    <cfRule type="containsBlanks" dxfId="6351" priority="1340">
      <formula>LEN(TRIM(AI179))=0</formula>
    </cfRule>
    <cfRule type="containsBlanks" dxfId="6350" priority="1341">
      <formula>LEN(TRIM(AI179))=0</formula>
    </cfRule>
    <cfRule type="containsBlanks" dxfId="6349" priority="1342">
      <formula>LEN(TRIM(AI179))=0</formula>
    </cfRule>
    <cfRule type="containsBlanks" dxfId="6348" priority="1343">
      <formula>LEN(TRIM(AI179))=0</formula>
    </cfRule>
    <cfRule type="containsBlanks" dxfId="6347" priority="1344">
      <formula>LEN(TRIM(AI179))=0</formula>
    </cfRule>
    <cfRule type="containsBlanks" dxfId="6346" priority="1345">
      <formula>LEN(TRIM(AI179))=0</formula>
    </cfRule>
    <cfRule type="containsBlanks" dxfId="6345" priority="1346">
      <formula>LEN(TRIM(AI179))=0</formula>
    </cfRule>
    <cfRule type="containsBlanks" dxfId="6344" priority="1347">
      <formula>LEN(TRIM(AI179))=0</formula>
    </cfRule>
    <cfRule type="containsBlanks" dxfId="6343" priority="1348">
      <formula>LEN(TRIM(AI179))=0</formula>
    </cfRule>
    <cfRule type="containsBlanks" dxfId="6342" priority="1349">
      <formula>LEN(TRIM(AI179))=0</formula>
    </cfRule>
    <cfRule type="containsBlanks" dxfId="6341" priority="1350">
      <formula>LEN(TRIM(AI179))=0</formula>
    </cfRule>
    <cfRule type="containsBlanks" dxfId="6340" priority="1351">
      <formula>LEN(TRIM(AI179))=0</formula>
    </cfRule>
    <cfRule type="containsBlanks" dxfId="6339" priority="1352">
      <formula>LEN(TRIM(AI179))=0</formula>
    </cfRule>
    <cfRule type="containsBlanks" dxfId="6338" priority="1353">
      <formula>LEN(TRIM(AI179))=0</formula>
    </cfRule>
    <cfRule type="containsBlanks" dxfId="6337" priority="1354">
      <formula>LEN(TRIM(AI179))=0</formula>
    </cfRule>
    <cfRule type="containsBlanks" dxfId="6336" priority="1355">
      <formula>LEN(TRIM(AI179))=0</formula>
    </cfRule>
    <cfRule type="containsBlanks" dxfId="6335" priority="1356">
      <formula>LEN(TRIM(AI179))=0</formula>
    </cfRule>
    <cfRule type="containsBlanks" dxfId="6334" priority="1357">
      <formula>LEN(TRIM(AI179))=0</formula>
    </cfRule>
    <cfRule type="containsBlanks" dxfId="6333" priority="1358">
      <formula>LEN(TRIM(AI179))=0</formula>
    </cfRule>
    <cfRule type="containsBlanks" dxfId="6332" priority="1359">
      <formula>LEN(TRIM(AI179))=0</formula>
    </cfRule>
    <cfRule type="containsBlanks" dxfId="6331" priority="1360">
      <formula>LEN(TRIM(AI179))=0</formula>
    </cfRule>
    <cfRule type="containsBlanks" dxfId="6330" priority="1361">
      <formula>LEN(TRIM(AI179))=0</formula>
    </cfRule>
    <cfRule type="containsBlanks" dxfId="6329" priority="1362">
      <formula>LEN(TRIM(AI179))=0</formula>
    </cfRule>
    <cfRule type="containsBlanks" dxfId="6328" priority="1363">
      <formula>LEN(TRIM(AI179))=0</formula>
    </cfRule>
    <cfRule type="containsBlanks" dxfId="6327" priority="1364">
      <formula>LEN(TRIM(AI179))=0</formula>
    </cfRule>
    <cfRule type="containsBlanks" dxfId="6326" priority="1365">
      <formula>LEN(TRIM(AI179))=0</formula>
    </cfRule>
    <cfRule type="containsBlanks" dxfId="6325" priority="1366">
      <formula>LEN(TRIM(AI179))=0</formula>
    </cfRule>
    <cfRule type="containsBlanks" dxfId="6324" priority="1367">
      <formula>LEN(TRIM(AI179))=0</formula>
    </cfRule>
    <cfRule type="containsBlanks" dxfId="6323" priority="1368">
      <formula>LEN(TRIM(AI179))=0</formula>
    </cfRule>
    <cfRule type="containsBlanks" dxfId="6322" priority="1369">
      <formula>LEN(TRIM(AI179))=0</formula>
    </cfRule>
    <cfRule type="containsBlanks" dxfId="6321" priority="1370">
      <formula>LEN(TRIM(AI179))=0</formula>
    </cfRule>
    <cfRule type="containsBlanks" dxfId="6320" priority="1371">
      <formula>LEN(TRIM(AI179))=0</formula>
    </cfRule>
    <cfRule type="containsBlanks" dxfId="6319" priority="1372">
      <formula>LEN(TRIM(AI179))=0</formula>
    </cfRule>
    <cfRule type="containsBlanks" dxfId="6318" priority="1373">
      <formula>LEN(TRIM(AI179))=0</formula>
    </cfRule>
    <cfRule type="containsBlanks" dxfId="6317" priority="1374">
      <formula>LEN(TRIM(AI179))=0</formula>
    </cfRule>
    <cfRule type="containsBlanks" dxfId="6316" priority="1375">
      <formula>LEN(TRIM(AI179))=0</formula>
    </cfRule>
    <cfRule type="containsBlanks" dxfId="6315" priority="1376">
      <formula>LEN(TRIM(AI179))=0</formula>
    </cfRule>
    <cfRule type="containsBlanks" dxfId="6314" priority="1377">
      <formula>LEN(TRIM(AI179))=0</formula>
    </cfRule>
    <cfRule type="containsBlanks" dxfId="6313" priority="1378">
      <formula>LEN(TRIM(AI179))=0</formula>
    </cfRule>
    <cfRule type="containsBlanks" dxfId="6312" priority="1379">
      <formula>LEN(TRIM(AI179))=0</formula>
    </cfRule>
    <cfRule type="containsBlanks" dxfId="6311" priority="1380">
      <formula>LEN(TRIM(AI179))=0</formula>
    </cfRule>
    <cfRule type="containsBlanks" dxfId="6310" priority="1381">
      <formula>LEN(TRIM(AI179))=0</formula>
    </cfRule>
    <cfRule type="containsBlanks" dxfId="6309" priority="1382">
      <formula>LEN(TRIM(AI179))=0</formula>
    </cfRule>
    <cfRule type="containsBlanks" dxfId="6308" priority="1383">
      <formula>LEN(TRIM(AI179))=0</formula>
    </cfRule>
    <cfRule type="containsBlanks" dxfId="6307" priority="1384">
      <formula>LEN(TRIM(AI179))=0</formula>
    </cfRule>
    <cfRule type="containsBlanks" dxfId="6306" priority="1385">
      <formula>LEN(TRIM(AI179))=0</formula>
    </cfRule>
    <cfRule type="containsBlanks" dxfId="6305" priority="1386">
      <formula>LEN(TRIM(AI179))=0</formula>
    </cfRule>
    <cfRule type="containsBlanks" dxfId="6304" priority="1387">
      <formula>LEN(TRIM(AI179))=0</formula>
    </cfRule>
    <cfRule type="containsBlanks" dxfId="6303" priority="1388">
      <formula>LEN(TRIM(AI179))=0</formula>
    </cfRule>
    <cfRule type="containsBlanks" dxfId="6302" priority="1389">
      <formula>LEN(TRIM(AI179))=0</formula>
    </cfRule>
    <cfRule type="containsBlanks" dxfId="6301" priority="1390">
      <formula>LEN(TRIM(AI179))=0</formula>
    </cfRule>
    <cfRule type="containsBlanks" dxfId="6300" priority="1391">
      <formula>LEN(TRIM(AI179))=0</formula>
    </cfRule>
    <cfRule type="containsBlanks" dxfId="6299" priority="1392">
      <formula>LEN(TRIM(AI179))=0</formula>
    </cfRule>
    <cfRule type="containsBlanks" dxfId="6298" priority="1393">
      <formula>LEN(TRIM(AI179))=0</formula>
    </cfRule>
    <cfRule type="containsBlanks" dxfId="6297" priority="1394">
      <formula>LEN(TRIM(AI179))=0</formula>
    </cfRule>
    <cfRule type="containsBlanks" dxfId="6296" priority="1395">
      <formula>LEN(TRIM(AI179))=0</formula>
    </cfRule>
    <cfRule type="containsBlanks" dxfId="6295" priority="1396">
      <formula>LEN(TRIM(AI179))=0</formula>
    </cfRule>
    <cfRule type="containsBlanks" dxfId="6294" priority="1397">
      <formula>LEN(TRIM(AI179))=0</formula>
    </cfRule>
    <cfRule type="containsBlanks" dxfId="6293" priority="1398">
      <formula>LEN(TRIM(AI179))=0</formula>
    </cfRule>
    <cfRule type="containsBlanks" dxfId="6292" priority="1399">
      <formula>LEN(TRIM(AI179))=0</formula>
    </cfRule>
    <cfRule type="containsBlanks" dxfId="6291" priority="1400">
      <formula>LEN(TRIM(AI179))=0</formula>
    </cfRule>
    <cfRule type="containsBlanks" dxfId="6290" priority="1401">
      <formula>LEN(TRIM(AI179))=0</formula>
    </cfRule>
    <cfRule type="containsBlanks" dxfId="6289" priority="1402">
      <formula>LEN(TRIM(AI179))=0</formula>
    </cfRule>
    <cfRule type="containsBlanks" dxfId="6288" priority="1403">
      <formula>LEN(TRIM(AI179))=0</formula>
    </cfRule>
    <cfRule type="containsBlanks" dxfId="6287" priority="1404">
      <formula>LEN(TRIM(AI179))=0</formula>
    </cfRule>
    <cfRule type="containsBlanks" dxfId="6286" priority="1405">
      <formula>LEN(TRIM(AI179))=0</formula>
    </cfRule>
    <cfRule type="containsBlanks" dxfId="6285" priority="1406">
      <formula>LEN(TRIM(AI179))=0</formula>
    </cfRule>
    <cfRule type="containsBlanks" dxfId="6284" priority="1407">
      <formula>LEN(TRIM(AI179))=0</formula>
    </cfRule>
    <cfRule type="containsBlanks" dxfId="6283" priority="1408">
      <formula>LEN(TRIM(AI179))=0</formula>
    </cfRule>
    <cfRule type="containsBlanks" dxfId="6282" priority="1409">
      <formula>LEN(TRIM(AI179))=0</formula>
    </cfRule>
    <cfRule type="containsBlanks" dxfId="6281" priority="1410">
      <formula>LEN(TRIM(AI179))=0</formula>
    </cfRule>
    <cfRule type="containsBlanks" dxfId="6280" priority="1411">
      <formula>LEN(TRIM(AI179))=0</formula>
    </cfRule>
    <cfRule type="containsBlanks" dxfId="6279" priority="1412">
      <formula>LEN(TRIM(AI179))=0</formula>
    </cfRule>
    <cfRule type="containsBlanks" dxfId="6278" priority="1413">
      <formula>LEN(TRIM(AI179))=0</formula>
    </cfRule>
    <cfRule type="containsBlanks" dxfId="6277" priority="1414">
      <formula>LEN(TRIM(AI179))=0</formula>
    </cfRule>
    <cfRule type="containsBlanks" dxfId="6276" priority="1415">
      <formula>LEN(TRIM(AI179))=0</formula>
    </cfRule>
    <cfRule type="containsBlanks" dxfId="6275" priority="1416">
      <formula>LEN(TRIM(AI179))=0</formula>
    </cfRule>
    <cfRule type="containsBlanks" dxfId="6274" priority="1417">
      <formula>LEN(TRIM(AI179))=0</formula>
    </cfRule>
    <cfRule type="containsBlanks" dxfId="6273" priority="1418">
      <formula>LEN(TRIM(AI179))=0</formula>
    </cfRule>
    <cfRule type="containsBlanks" dxfId="6272" priority="1419">
      <formula>LEN(TRIM(AI179))=0</formula>
    </cfRule>
    <cfRule type="containsBlanks" dxfId="6271" priority="1420">
      <formula>LEN(TRIM(AI179))=0</formula>
    </cfRule>
    <cfRule type="containsBlanks" dxfId="6270" priority="1421">
      <formula>LEN(TRIM(AI179))=0</formula>
    </cfRule>
    <cfRule type="containsBlanks" dxfId="6269" priority="1422">
      <formula>LEN(TRIM(AI179))=0</formula>
    </cfRule>
    <cfRule type="containsBlanks" dxfId="6268" priority="1423">
      <formula>LEN(TRIM(AI179))=0</formula>
    </cfRule>
    <cfRule type="containsBlanks" dxfId="6267" priority="1424">
      <formula>LEN(TRIM(AI179))=0</formula>
    </cfRule>
    <cfRule type="containsBlanks" dxfId="6266" priority="1425">
      <formula>LEN(TRIM(AI179))=0</formula>
    </cfRule>
    <cfRule type="containsBlanks" dxfId="6265" priority="1426">
      <formula>LEN(TRIM(AI179))=0</formula>
    </cfRule>
    <cfRule type="containsBlanks" dxfId="6264" priority="1427">
      <formula>LEN(TRIM(AI179))=0</formula>
    </cfRule>
    <cfRule type="containsBlanks" dxfId="6263" priority="1428">
      <formula>LEN(TRIM(AI179))=0</formula>
    </cfRule>
    <cfRule type="containsBlanks" dxfId="6262" priority="1429">
      <formula>LEN(TRIM(AI179))=0</formula>
    </cfRule>
    <cfRule type="containsBlanks" dxfId="6261" priority="1430">
      <formula>LEN(TRIM(AI179))=0</formula>
    </cfRule>
    <cfRule type="containsBlanks" dxfId="6260" priority="1431">
      <formula>LEN(TRIM(AI179))=0</formula>
    </cfRule>
    <cfRule type="containsBlanks" dxfId="6259" priority="1432">
      <formula>LEN(TRIM(AI179))=0</formula>
    </cfRule>
    <cfRule type="containsBlanks" dxfId="6258" priority="1433">
      <formula>LEN(TRIM(AI179))=0</formula>
    </cfRule>
    <cfRule type="containsBlanks" dxfId="6257" priority="1434">
      <formula>LEN(TRIM(AI179))=0</formula>
    </cfRule>
    <cfRule type="containsBlanks" dxfId="6256" priority="1435">
      <formula>LEN(TRIM(AI179))=0</formula>
    </cfRule>
    <cfRule type="containsBlanks" dxfId="6255" priority="1436">
      <formula>LEN(TRIM(AI179))=0</formula>
    </cfRule>
    <cfRule type="containsBlanks" dxfId="6254" priority="1437">
      <formula>LEN(TRIM(AI179))=0</formula>
    </cfRule>
    <cfRule type="containsBlanks" dxfId="6253" priority="1438">
      <formula>LEN(TRIM(AI179))=0</formula>
    </cfRule>
    <cfRule type="containsBlanks" dxfId="6252" priority="1439">
      <formula>LEN(TRIM(AI179))=0</formula>
    </cfRule>
    <cfRule type="containsBlanks" dxfId="6251" priority="1440">
      <formula>LEN(TRIM(AI179))=0</formula>
    </cfRule>
    <cfRule type="containsBlanks" dxfId="6250" priority="1441">
      <formula>LEN(TRIM(AI179))=0</formula>
    </cfRule>
    <cfRule type="containsBlanks" dxfId="6249" priority="1442">
      <formula>LEN(TRIM(AI179))=0</formula>
    </cfRule>
    <cfRule type="containsBlanks" dxfId="6248" priority="1443">
      <formula>LEN(TRIM(AI179))=0</formula>
    </cfRule>
    <cfRule type="containsBlanks" dxfId="6247" priority="1444">
      <formula>LEN(TRIM(AI179))=0</formula>
    </cfRule>
    <cfRule type="containsBlanks" dxfId="6246" priority="1445">
      <formula>LEN(TRIM(AI179))=0</formula>
    </cfRule>
    <cfRule type="containsBlanks" dxfId="6245" priority="1446">
      <formula>LEN(TRIM(AI179))=0</formula>
    </cfRule>
    <cfRule type="containsBlanks" dxfId="6244" priority="1447">
      <formula>LEN(TRIM(AI179))=0</formula>
    </cfRule>
    <cfRule type="containsBlanks" dxfId="6243" priority="1448">
      <formula>LEN(TRIM(AI179))=0</formula>
    </cfRule>
    <cfRule type="containsBlanks" dxfId="6242" priority="1449">
      <formula>LEN(TRIM(AI179))=0</formula>
    </cfRule>
    <cfRule type="containsBlanks" dxfId="6241" priority="1450">
      <formula>LEN(TRIM(AI179))=0</formula>
    </cfRule>
    <cfRule type="containsBlanks" dxfId="6240" priority="1451">
      <formula>LEN(TRIM(AI179))=0</formula>
    </cfRule>
    <cfRule type="containsBlanks" dxfId="6239" priority="1452">
      <formula>LEN(TRIM(AI179))=0</formula>
    </cfRule>
    <cfRule type="containsBlanks" dxfId="6238" priority="1453">
      <formula>LEN(TRIM(AI179))=0</formula>
    </cfRule>
    <cfRule type="containsBlanks" dxfId="6237" priority="1454">
      <formula>LEN(TRIM(AI179))=0</formula>
    </cfRule>
    <cfRule type="containsBlanks" dxfId="6236" priority="1455">
      <formula>LEN(TRIM(AI179))=0</formula>
    </cfRule>
    <cfRule type="containsBlanks" dxfId="6235" priority="1456">
      <formula>LEN(TRIM(AI179))=0</formula>
    </cfRule>
    <cfRule type="containsBlanks" dxfId="6234" priority="1457">
      <formula>LEN(TRIM(AI179))=0</formula>
    </cfRule>
    <cfRule type="containsBlanks" dxfId="6233" priority="1458">
      <formula>LEN(TRIM(AI179))=0</formula>
    </cfRule>
    <cfRule type="containsBlanks" dxfId="6232" priority="1459">
      <formula>LEN(TRIM(AI179))=0</formula>
    </cfRule>
    <cfRule type="containsBlanks" dxfId="6231" priority="1460">
      <formula>LEN(TRIM(AI179))=0</formula>
    </cfRule>
    <cfRule type="containsBlanks" dxfId="6230" priority="1461">
      <formula>LEN(TRIM(AI179))=0</formula>
    </cfRule>
    <cfRule type="containsBlanks" dxfId="6229" priority="1462">
      <formula>LEN(TRIM(AI179))=0</formula>
    </cfRule>
    <cfRule type="containsBlanks" dxfId="6228" priority="1463">
      <formula>LEN(TRIM(AI179))=0</formula>
    </cfRule>
    <cfRule type="containsBlanks" dxfId="6227" priority="1464">
      <formula>LEN(TRIM(AI179))=0</formula>
    </cfRule>
    <cfRule type="containsBlanks" dxfId="6226" priority="1465">
      <formula>LEN(TRIM(AI179))=0</formula>
    </cfRule>
    <cfRule type="containsBlanks" dxfId="6225" priority="1466">
      <formula>LEN(TRIM(AI179))=0</formula>
    </cfRule>
    <cfRule type="containsBlanks" dxfId="6224" priority="1467">
      <formula>LEN(TRIM(AI179))=0</formula>
    </cfRule>
    <cfRule type="containsBlanks" dxfId="6223" priority="1468">
      <formula>LEN(TRIM(AI179))=0</formula>
    </cfRule>
    <cfRule type="containsBlanks" dxfId="6222" priority="1469">
      <formula>LEN(TRIM(AI179))=0</formula>
    </cfRule>
    <cfRule type="containsBlanks" dxfId="6221" priority="1470">
      <formula>LEN(TRIM(AI179))=0</formula>
    </cfRule>
    <cfRule type="containsBlanks" dxfId="6220" priority="1471">
      <formula>LEN(TRIM(AI179))=0</formula>
    </cfRule>
    <cfRule type="containsBlanks" dxfId="6219" priority="1472">
      <formula>LEN(TRIM(AI179))=0</formula>
    </cfRule>
    <cfRule type="containsBlanks" dxfId="6218" priority="1473">
      <formula>LEN(TRIM(AI179))=0</formula>
    </cfRule>
    <cfRule type="containsBlanks" dxfId="6217" priority="1474">
      <formula>LEN(TRIM(AI179))=0</formula>
    </cfRule>
    <cfRule type="containsBlanks" dxfId="6216" priority="1475">
      <formula>LEN(TRIM(AI179))=0</formula>
    </cfRule>
    <cfRule type="containsBlanks" dxfId="6215" priority="1476">
      <formula>LEN(TRIM(AI179))=0</formula>
    </cfRule>
    <cfRule type="containsBlanks" dxfId="6214" priority="1477">
      <formula>LEN(TRIM(AI179))=0</formula>
    </cfRule>
    <cfRule type="containsBlanks" dxfId="6213" priority="1478">
      <formula>LEN(TRIM(AI179))=0</formula>
    </cfRule>
    <cfRule type="containsBlanks" dxfId="6212" priority="1479">
      <formula>LEN(TRIM(AI179))=0</formula>
    </cfRule>
    <cfRule type="containsBlanks" dxfId="6211" priority="1480">
      <formula>LEN(TRIM(AI179))=0</formula>
    </cfRule>
    <cfRule type="containsBlanks" dxfId="6210" priority="1481">
      <formula>LEN(TRIM(AI179))=0</formula>
    </cfRule>
    <cfRule type="containsBlanks" dxfId="6209" priority="1482">
      <formula>LEN(TRIM(AI179))=0</formula>
    </cfRule>
    <cfRule type="containsBlanks" dxfId="6208" priority="1483">
      <formula>LEN(TRIM(AI179))=0</formula>
    </cfRule>
    <cfRule type="containsBlanks" dxfId="6207" priority="1484">
      <formula>LEN(TRIM(AI179))=0</formula>
    </cfRule>
  </conditionalFormatting>
  <conditionalFormatting sqref="AI182">
    <cfRule type="containsBlanks" dxfId="6206" priority="1014">
      <formula>LEN(TRIM(AI182))=0</formula>
    </cfRule>
    <cfRule type="containsBlanks" dxfId="6205" priority="1015">
      <formula>LEN(TRIM(AI182))=0</formula>
    </cfRule>
    <cfRule type="containsBlanks" dxfId="6204" priority="1016">
      <formula>LEN(TRIM(AI182))=0</formula>
    </cfRule>
    <cfRule type="containsBlanks" dxfId="6203" priority="1017">
      <formula>LEN(TRIM(AI182))=0</formula>
    </cfRule>
    <cfRule type="containsBlanks" dxfId="6202" priority="1018">
      <formula>LEN(TRIM(AI182))=0</formula>
    </cfRule>
    <cfRule type="containsBlanks" dxfId="6201" priority="1019">
      <formula>LEN(TRIM(AI182))=0</formula>
    </cfRule>
    <cfRule type="containsBlanks" dxfId="6200" priority="1020">
      <formula>LEN(TRIM(AI182))=0</formula>
    </cfRule>
    <cfRule type="containsBlanks" dxfId="6199" priority="1021">
      <formula>LEN(TRIM(AI182))=0</formula>
    </cfRule>
    <cfRule type="containsBlanks" dxfId="6198" priority="1022">
      <formula>LEN(TRIM(AI182))=0</formula>
    </cfRule>
    <cfRule type="containsBlanks" dxfId="6197" priority="1023">
      <formula>LEN(TRIM(AI182))=0</formula>
    </cfRule>
    <cfRule type="containsBlanks" dxfId="6196" priority="1024">
      <formula>LEN(TRIM(AI182))=0</formula>
    </cfRule>
    <cfRule type="containsBlanks" dxfId="6195" priority="1025">
      <formula>LEN(TRIM(AI182))=0</formula>
    </cfRule>
    <cfRule type="containsBlanks" dxfId="6194" priority="1026">
      <formula>LEN(TRIM(AI182))=0</formula>
    </cfRule>
    <cfRule type="containsBlanks" dxfId="6193" priority="1027">
      <formula>LEN(TRIM(AI182))=0</formula>
    </cfRule>
    <cfRule type="containsBlanks" dxfId="6192" priority="1028">
      <formula>LEN(TRIM(AI182))=0</formula>
    </cfRule>
    <cfRule type="containsBlanks" dxfId="6191" priority="1029">
      <formula>LEN(TRIM(AI182))=0</formula>
    </cfRule>
    <cfRule type="containsBlanks" dxfId="6190" priority="1030">
      <formula>LEN(TRIM(AI182))=0</formula>
    </cfRule>
    <cfRule type="containsBlanks" dxfId="6189" priority="1031">
      <formula>LEN(TRIM(AI182))=0</formula>
    </cfRule>
    <cfRule type="containsBlanks" dxfId="6188" priority="1032">
      <formula>LEN(TRIM(AI182))=0</formula>
    </cfRule>
    <cfRule type="containsBlanks" dxfId="6187" priority="1033">
      <formula>LEN(TRIM(AI182))=0</formula>
    </cfRule>
    <cfRule type="containsBlanks" dxfId="6186" priority="1034">
      <formula>LEN(TRIM(AI182))=0</formula>
    </cfRule>
    <cfRule type="containsBlanks" dxfId="6185" priority="1035">
      <formula>LEN(TRIM(AI182))=0</formula>
    </cfRule>
    <cfRule type="containsBlanks" dxfId="6184" priority="1036">
      <formula>LEN(TRIM(AI182))=0</formula>
    </cfRule>
    <cfRule type="containsBlanks" dxfId="6183" priority="1037">
      <formula>LEN(TRIM(AI182))=0</formula>
    </cfRule>
    <cfRule type="containsBlanks" dxfId="6182" priority="1038">
      <formula>LEN(TRIM(AI182))=0</formula>
    </cfRule>
    <cfRule type="containsBlanks" dxfId="6181" priority="1039">
      <formula>LEN(TRIM(AI182))=0</formula>
    </cfRule>
    <cfRule type="containsBlanks" dxfId="6180" priority="1040">
      <formula>LEN(TRIM(AI182))=0</formula>
    </cfRule>
    <cfRule type="containsBlanks" dxfId="6179" priority="1041">
      <formula>LEN(TRIM(AI182))=0</formula>
    </cfRule>
    <cfRule type="containsBlanks" dxfId="6178" priority="1042">
      <formula>LEN(TRIM(AI182))=0</formula>
    </cfRule>
    <cfRule type="containsBlanks" dxfId="6177" priority="1043">
      <formula>LEN(TRIM(AI182))=0</formula>
    </cfRule>
    <cfRule type="containsBlanks" dxfId="6176" priority="1044">
      <formula>LEN(TRIM(AI182))=0</formula>
    </cfRule>
    <cfRule type="containsBlanks" dxfId="6175" priority="1045">
      <formula>LEN(TRIM(AI182))=0</formula>
    </cfRule>
    <cfRule type="containsBlanks" dxfId="6174" priority="1046">
      <formula>LEN(TRIM(AI182))=0</formula>
    </cfRule>
    <cfRule type="containsBlanks" dxfId="6173" priority="1047">
      <formula>LEN(TRIM(AI182))=0</formula>
    </cfRule>
    <cfRule type="containsBlanks" dxfId="6172" priority="1048">
      <formula>LEN(TRIM(AI182))=0</formula>
    </cfRule>
    <cfRule type="containsBlanks" dxfId="6171" priority="1049">
      <formula>LEN(TRIM(AI182))=0</formula>
    </cfRule>
    <cfRule type="containsBlanks" dxfId="6170" priority="1050">
      <formula>LEN(TRIM(AI182))=0</formula>
    </cfRule>
    <cfRule type="containsBlanks" dxfId="6169" priority="1051">
      <formula>LEN(TRIM(AI182))=0</formula>
    </cfRule>
    <cfRule type="containsBlanks" dxfId="6168" priority="1052">
      <formula>LEN(TRIM(AI182))=0</formula>
    </cfRule>
    <cfRule type="containsBlanks" dxfId="6167" priority="1053">
      <formula>LEN(TRIM(AI182))=0</formula>
    </cfRule>
    <cfRule type="containsBlanks" dxfId="6166" priority="1054">
      <formula>LEN(TRIM(AI182))=0</formula>
    </cfRule>
    <cfRule type="containsBlanks" dxfId="6165" priority="1055">
      <formula>LEN(TRIM(AI182))=0</formula>
    </cfRule>
    <cfRule type="containsBlanks" dxfId="6164" priority="1056">
      <formula>LEN(TRIM(AI182))=0</formula>
    </cfRule>
    <cfRule type="containsBlanks" dxfId="6163" priority="1057">
      <formula>LEN(TRIM(AI182))=0</formula>
    </cfRule>
    <cfRule type="containsBlanks" dxfId="6162" priority="1058">
      <formula>LEN(TRIM(AI182))=0</formula>
    </cfRule>
    <cfRule type="containsBlanks" dxfId="6161" priority="1059">
      <formula>LEN(TRIM(AI182))=0</formula>
    </cfRule>
    <cfRule type="containsBlanks" dxfId="6160" priority="1060">
      <formula>LEN(TRIM(AI182))=0</formula>
    </cfRule>
    <cfRule type="containsBlanks" dxfId="6159" priority="1061">
      <formula>LEN(TRIM(AI182))=0</formula>
    </cfRule>
    <cfRule type="containsBlanks" dxfId="6158" priority="1062">
      <formula>LEN(TRIM(AI182))=0</formula>
    </cfRule>
    <cfRule type="containsBlanks" dxfId="6157" priority="1063">
      <formula>LEN(TRIM(AI182))=0</formula>
    </cfRule>
    <cfRule type="containsBlanks" dxfId="6156" priority="1064">
      <formula>LEN(TRIM(AI182))=0</formula>
    </cfRule>
    <cfRule type="containsBlanks" dxfId="6155" priority="1065">
      <formula>LEN(TRIM(AI182))=0</formula>
    </cfRule>
    <cfRule type="containsBlanks" dxfId="6154" priority="1066">
      <formula>LEN(TRIM(AI182))=0</formula>
    </cfRule>
    <cfRule type="containsBlanks" dxfId="6153" priority="1067">
      <formula>LEN(TRIM(AI182))=0</formula>
    </cfRule>
    <cfRule type="containsBlanks" dxfId="6152" priority="1068">
      <formula>LEN(TRIM(AI182))=0</formula>
    </cfRule>
    <cfRule type="containsBlanks" dxfId="6151" priority="1069">
      <formula>LEN(TRIM(AI182))=0</formula>
    </cfRule>
    <cfRule type="containsBlanks" dxfId="6150" priority="1070">
      <formula>LEN(TRIM(AI182))=0</formula>
    </cfRule>
    <cfRule type="containsBlanks" dxfId="6149" priority="1071">
      <formula>LEN(TRIM(AI182))=0</formula>
    </cfRule>
    <cfRule type="containsBlanks" dxfId="6148" priority="1072">
      <formula>LEN(TRIM(AI182))=0</formula>
    </cfRule>
    <cfRule type="containsBlanks" dxfId="6147" priority="1073">
      <formula>LEN(TRIM(AI182))=0</formula>
    </cfRule>
    <cfRule type="containsBlanks" dxfId="6146" priority="1074">
      <formula>LEN(TRIM(AI182))=0</formula>
    </cfRule>
    <cfRule type="containsBlanks" dxfId="6145" priority="1075">
      <formula>LEN(TRIM(AI182))=0</formula>
    </cfRule>
    <cfRule type="containsBlanks" dxfId="6144" priority="1076">
      <formula>LEN(TRIM(AI182))=0</formula>
    </cfRule>
    <cfRule type="containsBlanks" dxfId="6143" priority="1077">
      <formula>LEN(TRIM(AI182))=0</formula>
    </cfRule>
    <cfRule type="containsBlanks" dxfId="6142" priority="1078">
      <formula>LEN(TRIM(AI182))=0</formula>
    </cfRule>
    <cfRule type="containsBlanks" dxfId="6141" priority="1079">
      <formula>LEN(TRIM(AI182))=0</formula>
    </cfRule>
    <cfRule type="containsBlanks" dxfId="6140" priority="1080">
      <formula>LEN(TRIM(AI182))=0</formula>
    </cfRule>
    <cfRule type="containsBlanks" dxfId="6139" priority="1081">
      <formula>LEN(TRIM(AI182))=0</formula>
    </cfRule>
    <cfRule type="containsBlanks" dxfId="6138" priority="1082">
      <formula>LEN(TRIM(AI182))=0</formula>
    </cfRule>
    <cfRule type="containsBlanks" dxfId="6137" priority="1083">
      <formula>LEN(TRIM(AI182))=0</formula>
    </cfRule>
    <cfRule type="containsBlanks" dxfId="6136" priority="1084">
      <formula>LEN(TRIM(AI182))=0</formula>
    </cfRule>
    <cfRule type="containsBlanks" dxfId="6135" priority="1085">
      <formula>LEN(TRIM(AI182))=0</formula>
    </cfRule>
    <cfRule type="containsBlanks" dxfId="6134" priority="1086">
      <formula>LEN(TRIM(AI182))=0</formula>
    </cfRule>
    <cfRule type="containsBlanks" dxfId="6133" priority="1087">
      <formula>LEN(TRIM(AI182))=0</formula>
    </cfRule>
    <cfRule type="containsBlanks" dxfId="6132" priority="1088">
      <formula>LEN(TRIM(AI182))=0</formula>
    </cfRule>
    <cfRule type="containsBlanks" dxfId="6131" priority="1089">
      <formula>LEN(TRIM(AI182))=0</formula>
    </cfRule>
    <cfRule type="containsBlanks" dxfId="6130" priority="1090">
      <formula>LEN(TRIM(AI182))=0</formula>
    </cfRule>
    <cfRule type="containsBlanks" dxfId="6129" priority="1091">
      <formula>LEN(TRIM(AI182))=0</formula>
    </cfRule>
    <cfRule type="containsBlanks" dxfId="6128" priority="1092">
      <formula>LEN(TRIM(AI182))=0</formula>
    </cfRule>
    <cfRule type="containsBlanks" dxfId="6127" priority="1093">
      <formula>LEN(TRIM(AI182))=0</formula>
    </cfRule>
    <cfRule type="containsBlanks" dxfId="6126" priority="1094">
      <formula>LEN(TRIM(AI182))=0</formula>
    </cfRule>
    <cfRule type="containsBlanks" dxfId="6125" priority="1095">
      <formula>LEN(TRIM(AI182))=0</formula>
    </cfRule>
    <cfRule type="containsBlanks" dxfId="6124" priority="1096">
      <formula>LEN(TRIM(AI182))=0</formula>
    </cfRule>
    <cfRule type="containsBlanks" dxfId="6123" priority="1097">
      <formula>LEN(TRIM(AI182))=0</formula>
    </cfRule>
    <cfRule type="containsBlanks" dxfId="6122" priority="1098">
      <formula>LEN(TRIM(AI182))=0</formula>
    </cfRule>
    <cfRule type="containsBlanks" dxfId="6121" priority="1099">
      <formula>LEN(TRIM(AI182))=0</formula>
    </cfRule>
    <cfRule type="containsBlanks" dxfId="6120" priority="1100">
      <formula>LEN(TRIM(AI182))=0</formula>
    </cfRule>
    <cfRule type="containsBlanks" dxfId="6119" priority="1101">
      <formula>LEN(TRIM(AI182))=0</formula>
    </cfRule>
    <cfRule type="containsBlanks" dxfId="6118" priority="1102">
      <formula>LEN(TRIM(AI182))=0</formula>
    </cfRule>
    <cfRule type="containsBlanks" dxfId="6117" priority="1103">
      <formula>LEN(TRIM(AI182))=0</formula>
    </cfRule>
    <cfRule type="containsBlanks" dxfId="6116" priority="1104">
      <formula>LEN(TRIM(AI182))=0</formula>
    </cfRule>
    <cfRule type="containsBlanks" dxfId="6115" priority="1105">
      <formula>LEN(TRIM(AI182))=0</formula>
    </cfRule>
    <cfRule type="containsBlanks" dxfId="6114" priority="1106">
      <formula>LEN(TRIM(AI182))=0</formula>
    </cfRule>
    <cfRule type="containsBlanks" dxfId="6113" priority="1107">
      <formula>LEN(TRIM(AI182))=0</formula>
    </cfRule>
    <cfRule type="containsBlanks" dxfId="6112" priority="1108">
      <formula>LEN(TRIM(AI182))=0</formula>
    </cfRule>
    <cfRule type="containsBlanks" dxfId="6111" priority="1109">
      <formula>LEN(TRIM(AI182))=0</formula>
    </cfRule>
    <cfRule type="containsBlanks" dxfId="6110" priority="1110">
      <formula>LEN(TRIM(AI182))=0</formula>
    </cfRule>
    <cfRule type="containsBlanks" dxfId="6109" priority="1111">
      <formula>LEN(TRIM(AI182))=0</formula>
    </cfRule>
    <cfRule type="containsBlanks" dxfId="6108" priority="1112">
      <formula>LEN(TRIM(AI182))=0</formula>
    </cfRule>
    <cfRule type="containsBlanks" dxfId="6107" priority="1113">
      <formula>LEN(TRIM(AI182))=0</formula>
    </cfRule>
    <cfRule type="containsBlanks" dxfId="6106" priority="1114">
      <formula>LEN(TRIM(AI182))=0</formula>
    </cfRule>
    <cfRule type="containsBlanks" dxfId="6105" priority="1115">
      <formula>LEN(TRIM(AI182))=0</formula>
    </cfRule>
    <cfRule type="containsBlanks" dxfId="6104" priority="1116">
      <formula>LEN(TRIM(AI182))=0</formula>
    </cfRule>
    <cfRule type="containsBlanks" dxfId="6103" priority="1117">
      <formula>LEN(TRIM(AI182))=0</formula>
    </cfRule>
    <cfRule type="containsBlanks" dxfId="6102" priority="1118">
      <formula>LEN(TRIM(AI182))=0</formula>
    </cfRule>
    <cfRule type="containsBlanks" dxfId="6101" priority="1119">
      <formula>LEN(TRIM(AI182))=0</formula>
    </cfRule>
    <cfRule type="containsBlanks" dxfId="6100" priority="1120">
      <formula>LEN(TRIM(AI182))=0</formula>
    </cfRule>
    <cfRule type="containsBlanks" dxfId="6099" priority="1121">
      <formula>LEN(TRIM(AI182))=0</formula>
    </cfRule>
    <cfRule type="containsBlanks" dxfId="6098" priority="1122">
      <formula>LEN(TRIM(AI182))=0</formula>
    </cfRule>
    <cfRule type="containsBlanks" dxfId="6097" priority="1123">
      <formula>LEN(TRIM(AI182))=0</formula>
    </cfRule>
    <cfRule type="containsBlanks" dxfId="6096" priority="1124">
      <formula>LEN(TRIM(AI182))=0</formula>
    </cfRule>
    <cfRule type="containsBlanks" dxfId="6095" priority="1125">
      <formula>LEN(TRIM(AI182))=0</formula>
    </cfRule>
    <cfRule type="containsBlanks" dxfId="6094" priority="1126">
      <formula>LEN(TRIM(AI182))=0</formula>
    </cfRule>
    <cfRule type="containsBlanks" dxfId="6093" priority="1127">
      <formula>LEN(TRIM(AI182))=0</formula>
    </cfRule>
    <cfRule type="containsBlanks" dxfId="6092" priority="1128">
      <formula>LEN(TRIM(AI182))=0</formula>
    </cfRule>
    <cfRule type="containsBlanks" dxfId="6091" priority="1129">
      <formula>LEN(TRIM(AI182))=0</formula>
    </cfRule>
    <cfRule type="containsBlanks" dxfId="6090" priority="1130">
      <formula>LEN(TRIM(AI182))=0</formula>
    </cfRule>
    <cfRule type="containsBlanks" dxfId="6089" priority="1131">
      <formula>LEN(TRIM(AI182))=0</formula>
    </cfRule>
    <cfRule type="containsBlanks" dxfId="6088" priority="1132">
      <formula>LEN(TRIM(AI182))=0</formula>
    </cfRule>
    <cfRule type="containsBlanks" dxfId="6087" priority="1133">
      <formula>LEN(TRIM(AI182))=0</formula>
    </cfRule>
    <cfRule type="containsBlanks" dxfId="6086" priority="1134">
      <formula>LEN(TRIM(AI182))=0</formula>
    </cfRule>
    <cfRule type="containsBlanks" dxfId="6085" priority="1135">
      <formula>LEN(TRIM(AI182))=0</formula>
    </cfRule>
    <cfRule type="containsBlanks" dxfId="6084" priority="1136">
      <formula>LEN(TRIM(AI182))=0</formula>
    </cfRule>
    <cfRule type="containsBlanks" dxfId="6083" priority="1137">
      <formula>LEN(TRIM(AI182))=0</formula>
    </cfRule>
    <cfRule type="containsBlanks" dxfId="6082" priority="1138">
      <formula>LEN(TRIM(AI182))=0</formula>
    </cfRule>
    <cfRule type="containsBlanks" dxfId="6081" priority="1139">
      <formula>LEN(TRIM(AI182))=0</formula>
    </cfRule>
    <cfRule type="containsBlanks" dxfId="6080" priority="1140">
      <formula>LEN(TRIM(AI182))=0</formula>
    </cfRule>
    <cfRule type="containsBlanks" dxfId="6079" priority="1141">
      <formula>LEN(TRIM(AI182))=0</formula>
    </cfRule>
    <cfRule type="containsBlanks" dxfId="6078" priority="1142">
      <formula>LEN(TRIM(AI182))=0</formula>
    </cfRule>
    <cfRule type="containsBlanks" dxfId="6077" priority="1143">
      <formula>LEN(TRIM(AI182))=0</formula>
    </cfRule>
    <cfRule type="containsBlanks" dxfId="6076" priority="1144">
      <formula>LEN(TRIM(AI182))=0</formula>
    </cfRule>
    <cfRule type="containsBlanks" dxfId="6075" priority="1145">
      <formula>LEN(TRIM(AI182))=0</formula>
    </cfRule>
    <cfRule type="containsBlanks" dxfId="6074" priority="1146">
      <formula>LEN(TRIM(AI182))=0</formula>
    </cfRule>
    <cfRule type="containsBlanks" dxfId="6073" priority="1147">
      <formula>LEN(TRIM(AI182))=0</formula>
    </cfRule>
    <cfRule type="containsBlanks" dxfId="6072" priority="1148">
      <formula>LEN(TRIM(AI182))=0</formula>
    </cfRule>
    <cfRule type="containsBlanks" dxfId="6071" priority="1149">
      <formula>LEN(TRIM(AI182))=0</formula>
    </cfRule>
    <cfRule type="containsBlanks" dxfId="6070" priority="1150">
      <formula>LEN(TRIM(AI182))=0</formula>
    </cfRule>
    <cfRule type="containsBlanks" dxfId="6069" priority="1151">
      <formula>LEN(TRIM(AI182))=0</formula>
    </cfRule>
    <cfRule type="containsBlanks" dxfId="6068" priority="1152">
      <formula>LEN(TRIM(AI182))=0</formula>
    </cfRule>
    <cfRule type="containsBlanks" dxfId="6067" priority="1153">
      <formula>LEN(TRIM(AI182))=0</formula>
    </cfRule>
    <cfRule type="containsBlanks" dxfId="6066" priority="1154">
      <formula>LEN(TRIM(AI182))=0</formula>
    </cfRule>
    <cfRule type="containsBlanks" dxfId="6065" priority="1155">
      <formula>LEN(TRIM(AI182))=0</formula>
    </cfRule>
    <cfRule type="containsBlanks" dxfId="6064" priority="1156">
      <formula>LEN(TRIM(AI182))=0</formula>
    </cfRule>
    <cfRule type="containsBlanks" dxfId="6063" priority="1157">
      <formula>LEN(TRIM(AI182))=0</formula>
    </cfRule>
    <cfRule type="containsBlanks" dxfId="6062" priority="1158">
      <formula>LEN(TRIM(AI182))=0</formula>
    </cfRule>
    <cfRule type="containsBlanks" dxfId="6061" priority="1159">
      <formula>LEN(TRIM(AI182))=0</formula>
    </cfRule>
    <cfRule type="containsBlanks" dxfId="6060" priority="1160">
      <formula>LEN(TRIM(AI182))=0</formula>
    </cfRule>
    <cfRule type="containsBlanks" dxfId="6059" priority="1161">
      <formula>LEN(TRIM(AI182))=0</formula>
    </cfRule>
    <cfRule type="containsBlanks" dxfId="6058" priority="1162">
      <formula>LEN(TRIM(AI182))=0</formula>
    </cfRule>
    <cfRule type="containsBlanks" dxfId="6057" priority="1163">
      <formula>LEN(TRIM(AI182))=0</formula>
    </cfRule>
    <cfRule type="containsBlanks" dxfId="6056" priority="1164">
      <formula>LEN(TRIM(AI182))=0</formula>
    </cfRule>
    <cfRule type="containsBlanks" dxfId="6055" priority="1165">
      <formula>LEN(TRIM(AI182))=0</formula>
    </cfRule>
    <cfRule type="containsBlanks" dxfId="6054" priority="1166">
      <formula>LEN(TRIM(AI182))=0</formula>
    </cfRule>
    <cfRule type="containsBlanks" dxfId="6053" priority="1167">
      <formula>LEN(TRIM(AI182))=0</formula>
    </cfRule>
    <cfRule type="containsBlanks" dxfId="6052" priority="1168">
      <formula>LEN(TRIM(AI182))=0</formula>
    </cfRule>
    <cfRule type="containsBlanks" dxfId="6051" priority="1169">
      <formula>LEN(TRIM(AI182))=0</formula>
    </cfRule>
    <cfRule type="containsBlanks" dxfId="6050" priority="1170">
      <formula>LEN(TRIM(AI182))=0</formula>
    </cfRule>
    <cfRule type="containsBlanks" dxfId="6049" priority="1171">
      <formula>LEN(TRIM(AI182))=0</formula>
    </cfRule>
  </conditionalFormatting>
  <conditionalFormatting sqref="AI186">
    <cfRule type="containsBlanks" dxfId="6048" priority="684">
      <formula>LEN(TRIM(AI186))=0</formula>
    </cfRule>
    <cfRule type="containsBlanks" dxfId="6047" priority="685">
      <formula>LEN(TRIM(AI186))=0</formula>
    </cfRule>
    <cfRule type="containsBlanks" dxfId="6046" priority="686">
      <formula>LEN(TRIM(AI186))=0</formula>
    </cfRule>
    <cfRule type="containsBlanks" dxfId="6045" priority="687">
      <formula>LEN(TRIM(AI186))=0</formula>
    </cfRule>
    <cfRule type="containsBlanks" dxfId="6044" priority="688">
      <formula>LEN(TRIM(AI186))=0</formula>
    </cfRule>
    <cfRule type="containsBlanks" dxfId="6043" priority="689">
      <formula>LEN(TRIM(AI186))=0</formula>
    </cfRule>
    <cfRule type="containsBlanks" dxfId="6042" priority="690">
      <formula>LEN(TRIM(AI186))=0</formula>
    </cfRule>
    <cfRule type="containsBlanks" dxfId="6041" priority="691">
      <formula>LEN(TRIM(AI186))=0</formula>
    </cfRule>
    <cfRule type="containsBlanks" dxfId="6040" priority="692">
      <formula>LEN(TRIM(AI186))=0</formula>
    </cfRule>
    <cfRule type="containsBlanks" dxfId="6039" priority="693">
      <formula>LEN(TRIM(AI186))=0</formula>
    </cfRule>
    <cfRule type="containsBlanks" dxfId="6038" priority="694">
      <formula>LEN(TRIM(AI186))=0</formula>
    </cfRule>
    <cfRule type="containsBlanks" dxfId="6037" priority="695">
      <formula>LEN(TRIM(AI186))=0</formula>
    </cfRule>
    <cfRule type="containsBlanks" dxfId="6036" priority="696">
      <formula>LEN(TRIM(AI186))=0</formula>
    </cfRule>
    <cfRule type="containsBlanks" dxfId="6035" priority="697">
      <formula>LEN(TRIM(AI186))=0</formula>
    </cfRule>
    <cfRule type="containsBlanks" dxfId="6034" priority="698">
      <formula>LEN(TRIM(AI186))=0</formula>
    </cfRule>
    <cfRule type="containsBlanks" dxfId="6033" priority="699">
      <formula>LEN(TRIM(AI186))=0</formula>
    </cfRule>
    <cfRule type="containsBlanks" dxfId="6032" priority="700">
      <formula>LEN(TRIM(AI186))=0</formula>
    </cfRule>
    <cfRule type="containsBlanks" dxfId="6031" priority="701">
      <formula>LEN(TRIM(AI186))=0</formula>
    </cfRule>
    <cfRule type="containsBlanks" dxfId="6030" priority="702">
      <formula>LEN(TRIM(AI186))=0</formula>
    </cfRule>
    <cfRule type="containsBlanks" dxfId="6029" priority="703">
      <formula>LEN(TRIM(AI186))=0</formula>
    </cfRule>
    <cfRule type="containsBlanks" dxfId="6028" priority="704">
      <formula>LEN(TRIM(AI186))=0</formula>
    </cfRule>
    <cfRule type="containsBlanks" dxfId="6027" priority="705">
      <formula>LEN(TRIM(AI186))=0</formula>
    </cfRule>
    <cfRule type="containsBlanks" dxfId="6026" priority="706">
      <formula>LEN(TRIM(AI186))=0</formula>
    </cfRule>
    <cfRule type="containsBlanks" dxfId="6025" priority="707">
      <formula>LEN(TRIM(AI186))=0</formula>
    </cfRule>
    <cfRule type="containsBlanks" dxfId="6024" priority="708">
      <formula>LEN(TRIM(AI186))=0</formula>
    </cfRule>
    <cfRule type="containsBlanks" dxfId="6023" priority="709">
      <formula>LEN(TRIM(AI186))=0</formula>
    </cfRule>
    <cfRule type="containsBlanks" dxfId="6022" priority="710">
      <formula>LEN(TRIM(AI186))=0</formula>
    </cfRule>
    <cfRule type="containsBlanks" dxfId="6021" priority="711">
      <formula>LEN(TRIM(AI186))=0</formula>
    </cfRule>
    <cfRule type="containsBlanks" dxfId="6020" priority="712">
      <formula>LEN(TRIM(AI186))=0</formula>
    </cfRule>
    <cfRule type="containsBlanks" dxfId="6019" priority="713">
      <formula>LEN(TRIM(AI186))=0</formula>
    </cfRule>
    <cfRule type="containsBlanks" dxfId="6018" priority="714">
      <formula>LEN(TRIM(AI186))=0</formula>
    </cfRule>
    <cfRule type="containsBlanks" dxfId="6017" priority="715">
      <formula>LEN(TRIM(AI186))=0</formula>
    </cfRule>
    <cfRule type="containsBlanks" dxfId="6016" priority="716">
      <formula>LEN(TRIM(AI186))=0</formula>
    </cfRule>
    <cfRule type="containsBlanks" dxfId="6015" priority="717">
      <formula>LEN(TRIM(AI186))=0</formula>
    </cfRule>
    <cfRule type="containsBlanks" dxfId="6014" priority="718">
      <formula>LEN(TRIM(AI186))=0</formula>
    </cfRule>
    <cfRule type="containsBlanks" dxfId="6013" priority="719">
      <formula>LEN(TRIM(AI186))=0</formula>
    </cfRule>
    <cfRule type="containsBlanks" dxfId="6012" priority="720">
      <formula>LEN(TRIM(AI186))=0</formula>
    </cfRule>
    <cfRule type="containsBlanks" dxfId="6011" priority="721">
      <formula>LEN(TRIM(AI186))=0</formula>
    </cfRule>
    <cfRule type="containsBlanks" dxfId="6010" priority="722">
      <formula>LEN(TRIM(AI186))=0</formula>
    </cfRule>
    <cfRule type="containsBlanks" dxfId="6009" priority="723">
      <formula>LEN(TRIM(AI186))=0</formula>
    </cfRule>
    <cfRule type="containsBlanks" dxfId="6008" priority="724">
      <formula>LEN(TRIM(AI186))=0</formula>
    </cfRule>
    <cfRule type="containsBlanks" dxfId="6007" priority="725">
      <formula>LEN(TRIM(AI186))=0</formula>
    </cfRule>
    <cfRule type="containsBlanks" dxfId="6006" priority="726">
      <formula>LEN(TRIM(AI186))=0</formula>
    </cfRule>
    <cfRule type="containsBlanks" dxfId="6005" priority="727">
      <formula>LEN(TRIM(AI186))=0</formula>
    </cfRule>
    <cfRule type="containsBlanks" dxfId="6004" priority="728">
      <formula>LEN(TRIM(AI186))=0</formula>
    </cfRule>
    <cfRule type="containsBlanks" dxfId="6003" priority="729">
      <formula>LEN(TRIM(AI186))=0</formula>
    </cfRule>
    <cfRule type="containsBlanks" dxfId="6002" priority="730">
      <formula>LEN(TRIM(AI186))=0</formula>
    </cfRule>
    <cfRule type="containsBlanks" dxfId="6001" priority="731">
      <formula>LEN(TRIM(AI186))=0</formula>
    </cfRule>
    <cfRule type="containsBlanks" dxfId="6000" priority="732">
      <formula>LEN(TRIM(AI186))=0</formula>
    </cfRule>
    <cfRule type="containsBlanks" dxfId="5999" priority="733">
      <formula>LEN(TRIM(AI186))=0</formula>
    </cfRule>
    <cfRule type="containsBlanks" dxfId="5998" priority="734">
      <formula>LEN(TRIM(AI186))=0</formula>
    </cfRule>
    <cfRule type="containsBlanks" dxfId="5997" priority="735">
      <formula>LEN(TRIM(AI186))=0</formula>
    </cfRule>
    <cfRule type="containsBlanks" dxfId="5996" priority="736">
      <formula>LEN(TRIM(AI186))=0</formula>
    </cfRule>
    <cfRule type="containsBlanks" dxfId="5995" priority="737">
      <formula>LEN(TRIM(AI186))=0</formula>
    </cfRule>
    <cfRule type="containsBlanks" dxfId="5994" priority="738">
      <formula>LEN(TRIM(AI186))=0</formula>
    </cfRule>
    <cfRule type="containsBlanks" dxfId="5993" priority="739">
      <formula>LEN(TRIM(AI186))=0</formula>
    </cfRule>
    <cfRule type="containsBlanks" dxfId="5992" priority="740">
      <formula>LEN(TRIM(AI186))=0</formula>
    </cfRule>
    <cfRule type="containsBlanks" dxfId="5991" priority="741">
      <formula>LEN(TRIM(AI186))=0</formula>
    </cfRule>
    <cfRule type="containsBlanks" dxfId="5990" priority="742">
      <formula>LEN(TRIM(AI186))=0</formula>
    </cfRule>
    <cfRule type="containsBlanks" dxfId="5989" priority="743">
      <formula>LEN(TRIM(AI186))=0</formula>
    </cfRule>
    <cfRule type="containsBlanks" dxfId="5988" priority="744">
      <formula>LEN(TRIM(AI186))=0</formula>
    </cfRule>
    <cfRule type="containsBlanks" dxfId="5987" priority="745">
      <formula>LEN(TRIM(AI186))=0</formula>
    </cfRule>
    <cfRule type="containsBlanks" dxfId="5986" priority="746">
      <formula>LEN(TRIM(AI186))=0</formula>
    </cfRule>
    <cfRule type="containsBlanks" dxfId="5985" priority="747">
      <formula>LEN(TRIM(AI186))=0</formula>
    </cfRule>
    <cfRule type="containsBlanks" dxfId="5984" priority="748">
      <formula>LEN(TRIM(AI186))=0</formula>
    </cfRule>
    <cfRule type="containsBlanks" dxfId="5983" priority="749">
      <formula>LEN(TRIM(AI186))=0</formula>
    </cfRule>
    <cfRule type="containsBlanks" dxfId="5982" priority="750">
      <formula>LEN(TRIM(AI186))=0</formula>
    </cfRule>
    <cfRule type="containsBlanks" dxfId="5981" priority="751">
      <formula>LEN(TRIM(AI186))=0</formula>
    </cfRule>
    <cfRule type="containsBlanks" dxfId="5980" priority="752">
      <formula>LEN(TRIM(AI186))=0</formula>
    </cfRule>
    <cfRule type="containsBlanks" dxfId="5979" priority="753">
      <formula>LEN(TRIM(AI186))=0</formula>
    </cfRule>
    <cfRule type="containsBlanks" dxfId="5978" priority="754">
      <formula>LEN(TRIM(AI186))=0</formula>
    </cfRule>
    <cfRule type="containsBlanks" dxfId="5977" priority="755">
      <formula>LEN(TRIM(AI186))=0</formula>
    </cfRule>
    <cfRule type="containsBlanks" dxfId="5976" priority="756">
      <formula>LEN(TRIM(AI186))=0</formula>
    </cfRule>
    <cfRule type="containsBlanks" dxfId="5975" priority="757">
      <formula>LEN(TRIM(AI186))=0</formula>
    </cfRule>
    <cfRule type="containsBlanks" dxfId="5974" priority="758">
      <formula>LEN(TRIM(AI186))=0</formula>
    </cfRule>
    <cfRule type="containsBlanks" dxfId="5973" priority="759">
      <formula>LEN(TRIM(AI186))=0</formula>
    </cfRule>
    <cfRule type="containsBlanks" dxfId="5972" priority="760">
      <formula>LEN(TRIM(AI186))=0</formula>
    </cfRule>
    <cfRule type="containsBlanks" dxfId="5971" priority="761">
      <formula>LEN(TRIM(AI186))=0</formula>
    </cfRule>
    <cfRule type="containsBlanks" dxfId="5970" priority="762">
      <formula>LEN(TRIM(AI186))=0</formula>
    </cfRule>
    <cfRule type="containsBlanks" dxfId="5969" priority="763">
      <formula>LEN(TRIM(AI186))=0</formula>
    </cfRule>
    <cfRule type="containsBlanks" dxfId="5968" priority="764">
      <formula>LEN(TRIM(AI186))=0</formula>
    </cfRule>
    <cfRule type="containsBlanks" dxfId="5967" priority="765">
      <formula>LEN(TRIM(AI186))=0</formula>
    </cfRule>
    <cfRule type="containsBlanks" dxfId="5966" priority="766">
      <formula>LEN(TRIM(AI186))=0</formula>
    </cfRule>
    <cfRule type="containsBlanks" dxfId="5965" priority="767">
      <formula>LEN(TRIM(AI186))=0</formula>
    </cfRule>
    <cfRule type="containsBlanks" dxfId="5964" priority="768">
      <formula>LEN(TRIM(AI186))=0</formula>
    </cfRule>
    <cfRule type="containsBlanks" dxfId="5963" priority="769">
      <formula>LEN(TRIM(AI186))=0</formula>
    </cfRule>
    <cfRule type="containsBlanks" dxfId="5962" priority="770">
      <formula>LEN(TRIM(AI186))=0</formula>
    </cfRule>
    <cfRule type="containsBlanks" dxfId="5961" priority="771">
      <formula>LEN(TRIM(AI186))=0</formula>
    </cfRule>
    <cfRule type="containsBlanks" dxfId="5960" priority="772">
      <formula>LEN(TRIM(AI186))=0</formula>
    </cfRule>
    <cfRule type="containsBlanks" dxfId="5959" priority="773">
      <formula>LEN(TRIM(AI186))=0</formula>
    </cfRule>
    <cfRule type="containsBlanks" dxfId="5958" priority="774">
      <formula>LEN(TRIM(AI186))=0</formula>
    </cfRule>
    <cfRule type="containsBlanks" dxfId="5957" priority="775">
      <formula>LEN(TRIM(AI186))=0</formula>
    </cfRule>
    <cfRule type="containsBlanks" dxfId="5956" priority="776">
      <formula>LEN(TRIM(AI186))=0</formula>
    </cfRule>
    <cfRule type="containsBlanks" dxfId="5955" priority="777">
      <formula>LEN(TRIM(AI186))=0</formula>
    </cfRule>
    <cfRule type="containsBlanks" dxfId="5954" priority="778">
      <formula>LEN(TRIM(AI186))=0</formula>
    </cfRule>
    <cfRule type="containsBlanks" dxfId="5953" priority="779">
      <formula>LEN(TRIM(AI186))=0</formula>
    </cfRule>
    <cfRule type="containsBlanks" dxfId="5952" priority="780">
      <formula>LEN(TRIM(AI186))=0</formula>
    </cfRule>
    <cfRule type="containsBlanks" dxfId="5951" priority="781">
      <formula>LEN(TRIM(AI186))=0</formula>
    </cfRule>
    <cfRule type="containsBlanks" dxfId="5950" priority="782">
      <formula>LEN(TRIM(AI186))=0</formula>
    </cfRule>
    <cfRule type="containsBlanks" dxfId="5949" priority="783">
      <formula>LEN(TRIM(AI186))=0</formula>
    </cfRule>
    <cfRule type="containsBlanks" dxfId="5948" priority="784">
      <formula>LEN(TRIM(AI186))=0</formula>
    </cfRule>
    <cfRule type="containsBlanks" dxfId="5947" priority="785">
      <formula>LEN(TRIM(AI186))=0</formula>
    </cfRule>
    <cfRule type="containsBlanks" dxfId="5946" priority="786">
      <formula>LEN(TRIM(AI186))=0</formula>
    </cfRule>
    <cfRule type="containsBlanks" dxfId="5945" priority="787">
      <formula>LEN(TRIM(AI186))=0</formula>
    </cfRule>
    <cfRule type="containsBlanks" dxfId="5944" priority="788">
      <formula>LEN(TRIM(AI186))=0</formula>
    </cfRule>
    <cfRule type="containsBlanks" dxfId="5943" priority="789">
      <formula>LEN(TRIM(AI186))=0</formula>
    </cfRule>
    <cfRule type="containsBlanks" dxfId="5942" priority="790">
      <formula>LEN(TRIM(AI186))=0</formula>
    </cfRule>
    <cfRule type="containsBlanks" dxfId="5941" priority="791">
      <formula>LEN(TRIM(AI186))=0</formula>
    </cfRule>
    <cfRule type="containsBlanks" dxfId="5940" priority="792">
      <formula>LEN(TRIM(AI186))=0</formula>
    </cfRule>
    <cfRule type="containsBlanks" dxfId="5939" priority="793">
      <formula>LEN(TRIM(AI186))=0</formula>
    </cfRule>
    <cfRule type="containsBlanks" dxfId="5938" priority="794">
      <formula>LEN(TRIM(AI186))=0</formula>
    </cfRule>
    <cfRule type="containsBlanks" dxfId="5937" priority="795">
      <formula>LEN(TRIM(AI186))=0</formula>
    </cfRule>
    <cfRule type="containsBlanks" dxfId="5936" priority="796">
      <formula>LEN(TRIM(AI186))=0</formula>
    </cfRule>
    <cfRule type="containsBlanks" dxfId="5935" priority="797">
      <formula>LEN(TRIM(AI186))=0</formula>
    </cfRule>
    <cfRule type="containsBlanks" dxfId="5934" priority="798">
      <formula>LEN(TRIM(AI186))=0</formula>
    </cfRule>
    <cfRule type="containsBlanks" dxfId="5933" priority="799">
      <formula>LEN(TRIM(AI186))=0</formula>
    </cfRule>
    <cfRule type="containsBlanks" dxfId="5932" priority="800">
      <formula>LEN(TRIM(AI186))=0</formula>
    </cfRule>
    <cfRule type="containsBlanks" dxfId="5931" priority="801">
      <formula>LEN(TRIM(AI186))=0</formula>
    </cfRule>
    <cfRule type="containsBlanks" dxfId="5930" priority="802">
      <formula>LEN(TRIM(AI186))=0</formula>
    </cfRule>
    <cfRule type="containsBlanks" dxfId="5929" priority="803">
      <formula>LEN(TRIM(AI186))=0</formula>
    </cfRule>
    <cfRule type="containsBlanks" dxfId="5928" priority="804">
      <formula>LEN(TRIM(AI186))=0</formula>
    </cfRule>
    <cfRule type="containsBlanks" dxfId="5927" priority="805">
      <formula>LEN(TRIM(AI186))=0</formula>
    </cfRule>
    <cfRule type="containsBlanks" dxfId="5926" priority="806">
      <formula>LEN(TRIM(AI186))=0</formula>
    </cfRule>
    <cfRule type="containsBlanks" dxfId="5925" priority="807">
      <formula>LEN(TRIM(AI186))=0</formula>
    </cfRule>
    <cfRule type="containsBlanks" dxfId="5924" priority="808">
      <formula>LEN(TRIM(AI186))=0</formula>
    </cfRule>
    <cfRule type="containsBlanks" dxfId="5923" priority="809">
      <formula>LEN(TRIM(AI186))=0</formula>
    </cfRule>
    <cfRule type="containsBlanks" dxfId="5922" priority="810">
      <formula>LEN(TRIM(AI186))=0</formula>
    </cfRule>
    <cfRule type="containsBlanks" dxfId="5921" priority="811">
      <formula>LEN(TRIM(AI186))=0</formula>
    </cfRule>
    <cfRule type="containsBlanks" dxfId="5920" priority="812">
      <formula>LEN(TRIM(AI186))=0</formula>
    </cfRule>
    <cfRule type="containsBlanks" dxfId="5919" priority="813">
      <formula>LEN(TRIM(AI186))=0</formula>
    </cfRule>
    <cfRule type="containsBlanks" dxfId="5918" priority="814">
      <formula>LEN(TRIM(AI186))=0</formula>
    </cfRule>
    <cfRule type="containsBlanks" dxfId="5917" priority="815">
      <formula>LEN(TRIM(AI186))=0</formula>
    </cfRule>
    <cfRule type="containsBlanks" dxfId="5916" priority="816">
      <formula>LEN(TRIM(AI186))=0</formula>
    </cfRule>
    <cfRule type="containsBlanks" dxfId="5915" priority="817">
      <formula>LEN(TRIM(AI186))=0</formula>
    </cfRule>
    <cfRule type="containsBlanks" dxfId="5914" priority="818">
      <formula>LEN(TRIM(AI186))=0</formula>
    </cfRule>
    <cfRule type="containsBlanks" dxfId="5913" priority="819">
      <formula>LEN(TRIM(AI186))=0</formula>
    </cfRule>
    <cfRule type="containsBlanks" dxfId="5912" priority="820">
      <formula>LEN(TRIM(AI186))=0</formula>
    </cfRule>
    <cfRule type="containsBlanks" dxfId="5911" priority="821">
      <formula>LEN(TRIM(AI186))=0</formula>
    </cfRule>
    <cfRule type="containsBlanks" dxfId="5910" priority="822">
      <formula>LEN(TRIM(AI186))=0</formula>
    </cfRule>
    <cfRule type="containsBlanks" dxfId="5909" priority="823">
      <formula>LEN(TRIM(AI186))=0</formula>
    </cfRule>
    <cfRule type="containsBlanks" dxfId="5908" priority="824">
      <formula>LEN(TRIM(AI186))=0</formula>
    </cfRule>
    <cfRule type="containsBlanks" dxfId="5907" priority="825">
      <formula>LEN(TRIM(AI186))=0</formula>
    </cfRule>
    <cfRule type="containsBlanks" dxfId="5906" priority="826">
      <formula>LEN(TRIM(AI186))=0</formula>
    </cfRule>
    <cfRule type="containsBlanks" dxfId="5905" priority="827">
      <formula>LEN(TRIM(AI186))=0</formula>
    </cfRule>
    <cfRule type="containsBlanks" dxfId="5904" priority="828">
      <formula>LEN(TRIM(AI186))=0</formula>
    </cfRule>
    <cfRule type="containsBlanks" dxfId="5903" priority="829">
      <formula>LEN(TRIM(AI186))=0</formula>
    </cfRule>
    <cfRule type="containsBlanks" dxfId="5902" priority="830">
      <formula>LEN(TRIM(AI186))=0</formula>
    </cfRule>
    <cfRule type="containsBlanks" dxfId="5901" priority="831">
      <formula>LEN(TRIM(AI186))=0</formula>
    </cfRule>
    <cfRule type="containsBlanks" dxfId="5900" priority="832">
      <formula>LEN(TRIM(AI186))=0</formula>
    </cfRule>
    <cfRule type="containsBlanks" dxfId="5899" priority="833">
      <formula>LEN(TRIM(AI186))=0</formula>
    </cfRule>
    <cfRule type="containsBlanks" dxfId="5898" priority="834">
      <formula>LEN(TRIM(AI186))=0</formula>
    </cfRule>
    <cfRule type="containsBlanks" dxfId="5897" priority="835">
      <formula>LEN(TRIM(AI186))=0</formula>
    </cfRule>
    <cfRule type="containsBlanks" dxfId="5896" priority="836">
      <formula>LEN(TRIM(AI186))=0</formula>
    </cfRule>
    <cfRule type="containsBlanks" dxfId="5895" priority="837">
      <formula>LEN(TRIM(AI186))=0</formula>
    </cfRule>
    <cfRule type="containsBlanks" dxfId="5894" priority="838">
      <formula>LEN(TRIM(AI186))=0</formula>
    </cfRule>
    <cfRule type="containsBlanks" dxfId="5893" priority="839">
      <formula>LEN(TRIM(AI186))=0</formula>
    </cfRule>
    <cfRule type="containsBlanks" dxfId="5892" priority="840">
      <formula>LEN(TRIM(AI186))=0</formula>
    </cfRule>
    <cfRule type="containsBlanks" dxfId="5891" priority="841">
      <formula>LEN(TRIM(AI186))=0</formula>
    </cfRule>
    <cfRule type="containsBlanks" dxfId="5890" priority="842">
      <formula>LEN(TRIM(AI186))=0</formula>
    </cfRule>
    <cfRule type="containsBlanks" dxfId="5889" priority="843">
      <formula>LEN(TRIM(AI186))=0</formula>
    </cfRule>
    <cfRule type="containsBlanks" dxfId="5888" priority="844">
      <formula>LEN(TRIM(AI186))=0</formula>
    </cfRule>
    <cfRule type="containsBlanks" dxfId="5887" priority="845">
      <formula>LEN(TRIM(AI186))=0</formula>
    </cfRule>
    <cfRule type="containsBlanks" dxfId="5886" priority="846">
      <formula>LEN(TRIM(AI186))=0</formula>
    </cfRule>
    <cfRule type="containsBlanks" dxfId="5885" priority="847">
      <formula>LEN(TRIM(AI186))=0</formula>
    </cfRule>
    <cfRule type="containsBlanks" dxfId="5884" priority="848">
      <formula>LEN(TRIM(AI186))=0</formula>
    </cfRule>
    <cfRule type="containsBlanks" dxfId="5883" priority="849">
      <formula>LEN(TRIM(AI186))=0</formula>
    </cfRule>
    <cfRule type="containsBlanks" dxfId="5882" priority="850">
      <formula>LEN(TRIM(AI186))=0</formula>
    </cfRule>
    <cfRule type="containsBlanks" dxfId="5881" priority="851">
      <formula>LEN(TRIM(AI186))=0</formula>
    </cfRule>
    <cfRule type="containsBlanks" dxfId="5880" priority="852">
      <formula>LEN(TRIM(AI186))=0</formula>
    </cfRule>
    <cfRule type="containsBlanks" dxfId="5879" priority="853">
      <formula>LEN(TRIM(AI186))=0</formula>
    </cfRule>
    <cfRule type="containsBlanks" dxfId="5878" priority="854">
      <formula>LEN(TRIM(AI186))=0</formula>
    </cfRule>
    <cfRule type="containsBlanks" dxfId="5877" priority="855">
      <formula>LEN(TRIM(AI186))=0</formula>
    </cfRule>
    <cfRule type="containsBlanks" dxfId="5876" priority="856">
      <formula>LEN(TRIM(AI186))=0</formula>
    </cfRule>
    <cfRule type="containsBlanks" dxfId="5875" priority="857">
      <formula>LEN(TRIM(AI186))=0</formula>
    </cfRule>
    <cfRule type="containsBlanks" dxfId="5874" priority="858">
      <formula>LEN(TRIM(AI186))=0</formula>
    </cfRule>
    <cfRule type="containsBlanks" dxfId="5873" priority="859">
      <formula>LEN(TRIM(AI186))=0</formula>
    </cfRule>
    <cfRule type="containsBlanks" dxfId="5872" priority="860">
      <formula>LEN(TRIM(AI186))=0</formula>
    </cfRule>
    <cfRule type="containsBlanks" dxfId="5871" priority="861">
      <formula>LEN(TRIM(AI186))=0</formula>
    </cfRule>
    <cfRule type="containsBlanks" dxfId="5870" priority="862">
      <formula>LEN(TRIM(AI186))=0</formula>
    </cfRule>
    <cfRule type="containsBlanks" dxfId="5869" priority="863">
      <formula>LEN(TRIM(AI186))=0</formula>
    </cfRule>
    <cfRule type="containsBlanks" dxfId="5868" priority="864">
      <formula>LEN(TRIM(AI186))=0</formula>
    </cfRule>
    <cfRule type="containsBlanks" dxfId="5867" priority="865">
      <formula>LEN(TRIM(AI186))=0</formula>
    </cfRule>
    <cfRule type="containsBlanks" dxfId="5866" priority="866">
      <formula>LEN(TRIM(AI186))=0</formula>
    </cfRule>
    <cfRule type="containsBlanks" dxfId="5865" priority="867">
      <formula>LEN(TRIM(AI186))=0</formula>
    </cfRule>
    <cfRule type="containsBlanks" dxfId="5864" priority="868">
      <formula>LEN(TRIM(AI186))=0</formula>
    </cfRule>
    <cfRule type="containsBlanks" dxfId="5863" priority="869">
      <formula>LEN(TRIM(AI186))=0</formula>
    </cfRule>
    <cfRule type="containsBlanks" dxfId="5862" priority="870">
      <formula>LEN(TRIM(AI186))=0</formula>
    </cfRule>
    <cfRule type="containsBlanks" dxfId="5861" priority="871">
      <formula>LEN(TRIM(AI186))=0</formula>
    </cfRule>
    <cfRule type="containsBlanks" dxfId="5860" priority="872">
      <formula>LEN(TRIM(AI186))=0</formula>
    </cfRule>
    <cfRule type="containsBlanks" dxfId="5859" priority="873">
      <formula>LEN(TRIM(AI186))=0</formula>
    </cfRule>
    <cfRule type="containsBlanks" dxfId="5858" priority="874">
      <formula>LEN(TRIM(AI186))=0</formula>
    </cfRule>
    <cfRule type="containsBlanks" dxfId="5857" priority="875">
      <formula>LEN(TRIM(AI186))=0</formula>
    </cfRule>
    <cfRule type="containsBlanks" dxfId="5856" priority="876">
      <formula>LEN(TRIM(AI186))=0</formula>
    </cfRule>
    <cfRule type="containsBlanks" dxfId="5855" priority="877">
      <formula>LEN(TRIM(AI186))=0</formula>
    </cfRule>
    <cfRule type="containsBlanks" dxfId="5854" priority="878">
      <formula>LEN(TRIM(AI186))=0</formula>
    </cfRule>
    <cfRule type="containsBlanks" dxfId="5853" priority="879">
      <formula>LEN(TRIM(AI186))=0</formula>
    </cfRule>
    <cfRule type="containsBlanks" dxfId="5852" priority="880">
      <formula>LEN(TRIM(AI186))=0</formula>
    </cfRule>
    <cfRule type="containsBlanks" dxfId="5851" priority="881">
      <formula>LEN(TRIM(AI186))=0</formula>
    </cfRule>
    <cfRule type="containsBlanks" dxfId="5850" priority="882">
      <formula>LEN(TRIM(AI186))=0</formula>
    </cfRule>
    <cfRule type="containsBlanks" dxfId="5849" priority="883">
      <formula>LEN(TRIM(AI186))=0</formula>
    </cfRule>
    <cfRule type="containsBlanks" dxfId="5848" priority="884">
      <formula>LEN(TRIM(AI186))=0</formula>
    </cfRule>
    <cfRule type="containsBlanks" dxfId="5847" priority="885">
      <formula>LEN(TRIM(AI186))=0</formula>
    </cfRule>
    <cfRule type="containsBlanks" dxfId="5846" priority="886">
      <formula>LEN(TRIM(AI186))=0</formula>
    </cfRule>
    <cfRule type="containsBlanks" dxfId="5845" priority="887">
      <formula>LEN(TRIM(AI186))=0</formula>
    </cfRule>
    <cfRule type="containsBlanks" dxfId="5844" priority="888">
      <formula>LEN(TRIM(AI186))=0</formula>
    </cfRule>
    <cfRule type="containsBlanks" dxfId="5843" priority="889">
      <formula>LEN(TRIM(AI186))=0</formula>
    </cfRule>
    <cfRule type="containsBlanks" dxfId="5842" priority="890">
      <formula>LEN(TRIM(AI186))=0</formula>
    </cfRule>
    <cfRule type="containsBlanks" dxfId="5841" priority="891">
      <formula>LEN(TRIM(AI186))=0</formula>
    </cfRule>
    <cfRule type="containsBlanks" dxfId="5840" priority="892">
      <formula>LEN(TRIM(AI186))=0</formula>
    </cfRule>
    <cfRule type="containsBlanks" dxfId="5839" priority="893">
      <formula>LEN(TRIM(AI186))=0</formula>
    </cfRule>
    <cfRule type="containsBlanks" dxfId="5838" priority="894">
      <formula>LEN(TRIM(AI186))=0</formula>
    </cfRule>
    <cfRule type="containsBlanks" dxfId="5837" priority="895">
      <formula>LEN(TRIM(AI186))=0</formula>
    </cfRule>
    <cfRule type="containsBlanks" dxfId="5836" priority="896">
      <formula>LEN(TRIM(AI186))=0</formula>
    </cfRule>
    <cfRule type="containsBlanks" dxfId="5835" priority="897">
      <formula>LEN(TRIM(AI186))=0</formula>
    </cfRule>
    <cfRule type="containsBlanks" dxfId="5834" priority="898">
      <formula>LEN(TRIM(AI186))=0</formula>
    </cfRule>
    <cfRule type="containsBlanks" dxfId="5833" priority="899">
      <formula>LEN(TRIM(AI186))=0</formula>
    </cfRule>
    <cfRule type="containsBlanks" dxfId="5832" priority="900">
      <formula>LEN(TRIM(AI186))=0</formula>
    </cfRule>
    <cfRule type="containsBlanks" dxfId="5831" priority="901">
      <formula>LEN(TRIM(AI186))=0</formula>
    </cfRule>
    <cfRule type="containsBlanks" dxfId="5830" priority="902">
      <formula>LEN(TRIM(AI186))=0</formula>
    </cfRule>
    <cfRule type="containsBlanks" dxfId="5829" priority="903">
      <formula>LEN(TRIM(AI186))=0</formula>
    </cfRule>
    <cfRule type="containsBlanks" dxfId="5828" priority="904">
      <formula>LEN(TRIM(AI186))=0</formula>
    </cfRule>
    <cfRule type="containsBlanks" dxfId="5827" priority="905">
      <formula>LEN(TRIM(AI186))=0</formula>
    </cfRule>
    <cfRule type="containsBlanks" dxfId="5826" priority="906">
      <formula>LEN(TRIM(AI186))=0</formula>
    </cfRule>
    <cfRule type="containsBlanks" dxfId="5825" priority="907">
      <formula>LEN(TRIM(AI186))=0</formula>
    </cfRule>
    <cfRule type="containsBlanks" dxfId="5824" priority="908">
      <formula>LEN(TRIM(AI186))=0</formula>
    </cfRule>
    <cfRule type="containsBlanks" dxfId="5823" priority="909">
      <formula>LEN(TRIM(AI186))=0</formula>
    </cfRule>
    <cfRule type="containsBlanks" dxfId="5822" priority="910">
      <formula>LEN(TRIM(AI186))=0</formula>
    </cfRule>
    <cfRule type="containsBlanks" dxfId="5821" priority="911">
      <formula>LEN(TRIM(AI186))=0</formula>
    </cfRule>
    <cfRule type="containsBlanks" dxfId="5820" priority="912">
      <formula>LEN(TRIM(AI186))=0</formula>
    </cfRule>
    <cfRule type="containsBlanks" dxfId="5819" priority="913">
      <formula>LEN(TRIM(AI186))=0</formula>
    </cfRule>
    <cfRule type="containsBlanks" dxfId="5818" priority="914">
      <formula>LEN(TRIM(AI186))=0</formula>
    </cfRule>
    <cfRule type="containsBlanks" dxfId="5817" priority="915">
      <formula>LEN(TRIM(AI186))=0</formula>
    </cfRule>
    <cfRule type="containsBlanks" dxfId="5816" priority="916">
      <formula>LEN(TRIM(AI186))=0</formula>
    </cfRule>
    <cfRule type="containsBlanks" dxfId="5815" priority="917">
      <formula>LEN(TRIM(AI186))=0</formula>
    </cfRule>
    <cfRule type="containsBlanks" dxfId="5814" priority="918">
      <formula>LEN(TRIM(AI186))=0</formula>
    </cfRule>
    <cfRule type="containsBlanks" dxfId="5813" priority="919">
      <formula>LEN(TRIM(AI186))=0</formula>
    </cfRule>
    <cfRule type="containsBlanks" dxfId="5812" priority="920">
      <formula>LEN(TRIM(AI186))=0</formula>
    </cfRule>
    <cfRule type="containsBlanks" dxfId="5811" priority="921">
      <formula>LEN(TRIM(AI186))=0</formula>
    </cfRule>
    <cfRule type="containsBlanks" dxfId="5810" priority="922">
      <formula>LEN(TRIM(AI186))=0</formula>
    </cfRule>
    <cfRule type="containsBlanks" dxfId="5809" priority="923">
      <formula>LEN(TRIM(AI186))=0</formula>
    </cfRule>
    <cfRule type="containsBlanks" dxfId="5808" priority="924">
      <formula>LEN(TRIM(AI186))=0</formula>
    </cfRule>
    <cfRule type="containsBlanks" dxfId="5807" priority="925">
      <formula>LEN(TRIM(AI186))=0</formula>
    </cfRule>
    <cfRule type="containsBlanks" dxfId="5806" priority="926">
      <formula>LEN(TRIM(AI186))=0</formula>
    </cfRule>
    <cfRule type="containsBlanks" dxfId="5805" priority="927">
      <formula>LEN(TRIM(AI186))=0</formula>
    </cfRule>
    <cfRule type="containsBlanks" dxfId="5804" priority="928">
      <formula>LEN(TRIM(AI186))=0</formula>
    </cfRule>
    <cfRule type="containsBlanks" dxfId="5803" priority="929">
      <formula>LEN(TRIM(AI186))=0</formula>
    </cfRule>
    <cfRule type="containsBlanks" dxfId="5802" priority="930">
      <formula>LEN(TRIM(AI186))=0</formula>
    </cfRule>
    <cfRule type="containsBlanks" dxfId="5801" priority="931">
      <formula>LEN(TRIM(AI186))=0</formula>
    </cfRule>
    <cfRule type="containsBlanks" dxfId="5800" priority="932">
      <formula>LEN(TRIM(AI186))=0</formula>
    </cfRule>
    <cfRule type="containsBlanks" dxfId="5799" priority="933">
      <formula>LEN(TRIM(AI186))=0</formula>
    </cfRule>
    <cfRule type="containsBlanks" dxfId="5798" priority="934">
      <formula>LEN(TRIM(AI186))=0</formula>
    </cfRule>
    <cfRule type="containsBlanks" dxfId="5797" priority="935">
      <formula>LEN(TRIM(AI186))=0</formula>
    </cfRule>
    <cfRule type="containsBlanks" dxfId="5796" priority="936">
      <formula>LEN(TRIM(AI186))=0</formula>
    </cfRule>
    <cfRule type="containsBlanks" dxfId="5795" priority="937">
      <formula>LEN(TRIM(AI186))=0</formula>
    </cfRule>
    <cfRule type="containsBlanks" dxfId="5794" priority="938">
      <formula>LEN(TRIM(AI186))=0</formula>
    </cfRule>
    <cfRule type="containsBlanks" dxfId="5793" priority="939">
      <formula>LEN(TRIM(AI186))=0</formula>
    </cfRule>
    <cfRule type="containsBlanks" dxfId="5792" priority="940">
      <formula>LEN(TRIM(AI186))=0</formula>
    </cfRule>
    <cfRule type="containsBlanks" dxfId="5791" priority="941">
      <formula>LEN(TRIM(AI186))=0</formula>
    </cfRule>
    <cfRule type="containsBlanks" dxfId="5790" priority="942">
      <formula>LEN(TRIM(AI186))=0</formula>
    </cfRule>
    <cfRule type="containsBlanks" dxfId="5789" priority="943">
      <formula>LEN(TRIM(AI186))=0</formula>
    </cfRule>
    <cfRule type="containsBlanks" dxfId="5788" priority="944">
      <formula>LEN(TRIM(AI186))=0</formula>
    </cfRule>
    <cfRule type="containsBlanks" dxfId="5787" priority="945">
      <formula>LEN(TRIM(AI186))=0</formula>
    </cfRule>
    <cfRule type="containsBlanks" dxfId="5786" priority="946">
      <formula>LEN(TRIM(AI186))=0</formula>
    </cfRule>
    <cfRule type="containsBlanks" dxfId="5785" priority="947">
      <formula>LEN(TRIM(AI186))=0</formula>
    </cfRule>
    <cfRule type="containsBlanks" dxfId="5784" priority="948">
      <formula>LEN(TRIM(AI186))=0</formula>
    </cfRule>
    <cfRule type="containsBlanks" dxfId="5783" priority="949">
      <formula>LEN(TRIM(AI186))=0</formula>
    </cfRule>
    <cfRule type="containsBlanks" dxfId="5782" priority="950">
      <formula>LEN(TRIM(AI186))=0</formula>
    </cfRule>
    <cfRule type="containsBlanks" dxfId="5781" priority="951">
      <formula>LEN(TRIM(AI186))=0</formula>
    </cfRule>
    <cfRule type="containsBlanks" dxfId="5780" priority="952">
      <formula>LEN(TRIM(AI186))=0</formula>
    </cfRule>
    <cfRule type="containsBlanks" dxfId="5779" priority="953">
      <formula>LEN(TRIM(AI186))=0</formula>
    </cfRule>
    <cfRule type="containsBlanks" dxfId="5778" priority="954">
      <formula>LEN(TRIM(AI186))=0</formula>
    </cfRule>
    <cfRule type="containsBlanks" dxfId="5777" priority="955">
      <formula>LEN(TRIM(AI186))=0</formula>
    </cfRule>
    <cfRule type="containsBlanks" dxfId="5776" priority="956">
      <formula>LEN(TRIM(AI186))=0</formula>
    </cfRule>
    <cfRule type="containsBlanks" dxfId="5775" priority="957">
      <formula>LEN(TRIM(AI186))=0</formula>
    </cfRule>
    <cfRule type="containsBlanks" dxfId="5774" priority="958">
      <formula>LEN(TRIM(AI186))=0</formula>
    </cfRule>
    <cfRule type="containsBlanks" dxfId="5773" priority="959">
      <formula>LEN(TRIM(AI186))=0</formula>
    </cfRule>
    <cfRule type="containsBlanks" dxfId="5772" priority="960">
      <formula>LEN(TRIM(AI186))=0</formula>
    </cfRule>
    <cfRule type="containsBlanks" dxfId="5771" priority="961">
      <formula>LEN(TRIM(AI186))=0</formula>
    </cfRule>
    <cfRule type="containsBlanks" dxfId="5770" priority="962">
      <formula>LEN(TRIM(AI186))=0</formula>
    </cfRule>
    <cfRule type="containsBlanks" dxfId="5769" priority="963">
      <formula>LEN(TRIM(AI186))=0</formula>
    </cfRule>
    <cfRule type="containsBlanks" dxfId="5768" priority="964">
      <formula>LEN(TRIM(AI186))=0</formula>
    </cfRule>
    <cfRule type="containsBlanks" dxfId="5767" priority="965">
      <formula>LEN(TRIM(AI186))=0</formula>
    </cfRule>
    <cfRule type="containsBlanks" dxfId="5766" priority="966">
      <formula>LEN(TRIM(AI186))=0</formula>
    </cfRule>
    <cfRule type="containsBlanks" dxfId="5765" priority="967">
      <formula>LEN(TRIM(AI186))=0</formula>
    </cfRule>
    <cfRule type="containsBlanks" dxfId="5764" priority="968">
      <formula>LEN(TRIM(AI186))=0</formula>
    </cfRule>
    <cfRule type="containsBlanks" dxfId="5763" priority="969">
      <formula>LEN(TRIM(AI186))=0</formula>
    </cfRule>
    <cfRule type="containsBlanks" dxfId="5762" priority="970">
      <formula>LEN(TRIM(AI186))=0</formula>
    </cfRule>
    <cfRule type="containsBlanks" dxfId="5761" priority="971">
      <formula>LEN(TRIM(AI186))=0</formula>
    </cfRule>
    <cfRule type="containsBlanks" dxfId="5760" priority="972">
      <formula>LEN(TRIM(AI186))=0</formula>
    </cfRule>
    <cfRule type="containsBlanks" dxfId="5759" priority="973">
      <formula>LEN(TRIM(AI186))=0</formula>
    </cfRule>
    <cfRule type="containsBlanks" dxfId="5758" priority="974">
      <formula>LEN(TRIM(AI186))=0</formula>
    </cfRule>
    <cfRule type="containsBlanks" dxfId="5757" priority="975">
      <formula>LEN(TRIM(AI186))=0</formula>
    </cfRule>
    <cfRule type="containsBlanks" dxfId="5756" priority="976">
      <formula>LEN(TRIM(AI186))=0</formula>
    </cfRule>
    <cfRule type="containsBlanks" dxfId="5755" priority="977">
      <formula>LEN(TRIM(AI186))=0</formula>
    </cfRule>
    <cfRule type="containsBlanks" dxfId="5754" priority="978">
      <formula>LEN(TRIM(AI186))=0</formula>
    </cfRule>
    <cfRule type="containsBlanks" dxfId="5753" priority="979">
      <formula>LEN(TRIM(AI186))=0</formula>
    </cfRule>
    <cfRule type="containsBlanks" dxfId="5752" priority="980">
      <formula>LEN(TRIM(AI186))=0</formula>
    </cfRule>
    <cfRule type="containsBlanks" dxfId="5751" priority="981">
      <formula>LEN(TRIM(AI186))=0</formula>
    </cfRule>
    <cfRule type="containsBlanks" dxfId="5750" priority="982">
      <formula>LEN(TRIM(AI186))=0</formula>
    </cfRule>
    <cfRule type="containsBlanks" dxfId="5749" priority="983">
      <formula>LEN(TRIM(AI186))=0</formula>
    </cfRule>
    <cfRule type="containsBlanks" dxfId="5748" priority="984">
      <formula>LEN(TRIM(AI186))=0</formula>
    </cfRule>
    <cfRule type="containsBlanks" dxfId="5747" priority="985">
      <formula>LEN(TRIM(AI186))=0</formula>
    </cfRule>
    <cfRule type="containsBlanks" dxfId="5746" priority="986">
      <formula>LEN(TRIM(AI186))=0</formula>
    </cfRule>
    <cfRule type="containsBlanks" dxfId="5745" priority="987">
      <formula>LEN(TRIM(AI186))=0</formula>
    </cfRule>
    <cfRule type="containsBlanks" dxfId="5744" priority="988">
      <formula>LEN(TRIM(AI186))=0</formula>
    </cfRule>
    <cfRule type="containsBlanks" dxfId="5743" priority="989">
      <formula>LEN(TRIM(AI186))=0</formula>
    </cfRule>
    <cfRule type="containsBlanks" dxfId="5742" priority="990">
      <formula>LEN(TRIM(AI186))=0</formula>
    </cfRule>
    <cfRule type="containsBlanks" dxfId="5741" priority="991">
      <formula>LEN(TRIM(AI186))=0</formula>
    </cfRule>
    <cfRule type="containsBlanks" dxfId="5740" priority="992">
      <formula>LEN(TRIM(AI186))=0</formula>
    </cfRule>
    <cfRule type="containsBlanks" dxfId="5739" priority="993">
      <formula>LEN(TRIM(AI186))=0</formula>
    </cfRule>
    <cfRule type="containsBlanks" dxfId="5738" priority="994">
      <formula>LEN(TRIM(AI186))=0</formula>
    </cfRule>
    <cfRule type="containsBlanks" dxfId="5737" priority="995">
      <formula>LEN(TRIM(AI186))=0</formula>
    </cfRule>
    <cfRule type="containsBlanks" dxfId="5736" priority="996">
      <formula>LEN(TRIM(AI186))=0</formula>
    </cfRule>
    <cfRule type="containsBlanks" dxfId="5735" priority="997">
      <formula>LEN(TRIM(AI186))=0</formula>
    </cfRule>
    <cfRule type="containsBlanks" dxfId="5734" priority="998">
      <formula>LEN(TRIM(AI186))=0</formula>
    </cfRule>
    <cfRule type="containsBlanks" dxfId="5733" priority="999">
      <formula>LEN(TRIM(AI186))=0</formula>
    </cfRule>
    <cfRule type="containsBlanks" dxfId="5732" priority="1000">
      <formula>LEN(TRIM(AI186))=0</formula>
    </cfRule>
    <cfRule type="containsBlanks" dxfId="5731" priority="1001">
      <formula>LEN(TRIM(AI186))=0</formula>
    </cfRule>
    <cfRule type="containsBlanks" dxfId="5730" priority="1002">
      <formula>LEN(TRIM(AI186))=0</formula>
    </cfRule>
    <cfRule type="containsBlanks" dxfId="5729" priority="1003">
      <formula>LEN(TRIM(AI186))=0</formula>
    </cfRule>
    <cfRule type="containsBlanks" dxfId="5728" priority="1004">
      <formula>LEN(TRIM(AI186))=0</formula>
    </cfRule>
    <cfRule type="containsBlanks" dxfId="5727" priority="1005">
      <formula>LEN(TRIM(AI186))=0</formula>
    </cfRule>
    <cfRule type="containsBlanks" dxfId="5726" priority="1006">
      <formula>LEN(TRIM(AI186))=0</formula>
    </cfRule>
    <cfRule type="containsBlanks" dxfId="5725" priority="1007">
      <formula>LEN(TRIM(AI186))=0</formula>
    </cfRule>
    <cfRule type="containsBlanks" dxfId="5724" priority="1008">
      <formula>LEN(TRIM(AI186))=0</formula>
    </cfRule>
    <cfRule type="containsBlanks" dxfId="5723" priority="1009">
      <formula>LEN(TRIM(AI186))=0</formula>
    </cfRule>
    <cfRule type="containsBlanks" dxfId="5722" priority="1010">
      <formula>LEN(TRIM(AI186))=0</formula>
    </cfRule>
    <cfRule type="containsBlanks" dxfId="5721" priority="1011">
      <formula>LEN(TRIM(AI186))=0</formula>
    </cfRule>
    <cfRule type="containsBlanks" dxfId="5720" priority="1012">
      <formula>LEN(TRIM(AI186))=0</formula>
    </cfRule>
    <cfRule type="containsBlanks" dxfId="5719" priority="1013">
      <formula>LEN(TRIM(AI186))=0</formula>
    </cfRule>
  </conditionalFormatting>
  <conditionalFormatting sqref="AI201">
    <cfRule type="containsBlanks" dxfId="5718" priority="354">
      <formula>LEN(TRIM(AI201))=0</formula>
    </cfRule>
    <cfRule type="containsBlanks" dxfId="5717" priority="355">
      <formula>LEN(TRIM(AI201))=0</formula>
    </cfRule>
    <cfRule type="containsBlanks" dxfId="5716" priority="356">
      <formula>LEN(TRIM(AI201))=0</formula>
    </cfRule>
    <cfRule type="containsBlanks" dxfId="5715" priority="357">
      <formula>LEN(TRIM(AI201))=0</formula>
    </cfRule>
    <cfRule type="containsBlanks" dxfId="5714" priority="358">
      <formula>LEN(TRIM(AI201))=0</formula>
    </cfRule>
    <cfRule type="containsBlanks" dxfId="5713" priority="359">
      <formula>LEN(TRIM(AI201))=0</formula>
    </cfRule>
    <cfRule type="containsBlanks" dxfId="5712" priority="360">
      <formula>LEN(TRIM(AI201))=0</formula>
    </cfRule>
    <cfRule type="containsBlanks" dxfId="5711" priority="361">
      <formula>LEN(TRIM(AI201))=0</formula>
    </cfRule>
    <cfRule type="containsBlanks" dxfId="5710" priority="362">
      <formula>LEN(TRIM(AI201))=0</formula>
    </cfRule>
    <cfRule type="containsBlanks" dxfId="5709" priority="363">
      <formula>LEN(TRIM(AI201))=0</formula>
    </cfRule>
    <cfRule type="containsBlanks" dxfId="5708" priority="364">
      <formula>LEN(TRIM(AI201))=0</formula>
    </cfRule>
    <cfRule type="containsBlanks" dxfId="5707" priority="365">
      <formula>LEN(TRIM(AI201))=0</formula>
    </cfRule>
    <cfRule type="containsBlanks" dxfId="5706" priority="366">
      <formula>LEN(TRIM(AI201))=0</formula>
    </cfRule>
    <cfRule type="containsBlanks" dxfId="5705" priority="367">
      <formula>LEN(TRIM(AI201))=0</formula>
    </cfRule>
    <cfRule type="containsBlanks" dxfId="5704" priority="368">
      <formula>LEN(TRIM(AI201))=0</formula>
    </cfRule>
    <cfRule type="containsBlanks" dxfId="5703" priority="369">
      <formula>LEN(TRIM(AI201))=0</formula>
    </cfRule>
    <cfRule type="containsBlanks" dxfId="5702" priority="370">
      <formula>LEN(TRIM(AI201))=0</formula>
    </cfRule>
    <cfRule type="containsBlanks" dxfId="5701" priority="371">
      <formula>LEN(TRIM(AI201))=0</formula>
    </cfRule>
    <cfRule type="containsBlanks" dxfId="5700" priority="372">
      <formula>LEN(TRIM(AI201))=0</formula>
    </cfRule>
    <cfRule type="containsBlanks" dxfId="5699" priority="373">
      <formula>LEN(TRIM(AI201))=0</formula>
    </cfRule>
    <cfRule type="containsBlanks" dxfId="5698" priority="374">
      <formula>LEN(TRIM(AI201))=0</formula>
    </cfRule>
    <cfRule type="containsBlanks" dxfId="5697" priority="375">
      <formula>LEN(TRIM(AI201))=0</formula>
    </cfRule>
    <cfRule type="containsBlanks" dxfId="5696" priority="376">
      <formula>LEN(TRIM(AI201))=0</formula>
    </cfRule>
    <cfRule type="containsBlanks" dxfId="5695" priority="377">
      <formula>LEN(TRIM(AI201))=0</formula>
    </cfRule>
    <cfRule type="containsBlanks" dxfId="5694" priority="378">
      <formula>LEN(TRIM(AI201))=0</formula>
    </cfRule>
    <cfRule type="containsBlanks" dxfId="5693" priority="379">
      <formula>LEN(TRIM(AI201))=0</formula>
    </cfRule>
    <cfRule type="containsBlanks" dxfId="5692" priority="380">
      <formula>LEN(TRIM(AI201))=0</formula>
    </cfRule>
    <cfRule type="containsBlanks" dxfId="5691" priority="381">
      <formula>LEN(TRIM(AI201))=0</formula>
    </cfRule>
    <cfRule type="containsBlanks" dxfId="5690" priority="382">
      <formula>LEN(TRIM(AI201))=0</formula>
    </cfRule>
    <cfRule type="containsBlanks" dxfId="5689" priority="383">
      <formula>LEN(TRIM(AI201))=0</formula>
    </cfRule>
    <cfRule type="containsBlanks" dxfId="5688" priority="384">
      <formula>LEN(TRIM(AI201))=0</formula>
    </cfRule>
    <cfRule type="containsBlanks" dxfId="5687" priority="385">
      <formula>LEN(TRIM(AI201))=0</formula>
    </cfRule>
    <cfRule type="containsBlanks" dxfId="5686" priority="386">
      <formula>LEN(TRIM(AI201))=0</formula>
    </cfRule>
    <cfRule type="containsBlanks" dxfId="5685" priority="387">
      <formula>LEN(TRIM(AI201))=0</formula>
    </cfRule>
    <cfRule type="containsBlanks" dxfId="5684" priority="388">
      <formula>LEN(TRIM(AI201))=0</formula>
    </cfRule>
    <cfRule type="containsBlanks" dxfId="5683" priority="389">
      <formula>LEN(TRIM(AI201))=0</formula>
    </cfRule>
    <cfRule type="containsBlanks" dxfId="5682" priority="390">
      <formula>LEN(TRIM(AI201))=0</formula>
    </cfRule>
    <cfRule type="containsBlanks" dxfId="5681" priority="391">
      <formula>LEN(TRIM(AI201))=0</formula>
    </cfRule>
    <cfRule type="containsBlanks" dxfId="5680" priority="392">
      <formula>LEN(TRIM(AI201))=0</formula>
    </cfRule>
    <cfRule type="containsBlanks" dxfId="5679" priority="393">
      <formula>LEN(TRIM(AI201))=0</formula>
    </cfRule>
    <cfRule type="containsBlanks" dxfId="5678" priority="394">
      <formula>LEN(TRIM(AI201))=0</formula>
    </cfRule>
    <cfRule type="containsBlanks" dxfId="5677" priority="395">
      <formula>LEN(TRIM(AI201))=0</formula>
    </cfRule>
    <cfRule type="containsBlanks" dxfId="5676" priority="396">
      <formula>LEN(TRIM(AI201))=0</formula>
    </cfRule>
    <cfRule type="containsBlanks" dxfId="5675" priority="397">
      <formula>LEN(TRIM(AI201))=0</formula>
    </cfRule>
    <cfRule type="containsBlanks" dxfId="5674" priority="398">
      <formula>LEN(TRIM(AI201))=0</formula>
    </cfRule>
    <cfRule type="containsBlanks" dxfId="5673" priority="399">
      <formula>LEN(TRIM(AI201))=0</formula>
    </cfRule>
    <cfRule type="containsBlanks" dxfId="5672" priority="400">
      <formula>LEN(TRIM(AI201))=0</formula>
    </cfRule>
    <cfRule type="containsBlanks" dxfId="5671" priority="401">
      <formula>LEN(TRIM(AI201))=0</formula>
    </cfRule>
    <cfRule type="containsBlanks" dxfId="5670" priority="402">
      <formula>LEN(TRIM(AI201))=0</formula>
    </cfRule>
    <cfRule type="containsBlanks" dxfId="5669" priority="403">
      <formula>LEN(TRIM(AI201))=0</formula>
    </cfRule>
    <cfRule type="containsBlanks" dxfId="5668" priority="404">
      <formula>LEN(TRIM(AI201))=0</formula>
    </cfRule>
    <cfRule type="containsBlanks" dxfId="5667" priority="405">
      <formula>LEN(TRIM(AI201))=0</formula>
    </cfRule>
    <cfRule type="containsBlanks" dxfId="5666" priority="406">
      <formula>LEN(TRIM(AI201))=0</formula>
    </cfRule>
    <cfRule type="containsBlanks" dxfId="5665" priority="407">
      <formula>LEN(TRIM(AI201))=0</formula>
    </cfRule>
    <cfRule type="containsBlanks" dxfId="5664" priority="408">
      <formula>LEN(TRIM(AI201))=0</formula>
    </cfRule>
    <cfRule type="containsBlanks" dxfId="5663" priority="409">
      <formula>LEN(TRIM(AI201))=0</formula>
    </cfRule>
    <cfRule type="containsBlanks" dxfId="5662" priority="410">
      <formula>LEN(TRIM(AI201))=0</formula>
    </cfRule>
    <cfRule type="containsBlanks" dxfId="5661" priority="411">
      <formula>LEN(TRIM(AI201))=0</formula>
    </cfRule>
    <cfRule type="containsBlanks" dxfId="5660" priority="412">
      <formula>LEN(TRIM(AI201))=0</formula>
    </cfRule>
    <cfRule type="containsBlanks" dxfId="5659" priority="413">
      <formula>LEN(TRIM(AI201))=0</formula>
    </cfRule>
    <cfRule type="containsBlanks" dxfId="5658" priority="414">
      <formula>LEN(TRIM(AI201))=0</formula>
    </cfRule>
    <cfRule type="containsBlanks" dxfId="5657" priority="415">
      <formula>LEN(TRIM(AI201))=0</formula>
    </cfRule>
    <cfRule type="containsBlanks" dxfId="5656" priority="416">
      <formula>LEN(TRIM(AI201))=0</formula>
    </cfRule>
    <cfRule type="containsBlanks" dxfId="5655" priority="417">
      <formula>LEN(TRIM(AI201))=0</formula>
    </cfRule>
    <cfRule type="containsBlanks" dxfId="5654" priority="418">
      <formula>LEN(TRIM(AI201))=0</formula>
    </cfRule>
    <cfRule type="containsBlanks" dxfId="5653" priority="419">
      <formula>LEN(TRIM(AI201))=0</formula>
    </cfRule>
    <cfRule type="containsBlanks" dxfId="5652" priority="420">
      <formula>LEN(TRIM(AI201))=0</formula>
    </cfRule>
    <cfRule type="containsBlanks" dxfId="5651" priority="421">
      <formula>LEN(TRIM(AI201))=0</formula>
    </cfRule>
    <cfRule type="containsBlanks" dxfId="5650" priority="422">
      <formula>LEN(TRIM(AI201))=0</formula>
    </cfRule>
    <cfRule type="containsBlanks" dxfId="5649" priority="423">
      <formula>LEN(TRIM(AI201))=0</formula>
    </cfRule>
    <cfRule type="containsBlanks" dxfId="5648" priority="424">
      <formula>LEN(TRIM(AI201))=0</formula>
    </cfRule>
    <cfRule type="containsBlanks" dxfId="5647" priority="425">
      <formula>LEN(TRIM(AI201))=0</formula>
    </cfRule>
    <cfRule type="containsBlanks" dxfId="5646" priority="426">
      <formula>LEN(TRIM(AI201))=0</formula>
    </cfRule>
    <cfRule type="containsBlanks" dxfId="5645" priority="427">
      <formula>LEN(TRIM(AI201))=0</formula>
    </cfRule>
    <cfRule type="containsBlanks" dxfId="5644" priority="428">
      <formula>LEN(TRIM(AI201))=0</formula>
    </cfRule>
    <cfRule type="containsBlanks" dxfId="5643" priority="429">
      <formula>LEN(TRIM(AI201))=0</formula>
    </cfRule>
    <cfRule type="containsBlanks" dxfId="5642" priority="430">
      <formula>LEN(TRIM(AI201))=0</formula>
    </cfRule>
    <cfRule type="containsBlanks" dxfId="5641" priority="431">
      <formula>LEN(TRIM(AI201))=0</formula>
    </cfRule>
    <cfRule type="containsBlanks" dxfId="5640" priority="432">
      <formula>LEN(TRIM(AI201))=0</formula>
    </cfRule>
    <cfRule type="containsBlanks" dxfId="5639" priority="433">
      <formula>LEN(TRIM(AI201))=0</formula>
    </cfRule>
    <cfRule type="containsBlanks" dxfId="5638" priority="434">
      <formula>LEN(TRIM(AI201))=0</formula>
    </cfRule>
    <cfRule type="containsBlanks" dxfId="5637" priority="435">
      <formula>LEN(TRIM(AI201))=0</formula>
    </cfRule>
    <cfRule type="containsBlanks" dxfId="5636" priority="436">
      <formula>LEN(TRIM(AI201))=0</formula>
    </cfRule>
    <cfRule type="containsBlanks" dxfId="5635" priority="437">
      <formula>LEN(TRIM(AI201))=0</formula>
    </cfRule>
    <cfRule type="containsBlanks" dxfId="5634" priority="438">
      <formula>LEN(TRIM(AI201))=0</formula>
    </cfRule>
    <cfRule type="containsBlanks" dxfId="5633" priority="439">
      <formula>LEN(TRIM(AI201))=0</formula>
    </cfRule>
    <cfRule type="containsBlanks" dxfId="5632" priority="440">
      <formula>LEN(TRIM(AI201))=0</formula>
    </cfRule>
    <cfRule type="containsBlanks" dxfId="5631" priority="441">
      <formula>LEN(TRIM(AI201))=0</formula>
    </cfRule>
    <cfRule type="containsBlanks" dxfId="5630" priority="442">
      <formula>LEN(TRIM(AI201))=0</formula>
    </cfRule>
    <cfRule type="containsBlanks" dxfId="5629" priority="443">
      <formula>LEN(TRIM(AI201))=0</formula>
    </cfRule>
    <cfRule type="containsBlanks" dxfId="5628" priority="444">
      <formula>LEN(TRIM(AI201))=0</formula>
    </cfRule>
    <cfRule type="containsBlanks" dxfId="5627" priority="445">
      <formula>LEN(TRIM(AI201))=0</formula>
    </cfRule>
    <cfRule type="containsBlanks" dxfId="5626" priority="446">
      <formula>LEN(TRIM(AI201))=0</formula>
    </cfRule>
    <cfRule type="containsBlanks" dxfId="5625" priority="447">
      <formula>LEN(TRIM(AI201))=0</formula>
    </cfRule>
    <cfRule type="containsBlanks" dxfId="5624" priority="448">
      <formula>LEN(TRIM(AI201))=0</formula>
    </cfRule>
    <cfRule type="containsBlanks" dxfId="5623" priority="449">
      <formula>LEN(TRIM(AI201))=0</formula>
    </cfRule>
    <cfRule type="containsBlanks" dxfId="5622" priority="450">
      <formula>LEN(TRIM(AI201))=0</formula>
    </cfRule>
    <cfRule type="containsBlanks" dxfId="5621" priority="451">
      <formula>LEN(TRIM(AI201))=0</formula>
    </cfRule>
    <cfRule type="containsBlanks" dxfId="5620" priority="452">
      <formula>LEN(TRIM(AI201))=0</formula>
    </cfRule>
    <cfRule type="containsBlanks" dxfId="5619" priority="453">
      <formula>LEN(TRIM(AI201))=0</formula>
    </cfRule>
    <cfRule type="containsBlanks" dxfId="5618" priority="454">
      <formula>LEN(TRIM(AI201))=0</formula>
    </cfRule>
    <cfRule type="containsBlanks" dxfId="5617" priority="455">
      <formula>LEN(TRIM(AI201))=0</formula>
    </cfRule>
    <cfRule type="containsBlanks" dxfId="5616" priority="456">
      <formula>LEN(TRIM(AI201))=0</formula>
    </cfRule>
    <cfRule type="containsBlanks" dxfId="5615" priority="457">
      <formula>LEN(TRIM(AI201))=0</formula>
    </cfRule>
    <cfRule type="containsBlanks" dxfId="5614" priority="458">
      <formula>LEN(TRIM(AI201))=0</formula>
    </cfRule>
    <cfRule type="containsBlanks" dxfId="5613" priority="459">
      <formula>LEN(TRIM(AI201))=0</formula>
    </cfRule>
    <cfRule type="containsBlanks" dxfId="5612" priority="460">
      <formula>LEN(TRIM(AI201))=0</formula>
    </cfRule>
    <cfRule type="containsBlanks" dxfId="5611" priority="461">
      <formula>LEN(TRIM(AI201))=0</formula>
    </cfRule>
    <cfRule type="containsBlanks" dxfId="5610" priority="462">
      <formula>LEN(TRIM(AI201))=0</formula>
    </cfRule>
    <cfRule type="containsBlanks" dxfId="5609" priority="463">
      <formula>LEN(TRIM(AI201))=0</formula>
    </cfRule>
    <cfRule type="containsBlanks" dxfId="5608" priority="464">
      <formula>LEN(TRIM(AI201))=0</formula>
    </cfRule>
    <cfRule type="containsBlanks" dxfId="5607" priority="465">
      <formula>LEN(TRIM(AI201))=0</formula>
    </cfRule>
    <cfRule type="containsBlanks" dxfId="5606" priority="466">
      <formula>LEN(TRIM(AI201))=0</formula>
    </cfRule>
    <cfRule type="containsBlanks" dxfId="5605" priority="467">
      <formula>LEN(TRIM(AI201))=0</formula>
    </cfRule>
    <cfRule type="containsBlanks" dxfId="5604" priority="468">
      <formula>LEN(TRIM(AI201))=0</formula>
    </cfRule>
    <cfRule type="containsBlanks" dxfId="5603" priority="469">
      <formula>LEN(TRIM(AI201))=0</formula>
    </cfRule>
    <cfRule type="containsBlanks" dxfId="5602" priority="470">
      <formula>LEN(TRIM(AI201))=0</formula>
    </cfRule>
    <cfRule type="containsBlanks" dxfId="5601" priority="471">
      <formula>LEN(TRIM(AI201))=0</formula>
    </cfRule>
    <cfRule type="containsBlanks" dxfId="5600" priority="472">
      <formula>LEN(TRIM(AI201))=0</formula>
    </cfRule>
    <cfRule type="containsBlanks" dxfId="5599" priority="473">
      <formula>LEN(TRIM(AI201))=0</formula>
    </cfRule>
    <cfRule type="containsBlanks" dxfId="5598" priority="474">
      <formula>LEN(TRIM(AI201))=0</formula>
    </cfRule>
    <cfRule type="containsBlanks" dxfId="5597" priority="475">
      <formula>LEN(TRIM(AI201))=0</formula>
    </cfRule>
    <cfRule type="containsBlanks" dxfId="5596" priority="476">
      <formula>LEN(TRIM(AI201))=0</formula>
    </cfRule>
    <cfRule type="containsBlanks" dxfId="5595" priority="477">
      <formula>LEN(TRIM(AI201))=0</formula>
    </cfRule>
    <cfRule type="containsBlanks" dxfId="5594" priority="478">
      <formula>LEN(TRIM(AI201))=0</formula>
    </cfRule>
    <cfRule type="containsBlanks" dxfId="5593" priority="479">
      <formula>LEN(TRIM(AI201))=0</formula>
    </cfRule>
    <cfRule type="containsBlanks" dxfId="5592" priority="480">
      <formula>LEN(TRIM(AI201))=0</formula>
    </cfRule>
    <cfRule type="containsBlanks" dxfId="5591" priority="481">
      <formula>LEN(TRIM(AI201))=0</formula>
    </cfRule>
    <cfRule type="containsBlanks" dxfId="5590" priority="482">
      <formula>LEN(TRIM(AI201))=0</formula>
    </cfRule>
    <cfRule type="containsBlanks" dxfId="5589" priority="483">
      <formula>LEN(TRIM(AI201))=0</formula>
    </cfRule>
    <cfRule type="containsBlanks" dxfId="5588" priority="484">
      <formula>LEN(TRIM(AI201))=0</formula>
    </cfRule>
    <cfRule type="containsBlanks" dxfId="5587" priority="485">
      <formula>LEN(TRIM(AI201))=0</formula>
    </cfRule>
    <cfRule type="containsBlanks" dxfId="5586" priority="486">
      <formula>LEN(TRIM(AI201))=0</formula>
    </cfRule>
    <cfRule type="containsBlanks" dxfId="5585" priority="487">
      <formula>LEN(TRIM(AI201))=0</formula>
    </cfRule>
    <cfRule type="containsBlanks" dxfId="5584" priority="488">
      <formula>LEN(TRIM(AI201))=0</formula>
    </cfRule>
    <cfRule type="containsBlanks" dxfId="5583" priority="489">
      <formula>LEN(TRIM(AI201))=0</formula>
    </cfRule>
    <cfRule type="containsBlanks" dxfId="5582" priority="490">
      <formula>LEN(TRIM(AI201))=0</formula>
    </cfRule>
    <cfRule type="containsBlanks" dxfId="5581" priority="491">
      <formula>LEN(TRIM(AI201))=0</formula>
    </cfRule>
    <cfRule type="containsBlanks" dxfId="5580" priority="492">
      <formula>LEN(TRIM(AI201))=0</formula>
    </cfRule>
    <cfRule type="containsBlanks" dxfId="5579" priority="493">
      <formula>LEN(TRIM(AI201))=0</formula>
    </cfRule>
    <cfRule type="containsBlanks" dxfId="5578" priority="494">
      <formula>LEN(TRIM(AI201))=0</formula>
    </cfRule>
    <cfRule type="containsBlanks" dxfId="5577" priority="495">
      <formula>LEN(TRIM(AI201))=0</formula>
    </cfRule>
    <cfRule type="containsBlanks" dxfId="5576" priority="496">
      <formula>LEN(TRIM(AI201))=0</formula>
    </cfRule>
    <cfRule type="containsBlanks" dxfId="5575" priority="497">
      <formula>LEN(TRIM(AI201))=0</formula>
    </cfRule>
    <cfRule type="containsBlanks" dxfId="5574" priority="498">
      <formula>LEN(TRIM(AI201))=0</formula>
    </cfRule>
    <cfRule type="containsBlanks" dxfId="5573" priority="499">
      <formula>LEN(TRIM(AI201))=0</formula>
    </cfRule>
    <cfRule type="containsBlanks" dxfId="5572" priority="500">
      <formula>LEN(TRIM(AI201))=0</formula>
    </cfRule>
    <cfRule type="containsBlanks" dxfId="5571" priority="501">
      <formula>LEN(TRIM(AI201))=0</formula>
    </cfRule>
    <cfRule type="containsBlanks" dxfId="5570" priority="502">
      <formula>LEN(TRIM(AI201))=0</formula>
    </cfRule>
    <cfRule type="containsBlanks" dxfId="5569" priority="503">
      <formula>LEN(TRIM(AI201))=0</formula>
    </cfRule>
    <cfRule type="containsBlanks" dxfId="5568" priority="504">
      <formula>LEN(TRIM(AI201))=0</formula>
    </cfRule>
    <cfRule type="containsBlanks" dxfId="5567" priority="505">
      <formula>LEN(TRIM(AI201))=0</formula>
    </cfRule>
    <cfRule type="containsBlanks" dxfId="5566" priority="506">
      <formula>LEN(TRIM(AI201))=0</formula>
    </cfRule>
    <cfRule type="containsBlanks" dxfId="5565" priority="507">
      <formula>LEN(TRIM(AI201))=0</formula>
    </cfRule>
    <cfRule type="containsBlanks" dxfId="5564" priority="508">
      <formula>LEN(TRIM(AI201))=0</formula>
    </cfRule>
    <cfRule type="containsBlanks" dxfId="5563" priority="509">
      <formula>LEN(TRIM(AI201))=0</formula>
    </cfRule>
    <cfRule type="containsBlanks" dxfId="5562" priority="510">
      <formula>LEN(TRIM(AI201))=0</formula>
    </cfRule>
    <cfRule type="containsBlanks" dxfId="5561" priority="511">
      <formula>LEN(TRIM(AI201))=0</formula>
    </cfRule>
    <cfRule type="containsBlanks" dxfId="5560" priority="512">
      <formula>LEN(TRIM(AI201))=0</formula>
    </cfRule>
    <cfRule type="containsBlanks" dxfId="5559" priority="513">
      <formula>LEN(TRIM(AI201))=0</formula>
    </cfRule>
    <cfRule type="containsBlanks" dxfId="5558" priority="514">
      <formula>LEN(TRIM(AI201))=0</formula>
    </cfRule>
    <cfRule type="containsBlanks" dxfId="5557" priority="515">
      <formula>LEN(TRIM(AI201))=0</formula>
    </cfRule>
    <cfRule type="containsBlanks" dxfId="5556" priority="516">
      <formula>LEN(TRIM(AI201))=0</formula>
    </cfRule>
    <cfRule type="containsBlanks" dxfId="5555" priority="517">
      <formula>LEN(TRIM(AI201))=0</formula>
    </cfRule>
    <cfRule type="containsBlanks" dxfId="5554" priority="518">
      <formula>LEN(TRIM(AI201))=0</formula>
    </cfRule>
    <cfRule type="containsBlanks" dxfId="5553" priority="519">
      <formula>LEN(TRIM(AI201))=0</formula>
    </cfRule>
    <cfRule type="containsBlanks" dxfId="5552" priority="520">
      <formula>LEN(TRIM(AI201))=0</formula>
    </cfRule>
    <cfRule type="containsBlanks" dxfId="5551" priority="521">
      <formula>LEN(TRIM(AI201))=0</formula>
    </cfRule>
    <cfRule type="containsBlanks" dxfId="5550" priority="522">
      <formula>LEN(TRIM(AI201))=0</formula>
    </cfRule>
    <cfRule type="containsBlanks" dxfId="5549" priority="523">
      <formula>LEN(TRIM(AI201))=0</formula>
    </cfRule>
    <cfRule type="containsBlanks" dxfId="5548" priority="524">
      <formula>LEN(TRIM(AI201))=0</formula>
    </cfRule>
    <cfRule type="containsBlanks" dxfId="5547" priority="525">
      <formula>LEN(TRIM(AI201))=0</formula>
    </cfRule>
    <cfRule type="containsBlanks" dxfId="5546" priority="526">
      <formula>LEN(TRIM(AI201))=0</formula>
    </cfRule>
    <cfRule type="containsBlanks" dxfId="5545" priority="527">
      <formula>LEN(TRIM(AI201))=0</formula>
    </cfRule>
    <cfRule type="containsBlanks" dxfId="5544" priority="528">
      <formula>LEN(TRIM(AI201))=0</formula>
    </cfRule>
    <cfRule type="containsBlanks" dxfId="5543" priority="529">
      <formula>LEN(TRIM(AI201))=0</formula>
    </cfRule>
    <cfRule type="containsBlanks" dxfId="5542" priority="530">
      <formula>LEN(TRIM(AI201))=0</formula>
    </cfRule>
    <cfRule type="containsBlanks" dxfId="5541" priority="531">
      <formula>LEN(TRIM(AI201))=0</formula>
    </cfRule>
    <cfRule type="containsBlanks" dxfId="5540" priority="532">
      <formula>LEN(TRIM(AI201))=0</formula>
    </cfRule>
    <cfRule type="containsBlanks" dxfId="5539" priority="533">
      <formula>LEN(TRIM(AI201))=0</formula>
    </cfRule>
    <cfRule type="containsBlanks" dxfId="5538" priority="534">
      <formula>LEN(TRIM(AI201))=0</formula>
    </cfRule>
    <cfRule type="containsBlanks" dxfId="5537" priority="535">
      <formula>LEN(TRIM(AI201))=0</formula>
    </cfRule>
    <cfRule type="containsBlanks" dxfId="5536" priority="536">
      <formula>LEN(TRIM(AI201))=0</formula>
    </cfRule>
    <cfRule type="containsBlanks" dxfId="5535" priority="537">
      <formula>LEN(TRIM(AI201))=0</formula>
    </cfRule>
    <cfRule type="containsBlanks" dxfId="5534" priority="538">
      <formula>LEN(TRIM(AI201))=0</formula>
    </cfRule>
    <cfRule type="containsBlanks" dxfId="5533" priority="539">
      <formula>LEN(TRIM(AI201))=0</formula>
    </cfRule>
    <cfRule type="containsBlanks" dxfId="5532" priority="540">
      <formula>LEN(TRIM(AI201))=0</formula>
    </cfRule>
    <cfRule type="containsBlanks" dxfId="5531" priority="541">
      <formula>LEN(TRIM(AI201))=0</formula>
    </cfRule>
    <cfRule type="containsBlanks" dxfId="5530" priority="542">
      <formula>LEN(TRIM(AI201))=0</formula>
    </cfRule>
    <cfRule type="containsBlanks" dxfId="5529" priority="543">
      <formula>LEN(TRIM(AI201))=0</formula>
    </cfRule>
    <cfRule type="containsBlanks" dxfId="5528" priority="544">
      <formula>LEN(TRIM(AI201))=0</formula>
    </cfRule>
    <cfRule type="containsBlanks" dxfId="5527" priority="545">
      <formula>LEN(TRIM(AI201))=0</formula>
    </cfRule>
    <cfRule type="containsBlanks" dxfId="5526" priority="546">
      <formula>LEN(TRIM(AI201))=0</formula>
    </cfRule>
    <cfRule type="containsBlanks" dxfId="5525" priority="547">
      <formula>LEN(TRIM(AI201))=0</formula>
    </cfRule>
    <cfRule type="containsBlanks" dxfId="5524" priority="548">
      <formula>LEN(TRIM(AI201))=0</formula>
    </cfRule>
    <cfRule type="containsBlanks" dxfId="5523" priority="549">
      <formula>LEN(TRIM(AI201))=0</formula>
    </cfRule>
    <cfRule type="containsBlanks" dxfId="5522" priority="550">
      <formula>LEN(TRIM(AI201))=0</formula>
    </cfRule>
    <cfRule type="containsBlanks" dxfId="5521" priority="551">
      <formula>LEN(TRIM(AI201))=0</formula>
    </cfRule>
    <cfRule type="containsBlanks" dxfId="5520" priority="552">
      <formula>LEN(TRIM(AI201))=0</formula>
    </cfRule>
    <cfRule type="containsBlanks" dxfId="5519" priority="553">
      <formula>LEN(TRIM(AI201))=0</formula>
    </cfRule>
    <cfRule type="containsBlanks" dxfId="5518" priority="554">
      <formula>LEN(TRIM(AI201))=0</formula>
    </cfRule>
    <cfRule type="containsBlanks" dxfId="5517" priority="555">
      <formula>LEN(TRIM(AI201))=0</formula>
    </cfRule>
    <cfRule type="containsBlanks" dxfId="5516" priority="556">
      <formula>LEN(TRIM(AI201))=0</formula>
    </cfRule>
    <cfRule type="containsBlanks" dxfId="5515" priority="557">
      <formula>LEN(TRIM(AI201))=0</formula>
    </cfRule>
    <cfRule type="containsBlanks" dxfId="5514" priority="558">
      <formula>LEN(TRIM(AI201))=0</formula>
    </cfRule>
    <cfRule type="containsBlanks" dxfId="5513" priority="559">
      <formula>LEN(TRIM(AI201))=0</formula>
    </cfRule>
    <cfRule type="containsBlanks" dxfId="5512" priority="560">
      <formula>LEN(TRIM(AI201))=0</formula>
    </cfRule>
    <cfRule type="containsBlanks" dxfId="5511" priority="561">
      <formula>LEN(TRIM(AI201))=0</formula>
    </cfRule>
    <cfRule type="containsBlanks" dxfId="5510" priority="562">
      <formula>LEN(TRIM(AI201))=0</formula>
    </cfRule>
    <cfRule type="containsBlanks" dxfId="5509" priority="563">
      <formula>LEN(TRIM(AI201))=0</formula>
    </cfRule>
    <cfRule type="containsBlanks" dxfId="5508" priority="564">
      <formula>LEN(TRIM(AI201))=0</formula>
    </cfRule>
    <cfRule type="containsBlanks" dxfId="5507" priority="565">
      <formula>LEN(TRIM(AI201))=0</formula>
    </cfRule>
    <cfRule type="containsBlanks" dxfId="5506" priority="566">
      <formula>LEN(TRIM(AI201))=0</formula>
    </cfRule>
    <cfRule type="containsBlanks" dxfId="5505" priority="567">
      <formula>LEN(TRIM(AI201))=0</formula>
    </cfRule>
    <cfRule type="containsBlanks" dxfId="5504" priority="568">
      <formula>LEN(TRIM(AI201))=0</formula>
    </cfRule>
    <cfRule type="containsBlanks" dxfId="5503" priority="569">
      <formula>LEN(TRIM(AI201))=0</formula>
    </cfRule>
    <cfRule type="containsBlanks" dxfId="5502" priority="570">
      <formula>LEN(TRIM(AI201))=0</formula>
    </cfRule>
    <cfRule type="containsBlanks" dxfId="5501" priority="571">
      <formula>LEN(TRIM(AI201))=0</formula>
    </cfRule>
    <cfRule type="containsBlanks" dxfId="5500" priority="572">
      <formula>LEN(TRIM(AI201))=0</formula>
    </cfRule>
    <cfRule type="containsBlanks" dxfId="5499" priority="573">
      <formula>LEN(TRIM(AI201))=0</formula>
    </cfRule>
    <cfRule type="containsBlanks" dxfId="5498" priority="574">
      <formula>LEN(TRIM(AI201))=0</formula>
    </cfRule>
    <cfRule type="containsBlanks" dxfId="5497" priority="575">
      <formula>LEN(TRIM(AI201))=0</formula>
    </cfRule>
    <cfRule type="containsBlanks" dxfId="5496" priority="576">
      <formula>LEN(TRIM(AI201))=0</formula>
    </cfRule>
    <cfRule type="containsBlanks" dxfId="5495" priority="577">
      <formula>LEN(TRIM(AI201))=0</formula>
    </cfRule>
    <cfRule type="containsBlanks" dxfId="5494" priority="578">
      <formula>LEN(TRIM(AI201))=0</formula>
    </cfRule>
    <cfRule type="containsBlanks" dxfId="5493" priority="579">
      <formula>LEN(TRIM(AI201))=0</formula>
    </cfRule>
    <cfRule type="containsBlanks" dxfId="5492" priority="580">
      <formula>LEN(TRIM(AI201))=0</formula>
    </cfRule>
    <cfRule type="containsBlanks" dxfId="5491" priority="581">
      <formula>LEN(TRIM(AI201))=0</formula>
    </cfRule>
    <cfRule type="containsBlanks" dxfId="5490" priority="582">
      <formula>LEN(TRIM(AI201))=0</formula>
    </cfRule>
    <cfRule type="containsBlanks" dxfId="5489" priority="583">
      <formula>LEN(TRIM(AI201))=0</formula>
    </cfRule>
    <cfRule type="containsBlanks" dxfId="5488" priority="584">
      <formula>LEN(TRIM(AI201))=0</formula>
    </cfRule>
    <cfRule type="containsBlanks" dxfId="5487" priority="585">
      <formula>LEN(TRIM(AI201))=0</formula>
    </cfRule>
    <cfRule type="containsBlanks" dxfId="5486" priority="586">
      <formula>LEN(TRIM(AI201))=0</formula>
    </cfRule>
    <cfRule type="containsBlanks" dxfId="5485" priority="587">
      <formula>LEN(TRIM(AI201))=0</formula>
    </cfRule>
    <cfRule type="containsBlanks" dxfId="5484" priority="588">
      <formula>LEN(TRIM(AI201))=0</formula>
    </cfRule>
    <cfRule type="containsBlanks" dxfId="5483" priority="589">
      <formula>LEN(TRIM(AI201))=0</formula>
    </cfRule>
    <cfRule type="containsBlanks" dxfId="5482" priority="590">
      <formula>LEN(TRIM(AI201))=0</formula>
    </cfRule>
    <cfRule type="containsBlanks" dxfId="5481" priority="591">
      <formula>LEN(TRIM(AI201))=0</formula>
    </cfRule>
    <cfRule type="containsBlanks" dxfId="5480" priority="592">
      <formula>LEN(TRIM(AI201))=0</formula>
    </cfRule>
    <cfRule type="containsBlanks" dxfId="5479" priority="593">
      <formula>LEN(TRIM(AI201))=0</formula>
    </cfRule>
    <cfRule type="containsBlanks" dxfId="5478" priority="594">
      <formula>LEN(TRIM(AI201))=0</formula>
    </cfRule>
    <cfRule type="containsBlanks" dxfId="5477" priority="595">
      <formula>LEN(TRIM(AI201))=0</formula>
    </cfRule>
    <cfRule type="containsBlanks" dxfId="5476" priority="596">
      <formula>LEN(TRIM(AI201))=0</formula>
    </cfRule>
    <cfRule type="containsBlanks" dxfId="5475" priority="597">
      <formula>LEN(TRIM(AI201))=0</formula>
    </cfRule>
    <cfRule type="containsBlanks" dxfId="5474" priority="598">
      <formula>LEN(TRIM(AI201))=0</formula>
    </cfRule>
    <cfRule type="containsBlanks" dxfId="5473" priority="599">
      <formula>LEN(TRIM(AI201))=0</formula>
    </cfRule>
    <cfRule type="containsBlanks" dxfId="5472" priority="600">
      <formula>LEN(TRIM(AI201))=0</formula>
    </cfRule>
    <cfRule type="containsBlanks" dxfId="5471" priority="601">
      <formula>LEN(TRIM(AI201))=0</formula>
    </cfRule>
    <cfRule type="containsBlanks" dxfId="5470" priority="602">
      <formula>LEN(TRIM(AI201))=0</formula>
    </cfRule>
    <cfRule type="containsBlanks" dxfId="5469" priority="603">
      <formula>LEN(TRIM(AI201))=0</formula>
    </cfRule>
    <cfRule type="containsBlanks" dxfId="5468" priority="604">
      <formula>LEN(TRIM(AI201))=0</formula>
    </cfRule>
    <cfRule type="containsBlanks" dxfId="5467" priority="605">
      <formula>LEN(TRIM(AI201))=0</formula>
    </cfRule>
    <cfRule type="containsBlanks" dxfId="5466" priority="606">
      <formula>LEN(TRIM(AI201))=0</formula>
    </cfRule>
    <cfRule type="containsBlanks" dxfId="5465" priority="607">
      <formula>LEN(TRIM(AI201))=0</formula>
    </cfRule>
    <cfRule type="containsBlanks" dxfId="5464" priority="608">
      <formula>LEN(TRIM(AI201))=0</formula>
    </cfRule>
    <cfRule type="containsBlanks" dxfId="5463" priority="609">
      <formula>LEN(TRIM(AI201))=0</formula>
    </cfRule>
    <cfRule type="containsBlanks" dxfId="5462" priority="610">
      <formula>LEN(TRIM(AI201))=0</formula>
    </cfRule>
    <cfRule type="containsBlanks" dxfId="5461" priority="611">
      <formula>LEN(TRIM(AI201))=0</formula>
    </cfRule>
    <cfRule type="containsBlanks" dxfId="5460" priority="612">
      <formula>LEN(TRIM(AI201))=0</formula>
    </cfRule>
    <cfRule type="containsBlanks" dxfId="5459" priority="613">
      <formula>LEN(TRIM(AI201))=0</formula>
    </cfRule>
    <cfRule type="containsBlanks" dxfId="5458" priority="614">
      <formula>LEN(TRIM(AI201))=0</formula>
    </cfRule>
    <cfRule type="containsBlanks" dxfId="5457" priority="615">
      <formula>LEN(TRIM(AI201))=0</formula>
    </cfRule>
    <cfRule type="containsBlanks" dxfId="5456" priority="616">
      <formula>LEN(TRIM(AI201))=0</formula>
    </cfRule>
    <cfRule type="containsBlanks" dxfId="5455" priority="617">
      <formula>LEN(TRIM(AI201))=0</formula>
    </cfRule>
    <cfRule type="containsBlanks" dxfId="5454" priority="618">
      <formula>LEN(TRIM(AI201))=0</formula>
    </cfRule>
    <cfRule type="containsBlanks" dxfId="5453" priority="619">
      <formula>LEN(TRIM(AI201))=0</formula>
    </cfRule>
    <cfRule type="containsBlanks" dxfId="5452" priority="620">
      <formula>LEN(TRIM(AI201))=0</formula>
    </cfRule>
    <cfRule type="containsBlanks" dxfId="5451" priority="621">
      <formula>LEN(TRIM(AI201))=0</formula>
    </cfRule>
    <cfRule type="containsBlanks" dxfId="5450" priority="622">
      <formula>LEN(TRIM(AI201))=0</formula>
    </cfRule>
    <cfRule type="containsBlanks" dxfId="5449" priority="623">
      <formula>LEN(TRIM(AI201))=0</formula>
    </cfRule>
    <cfRule type="containsBlanks" dxfId="5448" priority="624">
      <formula>LEN(TRIM(AI201))=0</formula>
    </cfRule>
    <cfRule type="containsBlanks" dxfId="5447" priority="625">
      <formula>LEN(TRIM(AI201))=0</formula>
    </cfRule>
    <cfRule type="containsBlanks" dxfId="5446" priority="626">
      <formula>LEN(TRIM(AI201))=0</formula>
    </cfRule>
    <cfRule type="containsBlanks" dxfId="5445" priority="627">
      <formula>LEN(TRIM(AI201))=0</formula>
    </cfRule>
    <cfRule type="containsBlanks" dxfId="5444" priority="628">
      <formula>LEN(TRIM(AI201))=0</formula>
    </cfRule>
    <cfRule type="containsBlanks" dxfId="5443" priority="629">
      <formula>LEN(TRIM(AI201))=0</formula>
    </cfRule>
    <cfRule type="containsBlanks" dxfId="5442" priority="630">
      <formula>LEN(TRIM(AI201))=0</formula>
    </cfRule>
    <cfRule type="containsBlanks" dxfId="5441" priority="631">
      <formula>LEN(TRIM(AI201))=0</formula>
    </cfRule>
    <cfRule type="containsBlanks" dxfId="5440" priority="632">
      <formula>LEN(TRIM(AI201))=0</formula>
    </cfRule>
    <cfRule type="containsBlanks" dxfId="5439" priority="633">
      <formula>LEN(TRIM(AI201))=0</formula>
    </cfRule>
    <cfRule type="containsBlanks" dxfId="5438" priority="634">
      <formula>LEN(TRIM(AI201))=0</formula>
    </cfRule>
    <cfRule type="containsBlanks" dxfId="5437" priority="635">
      <formula>LEN(TRIM(AI201))=0</formula>
    </cfRule>
    <cfRule type="containsBlanks" dxfId="5436" priority="636">
      <formula>LEN(TRIM(AI201))=0</formula>
    </cfRule>
    <cfRule type="containsBlanks" dxfId="5435" priority="637">
      <formula>LEN(TRIM(AI201))=0</formula>
    </cfRule>
    <cfRule type="containsBlanks" dxfId="5434" priority="638">
      <formula>LEN(TRIM(AI201))=0</formula>
    </cfRule>
    <cfRule type="containsBlanks" dxfId="5433" priority="639">
      <formula>LEN(TRIM(AI201))=0</formula>
    </cfRule>
    <cfRule type="containsBlanks" dxfId="5432" priority="640">
      <formula>LEN(TRIM(AI201))=0</formula>
    </cfRule>
    <cfRule type="containsBlanks" dxfId="5431" priority="641">
      <formula>LEN(TRIM(AI201))=0</formula>
    </cfRule>
    <cfRule type="containsBlanks" dxfId="5430" priority="642">
      <formula>LEN(TRIM(AI201))=0</formula>
    </cfRule>
    <cfRule type="containsBlanks" dxfId="5429" priority="643">
      <formula>LEN(TRIM(AI201))=0</formula>
    </cfRule>
    <cfRule type="containsBlanks" dxfId="5428" priority="644">
      <formula>LEN(TRIM(AI201))=0</formula>
    </cfRule>
    <cfRule type="containsBlanks" dxfId="5427" priority="645">
      <formula>LEN(TRIM(AI201))=0</formula>
    </cfRule>
    <cfRule type="containsBlanks" dxfId="5426" priority="646">
      <formula>LEN(TRIM(AI201))=0</formula>
    </cfRule>
    <cfRule type="containsBlanks" dxfId="5425" priority="647">
      <formula>LEN(TRIM(AI201))=0</formula>
    </cfRule>
    <cfRule type="containsBlanks" dxfId="5424" priority="648">
      <formula>LEN(TRIM(AI201))=0</formula>
    </cfRule>
    <cfRule type="containsBlanks" dxfId="5423" priority="649">
      <formula>LEN(TRIM(AI201))=0</formula>
    </cfRule>
    <cfRule type="containsBlanks" dxfId="5422" priority="650">
      <formula>LEN(TRIM(AI201))=0</formula>
    </cfRule>
    <cfRule type="containsBlanks" dxfId="5421" priority="651">
      <formula>LEN(TRIM(AI201))=0</formula>
    </cfRule>
    <cfRule type="containsBlanks" dxfId="5420" priority="652">
      <formula>LEN(TRIM(AI201))=0</formula>
    </cfRule>
    <cfRule type="containsBlanks" dxfId="5419" priority="653">
      <formula>LEN(TRIM(AI201))=0</formula>
    </cfRule>
    <cfRule type="containsBlanks" dxfId="5418" priority="654">
      <formula>LEN(TRIM(AI201))=0</formula>
    </cfRule>
    <cfRule type="containsBlanks" dxfId="5417" priority="655">
      <formula>LEN(TRIM(AI201))=0</formula>
    </cfRule>
    <cfRule type="containsBlanks" dxfId="5416" priority="656">
      <formula>LEN(TRIM(AI201))=0</formula>
    </cfRule>
    <cfRule type="containsBlanks" dxfId="5415" priority="657">
      <formula>LEN(TRIM(AI201))=0</formula>
    </cfRule>
    <cfRule type="containsBlanks" dxfId="5414" priority="658">
      <formula>LEN(TRIM(AI201))=0</formula>
    </cfRule>
    <cfRule type="containsBlanks" dxfId="5413" priority="659">
      <formula>LEN(TRIM(AI201))=0</formula>
    </cfRule>
    <cfRule type="containsBlanks" dxfId="5412" priority="660">
      <formula>LEN(TRIM(AI201))=0</formula>
    </cfRule>
    <cfRule type="containsBlanks" dxfId="5411" priority="661">
      <formula>LEN(TRIM(AI201))=0</formula>
    </cfRule>
    <cfRule type="containsBlanks" dxfId="5410" priority="662">
      <formula>LEN(TRIM(AI201))=0</formula>
    </cfRule>
    <cfRule type="containsBlanks" dxfId="5409" priority="663">
      <formula>LEN(TRIM(AI201))=0</formula>
    </cfRule>
    <cfRule type="containsBlanks" dxfId="5408" priority="664">
      <formula>LEN(TRIM(AI201))=0</formula>
    </cfRule>
    <cfRule type="containsBlanks" dxfId="5407" priority="665">
      <formula>LEN(TRIM(AI201))=0</formula>
    </cfRule>
    <cfRule type="containsBlanks" dxfId="5406" priority="666">
      <formula>LEN(TRIM(AI201))=0</formula>
    </cfRule>
    <cfRule type="containsBlanks" dxfId="5405" priority="667">
      <formula>LEN(TRIM(AI201))=0</formula>
    </cfRule>
    <cfRule type="containsBlanks" dxfId="5404" priority="668">
      <formula>LEN(TRIM(AI201))=0</formula>
    </cfRule>
    <cfRule type="containsBlanks" dxfId="5403" priority="669">
      <formula>LEN(TRIM(AI201))=0</formula>
    </cfRule>
    <cfRule type="containsBlanks" dxfId="5402" priority="670">
      <formula>LEN(TRIM(AI201))=0</formula>
    </cfRule>
    <cfRule type="containsBlanks" dxfId="5401" priority="671">
      <formula>LEN(TRIM(AI201))=0</formula>
    </cfRule>
    <cfRule type="containsBlanks" dxfId="5400" priority="672">
      <formula>LEN(TRIM(AI201))=0</formula>
    </cfRule>
    <cfRule type="containsBlanks" dxfId="5399" priority="673">
      <formula>LEN(TRIM(AI201))=0</formula>
    </cfRule>
    <cfRule type="containsBlanks" dxfId="5398" priority="674">
      <formula>LEN(TRIM(AI201))=0</formula>
    </cfRule>
    <cfRule type="containsBlanks" dxfId="5397" priority="675">
      <formula>LEN(TRIM(AI201))=0</formula>
    </cfRule>
    <cfRule type="containsBlanks" dxfId="5396" priority="676">
      <formula>LEN(TRIM(AI201))=0</formula>
    </cfRule>
    <cfRule type="containsBlanks" dxfId="5395" priority="677">
      <formula>LEN(TRIM(AI201))=0</formula>
    </cfRule>
    <cfRule type="containsBlanks" dxfId="5394" priority="678">
      <formula>LEN(TRIM(AI201))=0</formula>
    </cfRule>
    <cfRule type="containsBlanks" dxfId="5393" priority="679">
      <formula>LEN(TRIM(AI201))=0</formula>
    </cfRule>
    <cfRule type="containsBlanks" dxfId="5392" priority="680">
      <formula>LEN(TRIM(AI201))=0</formula>
    </cfRule>
    <cfRule type="containsBlanks" dxfId="5391" priority="681">
      <formula>LEN(TRIM(AI201))=0</formula>
    </cfRule>
    <cfRule type="containsBlanks" dxfId="5390" priority="682">
      <formula>LEN(TRIM(AI201))=0</formula>
    </cfRule>
    <cfRule type="containsBlanks" dxfId="5389" priority="683">
      <formula>LEN(TRIM(AI201))=0</formula>
    </cfRule>
  </conditionalFormatting>
  <conditionalFormatting sqref="AI203:AI204">
    <cfRule type="containsBlanks" dxfId="5388" priority="24">
      <formula>LEN(TRIM(AI203))=0</formula>
    </cfRule>
    <cfRule type="containsBlanks" dxfId="5387" priority="25">
      <formula>LEN(TRIM(AI203))=0</formula>
    </cfRule>
    <cfRule type="containsBlanks" dxfId="5386" priority="26">
      <formula>LEN(TRIM(AI203))=0</formula>
    </cfRule>
    <cfRule type="containsBlanks" dxfId="5385" priority="27">
      <formula>LEN(TRIM(AI203))=0</formula>
    </cfRule>
    <cfRule type="containsBlanks" dxfId="5384" priority="28">
      <formula>LEN(TRIM(AI203))=0</formula>
    </cfRule>
    <cfRule type="containsBlanks" dxfId="5383" priority="29">
      <formula>LEN(TRIM(AI203))=0</formula>
    </cfRule>
    <cfRule type="containsBlanks" dxfId="5382" priority="30">
      <formula>LEN(TRIM(AI203))=0</formula>
    </cfRule>
    <cfRule type="containsBlanks" dxfId="5381" priority="31">
      <formula>LEN(TRIM(AI203))=0</formula>
    </cfRule>
    <cfRule type="containsBlanks" dxfId="5380" priority="32">
      <formula>LEN(TRIM(AI203))=0</formula>
    </cfRule>
    <cfRule type="containsBlanks" dxfId="5379" priority="33">
      <formula>LEN(TRIM(AI203))=0</formula>
    </cfRule>
    <cfRule type="containsBlanks" dxfId="5378" priority="34">
      <formula>LEN(TRIM(AI203))=0</formula>
    </cfRule>
    <cfRule type="containsBlanks" dxfId="5377" priority="35">
      <formula>LEN(TRIM(AI203))=0</formula>
    </cfRule>
    <cfRule type="containsBlanks" dxfId="5376" priority="36">
      <formula>LEN(TRIM(AI203))=0</formula>
    </cfRule>
    <cfRule type="containsBlanks" dxfId="5375" priority="37">
      <formula>LEN(TRIM(AI203))=0</formula>
    </cfRule>
    <cfRule type="containsBlanks" dxfId="5374" priority="38">
      <formula>LEN(TRIM(AI203))=0</formula>
    </cfRule>
    <cfRule type="containsBlanks" dxfId="5373" priority="39">
      <formula>LEN(TRIM(AI203))=0</formula>
    </cfRule>
    <cfRule type="containsBlanks" dxfId="5372" priority="40">
      <formula>LEN(TRIM(AI203))=0</formula>
    </cfRule>
    <cfRule type="containsBlanks" dxfId="5371" priority="41">
      <formula>LEN(TRIM(AI203))=0</formula>
    </cfRule>
    <cfRule type="containsBlanks" dxfId="5370" priority="42">
      <formula>LEN(TRIM(AI203))=0</formula>
    </cfRule>
    <cfRule type="containsBlanks" dxfId="5369" priority="43">
      <formula>LEN(TRIM(AI203))=0</formula>
    </cfRule>
    <cfRule type="containsBlanks" dxfId="5368" priority="44">
      <formula>LEN(TRIM(AI203))=0</formula>
    </cfRule>
    <cfRule type="containsBlanks" dxfId="5367" priority="45">
      <formula>LEN(TRIM(AI203))=0</formula>
    </cfRule>
    <cfRule type="containsBlanks" dxfId="5366" priority="46">
      <formula>LEN(TRIM(AI203))=0</formula>
    </cfRule>
    <cfRule type="containsBlanks" dxfId="5365" priority="47">
      <formula>LEN(TRIM(AI203))=0</formula>
    </cfRule>
    <cfRule type="containsBlanks" dxfId="5364" priority="48">
      <formula>LEN(TRIM(AI203))=0</formula>
    </cfRule>
    <cfRule type="containsBlanks" dxfId="5363" priority="49">
      <formula>LEN(TRIM(AI203))=0</formula>
    </cfRule>
    <cfRule type="containsBlanks" dxfId="5362" priority="50">
      <formula>LEN(TRIM(AI203))=0</formula>
    </cfRule>
    <cfRule type="containsBlanks" dxfId="5361" priority="51">
      <formula>LEN(TRIM(AI203))=0</formula>
    </cfRule>
    <cfRule type="containsBlanks" dxfId="5360" priority="52">
      <formula>LEN(TRIM(AI203))=0</formula>
    </cfRule>
    <cfRule type="containsBlanks" dxfId="5359" priority="53">
      <formula>LEN(TRIM(AI203))=0</formula>
    </cfRule>
    <cfRule type="containsBlanks" dxfId="5358" priority="54">
      <formula>LEN(TRIM(AI203))=0</formula>
    </cfRule>
    <cfRule type="containsBlanks" dxfId="5357" priority="55">
      <formula>LEN(TRIM(AI203))=0</formula>
    </cfRule>
    <cfRule type="containsBlanks" dxfId="5356" priority="56">
      <formula>LEN(TRIM(AI203))=0</formula>
    </cfRule>
    <cfRule type="containsBlanks" dxfId="5355" priority="57">
      <formula>LEN(TRIM(AI203))=0</formula>
    </cfRule>
    <cfRule type="containsBlanks" dxfId="5354" priority="58">
      <formula>LEN(TRIM(AI203))=0</formula>
    </cfRule>
    <cfRule type="containsBlanks" dxfId="5353" priority="59">
      <formula>LEN(TRIM(AI203))=0</formula>
    </cfRule>
    <cfRule type="containsBlanks" dxfId="5352" priority="60">
      <formula>LEN(TRIM(AI203))=0</formula>
    </cfRule>
    <cfRule type="containsBlanks" dxfId="5351" priority="61">
      <formula>LEN(TRIM(AI203))=0</formula>
    </cfRule>
    <cfRule type="containsBlanks" dxfId="5350" priority="62">
      <formula>LEN(TRIM(AI203))=0</formula>
    </cfRule>
    <cfRule type="containsBlanks" dxfId="5349" priority="63">
      <formula>LEN(TRIM(AI203))=0</formula>
    </cfRule>
    <cfRule type="containsBlanks" dxfId="5348" priority="64">
      <formula>LEN(TRIM(AI203))=0</formula>
    </cfRule>
    <cfRule type="containsBlanks" dxfId="5347" priority="65">
      <formula>LEN(TRIM(AI203))=0</formula>
    </cfRule>
    <cfRule type="containsBlanks" dxfId="5346" priority="66">
      <formula>LEN(TRIM(AI203))=0</formula>
    </cfRule>
    <cfRule type="containsBlanks" dxfId="5345" priority="67">
      <formula>LEN(TRIM(AI203))=0</formula>
    </cfRule>
    <cfRule type="containsBlanks" dxfId="5344" priority="68">
      <formula>LEN(TRIM(AI203))=0</formula>
    </cfRule>
    <cfRule type="containsBlanks" dxfId="5343" priority="69">
      <formula>LEN(TRIM(AI203))=0</formula>
    </cfRule>
    <cfRule type="containsBlanks" dxfId="5342" priority="70">
      <formula>LEN(TRIM(AI203))=0</formula>
    </cfRule>
    <cfRule type="containsBlanks" dxfId="5341" priority="71">
      <formula>LEN(TRIM(AI203))=0</formula>
    </cfRule>
    <cfRule type="containsBlanks" dxfId="5340" priority="72">
      <formula>LEN(TRIM(AI203))=0</formula>
    </cfRule>
    <cfRule type="containsBlanks" dxfId="5339" priority="73">
      <formula>LEN(TRIM(AI203))=0</formula>
    </cfRule>
    <cfRule type="containsBlanks" dxfId="5338" priority="74">
      <formula>LEN(TRIM(AI203))=0</formula>
    </cfRule>
    <cfRule type="containsBlanks" dxfId="5337" priority="75">
      <formula>LEN(TRIM(AI203))=0</formula>
    </cfRule>
    <cfRule type="containsBlanks" dxfId="5336" priority="76">
      <formula>LEN(TRIM(AI203))=0</formula>
    </cfRule>
    <cfRule type="containsBlanks" dxfId="5335" priority="77">
      <formula>LEN(TRIM(AI203))=0</formula>
    </cfRule>
    <cfRule type="containsBlanks" dxfId="5334" priority="78">
      <formula>LEN(TRIM(AI203))=0</formula>
    </cfRule>
    <cfRule type="containsBlanks" dxfId="5333" priority="79">
      <formula>LEN(TRIM(AI203))=0</formula>
    </cfRule>
    <cfRule type="containsBlanks" dxfId="5332" priority="80">
      <formula>LEN(TRIM(AI203))=0</formula>
    </cfRule>
    <cfRule type="containsBlanks" dxfId="5331" priority="81">
      <formula>LEN(TRIM(AI203))=0</formula>
    </cfRule>
    <cfRule type="containsBlanks" dxfId="5330" priority="82">
      <formula>LEN(TRIM(AI203))=0</formula>
    </cfRule>
    <cfRule type="containsBlanks" dxfId="5329" priority="83">
      <formula>LEN(TRIM(AI203))=0</formula>
    </cfRule>
    <cfRule type="containsBlanks" dxfId="5328" priority="84">
      <formula>LEN(TRIM(AI203))=0</formula>
    </cfRule>
    <cfRule type="containsBlanks" dxfId="5327" priority="85">
      <formula>LEN(TRIM(AI203))=0</formula>
    </cfRule>
    <cfRule type="containsBlanks" dxfId="5326" priority="86">
      <formula>LEN(TRIM(AI203))=0</formula>
    </cfRule>
    <cfRule type="containsBlanks" dxfId="5325" priority="87">
      <formula>LEN(TRIM(AI203))=0</formula>
    </cfRule>
    <cfRule type="containsBlanks" dxfId="5324" priority="88">
      <formula>LEN(TRIM(AI203))=0</formula>
    </cfRule>
    <cfRule type="containsBlanks" dxfId="5323" priority="89">
      <formula>LEN(TRIM(AI203))=0</formula>
    </cfRule>
    <cfRule type="containsBlanks" dxfId="5322" priority="90">
      <formula>LEN(TRIM(AI203))=0</formula>
    </cfRule>
    <cfRule type="containsBlanks" dxfId="5321" priority="91">
      <formula>LEN(TRIM(AI203))=0</formula>
    </cfRule>
    <cfRule type="containsBlanks" dxfId="5320" priority="92">
      <formula>LEN(TRIM(AI203))=0</formula>
    </cfRule>
    <cfRule type="containsBlanks" dxfId="5319" priority="93">
      <formula>LEN(TRIM(AI203))=0</formula>
    </cfRule>
    <cfRule type="containsBlanks" dxfId="5318" priority="94">
      <formula>LEN(TRIM(AI203))=0</formula>
    </cfRule>
    <cfRule type="containsBlanks" dxfId="5317" priority="95">
      <formula>LEN(TRIM(AI203))=0</formula>
    </cfRule>
    <cfRule type="containsBlanks" dxfId="5316" priority="96">
      <formula>LEN(TRIM(AI203))=0</formula>
    </cfRule>
    <cfRule type="containsBlanks" dxfId="5315" priority="97">
      <formula>LEN(TRIM(AI203))=0</formula>
    </cfRule>
    <cfRule type="containsBlanks" dxfId="5314" priority="98">
      <formula>LEN(TRIM(AI203))=0</formula>
    </cfRule>
    <cfRule type="containsBlanks" dxfId="5313" priority="99">
      <formula>LEN(TRIM(AI203))=0</formula>
    </cfRule>
    <cfRule type="containsBlanks" dxfId="5312" priority="100">
      <formula>LEN(TRIM(AI203))=0</formula>
    </cfRule>
    <cfRule type="containsBlanks" dxfId="5311" priority="101">
      <formula>LEN(TRIM(AI203))=0</formula>
    </cfRule>
    <cfRule type="containsBlanks" dxfId="5310" priority="102">
      <formula>LEN(TRIM(AI203))=0</formula>
    </cfRule>
    <cfRule type="containsBlanks" dxfId="5309" priority="103">
      <formula>LEN(TRIM(AI203))=0</formula>
    </cfRule>
    <cfRule type="containsBlanks" dxfId="5308" priority="104">
      <formula>LEN(TRIM(AI203))=0</formula>
    </cfRule>
    <cfRule type="containsBlanks" dxfId="5307" priority="105">
      <formula>LEN(TRIM(AI203))=0</formula>
    </cfRule>
    <cfRule type="containsBlanks" dxfId="5306" priority="106">
      <formula>LEN(TRIM(AI203))=0</formula>
    </cfRule>
    <cfRule type="containsBlanks" dxfId="5305" priority="107">
      <formula>LEN(TRIM(AI203))=0</formula>
    </cfRule>
    <cfRule type="containsBlanks" dxfId="5304" priority="108">
      <formula>LEN(TRIM(AI203))=0</formula>
    </cfRule>
    <cfRule type="containsBlanks" dxfId="5303" priority="109">
      <formula>LEN(TRIM(AI203))=0</formula>
    </cfRule>
    <cfRule type="containsBlanks" dxfId="5302" priority="110">
      <formula>LEN(TRIM(AI203))=0</formula>
    </cfRule>
    <cfRule type="containsBlanks" dxfId="5301" priority="111">
      <formula>LEN(TRIM(AI203))=0</formula>
    </cfRule>
    <cfRule type="containsBlanks" dxfId="5300" priority="112">
      <formula>LEN(TRIM(AI203))=0</formula>
    </cfRule>
    <cfRule type="containsBlanks" dxfId="5299" priority="113">
      <formula>LEN(TRIM(AI203))=0</formula>
    </cfRule>
    <cfRule type="containsBlanks" dxfId="5298" priority="114">
      <formula>LEN(TRIM(AI203))=0</formula>
    </cfRule>
    <cfRule type="containsBlanks" dxfId="5297" priority="115">
      <formula>LEN(TRIM(AI203))=0</formula>
    </cfRule>
    <cfRule type="containsBlanks" dxfId="5296" priority="116">
      <formula>LEN(TRIM(AI203))=0</formula>
    </cfRule>
    <cfRule type="containsBlanks" dxfId="5295" priority="117">
      <formula>LEN(TRIM(AI203))=0</formula>
    </cfRule>
    <cfRule type="containsBlanks" dxfId="5294" priority="118">
      <formula>LEN(TRIM(AI203))=0</formula>
    </cfRule>
    <cfRule type="containsBlanks" dxfId="5293" priority="119">
      <formula>LEN(TRIM(AI203))=0</formula>
    </cfRule>
    <cfRule type="containsBlanks" dxfId="5292" priority="120">
      <formula>LEN(TRIM(AI203))=0</formula>
    </cfRule>
    <cfRule type="containsBlanks" dxfId="5291" priority="121">
      <formula>LEN(TRIM(AI203))=0</formula>
    </cfRule>
    <cfRule type="containsBlanks" dxfId="5290" priority="122">
      <formula>LEN(TRIM(AI203))=0</formula>
    </cfRule>
    <cfRule type="containsBlanks" dxfId="5289" priority="123">
      <formula>LEN(TRIM(AI203))=0</formula>
    </cfRule>
    <cfRule type="containsBlanks" dxfId="5288" priority="124">
      <formula>LEN(TRIM(AI203))=0</formula>
    </cfRule>
    <cfRule type="containsBlanks" dxfId="5287" priority="125">
      <formula>LEN(TRIM(AI203))=0</formula>
    </cfRule>
    <cfRule type="containsBlanks" dxfId="5286" priority="126">
      <formula>LEN(TRIM(AI203))=0</formula>
    </cfRule>
    <cfRule type="containsBlanks" dxfId="5285" priority="127">
      <formula>LEN(TRIM(AI203))=0</formula>
    </cfRule>
    <cfRule type="containsBlanks" dxfId="5284" priority="128">
      <formula>LEN(TRIM(AI203))=0</formula>
    </cfRule>
    <cfRule type="containsBlanks" dxfId="5283" priority="129">
      <formula>LEN(TRIM(AI203))=0</formula>
    </cfRule>
    <cfRule type="containsBlanks" dxfId="5282" priority="130">
      <formula>LEN(TRIM(AI203))=0</formula>
    </cfRule>
    <cfRule type="containsBlanks" dxfId="5281" priority="131">
      <formula>LEN(TRIM(AI203))=0</formula>
    </cfRule>
    <cfRule type="containsBlanks" dxfId="5280" priority="132">
      <formula>LEN(TRIM(AI203))=0</formula>
    </cfRule>
    <cfRule type="containsBlanks" dxfId="5279" priority="133">
      <formula>LEN(TRIM(AI203))=0</formula>
    </cfRule>
    <cfRule type="containsBlanks" dxfId="5278" priority="134">
      <formula>LEN(TRIM(AI203))=0</formula>
    </cfRule>
    <cfRule type="containsBlanks" dxfId="5277" priority="135">
      <formula>LEN(TRIM(AI203))=0</formula>
    </cfRule>
    <cfRule type="containsBlanks" dxfId="5276" priority="136">
      <formula>LEN(TRIM(AI203))=0</formula>
    </cfRule>
    <cfRule type="containsBlanks" dxfId="5275" priority="137">
      <formula>LEN(TRIM(AI203))=0</formula>
    </cfRule>
    <cfRule type="containsBlanks" dxfId="5274" priority="138">
      <formula>LEN(TRIM(AI203))=0</formula>
    </cfRule>
    <cfRule type="containsBlanks" dxfId="5273" priority="139">
      <formula>LEN(TRIM(AI203))=0</formula>
    </cfRule>
    <cfRule type="containsBlanks" dxfId="5272" priority="140">
      <formula>LEN(TRIM(AI203))=0</formula>
    </cfRule>
    <cfRule type="containsBlanks" dxfId="5271" priority="141">
      <formula>LEN(TRIM(AI203))=0</formula>
    </cfRule>
    <cfRule type="containsBlanks" dxfId="5270" priority="142">
      <formula>LEN(TRIM(AI203))=0</formula>
    </cfRule>
    <cfRule type="containsBlanks" dxfId="5269" priority="143">
      <formula>LEN(TRIM(AI203))=0</formula>
    </cfRule>
    <cfRule type="containsBlanks" dxfId="5268" priority="144">
      <formula>LEN(TRIM(AI203))=0</formula>
    </cfRule>
    <cfRule type="containsBlanks" dxfId="5267" priority="145">
      <formula>LEN(TRIM(AI203))=0</formula>
    </cfRule>
    <cfRule type="containsBlanks" dxfId="5266" priority="146">
      <formula>LEN(TRIM(AI203))=0</formula>
    </cfRule>
    <cfRule type="containsBlanks" dxfId="5265" priority="147">
      <formula>LEN(TRIM(AI203))=0</formula>
    </cfRule>
    <cfRule type="containsBlanks" dxfId="5264" priority="148">
      <formula>LEN(TRIM(AI203))=0</formula>
    </cfRule>
    <cfRule type="containsBlanks" dxfId="5263" priority="149">
      <formula>LEN(TRIM(AI203))=0</formula>
    </cfRule>
    <cfRule type="containsBlanks" dxfId="5262" priority="150">
      <formula>LEN(TRIM(AI203))=0</formula>
    </cfRule>
    <cfRule type="containsBlanks" dxfId="5261" priority="151">
      <formula>LEN(TRIM(AI203))=0</formula>
    </cfRule>
    <cfRule type="containsBlanks" dxfId="5260" priority="152">
      <formula>LEN(TRIM(AI203))=0</formula>
    </cfRule>
    <cfRule type="containsBlanks" dxfId="5259" priority="153">
      <formula>LEN(TRIM(AI203))=0</formula>
    </cfRule>
    <cfRule type="containsBlanks" dxfId="5258" priority="154">
      <formula>LEN(TRIM(AI203))=0</formula>
    </cfRule>
    <cfRule type="containsBlanks" dxfId="5257" priority="155">
      <formula>LEN(TRIM(AI203))=0</formula>
    </cfRule>
    <cfRule type="containsBlanks" dxfId="5256" priority="156">
      <formula>LEN(TRIM(AI203))=0</formula>
    </cfRule>
    <cfRule type="containsBlanks" dxfId="5255" priority="157">
      <formula>LEN(TRIM(AI203))=0</formula>
    </cfRule>
    <cfRule type="containsBlanks" dxfId="5254" priority="158">
      <formula>LEN(TRIM(AI203))=0</formula>
    </cfRule>
    <cfRule type="containsBlanks" dxfId="5253" priority="159">
      <formula>LEN(TRIM(AI203))=0</formula>
    </cfRule>
    <cfRule type="containsBlanks" dxfId="5252" priority="160">
      <formula>LEN(TRIM(AI203))=0</formula>
    </cfRule>
    <cfRule type="containsBlanks" dxfId="5251" priority="161">
      <formula>LEN(TRIM(AI203))=0</formula>
    </cfRule>
    <cfRule type="containsBlanks" dxfId="5250" priority="162">
      <formula>LEN(TRIM(AI203))=0</formula>
    </cfRule>
    <cfRule type="containsBlanks" dxfId="5249" priority="163">
      <formula>LEN(TRIM(AI203))=0</formula>
    </cfRule>
    <cfRule type="containsBlanks" dxfId="5248" priority="164">
      <formula>LEN(TRIM(AI203))=0</formula>
    </cfRule>
    <cfRule type="containsBlanks" dxfId="5247" priority="165">
      <formula>LEN(TRIM(AI203))=0</formula>
    </cfRule>
    <cfRule type="containsBlanks" dxfId="5246" priority="166">
      <formula>LEN(TRIM(AI203))=0</formula>
    </cfRule>
    <cfRule type="containsBlanks" dxfId="5245" priority="167">
      <formula>LEN(TRIM(AI203))=0</formula>
    </cfRule>
    <cfRule type="containsBlanks" dxfId="5244" priority="168">
      <formula>LEN(TRIM(AI203))=0</formula>
    </cfRule>
    <cfRule type="containsBlanks" dxfId="5243" priority="169">
      <formula>LEN(TRIM(AI203))=0</formula>
    </cfRule>
    <cfRule type="containsBlanks" dxfId="5242" priority="170">
      <formula>LEN(TRIM(AI203))=0</formula>
    </cfRule>
    <cfRule type="containsBlanks" dxfId="5241" priority="171">
      <formula>LEN(TRIM(AI203))=0</formula>
    </cfRule>
    <cfRule type="containsBlanks" dxfId="5240" priority="172">
      <formula>LEN(TRIM(AI203))=0</formula>
    </cfRule>
    <cfRule type="containsBlanks" dxfId="5239" priority="173">
      <formula>LEN(TRIM(AI203))=0</formula>
    </cfRule>
    <cfRule type="containsBlanks" dxfId="5238" priority="174">
      <formula>LEN(TRIM(AI203))=0</formula>
    </cfRule>
    <cfRule type="containsBlanks" dxfId="5237" priority="175">
      <formula>LEN(TRIM(AI203))=0</formula>
    </cfRule>
    <cfRule type="containsBlanks" dxfId="5236" priority="176">
      <formula>LEN(TRIM(AI203))=0</formula>
    </cfRule>
    <cfRule type="containsBlanks" dxfId="5235" priority="177">
      <formula>LEN(TRIM(AI203))=0</formula>
    </cfRule>
    <cfRule type="containsBlanks" dxfId="5234" priority="178">
      <formula>LEN(TRIM(AI203))=0</formula>
    </cfRule>
    <cfRule type="containsBlanks" dxfId="5233" priority="179">
      <formula>LEN(TRIM(AI203))=0</formula>
    </cfRule>
    <cfRule type="containsBlanks" dxfId="5232" priority="180">
      <formula>LEN(TRIM(AI203))=0</formula>
    </cfRule>
    <cfRule type="containsBlanks" dxfId="5231" priority="181">
      <formula>LEN(TRIM(AI203))=0</formula>
    </cfRule>
    <cfRule type="containsBlanks" dxfId="5230" priority="182">
      <formula>LEN(TRIM(AI203))=0</formula>
    </cfRule>
    <cfRule type="containsBlanks" dxfId="5229" priority="183">
      <formula>LEN(TRIM(AI203))=0</formula>
    </cfRule>
    <cfRule type="containsBlanks" dxfId="5228" priority="184">
      <formula>LEN(TRIM(AI203))=0</formula>
    </cfRule>
    <cfRule type="containsBlanks" dxfId="5227" priority="185">
      <formula>LEN(TRIM(AI203))=0</formula>
    </cfRule>
    <cfRule type="containsBlanks" dxfId="5226" priority="186">
      <formula>LEN(TRIM(AI203))=0</formula>
    </cfRule>
    <cfRule type="containsBlanks" dxfId="5225" priority="187">
      <formula>LEN(TRIM(AI203))=0</formula>
    </cfRule>
    <cfRule type="containsBlanks" dxfId="5224" priority="188">
      <formula>LEN(TRIM(AI203))=0</formula>
    </cfRule>
    <cfRule type="containsBlanks" dxfId="5223" priority="189">
      <formula>LEN(TRIM(AI203))=0</formula>
    </cfRule>
    <cfRule type="containsBlanks" dxfId="5222" priority="190">
      <formula>LEN(TRIM(AI203))=0</formula>
    </cfRule>
    <cfRule type="containsBlanks" dxfId="5221" priority="191">
      <formula>LEN(TRIM(AI203))=0</formula>
    </cfRule>
    <cfRule type="containsBlanks" dxfId="5220" priority="192">
      <formula>LEN(TRIM(AI203))=0</formula>
    </cfRule>
    <cfRule type="containsBlanks" dxfId="5219" priority="193">
      <formula>LEN(TRIM(AI203))=0</formula>
    </cfRule>
    <cfRule type="containsBlanks" dxfId="5218" priority="194">
      <formula>LEN(TRIM(AI203))=0</formula>
    </cfRule>
    <cfRule type="containsBlanks" dxfId="5217" priority="195">
      <formula>LEN(TRIM(AI203))=0</formula>
    </cfRule>
    <cfRule type="containsBlanks" dxfId="5216" priority="196">
      <formula>LEN(TRIM(AI203))=0</formula>
    </cfRule>
    <cfRule type="containsBlanks" dxfId="5215" priority="197">
      <formula>LEN(TRIM(AI203))=0</formula>
    </cfRule>
    <cfRule type="containsBlanks" dxfId="5214" priority="198">
      <formula>LEN(TRIM(AI203))=0</formula>
    </cfRule>
    <cfRule type="containsBlanks" dxfId="5213" priority="199">
      <formula>LEN(TRIM(AI203))=0</formula>
    </cfRule>
    <cfRule type="containsBlanks" dxfId="5212" priority="200">
      <formula>LEN(TRIM(AI203))=0</formula>
    </cfRule>
    <cfRule type="containsBlanks" dxfId="5211" priority="201">
      <formula>LEN(TRIM(AI203))=0</formula>
    </cfRule>
    <cfRule type="containsBlanks" dxfId="5210" priority="202">
      <formula>LEN(TRIM(AI203))=0</formula>
    </cfRule>
    <cfRule type="containsBlanks" dxfId="5209" priority="203">
      <formula>LEN(TRIM(AI203))=0</formula>
    </cfRule>
    <cfRule type="containsBlanks" dxfId="5208" priority="204">
      <formula>LEN(TRIM(AI203))=0</formula>
    </cfRule>
    <cfRule type="containsBlanks" dxfId="5207" priority="205">
      <formula>LEN(TRIM(AI203))=0</formula>
    </cfRule>
    <cfRule type="containsBlanks" dxfId="5206" priority="206">
      <formula>LEN(TRIM(AI203))=0</formula>
    </cfRule>
    <cfRule type="containsBlanks" dxfId="5205" priority="207">
      <formula>LEN(TRIM(AI203))=0</formula>
    </cfRule>
    <cfRule type="containsBlanks" dxfId="5204" priority="208">
      <formula>LEN(TRIM(AI203))=0</formula>
    </cfRule>
    <cfRule type="containsBlanks" dxfId="5203" priority="209">
      <formula>LEN(TRIM(AI203))=0</formula>
    </cfRule>
    <cfRule type="containsBlanks" dxfId="5202" priority="210">
      <formula>LEN(TRIM(AI203))=0</formula>
    </cfRule>
    <cfRule type="containsBlanks" dxfId="5201" priority="211">
      <formula>LEN(TRIM(AI203))=0</formula>
    </cfRule>
    <cfRule type="containsBlanks" dxfId="5200" priority="212">
      <formula>LEN(TRIM(AI203))=0</formula>
    </cfRule>
    <cfRule type="containsBlanks" dxfId="5199" priority="213">
      <formula>LEN(TRIM(AI203))=0</formula>
    </cfRule>
    <cfRule type="containsBlanks" dxfId="5198" priority="214">
      <formula>LEN(TRIM(AI203))=0</formula>
    </cfRule>
    <cfRule type="containsBlanks" dxfId="5197" priority="215">
      <formula>LEN(TRIM(AI203))=0</formula>
    </cfRule>
    <cfRule type="containsBlanks" dxfId="5196" priority="216">
      <formula>LEN(TRIM(AI203))=0</formula>
    </cfRule>
    <cfRule type="containsBlanks" dxfId="5195" priority="217">
      <formula>LEN(TRIM(AI203))=0</formula>
    </cfRule>
    <cfRule type="containsBlanks" dxfId="5194" priority="218">
      <formula>LEN(TRIM(AI203))=0</formula>
    </cfRule>
    <cfRule type="containsBlanks" dxfId="5193" priority="219">
      <formula>LEN(TRIM(AI203))=0</formula>
    </cfRule>
    <cfRule type="containsBlanks" dxfId="5192" priority="220">
      <formula>LEN(TRIM(AI203))=0</formula>
    </cfRule>
    <cfRule type="containsBlanks" dxfId="5191" priority="221">
      <formula>LEN(TRIM(AI203))=0</formula>
    </cfRule>
    <cfRule type="containsBlanks" dxfId="5190" priority="222">
      <formula>LEN(TRIM(AI203))=0</formula>
    </cfRule>
    <cfRule type="containsBlanks" dxfId="5189" priority="223">
      <formula>LEN(TRIM(AI203))=0</formula>
    </cfRule>
    <cfRule type="containsBlanks" dxfId="5188" priority="224">
      <formula>LEN(TRIM(AI203))=0</formula>
    </cfRule>
    <cfRule type="containsBlanks" dxfId="5187" priority="225">
      <formula>LEN(TRIM(AI203))=0</formula>
    </cfRule>
    <cfRule type="containsBlanks" dxfId="5186" priority="226">
      <formula>LEN(TRIM(AI203))=0</formula>
    </cfRule>
    <cfRule type="containsBlanks" dxfId="5185" priority="227">
      <formula>LEN(TRIM(AI203))=0</formula>
    </cfRule>
    <cfRule type="containsBlanks" dxfId="5184" priority="228">
      <formula>LEN(TRIM(AI203))=0</formula>
    </cfRule>
    <cfRule type="containsBlanks" dxfId="5183" priority="229">
      <formula>LEN(TRIM(AI203))=0</formula>
    </cfRule>
    <cfRule type="containsBlanks" dxfId="5182" priority="230">
      <formula>LEN(TRIM(AI203))=0</formula>
    </cfRule>
    <cfRule type="containsBlanks" dxfId="5181" priority="231">
      <formula>LEN(TRIM(AI203))=0</formula>
    </cfRule>
    <cfRule type="containsBlanks" dxfId="5180" priority="232">
      <formula>LEN(TRIM(AI203))=0</formula>
    </cfRule>
    <cfRule type="containsBlanks" dxfId="5179" priority="233">
      <formula>LEN(TRIM(AI203))=0</formula>
    </cfRule>
    <cfRule type="containsBlanks" dxfId="5178" priority="234">
      <formula>LEN(TRIM(AI203))=0</formula>
    </cfRule>
    <cfRule type="containsBlanks" dxfId="5177" priority="235">
      <formula>LEN(TRIM(AI203))=0</formula>
    </cfRule>
    <cfRule type="containsBlanks" dxfId="5176" priority="236">
      <formula>LEN(TRIM(AI203))=0</formula>
    </cfRule>
    <cfRule type="containsBlanks" dxfId="5175" priority="237">
      <formula>LEN(TRIM(AI203))=0</formula>
    </cfRule>
    <cfRule type="containsBlanks" dxfId="5174" priority="238">
      <formula>LEN(TRIM(AI203))=0</formula>
    </cfRule>
    <cfRule type="containsBlanks" dxfId="5173" priority="239">
      <formula>LEN(TRIM(AI203))=0</formula>
    </cfRule>
    <cfRule type="containsBlanks" dxfId="5172" priority="240">
      <formula>LEN(TRIM(AI203))=0</formula>
    </cfRule>
    <cfRule type="containsBlanks" dxfId="5171" priority="241">
      <formula>LEN(TRIM(AI203))=0</formula>
    </cfRule>
    <cfRule type="containsBlanks" dxfId="5170" priority="242">
      <formula>LEN(TRIM(AI203))=0</formula>
    </cfRule>
    <cfRule type="containsBlanks" dxfId="5169" priority="243">
      <formula>LEN(TRIM(AI203))=0</formula>
    </cfRule>
    <cfRule type="containsBlanks" dxfId="5168" priority="244">
      <formula>LEN(TRIM(AI203))=0</formula>
    </cfRule>
    <cfRule type="containsBlanks" dxfId="5167" priority="245">
      <formula>LEN(TRIM(AI203))=0</formula>
    </cfRule>
    <cfRule type="containsBlanks" dxfId="5166" priority="246">
      <formula>LEN(TRIM(AI203))=0</formula>
    </cfRule>
    <cfRule type="containsBlanks" dxfId="5165" priority="247">
      <formula>LEN(TRIM(AI203))=0</formula>
    </cfRule>
    <cfRule type="containsBlanks" dxfId="5164" priority="248">
      <formula>LEN(TRIM(AI203))=0</formula>
    </cfRule>
    <cfRule type="containsBlanks" dxfId="5163" priority="249">
      <formula>LEN(TRIM(AI203))=0</formula>
    </cfRule>
    <cfRule type="containsBlanks" dxfId="5162" priority="250">
      <formula>LEN(TRIM(AI203))=0</formula>
    </cfRule>
    <cfRule type="containsBlanks" dxfId="5161" priority="251">
      <formula>LEN(TRIM(AI203))=0</formula>
    </cfRule>
    <cfRule type="containsBlanks" dxfId="5160" priority="252">
      <formula>LEN(TRIM(AI203))=0</formula>
    </cfRule>
    <cfRule type="containsBlanks" dxfId="5159" priority="253">
      <formula>LEN(TRIM(AI203))=0</formula>
    </cfRule>
    <cfRule type="containsBlanks" dxfId="5158" priority="254">
      <formula>LEN(TRIM(AI203))=0</formula>
    </cfRule>
    <cfRule type="containsBlanks" dxfId="5157" priority="255">
      <formula>LEN(TRIM(AI203))=0</formula>
    </cfRule>
    <cfRule type="containsBlanks" dxfId="5156" priority="256">
      <formula>LEN(TRIM(AI203))=0</formula>
    </cfRule>
    <cfRule type="containsBlanks" dxfId="5155" priority="257">
      <formula>LEN(TRIM(AI203))=0</formula>
    </cfRule>
    <cfRule type="containsBlanks" dxfId="5154" priority="258">
      <formula>LEN(TRIM(AI203))=0</formula>
    </cfRule>
    <cfRule type="containsBlanks" dxfId="5153" priority="259">
      <formula>LEN(TRIM(AI203))=0</formula>
    </cfRule>
    <cfRule type="containsBlanks" dxfId="5152" priority="260">
      <formula>LEN(TRIM(AI203))=0</formula>
    </cfRule>
    <cfRule type="containsBlanks" dxfId="5151" priority="261">
      <formula>LEN(TRIM(AI203))=0</formula>
    </cfRule>
    <cfRule type="containsBlanks" dxfId="5150" priority="262">
      <formula>LEN(TRIM(AI203))=0</formula>
    </cfRule>
    <cfRule type="containsBlanks" dxfId="5149" priority="263">
      <formula>LEN(TRIM(AI203))=0</formula>
    </cfRule>
    <cfRule type="containsBlanks" dxfId="5148" priority="264">
      <formula>LEN(TRIM(AI203))=0</formula>
    </cfRule>
    <cfRule type="containsBlanks" dxfId="5147" priority="265">
      <formula>LEN(TRIM(AI203))=0</formula>
    </cfRule>
    <cfRule type="containsBlanks" dxfId="5146" priority="266">
      <formula>LEN(TRIM(AI203))=0</formula>
    </cfRule>
    <cfRule type="containsBlanks" dxfId="5145" priority="267">
      <formula>LEN(TRIM(AI203))=0</formula>
    </cfRule>
    <cfRule type="containsBlanks" dxfId="5144" priority="268">
      <formula>LEN(TRIM(AI203))=0</formula>
    </cfRule>
    <cfRule type="containsBlanks" dxfId="5143" priority="269">
      <formula>LEN(TRIM(AI203))=0</formula>
    </cfRule>
    <cfRule type="containsBlanks" dxfId="5142" priority="270">
      <formula>LEN(TRIM(AI203))=0</formula>
    </cfRule>
    <cfRule type="containsBlanks" dxfId="5141" priority="271">
      <formula>LEN(TRIM(AI203))=0</formula>
    </cfRule>
    <cfRule type="containsBlanks" dxfId="5140" priority="272">
      <formula>LEN(TRIM(AI203))=0</formula>
    </cfRule>
    <cfRule type="containsBlanks" dxfId="5139" priority="273">
      <formula>LEN(TRIM(AI203))=0</formula>
    </cfRule>
    <cfRule type="containsBlanks" dxfId="5138" priority="274">
      <formula>LEN(TRIM(AI203))=0</formula>
    </cfRule>
    <cfRule type="containsBlanks" dxfId="5137" priority="275">
      <formula>LEN(TRIM(AI203))=0</formula>
    </cfRule>
    <cfRule type="containsBlanks" dxfId="5136" priority="276">
      <formula>LEN(TRIM(AI203))=0</formula>
    </cfRule>
    <cfRule type="containsBlanks" dxfId="5135" priority="277">
      <formula>LEN(TRIM(AI203))=0</formula>
    </cfRule>
    <cfRule type="containsBlanks" dxfId="5134" priority="278">
      <formula>LEN(TRIM(AI203))=0</formula>
    </cfRule>
    <cfRule type="containsBlanks" dxfId="5133" priority="279">
      <formula>LEN(TRIM(AI203))=0</formula>
    </cfRule>
    <cfRule type="containsBlanks" dxfId="5132" priority="280">
      <formula>LEN(TRIM(AI203))=0</formula>
    </cfRule>
    <cfRule type="containsBlanks" dxfId="5131" priority="281">
      <formula>LEN(TRIM(AI203))=0</formula>
    </cfRule>
    <cfRule type="containsBlanks" dxfId="5130" priority="282">
      <formula>LEN(TRIM(AI203))=0</formula>
    </cfRule>
    <cfRule type="containsBlanks" dxfId="5129" priority="283">
      <formula>LEN(TRIM(AI203))=0</formula>
    </cfRule>
    <cfRule type="containsBlanks" dxfId="5128" priority="284">
      <formula>LEN(TRIM(AI203))=0</formula>
    </cfRule>
    <cfRule type="containsBlanks" dxfId="5127" priority="285">
      <formula>LEN(TRIM(AI203))=0</formula>
    </cfRule>
    <cfRule type="containsBlanks" dxfId="5126" priority="286">
      <formula>LEN(TRIM(AI203))=0</formula>
    </cfRule>
    <cfRule type="containsBlanks" dxfId="5125" priority="287">
      <formula>LEN(TRIM(AI203))=0</formula>
    </cfRule>
    <cfRule type="containsBlanks" dxfId="5124" priority="288">
      <formula>LEN(TRIM(AI203))=0</formula>
    </cfRule>
    <cfRule type="containsBlanks" dxfId="5123" priority="289">
      <formula>LEN(TRIM(AI203))=0</formula>
    </cfRule>
    <cfRule type="containsBlanks" dxfId="5122" priority="290">
      <formula>LEN(TRIM(AI203))=0</formula>
    </cfRule>
    <cfRule type="containsBlanks" dxfId="5121" priority="291">
      <formula>LEN(TRIM(AI203))=0</formula>
    </cfRule>
    <cfRule type="containsBlanks" dxfId="5120" priority="292">
      <formula>LEN(TRIM(AI203))=0</formula>
    </cfRule>
    <cfRule type="containsBlanks" dxfId="5119" priority="293">
      <formula>LEN(TRIM(AI203))=0</formula>
    </cfRule>
    <cfRule type="containsBlanks" dxfId="5118" priority="294">
      <formula>LEN(TRIM(AI203))=0</formula>
    </cfRule>
    <cfRule type="containsBlanks" dxfId="5117" priority="295">
      <formula>LEN(TRIM(AI203))=0</formula>
    </cfRule>
    <cfRule type="containsBlanks" dxfId="5116" priority="296">
      <formula>LEN(TRIM(AI203))=0</formula>
    </cfRule>
    <cfRule type="containsBlanks" dxfId="5115" priority="297">
      <formula>LEN(TRIM(AI203))=0</formula>
    </cfRule>
    <cfRule type="containsBlanks" dxfId="5114" priority="298">
      <formula>LEN(TRIM(AI203))=0</formula>
    </cfRule>
    <cfRule type="containsBlanks" dxfId="5113" priority="299">
      <formula>LEN(TRIM(AI203))=0</formula>
    </cfRule>
    <cfRule type="containsBlanks" dxfId="5112" priority="300">
      <formula>LEN(TRIM(AI203))=0</formula>
    </cfRule>
    <cfRule type="containsBlanks" dxfId="5111" priority="301">
      <formula>LEN(TRIM(AI203))=0</formula>
    </cfRule>
    <cfRule type="containsBlanks" dxfId="5110" priority="302">
      <formula>LEN(TRIM(AI203))=0</formula>
    </cfRule>
    <cfRule type="containsBlanks" dxfId="5109" priority="303">
      <formula>LEN(TRIM(AI203))=0</formula>
    </cfRule>
    <cfRule type="containsBlanks" dxfId="5108" priority="304">
      <formula>LEN(TRIM(AI203))=0</formula>
    </cfRule>
    <cfRule type="containsBlanks" dxfId="5107" priority="305">
      <formula>LEN(TRIM(AI203))=0</formula>
    </cfRule>
    <cfRule type="containsBlanks" dxfId="5106" priority="306">
      <formula>LEN(TRIM(AI203))=0</formula>
    </cfRule>
    <cfRule type="containsBlanks" dxfId="5105" priority="307">
      <formula>LEN(TRIM(AI203))=0</formula>
    </cfRule>
    <cfRule type="containsBlanks" dxfId="5104" priority="308">
      <formula>LEN(TRIM(AI203))=0</formula>
    </cfRule>
    <cfRule type="containsBlanks" dxfId="5103" priority="309">
      <formula>LEN(TRIM(AI203))=0</formula>
    </cfRule>
    <cfRule type="containsBlanks" dxfId="5102" priority="310">
      <formula>LEN(TRIM(AI203))=0</formula>
    </cfRule>
    <cfRule type="containsBlanks" dxfId="5101" priority="311">
      <formula>LEN(TRIM(AI203))=0</formula>
    </cfRule>
    <cfRule type="containsBlanks" dxfId="5100" priority="312">
      <formula>LEN(TRIM(AI203))=0</formula>
    </cfRule>
    <cfRule type="containsBlanks" dxfId="5099" priority="313">
      <formula>LEN(TRIM(AI203))=0</formula>
    </cfRule>
    <cfRule type="containsBlanks" dxfId="5098" priority="314">
      <formula>LEN(TRIM(AI203))=0</formula>
    </cfRule>
    <cfRule type="containsBlanks" dxfId="5097" priority="315">
      <formula>LEN(TRIM(AI203))=0</formula>
    </cfRule>
    <cfRule type="containsBlanks" dxfId="5096" priority="316">
      <formula>LEN(TRIM(AI203))=0</formula>
    </cfRule>
    <cfRule type="containsBlanks" dxfId="5095" priority="317">
      <formula>LEN(TRIM(AI203))=0</formula>
    </cfRule>
    <cfRule type="containsBlanks" dxfId="5094" priority="318">
      <formula>LEN(TRIM(AI203))=0</formula>
    </cfRule>
    <cfRule type="containsBlanks" dxfId="5093" priority="319">
      <formula>LEN(TRIM(AI203))=0</formula>
    </cfRule>
    <cfRule type="containsBlanks" dxfId="5092" priority="320">
      <formula>LEN(TRIM(AI203))=0</formula>
    </cfRule>
    <cfRule type="containsBlanks" dxfId="5091" priority="321">
      <formula>LEN(TRIM(AI203))=0</formula>
    </cfRule>
    <cfRule type="containsBlanks" dxfId="5090" priority="322">
      <formula>LEN(TRIM(AI203))=0</formula>
    </cfRule>
    <cfRule type="containsBlanks" dxfId="5089" priority="323">
      <formula>LEN(TRIM(AI203))=0</formula>
    </cfRule>
    <cfRule type="containsBlanks" dxfId="5088" priority="324">
      <formula>LEN(TRIM(AI203))=0</formula>
    </cfRule>
    <cfRule type="containsBlanks" dxfId="5087" priority="325">
      <formula>LEN(TRIM(AI203))=0</formula>
    </cfRule>
    <cfRule type="containsBlanks" dxfId="5086" priority="326">
      <formula>LEN(TRIM(AI203))=0</formula>
    </cfRule>
    <cfRule type="containsBlanks" dxfId="5085" priority="327">
      <formula>LEN(TRIM(AI203))=0</formula>
    </cfRule>
    <cfRule type="containsBlanks" dxfId="5084" priority="328">
      <formula>LEN(TRIM(AI203))=0</formula>
    </cfRule>
    <cfRule type="containsBlanks" dxfId="5083" priority="329">
      <formula>LEN(TRIM(AI203))=0</formula>
    </cfRule>
    <cfRule type="containsBlanks" dxfId="5082" priority="330">
      <formula>LEN(TRIM(AI203))=0</formula>
    </cfRule>
    <cfRule type="containsBlanks" dxfId="5081" priority="331">
      <formula>LEN(TRIM(AI203))=0</formula>
    </cfRule>
    <cfRule type="containsBlanks" dxfId="5080" priority="332">
      <formula>LEN(TRIM(AI203))=0</formula>
    </cfRule>
    <cfRule type="containsBlanks" dxfId="5079" priority="333">
      <formula>LEN(TRIM(AI203))=0</formula>
    </cfRule>
    <cfRule type="containsBlanks" dxfId="5078" priority="334">
      <formula>LEN(TRIM(AI203))=0</formula>
    </cfRule>
    <cfRule type="containsBlanks" dxfId="5077" priority="335">
      <formula>LEN(TRIM(AI203))=0</formula>
    </cfRule>
    <cfRule type="containsBlanks" dxfId="5076" priority="336">
      <formula>LEN(TRIM(AI203))=0</formula>
    </cfRule>
    <cfRule type="containsBlanks" dxfId="5075" priority="337">
      <formula>LEN(TRIM(AI203))=0</formula>
    </cfRule>
    <cfRule type="containsBlanks" dxfId="5074" priority="338">
      <formula>LEN(TRIM(AI203))=0</formula>
    </cfRule>
    <cfRule type="containsBlanks" dxfId="5073" priority="339">
      <formula>LEN(TRIM(AI203))=0</formula>
    </cfRule>
    <cfRule type="containsBlanks" dxfId="5072" priority="340">
      <formula>LEN(TRIM(AI203))=0</formula>
    </cfRule>
    <cfRule type="containsBlanks" dxfId="5071" priority="341">
      <formula>LEN(TRIM(AI203))=0</formula>
    </cfRule>
    <cfRule type="containsBlanks" dxfId="5070" priority="342">
      <formula>LEN(TRIM(AI203))=0</formula>
    </cfRule>
    <cfRule type="containsBlanks" dxfId="5069" priority="343">
      <formula>LEN(TRIM(AI203))=0</formula>
    </cfRule>
    <cfRule type="containsBlanks" dxfId="5068" priority="344">
      <formula>LEN(TRIM(AI203))=0</formula>
    </cfRule>
    <cfRule type="containsBlanks" dxfId="5067" priority="345">
      <formula>LEN(TRIM(AI203))=0</formula>
    </cfRule>
    <cfRule type="containsBlanks" dxfId="5066" priority="346">
      <formula>LEN(TRIM(AI203))=0</formula>
    </cfRule>
    <cfRule type="containsBlanks" dxfId="5065" priority="347">
      <formula>LEN(TRIM(AI203))=0</formula>
    </cfRule>
    <cfRule type="containsBlanks" dxfId="5064" priority="348">
      <formula>LEN(TRIM(AI203))=0</formula>
    </cfRule>
    <cfRule type="containsBlanks" dxfId="5063" priority="349">
      <formula>LEN(TRIM(AI203))=0</formula>
    </cfRule>
    <cfRule type="containsBlanks" dxfId="5062" priority="350">
      <formula>LEN(TRIM(AI203))=0</formula>
    </cfRule>
    <cfRule type="containsBlanks" dxfId="5061" priority="351">
      <formula>LEN(TRIM(AI203))=0</formula>
    </cfRule>
    <cfRule type="containsBlanks" dxfId="5060" priority="352">
      <formula>LEN(TRIM(AI203))=0</formula>
    </cfRule>
    <cfRule type="containsBlanks" dxfId="5059" priority="353">
      <formula>LEN(TRIM(AI203))=0</formula>
    </cfRule>
  </conditionalFormatting>
  <conditionalFormatting sqref="AI177:AI235">
    <cfRule type="containsBlanks" dxfId="5058" priority="23">
      <formula>LEN(TRIM(AI177))=0</formula>
    </cfRule>
  </conditionalFormatting>
  <conditionalFormatting sqref="AC84">
    <cfRule type="containsBlanks" dxfId="5057" priority="19">
      <formula>LEN(TRIM(AC84))=0</formula>
    </cfRule>
    <cfRule type="containsBlanks" dxfId="5056" priority="20">
      <formula>LEN(TRIM(AC84))=0</formula>
    </cfRule>
    <cfRule type="containsBlanks" dxfId="5055" priority="21">
      <formula>LEN(TRIM(AC84))=0</formula>
    </cfRule>
    <cfRule type="containsBlanks" dxfId="5054" priority="22">
      <formula>LEN(TRIM(AC84))=0</formula>
    </cfRule>
  </conditionalFormatting>
  <conditionalFormatting sqref="AF84">
    <cfRule type="containsBlanks" dxfId="5053" priority="15">
      <formula>LEN(TRIM(AF84))=0</formula>
    </cfRule>
    <cfRule type="containsBlanks" dxfId="5052" priority="16">
      <formula>LEN(TRIM(AF84))=0</formula>
    </cfRule>
    <cfRule type="containsBlanks" dxfId="5051" priority="17">
      <formula>LEN(TRIM(AF84))=0</formula>
    </cfRule>
    <cfRule type="containsBlanks" dxfId="5050" priority="18">
      <formula>LEN(TRIM(AF84))=0</formula>
    </cfRule>
  </conditionalFormatting>
  <conditionalFormatting sqref="AC84 AH84">
    <cfRule type="containsBlanks" dxfId="5049" priority="7">
      <formula>LEN(TRIM(AC84))=0</formula>
    </cfRule>
    <cfRule type="containsBlanks" dxfId="5048" priority="8">
      <formula>LEN(TRIM(AC84))=0</formula>
    </cfRule>
    <cfRule type="containsBlanks" dxfId="5047" priority="9">
      <formula>LEN(TRIM(AC84))=0</formula>
    </cfRule>
    <cfRule type="containsBlanks" dxfId="5046" priority="10">
      <formula>LEN(TRIM(AC84))=0</formula>
    </cfRule>
    <cfRule type="containsBlanks" dxfId="5045" priority="11">
      <formula>LEN(TRIM(AC84))=0</formula>
    </cfRule>
    <cfRule type="containsBlanks" dxfId="5044" priority="12">
      <formula>LEN(TRIM(AC84))=0</formula>
    </cfRule>
    <cfRule type="containsBlanks" dxfId="5043" priority="13">
      <formula>LEN(TRIM(AC84))=0</formula>
    </cfRule>
    <cfRule type="containsBlanks" dxfId="5042" priority="14">
      <formula>LEN(TRIM(AC84))=0</formula>
    </cfRule>
  </conditionalFormatting>
  <conditionalFormatting sqref="AD84:AE84 AG84">
    <cfRule type="containsBlanks" dxfId="5041" priority="1">
      <formula>LEN(TRIM(AD84))=0</formula>
    </cfRule>
    <cfRule type="containsBlanks" dxfId="5040" priority="2">
      <formula>LEN(TRIM(AD84))=0</formula>
    </cfRule>
    <cfRule type="containsBlanks" dxfId="5039" priority="3">
      <formula>LEN(TRIM(AD84))=0</formula>
    </cfRule>
    <cfRule type="containsBlanks" dxfId="5038" priority="4">
      <formula>LEN(TRIM(AD84))=0</formula>
    </cfRule>
    <cfRule type="containsBlanks" dxfId="5037" priority="5">
      <formula>LEN(TRIM(AD84))=0</formula>
    </cfRule>
    <cfRule type="containsBlanks" dxfId="5036" priority="6">
      <formula>LEN(TRIM(AD84))=0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O370"/>
  <sheetViews>
    <sheetView topLeftCell="A10" zoomScale="30" zoomScaleNormal="30" zoomScaleSheetLayoutView="25" zoomScalePageLayoutView="40" workbookViewId="0">
      <pane ySplit="4" topLeftCell="A296" activePane="bottomLeft" state="frozen"/>
      <selection activeCell="A10" sqref="A10"/>
      <selection pane="bottomLeft" activeCell="D247" sqref="D247:AG313"/>
    </sheetView>
  </sheetViews>
  <sheetFormatPr defaultColWidth="5.28515625" defaultRowHeight="15"/>
  <cols>
    <col min="1" max="1" width="11" style="892" customWidth="1"/>
    <col min="2" max="2" width="8.42578125" style="892" customWidth="1"/>
    <col min="3" max="3" width="25.28515625" style="892" customWidth="1"/>
    <col min="4" max="7" width="14.85546875" style="892" customWidth="1"/>
    <col min="8" max="9" width="17.140625" style="892" customWidth="1"/>
    <col min="10" max="12" width="14.85546875" style="892" customWidth="1"/>
    <col min="13" max="13" width="18" style="892" customWidth="1"/>
    <col min="14" max="14" width="18.140625" style="892" customWidth="1"/>
    <col min="15" max="15" width="16" style="892" customWidth="1"/>
    <col min="16" max="16" width="17" style="892" customWidth="1"/>
    <col min="17" max="17" width="18.85546875" style="892" customWidth="1"/>
    <col min="18" max="18" width="19.140625" style="892" customWidth="1"/>
    <col min="19" max="19" width="16.28515625" style="892" customWidth="1"/>
    <col min="20" max="21" width="17.7109375" style="892" customWidth="1"/>
    <col min="22" max="23" width="14.85546875" style="892" customWidth="1"/>
    <col min="24" max="24" width="16.7109375" style="892" customWidth="1"/>
    <col min="25" max="25" width="18.28515625" style="892" customWidth="1"/>
    <col min="26" max="29" width="14.85546875" style="892" customWidth="1"/>
    <col min="30" max="31" width="17.42578125" style="892" customWidth="1"/>
    <col min="32" max="32" width="16.7109375" style="892" customWidth="1"/>
    <col min="33" max="33" width="19.140625" style="892" customWidth="1"/>
    <col min="34" max="34" width="19.28515625" style="892" hidden="1" customWidth="1"/>
    <col min="35" max="35" width="25.85546875" style="892" customWidth="1"/>
    <col min="36" max="36" width="18.42578125" style="892" customWidth="1"/>
    <col min="37" max="37" width="26.28515625" style="892" customWidth="1"/>
    <col min="38" max="38" width="14.85546875" style="892" customWidth="1"/>
    <col min="39" max="39" width="23.5703125" style="891" customWidth="1"/>
    <col min="40" max="40" width="5.28515625" style="891"/>
    <col min="41" max="41" width="14.5703125" style="891" customWidth="1"/>
    <col min="42" max="16384" width="5.28515625" style="892"/>
  </cols>
  <sheetData>
    <row r="2" spans="1:41" ht="44.25" customHeight="1">
      <c r="A2" s="1920" t="s">
        <v>90</v>
      </c>
      <c r="B2" s="1920"/>
      <c r="C2" s="1920"/>
      <c r="D2" s="1920"/>
      <c r="E2" s="1920"/>
      <c r="F2" s="1920"/>
      <c r="G2" s="1920"/>
      <c r="H2" s="1920"/>
      <c r="I2" s="1920"/>
      <c r="J2" s="1920"/>
      <c r="K2" s="1920"/>
      <c r="L2" s="1920"/>
      <c r="M2" s="1920"/>
      <c r="N2" s="1920"/>
      <c r="O2" s="1920"/>
      <c r="P2" s="1920"/>
      <c r="Q2" s="1920"/>
      <c r="R2" s="1920"/>
      <c r="S2" s="1920"/>
      <c r="T2" s="1920"/>
      <c r="U2" s="1920"/>
      <c r="V2" s="1920"/>
      <c r="W2" s="1920"/>
      <c r="X2" s="1920"/>
      <c r="Y2" s="1920"/>
      <c r="Z2" s="1920"/>
      <c r="AA2" s="1920"/>
      <c r="AB2" s="1920"/>
      <c r="AC2" s="1920"/>
      <c r="AD2" s="1920"/>
      <c r="AE2" s="1920"/>
      <c r="AF2" s="1920"/>
      <c r="AG2" s="1920"/>
      <c r="AH2" s="1920"/>
      <c r="AI2" s="1920"/>
      <c r="AJ2" s="1920"/>
      <c r="AK2" s="1920"/>
      <c r="AL2" s="1920"/>
      <c r="AM2" s="892"/>
      <c r="AN2" s="892"/>
      <c r="AO2" s="892"/>
    </row>
    <row r="3" spans="1:41" ht="40.5" customHeight="1">
      <c r="A3" s="1920" t="s">
        <v>91</v>
      </c>
      <c r="B3" s="1920"/>
      <c r="C3" s="1920"/>
      <c r="D3" s="1920"/>
      <c r="E3" s="1920"/>
      <c r="F3" s="1920"/>
      <c r="G3" s="1920"/>
      <c r="H3" s="1920"/>
      <c r="I3" s="1920"/>
      <c r="J3" s="1920"/>
      <c r="K3" s="1920"/>
      <c r="L3" s="1920"/>
      <c r="M3" s="1920"/>
      <c r="N3" s="1920"/>
      <c r="O3" s="1920"/>
      <c r="P3" s="1920"/>
      <c r="Q3" s="1920"/>
      <c r="R3" s="1920"/>
      <c r="S3" s="1920"/>
      <c r="T3" s="1920"/>
      <c r="U3" s="1920"/>
      <c r="V3" s="1920"/>
      <c r="W3" s="1920"/>
      <c r="X3" s="1920"/>
      <c r="Y3" s="1920"/>
      <c r="Z3" s="1920"/>
      <c r="AA3" s="1920"/>
      <c r="AB3" s="1920"/>
      <c r="AC3" s="1920"/>
      <c r="AD3" s="1920"/>
      <c r="AE3" s="1920"/>
      <c r="AF3" s="1920"/>
      <c r="AG3" s="1920"/>
      <c r="AH3" s="1920"/>
      <c r="AI3" s="1920"/>
      <c r="AJ3" s="1920"/>
      <c r="AK3" s="1920"/>
      <c r="AL3" s="1920"/>
      <c r="AM3" s="892"/>
      <c r="AN3" s="892"/>
      <c r="AO3" s="892"/>
    </row>
    <row r="4" spans="1:41" ht="36.75" customHeight="1">
      <c r="A4" s="1921" t="s">
        <v>604</v>
      </c>
      <c r="B4" s="1921"/>
      <c r="C4" s="1921"/>
      <c r="D4" s="1921"/>
      <c r="E4" s="1921"/>
      <c r="F4" s="1921"/>
      <c r="G4" s="1921"/>
      <c r="H4" s="1921"/>
      <c r="I4" s="1921"/>
      <c r="J4" s="1921"/>
      <c r="K4" s="1921"/>
      <c r="L4" s="1921"/>
      <c r="M4" s="1921"/>
      <c r="N4" s="1921"/>
      <c r="O4" s="1921"/>
      <c r="P4" s="1921"/>
      <c r="Q4" s="1921"/>
      <c r="R4" s="1921"/>
      <c r="S4" s="1921"/>
      <c r="T4" s="1921"/>
      <c r="U4" s="1921"/>
      <c r="V4" s="1921"/>
      <c r="W4" s="1921"/>
      <c r="X4" s="1921"/>
      <c r="Y4" s="1921"/>
      <c r="Z4" s="1921"/>
      <c r="AA4" s="1921"/>
      <c r="AB4" s="1921"/>
      <c r="AC4" s="1921"/>
      <c r="AD4" s="1921"/>
      <c r="AE4" s="1921"/>
      <c r="AF4" s="1921"/>
      <c r="AG4" s="1921"/>
      <c r="AH4" s="1921"/>
      <c r="AI4" s="1921"/>
      <c r="AJ4" s="1921"/>
      <c r="AK4" s="1921"/>
      <c r="AL4" s="1921"/>
      <c r="AM4" s="892"/>
      <c r="AN4" s="892"/>
      <c r="AO4" s="892"/>
    </row>
    <row r="5" spans="1:41" ht="16.5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6"/>
      <c r="O5" s="926"/>
      <c r="P5" s="926"/>
      <c r="Q5" s="926"/>
      <c r="R5" s="926"/>
      <c r="S5" s="926"/>
      <c r="T5" s="926"/>
      <c r="U5" s="926"/>
      <c r="V5" s="926"/>
      <c r="W5" s="926"/>
      <c r="X5" s="926"/>
      <c r="Y5" s="926"/>
      <c r="Z5" s="926"/>
      <c r="AA5" s="926"/>
      <c r="AB5" s="926"/>
      <c r="AC5" s="926"/>
      <c r="AD5" s="926"/>
      <c r="AE5" s="926"/>
      <c r="AF5" s="926"/>
      <c r="AG5" s="926"/>
      <c r="AH5" s="926"/>
      <c r="AI5" s="926"/>
      <c r="AJ5" s="926"/>
      <c r="AK5" s="927"/>
      <c r="AL5" s="924"/>
      <c r="AM5" s="892"/>
      <c r="AN5" s="892"/>
      <c r="AO5" s="892"/>
    </row>
    <row r="6" spans="1:41" ht="42" customHeight="1">
      <c r="A6" s="924"/>
      <c r="B6" s="1920" t="s">
        <v>479</v>
      </c>
      <c r="C6" s="1920"/>
      <c r="D6" s="1920"/>
      <c r="E6" s="1920"/>
      <c r="F6" s="1920"/>
      <c r="G6" s="1920"/>
      <c r="H6" s="1920"/>
      <c r="I6" s="1920"/>
      <c r="J6" s="1920"/>
      <c r="K6" s="1920"/>
      <c r="L6" s="1920"/>
      <c r="M6" s="1920"/>
      <c r="N6" s="1920"/>
      <c r="O6" s="1920"/>
      <c r="P6" s="1920"/>
      <c r="Q6" s="926"/>
      <c r="R6" s="926"/>
      <c r="S6" s="926"/>
      <c r="T6" s="926"/>
      <c r="U6" s="926"/>
      <c r="V6" s="926"/>
      <c r="W6" s="926"/>
      <c r="X6" s="926"/>
      <c r="Y6" s="926"/>
      <c r="Z6" s="926"/>
      <c r="AA6" s="926"/>
      <c r="AB6" s="926"/>
      <c r="AC6" s="926"/>
      <c r="AD6" s="926"/>
      <c r="AE6" s="926"/>
      <c r="AF6" s="926"/>
      <c r="AG6" s="926"/>
      <c r="AH6" s="926"/>
      <c r="AI6" s="926"/>
      <c r="AJ6" s="926"/>
      <c r="AK6" s="927"/>
      <c r="AL6" s="924"/>
      <c r="AM6" s="892"/>
      <c r="AN6" s="892"/>
      <c r="AO6" s="892"/>
    </row>
    <row r="7" spans="1:41" ht="39" customHeight="1">
      <c r="A7" s="924"/>
      <c r="B7" s="1920" t="s">
        <v>101</v>
      </c>
      <c r="C7" s="1920"/>
      <c r="D7" s="1920"/>
      <c r="E7" s="1920"/>
      <c r="F7" s="1920"/>
      <c r="G7" s="1920"/>
      <c r="H7" s="1920"/>
      <c r="I7" s="1920"/>
      <c r="J7" s="1920"/>
      <c r="K7" s="1920"/>
      <c r="L7" s="1920"/>
      <c r="M7" s="1920"/>
      <c r="N7" s="1920"/>
      <c r="O7" s="1920"/>
      <c r="P7" s="1920"/>
      <c r="Q7" s="926"/>
      <c r="R7" s="926"/>
      <c r="S7" s="926"/>
      <c r="T7" s="926"/>
      <c r="U7" s="926"/>
      <c r="V7" s="926"/>
      <c r="W7" s="926"/>
      <c r="X7" s="926"/>
      <c r="Y7" s="926"/>
      <c r="Z7" s="926"/>
      <c r="AA7" s="926"/>
      <c r="AB7" s="926"/>
      <c r="AC7" s="926"/>
      <c r="AD7" s="926"/>
      <c r="AE7" s="926"/>
      <c r="AF7" s="926"/>
      <c r="AG7" s="926"/>
      <c r="AH7" s="926"/>
      <c r="AI7" s="926"/>
      <c r="AJ7" s="926"/>
      <c r="AK7" s="927"/>
      <c r="AL7" s="924"/>
      <c r="AM7" s="892"/>
      <c r="AN7" s="892"/>
      <c r="AO7" s="892"/>
    </row>
    <row r="8" spans="1:41" ht="15" customHeight="1">
      <c r="A8" s="924"/>
      <c r="B8" s="1920"/>
      <c r="C8" s="1920"/>
      <c r="D8" s="1920"/>
      <c r="E8" s="1920"/>
      <c r="F8" s="1920"/>
      <c r="G8" s="1920"/>
      <c r="H8" s="1920"/>
      <c r="I8" s="1920"/>
      <c r="J8" s="1920"/>
      <c r="K8" s="1920"/>
      <c r="L8" s="1920"/>
      <c r="M8" s="1920"/>
      <c r="N8" s="1920"/>
      <c r="O8" s="1920"/>
      <c r="P8" s="1920"/>
      <c r="Q8" s="1920"/>
      <c r="R8" s="1920"/>
      <c r="S8" s="1920"/>
      <c r="T8" s="1920"/>
      <c r="U8" s="1920"/>
      <c r="V8" s="1920"/>
      <c r="W8" s="1920"/>
      <c r="X8" s="1920"/>
      <c r="Y8" s="1920"/>
      <c r="Z8" s="1920"/>
      <c r="AA8" s="1920"/>
      <c r="AB8" s="1920"/>
      <c r="AC8" s="1920"/>
      <c r="AD8" s="1920"/>
      <c r="AE8" s="1920"/>
      <c r="AF8" s="1920"/>
      <c r="AG8" s="1920"/>
      <c r="AH8" s="1920"/>
      <c r="AI8" s="1920"/>
      <c r="AJ8" s="1920"/>
      <c r="AK8" s="1920"/>
      <c r="AL8" s="924"/>
      <c r="AM8" s="892"/>
      <c r="AN8" s="892"/>
      <c r="AO8" s="892"/>
    </row>
    <row r="9" spans="1:41" ht="50.25" customHeight="1">
      <c r="B9" s="1926" t="s">
        <v>1152</v>
      </c>
      <c r="C9" s="1926"/>
      <c r="D9" s="1926"/>
      <c r="E9" s="1926"/>
      <c r="F9" s="1926"/>
      <c r="G9" s="1926"/>
      <c r="H9" s="1926"/>
      <c r="I9" s="1926"/>
      <c r="J9" s="1926"/>
      <c r="K9" s="1926"/>
      <c r="L9" s="1926"/>
      <c r="M9" s="1926"/>
      <c r="N9" s="1926"/>
      <c r="O9" s="1926"/>
      <c r="P9" s="1926"/>
      <c r="Q9" s="1926"/>
      <c r="R9" s="1926"/>
      <c r="S9" s="1926"/>
      <c r="T9" s="1926"/>
      <c r="U9" s="1926"/>
      <c r="V9" s="1926"/>
      <c r="W9" s="1926"/>
      <c r="X9" s="1926"/>
      <c r="Y9" s="1926"/>
      <c r="Z9" s="1926"/>
      <c r="AA9" s="1926"/>
      <c r="AB9" s="1926"/>
      <c r="AC9" s="1926"/>
      <c r="AD9" s="1926"/>
      <c r="AE9" s="1926"/>
      <c r="AF9" s="1926"/>
      <c r="AG9" s="1926"/>
      <c r="AH9" s="1926"/>
      <c r="AI9" s="1926"/>
      <c r="AJ9" s="1926"/>
      <c r="AK9" s="1926"/>
      <c r="AM9" s="892"/>
      <c r="AN9" s="892"/>
      <c r="AO9" s="892"/>
    </row>
    <row r="10" spans="1:41" ht="36.75" customHeight="1">
      <c r="B10" s="894"/>
      <c r="C10" s="894"/>
      <c r="D10" s="894"/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4"/>
      <c r="R10" s="894"/>
      <c r="S10" s="894"/>
      <c r="T10" s="894"/>
      <c r="U10" s="894"/>
      <c r="V10" s="894"/>
      <c r="W10" s="894"/>
      <c r="X10" s="894"/>
      <c r="Y10" s="894"/>
      <c r="Z10" s="894"/>
      <c r="AA10" s="894"/>
      <c r="AB10" s="894"/>
      <c r="AC10" s="894"/>
      <c r="AD10" s="894"/>
      <c r="AE10" s="894"/>
      <c r="AF10" s="894"/>
      <c r="AG10" s="894"/>
      <c r="AH10" s="894"/>
      <c r="AI10" s="1934"/>
      <c r="AJ10" s="1934"/>
      <c r="AK10" s="1036"/>
      <c r="AL10" s="1035"/>
      <c r="AM10" s="1035"/>
      <c r="AN10" s="892"/>
      <c r="AO10" s="892"/>
    </row>
    <row r="11" spans="1:41" ht="48" customHeight="1">
      <c r="A11" s="1910" t="s">
        <v>28</v>
      </c>
      <c r="B11" s="1910" t="s">
        <v>28</v>
      </c>
      <c r="C11" s="1910" t="s">
        <v>29</v>
      </c>
      <c r="D11" s="1910" t="s">
        <v>85</v>
      </c>
      <c r="E11" s="1910"/>
      <c r="F11" s="1910"/>
      <c r="G11" s="1910"/>
      <c r="H11" s="1910"/>
      <c r="I11" s="1910"/>
      <c r="J11" s="1910"/>
      <c r="K11" s="1910"/>
      <c r="L11" s="1910"/>
      <c r="M11" s="1910"/>
      <c r="N11" s="1910"/>
      <c r="O11" s="1910"/>
      <c r="P11" s="1910"/>
      <c r="Q11" s="1910"/>
      <c r="R11" s="1910"/>
      <c r="S11" s="1910"/>
      <c r="T11" s="1910"/>
      <c r="U11" s="1910"/>
      <c r="V11" s="1910"/>
      <c r="W11" s="1910"/>
      <c r="X11" s="1910"/>
      <c r="Y11" s="1910"/>
      <c r="Z11" s="1910"/>
      <c r="AA11" s="1910"/>
      <c r="AB11" s="1910"/>
      <c r="AC11" s="1910"/>
      <c r="AD11" s="1910"/>
      <c r="AE11" s="1910"/>
      <c r="AF11" s="1910"/>
      <c r="AG11" s="1910"/>
      <c r="AH11" s="1910"/>
      <c r="AI11" s="1909" t="s">
        <v>490</v>
      </c>
      <c r="AJ11" s="1959" t="s">
        <v>839</v>
      </c>
      <c r="AK11" s="1909" t="s">
        <v>195</v>
      </c>
      <c r="AL11" s="1909" t="s">
        <v>793</v>
      </c>
      <c r="AM11" s="1910" t="s">
        <v>803</v>
      </c>
      <c r="AN11" s="892"/>
      <c r="AO11" s="892"/>
    </row>
    <row r="12" spans="1:41" ht="45" customHeight="1">
      <c r="A12" s="1910"/>
      <c r="B12" s="1910"/>
      <c r="C12" s="1910"/>
      <c r="D12" s="1470">
        <v>1</v>
      </c>
      <c r="E12" s="1470">
        <v>2</v>
      </c>
      <c r="F12" s="1470">
        <v>3</v>
      </c>
      <c r="G12" s="1470">
        <v>4</v>
      </c>
      <c r="H12" s="1470">
        <v>5</v>
      </c>
      <c r="I12" s="1470">
        <v>6</v>
      </c>
      <c r="J12" s="1470">
        <v>7</v>
      </c>
      <c r="K12" s="1470">
        <v>8</v>
      </c>
      <c r="L12" s="1470">
        <v>9</v>
      </c>
      <c r="M12" s="1470">
        <v>10</v>
      </c>
      <c r="N12" s="1470">
        <v>11</v>
      </c>
      <c r="O12" s="1470">
        <v>12</v>
      </c>
      <c r="P12" s="1470">
        <v>13</v>
      </c>
      <c r="Q12" s="1470">
        <v>14</v>
      </c>
      <c r="R12" s="1470">
        <v>15</v>
      </c>
      <c r="S12" s="1470">
        <v>16</v>
      </c>
      <c r="T12" s="1470">
        <v>17</v>
      </c>
      <c r="U12" s="1470">
        <v>18</v>
      </c>
      <c r="V12" s="1470">
        <v>19</v>
      </c>
      <c r="W12" s="1470">
        <v>20</v>
      </c>
      <c r="X12" s="1470">
        <v>21</v>
      </c>
      <c r="Y12" s="1470">
        <v>22</v>
      </c>
      <c r="Z12" s="1470">
        <v>23</v>
      </c>
      <c r="AA12" s="1470">
        <v>24</v>
      </c>
      <c r="AB12" s="1470">
        <v>25</v>
      </c>
      <c r="AC12" s="1470">
        <v>26</v>
      </c>
      <c r="AD12" s="1470">
        <v>27</v>
      </c>
      <c r="AE12" s="1470">
        <v>28</v>
      </c>
      <c r="AF12" s="1683">
        <v>45717</v>
      </c>
      <c r="AG12" s="1683">
        <v>45718</v>
      </c>
      <c r="AH12" s="1470">
        <v>31</v>
      </c>
      <c r="AI12" s="1909"/>
      <c r="AJ12" s="1960"/>
      <c r="AK12" s="1909"/>
      <c r="AL12" s="1909"/>
      <c r="AM12" s="1910"/>
      <c r="AN12" s="892"/>
      <c r="AO12" s="1909" t="s">
        <v>839</v>
      </c>
    </row>
    <row r="13" spans="1:41" ht="41.25" customHeight="1">
      <c r="A13" s="918"/>
      <c r="B13" s="1927" t="s">
        <v>606</v>
      </c>
      <c r="C13" s="1927"/>
      <c r="D13" s="1927"/>
      <c r="E13" s="1927"/>
      <c r="F13" s="1927"/>
      <c r="G13" s="1927"/>
      <c r="H13" s="1927"/>
      <c r="I13" s="1927"/>
      <c r="J13" s="1927"/>
      <c r="K13" s="1927"/>
      <c r="L13" s="1927"/>
      <c r="M13" s="1927"/>
      <c r="N13" s="1927"/>
      <c r="O13" s="1927"/>
      <c r="P13" s="1927"/>
      <c r="Q13" s="1927"/>
      <c r="R13" s="1927"/>
      <c r="S13" s="1927"/>
      <c r="T13" s="1927"/>
      <c r="U13" s="1927"/>
      <c r="V13" s="1927"/>
      <c r="W13" s="1927"/>
      <c r="X13" s="1927"/>
      <c r="Y13" s="1927"/>
      <c r="Z13" s="1927"/>
      <c r="AA13" s="1927"/>
      <c r="AB13" s="1927"/>
      <c r="AC13" s="1927"/>
      <c r="AD13" s="1927"/>
      <c r="AE13" s="1927"/>
      <c r="AF13" s="1927"/>
      <c r="AG13" s="1927"/>
      <c r="AH13" s="1927"/>
      <c r="AI13" s="1927"/>
      <c r="AJ13" s="1927"/>
      <c r="AK13" s="1927"/>
      <c r="AL13" s="918"/>
      <c r="AM13" s="918"/>
      <c r="AN13" s="892"/>
      <c r="AO13" s="1909"/>
    </row>
    <row r="14" spans="1:41" s="893" customFormat="1" ht="41.25" customHeight="1">
      <c r="A14" s="1910" t="s">
        <v>30</v>
      </c>
      <c r="B14" s="1910"/>
      <c r="C14" s="1910"/>
      <c r="D14" s="1480">
        <f t="shared" ref="D14:AG14" si="0">SUM(D15:D94)</f>
        <v>0</v>
      </c>
      <c r="E14" s="1480">
        <f t="shared" si="0"/>
        <v>0</v>
      </c>
      <c r="F14" s="1480">
        <f t="shared" si="0"/>
        <v>0</v>
      </c>
      <c r="G14" s="1480">
        <f t="shared" si="0"/>
        <v>0</v>
      </c>
      <c r="H14" s="1480">
        <f t="shared" si="0"/>
        <v>0</v>
      </c>
      <c r="I14" s="1480">
        <f t="shared" si="0"/>
        <v>0</v>
      </c>
      <c r="J14" s="1480">
        <f t="shared" si="0"/>
        <v>0</v>
      </c>
      <c r="K14" s="1480">
        <f t="shared" si="0"/>
        <v>0</v>
      </c>
      <c r="L14" s="1480">
        <f t="shared" si="0"/>
        <v>0</v>
      </c>
      <c r="M14" s="1480">
        <f t="shared" si="0"/>
        <v>0</v>
      </c>
      <c r="N14" s="1480">
        <f t="shared" si="0"/>
        <v>0</v>
      </c>
      <c r="O14" s="1480">
        <f t="shared" si="0"/>
        <v>0</v>
      </c>
      <c r="P14" s="1480">
        <f t="shared" si="0"/>
        <v>0</v>
      </c>
      <c r="Q14" s="1480">
        <f t="shared" si="0"/>
        <v>0</v>
      </c>
      <c r="R14" s="1480">
        <f t="shared" si="0"/>
        <v>0</v>
      </c>
      <c r="S14" s="1480">
        <f t="shared" si="0"/>
        <v>0</v>
      </c>
      <c r="T14" s="1480">
        <f t="shared" si="0"/>
        <v>0</v>
      </c>
      <c r="U14" s="1480">
        <f t="shared" si="0"/>
        <v>0</v>
      </c>
      <c r="V14" s="1480">
        <f t="shared" si="0"/>
        <v>0</v>
      </c>
      <c r="W14" s="1480">
        <f t="shared" si="0"/>
        <v>0</v>
      </c>
      <c r="X14" s="1480">
        <f t="shared" si="0"/>
        <v>0</v>
      </c>
      <c r="Y14" s="1480">
        <f t="shared" si="0"/>
        <v>0</v>
      </c>
      <c r="Z14" s="1480">
        <f t="shared" si="0"/>
        <v>0</v>
      </c>
      <c r="AA14" s="1480">
        <f t="shared" si="0"/>
        <v>0</v>
      </c>
      <c r="AB14" s="1480">
        <f t="shared" si="0"/>
        <v>0</v>
      </c>
      <c r="AC14" s="1480">
        <f t="shared" si="0"/>
        <v>0</v>
      </c>
      <c r="AD14" s="1480">
        <f t="shared" si="0"/>
        <v>0</v>
      </c>
      <c r="AE14" s="1480">
        <f t="shared" si="0"/>
        <v>0</v>
      </c>
      <c r="AF14" s="1480">
        <f t="shared" si="0"/>
        <v>0</v>
      </c>
      <c r="AG14" s="1480">
        <f t="shared" si="0"/>
        <v>0</v>
      </c>
      <c r="AH14" s="1480">
        <f t="shared" ref="AH14" si="1">SUM(AH15:AH93)</f>
        <v>0</v>
      </c>
      <c r="AI14" s="1480">
        <f>SUM(AI15:AI94)</f>
        <v>0</v>
      </c>
      <c r="AJ14" s="1480"/>
      <c r="AK14" s="1480">
        <f>SUM(AK15:AK94)</f>
        <v>0</v>
      </c>
      <c r="AL14" s="1481"/>
      <c r="AM14" s="1481"/>
    </row>
    <row r="15" spans="1:41" ht="54" customHeight="1">
      <c r="A15" s="1473">
        <v>1</v>
      </c>
      <c r="B15" s="1473">
        <v>1</v>
      </c>
      <c r="C15" s="918" t="str">
        <f>'Chấm công KT'!C11</f>
        <v>T. Vôn</v>
      </c>
      <c r="D15" s="1680"/>
      <c r="E15" s="1680"/>
      <c r="F15" s="1680"/>
      <c r="G15" s="1680"/>
      <c r="H15" s="1680"/>
      <c r="I15" s="1680"/>
      <c r="J15" s="1680"/>
      <c r="K15" s="1680"/>
      <c r="L15" s="1680"/>
      <c r="M15" s="1680"/>
      <c r="N15" s="1680"/>
      <c r="O15" s="1680"/>
      <c r="P15" s="1680"/>
      <c r="Q15" s="1680"/>
      <c r="R15" s="1680"/>
      <c r="S15" s="1680"/>
      <c r="T15" s="1680"/>
      <c r="U15" s="1680"/>
      <c r="V15" s="1680"/>
      <c r="W15" s="1680"/>
      <c r="X15" s="1680"/>
      <c r="Y15" s="1680"/>
      <c r="Z15" s="1680"/>
      <c r="AA15" s="1680"/>
      <c r="AB15" s="1680"/>
      <c r="AC15" s="1680"/>
      <c r="AD15" s="1680"/>
      <c r="AE15" s="1680"/>
      <c r="AF15" s="1680"/>
      <c r="AG15" s="1680"/>
      <c r="AH15" s="1482"/>
      <c r="AI15" s="919">
        <f>SUM(D15:AH15)</f>
        <v>0</v>
      </c>
      <c r="AJ15" s="1681">
        <v>43.78514993180552</v>
      </c>
      <c r="AK15" s="1117">
        <f t="shared" ref="AK15:AK46" si="2">AI15*AJ15/100</f>
        <v>0</v>
      </c>
      <c r="AL15" s="1682" t="s">
        <v>889</v>
      </c>
      <c r="AM15" s="918"/>
      <c r="AN15" s="892"/>
      <c r="AO15" s="892"/>
    </row>
    <row r="16" spans="1:41" ht="54" customHeight="1">
      <c r="A16" s="1473">
        <v>2</v>
      </c>
      <c r="B16" s="1473">
        <v>2</v>
      </c>
      <c r="C16" s="918" t="str">
        <f>'Chấm công KT'!C12</f>
        <v>T. Feng</v>
      </c>
      <c r="D16" s="1680"/>
      <c r="E16" s="1680"/>
      <c r="F16" s="1680"/>
      <c r="G16" s="1680"/>
      <c r="H16" s="1680"/>
      <c r="I16" s="1680"/>
      <c r="J16" s="1680"/>
      <c r="K16" s="1680"/>
      <c r="L16" s="1680"/>
      <c r="M16" s="1680"/>
      <c r="N16" s="1680"/>
      <c r="O16" s="1680"/>
      <c r="P16" s="1680"/>
      <c r="Q16" s="1680"/>
      <c r="R16" s="1680"/>
      <c r="S16" s="1680"/>
      <c r="T16" s="1680"/>
      <c r="U16" s="1680"/>
      <c r="V16" s="1680"/>
      <c r="W16" s="1680"/>
      <c r="X16" s="1680"/>
      <c r="Y16" s="1680"/>
      <c r="Z16" s="1680"/>
      <c r="AA16" s="1680"/>
      <c r="AB16" s="1680"/>
      <c r="AC16" s="1680"/>
      <c r="AD16" s="1680"/>
      <c r="AE16" s="1680"/>
      <c r="AF16" s="1680"/>
      <c r="AG16" s="1680"/>
      <c r="AH16" s="1482"/>
      <c r="AI16" s="919">
        <f t="shared" ref="AI16:AI79" si="3">SUM(D16:AH16)</f>
        <v>0</v>
      </c>
      <c r="AJ16" s="1681">
        <v>43.78514993180552</v>
      </c>
      <c r="AK16" s="1117">
        <f t="shared" si="2"/>
        <v>0</v>
      </c>
      <c r="AL16" s="1682" t="s">
        <v>54</v>
      </c>
      <c r="AM16" s="918"/>
      <c r="AN16" s="892"/>
      <c r="AO16" s="892"/>
    </row>
    <row r="17" spans="1:41" ht="54" customHeight="1">
      <c r="A17" s="1473">
        <v>3</v>
      </c>
      <c r="B17" s="1473">
        <v>3</v>
      </c>
      <c r="C17" s="918" t="str">
        <f>'Chấm công KT'!C13</f>
        <v>T. Sa Văn</v>
      </c>
      <c r="D17" s="1680"/>
      <c r="E17" s="1680"/>
      <c r="F17" s="1680"/>
      <c r="G17" s="1680"/>
      <c r="H17" s="1680"/>
      <c r="I17" s="1680"/>
      <c r="J17" s="1680"/>
      <c r="K17" s="1680"/>
      <c r="L17" s="1680"/>
      <c r="M17" s="1680"/>
      <c r="N17" s="1680"/>
      <c r="O17" s="1680"/>
      <c r="P17" s="1680"/>
      <c r="Q17" s="1680"/>
      <c r="R17" s="1680"/>
      <c r="S17" s="1680"/>
      <c r="T17" s="1680"/>
      <c r="U17" s="1680"/>
      <c r="V17" s="1680"/>
      <c r="W17" s="1680"/>
      <c r="X17" s="1680"/>
      <c r="Y17" s="1680"/>
      <c r="Z17" s="1680"/>
      <c r="AA17" s="1680"/>
      <c r="AB17" s="1680"/>
      <c r="AC17" s="1680"/>
      <c r="AD17" s="1680"/>
      <c r="AE17" s="1680"/>
      <c r="AF17" s="1680"/>
      <c r="AG17" s="1680"/>
      <c r="AH17" s="1482"/>
      <c r="AI17" s="919">
        <f t="shared" si="3"/>
        <v>0</v>
      </c>
      <c r="AJ17" s="1681">
        <v>43.78514993180552</v>
      </c>
      <c r="AK17" s="1117">
        <f t="shared" si="2"/>
        <v>0</v>
      </c>
      <c r="AL17" s="1682" t="s">
        <v>54</v>
      </c>
      <c r="AM17" s="918"/>
      <c r="AN17" s="892"/>
      <c r="AO17" s="892"/>
    </row>
    <row r="18" spans="1:41" ht="54" customHeight="1">
      <c r="A18" s="1704">
        <v>4</v>
      </c>
      <c r="B18" s="1704">
        <v>4</v>
      </c>
      <c r="C18" s="918" t="str">
        <f>'Chấm công KT'!C14</f>
        <v>N. Pheng Mi</v>
      </c>
      <c r="D18" s="1680"/>
      <c r="E18" s="1680"/>
      <c r="F18" s="1680"/>
      <c r="G18" s="1680"/>
      <c r="H18" s="1680"/>
      <c r="I18" s="1680"/>
      <c r="J18" s="1680"/>
      <c r="K18" s="1680"/>
      <c r="L18" s="1680"/>
      <c r="M18" s="1680"/>
      <c r="N18" s="1680"/>
      <c r="O18" s="1680"/>
      <c r="P18" s="1680"/>
      <c r="Q18" s="1680"/>
      <c r="R18" s="1680"/>
      <c r="S18" s="1680"/>
      <c r="T18" s="1680"/>
      <c r="U18" s="1680"/>
      <c r="V18" s="1680"/>
      <c r="W18" s="1680"/>
      <c r="X18" s="1680"/>
      <c r="Y18" s="1680"/>
      <c r="Z18" s="1680"/>
      <c r="AA18" s="1680"/>
      <c r="AB18" s="1680"/>
      <c r="AC18" s="1680"/>
      <c r="AD18" s="1680"/>
      <c r="AE18" s="1680"/>
      <c r="AF18" s="1680"/>
      <c r="AG18" s="1680"/>
      <c r="AH18" s="1482"/>
      <c r="AI18" s="919">
        <f t="shared" si="3"/>
        <v>0</v>
      </c>
      <c r="AJ18" s="1681">
        <v>43.78514993180552</v>
      </c>
      <c r="AK18" s="1117">
        <f t="shared" si="2"/>
        <v>0</v>
      </c>
      <c r="AL18" s="1682" t="s">
        <v>79</v>
      </c>
      <c r="AM18" s="918"/>
      <c r="AN18" s="892"/>
      <c r="AO18" s="892"/>
    </row>
    <row r="19" spans="1:41" ht="54" customHeight="1">
      <c r="A19" s="1704">
        <v>5</v>
      </c>
      <c r="B19" s="1704">
        <v>5</v>
      </c>
      <c r="C19" s="918" t="str">
        <f>'Chấm công KT'!C15</f>
        <v>N. Vạt</v>
      </c>
      <c r="D19" s="1680"/>
      <c r="E19" s="1680"/>
      <c r="F19" s="1680"/>
      <c r="G19" s="1680"/>
      <c r="H19" s="1680"/>
      <c r="I19" s="1680"/>
      <c r="J19" s="1680"/>
      <c r="K19" s="1680"/>
      <c r="L19" s="1680"/>
      <c r="M19" s="1680"/>
      <c r="N19" s="1680"/>
      <c r="O19" s="1680"/>
      <c r="P19" s="1680"/>
      <c r="Q19" s="1680"/>
      <c r="R19" s="1680"/>
      <c r="S19" s="1680"/>
      <c r="T19" s="1680"/>
      <c r="U19" s="1680"/>
      <c r="V19" s="1680"/>
      <c r="W19" s="1680"/>
      <c r="X19" s="1680"/>
      <c r="Y19" s="1680"/>
      <c r="Z19" s="1680"/>
      <c r="AA19" s="1680"/>
      <c r="AB19" s="1680"/>
      <c r="AC19" s="1680"/>
      <c r="AD19" s="1680"/>
      <c r="AE19" s="1680"/>
      <c r="AF19" s="1680"/>
      <c r="AG19" s="1680"/>
      <c r="AH19" s="1482"/>
      <c r="AI19" s="919">
        <f t="shared" si="3"/>
        <v>0</v>
      </c>
      <c r="AJ19" s="1681">
        <v>43.78514993180552</v>
      </c>
      <c r="AK19" s="1117">
        <f t="shared" si="2"/>
        <v>0</v>
      </c>
      <c r="AL19" s="1682" t="s">
        <v>54</v>
      </c>
      <c r="AM19" s="918"/>
      <c r="AN19" s="892"/>
      <c r="AO19" s="892"/>
    </row>
    <row r="20" spans="1:41" ht="54" customHeight="1">
      <c r="A20" s="1704">
        <v>6</v>
      </c>
      <c r="B20" s="1704">
        <v>6</v>
      </c>
      <c r="C20" s="918" t="str">
        <f>'Chấm công KT'!C16</f>
        <v>T. Tích</v>
      </c>
      <c r="D20" s="1680"/>
      <c r="E20" s="1680"/>
      <c r="F20" s="1680"/>
      <c r="G20" s="1680"/>
      <c r="H20" s="1680"/>
      <c r="I20" s="1680"/>
      <c r="J20" s="1680"/>
      <c r="K20" s="1680"/>
      <c r="L20" s="1680"/>
      <c r="M20" s="1680"/>
      <c r="N20" s="1680"/>
      <c r="O20" s="1680"/>
      <c r="P20" s="1680"/>
      <c r="Q20" s="1680"/>
      <c r="R20" s="1680"/>
      <c r="S20" s="1680"/>
      <c r="T20" s="1680"/>
      <c r="U20" s="1680"/>
      <c r="V20" s="1680"/>
      <c r="W20" s="1680"/>
      <c r="X20" s="1680"/>
      <c r="Y20" s="1680"/>
      <c r="Z20" s="1680"/>
      <c r="AA20" s="1680"/>
      <c r="AB20" s="1680"/>
      <c r="AC20" s="1680"/>
      <c r="AD20" s="1680"/>
      <c r="AE20" s="1680"/>
      <c r="AF20" s="1680"/>
      <c r="AG20" s="1680"/>
      <c r="AH20" s="1482"/>
      <c r="AI20" s="919">
        <f t="shared" si="3"/>
        <v>0</v>
      </c>
      <c r="AJ20" s="1681">
        <v>43.78514993180552</v>
      </c>
      <c r="AK20" s="1117">
        <f t="shared" si="2"/>
        <v>0</v>
      </c>
      <c r="AL20" s="1682" t="s">
        <v>54</v>
      </c>
      <c r="AM20" s="918"/>
      <c r="AN20" s="892"/>
      <c r="AO20" s="892"/>
    </row>
    <row r="21" spans="1:41" ht="54" customHeight="1">
      <c r="A21" s="1704">
        <v>7</v>
      </c>
      <c r="B21" s="1704">
        <v>7</v>
      </c>
      <c r="C21" s="918" t="str">
        <f>'Chấm công KT'!C17</f>
        <v>T. Bi Ly</v>
      </c>
      <c r="D21" s="1680"/>
      <c r="E21" s="1680"/>
      <c r="F21" s="1680"/>
      <c r="G21" s="1680"/>
      <c r="H21" s="1680"/>
      <c r="I21" s="1680"/>
      <c r="J21" s="1680"/>
      <c r="K21" s="1680"/>
      <c r="L21" s="1680"/>
      <c r="M21" s="1680"/>
      <c r="N21" s="1680"/>
      <c r="O21" s="1680"/>
      <c r="P21" s="1680"/>
      <c r="Q21" s="1680"/>
      <c r="R21" s="1680"/>
      <c r="S21" s="1680"/>
      <c r="T21" s="1680"/>
      <c r="U21" s="1680"/>
      <c r="V21" s="1680"/>
      <c r="W21" s="1680"/>
      <c r="X21" s="1680"/>
      <c r="Y21" s="1680"/>
      <c r="Z21" s="1680"/>
      <c r="AA21" s="1680"/>
      <c r="AB21" s="1680"/>
      <c r="AC21" s="1680"/>
      <c r="AD21" s="1680"/>
      <c r="AE21" s="1680"/>
      <c r="AF21" s="1680"/>
      <c r="AG21" s="1680"/>
      <c r="AH21" s="1482"/>
      <c r="AI21" s="919">
        <f t="shared" si="3"/>
        <v>0</v>
      </c>
      <c r="AJ21" s="1681">
        <v>43.78514993180552</v>
      </c>
      <c r="AK21" s="1117">
        <f t="shared" si="2"/>
        <v>0</v>
      </c>
      <c r="AL21" s="1682" t="s">
        <v>54</v>
      </c>
      <c r="AM21" s="918"/>
      <c r="AN21" s="892"/>
      <c r="AO21" s="892"/>
    </row>
    <row r="22" spans="1:41" ht="54" customHeight="1">
      <c r="A22" s="1704">
        <v>8</v>
      </c>
      <c r="B22" s="1704">
        <v>8</v>
      </c>
      <c r="C22" s="918" t="str">
        <f>'Chấm công KT'!C18</f>
        <v>T . Bua Ngân</v>
      </c>
      <c r="D22" s="1680"/>
      <c r="E22" s="1680"/>
      <c r="F22" s="1680"/>
      <c r="G22" s="1680"/>
      <c r="H22" s="1680"/>
      <c r="I22" s="1680"/>
      <c r="J22" s="1680"/>
      <c r="K22" s="1680"/>
      <c r="L22" s="1680"/>
      <c r="M22" s="1680"/>
      <c r="N22" s="1680"/>
      <c r="O22" s="1680"/>
      <c r="P22" s="1680"/>
      <c r="Q22" s="1680"/>
      <c r="R22" s="1680"/>
      <c r="S22" s="1680"/>
      <c r="T22" s="1680"/>
      <c r="U22" s="1680"/>
      <c r="V22" s="1680"/>
      <c r="W22" s="1680"/>
      <c r="X22" s="1680"/>
      <c r="Y22" s="1680"/>
      <c r="Z22" s="1680"/>
      <c r="AA22" s="1680"/>
      <c r="AB22" s="1680"/>
      <c r="AC22" s="1680"/>
      <c r="AD22" s="1680"/>
      <c r="AE22" s="1680"/>
      <c r="AF22" s="1680"/>
      <c r="AG22" s="1680"/>
      <c r="AH22" s="1482"/>
      <c r="AI22" s="919">
        <f t="shared" si="3"/>
        <v>0</v>
      </c>
      <c r="AJ22" s="1681">
        <v>43.78514993180552</v>
      </c>
      <c r="AK22" s="1117">
        <f t="shared" si="2"/>
        <v>0</v>
      </c>
      <c r="AL22" s="1682" t="s">
        <v>54</v>
      </c>
      <c r="AM22" s="918"/>
      <c r="AN22" s="892"/>
      <c r="AO22" s="892"/>
    </row>
    <row r="23" spans="1:41" ht="54" customHeight="1">
      <c r="A23" s="1704">
        <v>9</v>
      </c>
      <c r="B23" s="1704">
        <v>9</v>
      </c>
      <c r="C23" s="918" t="str">
        <f>'Chấm công KT'!C19</f>
        <v>T Căng</v>
      </c>
      <c r="D23" s="1680"/>
      <c r="E23" s="1680"/>
      <c r="F23" s="1680"/>
      <c r="G23" s="1680"/>
      <c r="H23" s="1680"/>
      <c r="I23" s="1680"/>
      <c r="J23" s="1680"/>
      <c r="K23" s="1680"/>
      <c r="L23" s="1680"/>
      <c r="M23" s="1680"/>
      <c r="N23" s="1680"/>
      <c r="O23" s="1680"/>
      <c r="P23" s="1680"/>
      <c r="Q23" s="1680"/>
      <c r="R23" s="1680"/>
      <c r="S23" s="1680"/>
      <c r="T23" s="1680"/>
      <c r="U23" s="1680"/>
      <c r="V23" s="1680"/>
      <c r="W23" s="1680"/>
      <c r="X23" s="1680"/>
      <c r="Y23" s="1680"/>
      <c r="Z23" s="1680"/>
      <c r="AA23" s="1680"/>
      <c r="AB23" s="1680"/>
      <c r="AC23" s="1680"/>
      <c r="AD23" s="1680"/>
      <c r="AE23" s="1680"/>
      <c r="AF23" s="1680"/>
      <c r="AG23" s="1680"/>
      <c r="AH23" s="1482"/>
      <c r="AI23" s="919">
        <f t="shared" si="3"/>
        <v>0</v>
      </c>
      <c r="AJ23" s="1681">
        <v>43.78514993180552</v>
      </c>
      <c r="AK23" s="1117">
        <f t="shared" si="2"/>
        <v>0</v>
      </c>
      <c r="AL23" s="1682" t="s">
        <v>54</v>
      </c>
      <c r="AM23" s="918"/>
      <c r="AN23" s="892"/>
      <c r="AO23" s="892"/>
    </row>
    <row r="24" spans="1:41" ht="54" customHeight="1">
      <c r="A24" s="1704">
        <v>10</v>
      </c>
      <c r="B24" s="1704">
        <v>10</v>
      </c>
      <c r="C24" s="918" t="str">
        <f>'Chấm công KT'!C20</f>
        <v>N. Phôn 1</v>
      </c>
      <c r="D24" s="1680"/>
      <c r="E24" s="1680"/>
      <c r="F24" s="1680"/>
      <c r="G24" s="1680"/>
      <c r="H24" s="1680"/>
      <c r="I24" s="1680"/>
      <c r="J24" s="1680"/>
      <c r="K24" s="1680"/>
      <c r="L24" s="1680"/>
      <c r="M24" s="1680"/>
      <c r="N24" s="1680"/>
      <c r="O24" s="1680"/>
      <c r="P24" s="1680"/>
      <c r="Q24" s="1680"/>
      <c r="R24" s="1680"/>
      <c r="S24" s="1680"/>
      <c r="T24" s="1680"/>
      <c r="U24" s="1680"/>
      <c r="V24" s="1680"/>
      <c r="W24" s="1680"/>
      <c r="X24" s="1680"/>
      <c r="Y24" s="1680"/>
      <c r="Z24" s="1680"/>
      <c r="AA24" s="1680"/>
      <c r="AB24" s="1680"/>
      <c r="AC24" s="1680"/>
      <c r="AD24" s="1680"/>
      <c r="AE24" s="1680"/>
      <c r="AF24" s="1680"/>
      <c r="AG24" s="1680"/>
      <c r="AH24" s="1482"/>
      <c r="AI24" s="919">
        <f t="shared" si="3"/>
        <v>0</v>
      </c>
      <c r="AJ24" s="1681">
        <v>43.78514993180552</v>
      </c>
      <c r="AK24" s="1117">
        <f t="shared" si="2"/>
        <v>0</v>
      </c>
      <c r="AL24" s="1682" t="s">
        <v>54</v>
      </c>
      <c r="AM24" s="918"/>
      <c r="AN24" s="892"/>
      <c r="AO24" s="892"/>
    </row>
    <row r="25" spans="1:41" ht="54" customHeight="1">
      <c r="A25" s="1704">
        <v>11</v>
      </c>
      <c r="B25" s="1704">
        <v>11</v>
      </c>
      <c r="C25" s="918" t="str">
        <f>'Chấm công KT'!C21</f>
        <v>T. In Păn</v>
      </c>
      <c r="D25" s="1680"/>
      <c r="E25" s="1680"/>
      <c r="F25" s="1680"/>
      <c r="G25" s="1680"/>
      <c r="H25" s="1680"/>
      <c r="I25" s="1680"/>
      <c r="J25" s="1680"/>
      <c r="K25" s="1680"/>
      <c r="L25" s="1680"/>
      <c r="M25" s="1680"/>
      <c r="N25" s="1680"/>
      <c r="O25" s="1680"/>
      <c r="P25" s="1680"/>
      <c r="Q25" s="1680"/>
      <c r="R25" s="1680"/>
      <c r="S25" s="1680"/>
      <c r="T25" s="1680"/>
      <c r="U25" s="1680"/>
      <c r="V25" s="1680"/>
      <c r="W25" s="1680"/>
      <c r="X25" s="1680"/>
      <c r="Y25" s="1680"/>
      <c r="Z25" s="1680"/>
      <c r="AA25" s="1680"/>
      <c r="AB25" s="1680"/>
      <c r="AC25" s="1680"/>
      <c r="AD25" s="1680"/>
      <c r="AE25" s="1680"/>
      <c r="AF25" s="1680"/>
      <c r="AG25" s="1680"/>
      <c r="AH25" s="1482"/>
      <c r="AI25" s="919">
        <f t="shared" si="3"/>
        <v>0</v>
      </c>
      <c r="AJ25" s="1681">
        <v>43.78514993180552</v>
      </c>
      <c r="AK25" s="1117">
        <f t="shared" si="2"/>
        <v>0</v>
      </c>
      <c r="AL25" s="1682" t="s">
        <v>79</v>
      </c>
      <c r="AM25" s="918"/>
      <c r="AN25" s="892"/>
      <c r="AO25" s="892"/>
    </row>
    <row r="26" spans="1:41" ht="54" customHeight="1">
      <c r="A26" s="1704">
        <v>12</v>
      </c>
      <c r="B26" s="1704">
        <v>12</v>
      </c>
      <c r="C26" s="918" t="str">
        <f>'Chấm công KT'!C22</f>
        <v>N. Keo</v>
      </c>
      <c r="D26" s="1680"/>
      <c r="E26" s="1680"/>
      <c r="F26" s="1680"/>
      <c r="G26" s="1680"/>
      <c r="H26" s="1680"/>
      <c r="I26" s="1680"/>
      <c r="J26" s="1680"/>
      <c r="K26" s="1680"/>
      <c r="L26" s="1680"/>
      <c r="M26" s="1680"/>
      <c r="N26" s="1680"/>
      <c r="O26" s="1680"/>
      <c r="P26" s="1680"/>
      <c r="Q26" s="1680"/>
      <c r="R26" s="1680"/>
      <c r="S26" s="1680"/>
      <c r="T26" s="1680"/>
      <c r="U26" s="1680"/>
      <c r="V26" s="1680"/>
      <c r="W26" s="1680"/>
      <c r="X26" s="1680"/>
      <c r="Y26" s="1680"/>
      <c r="Z26" s="1680"/>
      <c r="AA26" s="1680"/>
      <c r="AB26" s="1680"/>
      <c r="AC26" s="1680"/>
      <c r="AD26" s="1680"/>
      <c r="AE26" s="1680"/>
      <c r="AF26" s="1680"/>
      <c r="AG26" s="1680"/>
      <c r="AH26" s="1482"/>
      <c r="AI26" s="919">
        <f t="shared" si="3"/>
        <v>0</v>
      </c>
      <c r="AJ26" s="1681">
        <v>43.78514993180552</v>
      </c>
      <c r="AK26" s="1117">
        <f t="shared" si="2"/>
        <v>0</v>
      </c>
      <c r="AL26" s="1682" t="s">
        <v>54</v>
      </c>
      <c r="AM26" s="918"/>
      <c r="AN26" s="892"/>
      <c r="AO26" s="892"/>
    </row>
    <row r="27" spans="1:41" ht="54" customHeight="1">
      <c r="A27" s="1704">
        <v>13</v>
      </c>
      <c r="B27" s="1704">
        <v>13</v>
      </c>
      <c r="C27" s="918" t="str">
        <f>'Chấm công KT'!C23</f>
        <v>T. Thong Đon</v>
      </c>
      <c r="D27" s="1680"/>
      <c r="E27" s="1680"/>
      <c r="F27" s="1680"/>
      <c r="G27" s="1680"/>
      <c r="H27" s="1680"/>
      <c r="I27" s="1680"/>
      <c r="J27" s="1680"/>
      <c r="K27" s="1680"/>
      <c r="L27" s="1680"/>
      <c r="M27" s="1680"/>
      <c r="N27" s="1680"/>
      <c r="O27" s="1680"/>
      <c r="P27" s="1680"/>
      <c r="Q27" s="1680"/>
      <c r="R27" s="1680"/>
      <c r="S27" s="1680"/>
      <c r="T27" s="1680"/>
      <c r="U27" s="1680"/>
      <c r="V27" s="1680"/>
      <c r="W27" s="1680"/>
      <c r="X27" s="1680"/>
      <c r="Y27" s="1680"/>
      <c r="Z27" s="1680"/>
      <c r="AA27" s="1680"/>
      <c r="AB27" s="1680"/>
      <c r="AC27" s="1680"/>
      <c r="AD27" s="1680"/>
      <c r="AE27" s="1680"/>
      <c r="AF27" s="1680"/>
      <c r="AG27" s="1680"/>
      <c r="AH27" s="1482"/>
      <c r="AI27" s="919">
        <f t="shared" si="3"/>
        <v>0</v>
      </c>
      <c r="AJ27" s="1681">
        <v>43.78514993180552</v>
      </c>
      <c r="AK27" s="1117">
        <f t="shared" si="2"/>
        <v>0</v>
      </c>
      <c r="AL27" s="1682" t="s">
        <v>79</v>
      </c>
      <c r="AM27" s="918"/>
      <c r="AN27" s="892"/>
      <c r="AO27" s="892"/>
    </row>
    <row r="28" spans="1:41" ht="54" customHeight="1">
      <c r="A28" s="1704">
        <v>14</v>
      </c>
      <c r="B28" s="1704">
        <v>14</v>
      </c>
      <c r="C28" s="918" t="str">
        <f>'Chấm công KT'!C24</f>
        <v>T. Hin</v>
      </c>
      <c r="D28" s="1680"/>
      <c r="E28" s="1680"/>
      <c r="F28" s="1680"/>
      <c r="G28" s="1680"/>
      <c r="H28" s="1680"/>
      <c r="I28" s="1680"/>
      <c r="J28" s="1680"/>
      <c r="K28" s="1680"/>
      <c r="L28" s="1680"/>
      <c r="M28" s="1680"/>
      <c r="N28" s="1680"/>
      <c r="O28" s="1680"/>
      <c r="P28" s="1680"/>
      <c r="Q28" s="1680"/>
      <c r="R28" s="1680"/>
      <c r="S28" s="1680"/>
      <c r="T28" s="1680"/>
      <c r="U28" s="1680"/>
      <c r="V28" s="1680"/>
      <c r="W28" s="1680"/>
      <c r="X28" s="1680"/>
      <c r="Y28" s="1680"/>
      <c r="Z28" s="1680"/>
      <c r="AA28" s="1680"/>
      <c r="AB28" s="1680"/>
      <c r="AC28" s="1680"/>
      <c r="AD28" s="1680"/>
      <c r="AE28" s="1680"/>
      <c r="AF28" s="1680"/>
      <c r="AG28" s="1680"/>
      <c r="AH28" s="1482"/>
      <c r="AI28" s="919">
        <f t="shared" si="3"/>
        <v>0</v>
      </c>
      <c r="AJ28" s="1681">
        <v>43.78514993180552</v>
      </c>
      <c r="AK28" s="1117">
        <f t="shared" si="2"/>
        <v>0</v>
      </c>
      <c r="AL28" s="1682" t="s">
        <v>54</v>
      </c>
      <c r="AM28" s="918"/>
      <c r="AN28" s="892"/>
      <c r="AO28" s="892"/>
    </row>
    <row r="29" spans="1:41" ht="54" customHeight="1">
      <c r="A29" s="1704">
        <v>15</v>
      </c>
      <c r="B29" s="1704">
        <v>15</v>
      </c>
      <c r="C29" s="918" t="str">
        <f>'Chấm công KT'!C25</f>
        <v>T. Son</v>
      </c>
      <c r="D29" s="1680"/>
      <c r="E29" s="1680"/>
      <c r="F29" s="1680"/>
      <c r="G29" s="1680"/>
      <c r="H29" s="1680"/>
      <c r="I29" s="1680"/>
      <c r="J29" s="1680"/>
      <c r="K29" s="1680"/>
      <c r="L29" s="1680"/>
      <c r="M29" s="1680"/>
      <c r="N29" s="1680"/>
      <c r="O29" s="1680"/>
      <c r="P29" s="1680"/>
      <c r="Q29" s="1680"/>
      <c r="R29" s="1680"/>
      <c r="S29" s="1680"/>
      <c r="T29" s="1680"/>
      <c r="U29" s="1680"/>
      <c r="V29" s="1680"/>
      <c r="W29" s="1680"/>
      <c r="X29" s="1680"/>
      <c r="Y29" s="1680"/>
      <c r="Z29" s="1680"/>
      <c r="AA29" s="1680"/>
      <c r="AB29" s="1680"/>
      <c r="AC29" s="1680"/>
      <c r="AD29" s="1680"/>
      <c r="AE29" s="1680"/>
      <c r="AF29" s="1680"/>
      <c r="AG29" s="1680"/>
      <c r="AH29" s="1482"/>
      <c r="AI29" s="919">
        <f t="shared" si="3"/>
        <v>0</v>
      </c>
      <c r="AJ29" s="1681">
        <v>43.78514993180552</v>
      </c>
      <c r="AK29" s="1117">
        <f t="shared" si="2"/>
        <v>0</v>
      </c>
      <c r="AL29" s="1682" t="s">
        <v>54</v>
      </c>
      <c r="AM29" s="918"/>
      <c r="AN29" s="892"/>
      <c r="AO29" s="892"/>
    </row>
    <row r="30" spans="1:41" ht="54" customHeight="1">
      <c r="A30" s="1704">
        <v>16</v>
      </c>
      <c r="B30" s="1704">
        <v>16</v>
      </c>
      <c r="C30" s="918" t="str">
        <f>'Chấm công KT'!C26</f>
        <v>T. Xôm Va Nít</v>
      </c>
      <c r="D30" s="1680"/>
      <c r="E30" s="1680"/>
      <c r="F30" s="1680"/>
      <c r="G30" s="1680"/>
      <c r="H30" s="1680"/>
      <c r="I30" s="1680"/>
      <c r="J30" s="1680"/>
      <c r="K30" s="1680"/>
      <c r="L30" s="1680"/>
      <c r="M30" s="1680"/>
      <c r="N30" s="1680"/>
      <c r="O30" s="1680"/>
      <c r="P30" s="1680"/>
      <c r="Q30" s="1680"/>
      <c r="R30" s="1680"/>
      <c r="S30" s="1680"/>
      <c r="T30" s="1680"/>
      <c r="U30" s="1680"/>
      <c r="V30" s="1680"/>
      <c r="W30" s="1680"/>
      <c r="X30" s="1680"/>
      <c r="Y30" s="1680"/>
      <c r="Z30" s="1680"/>
      <c r="AA30" s="1680"/>
      <c r="AB30" s="1680"/>
      <c r="AC30" s="1680"/>
      <c r="AD30" s="1680"/>
      <c r="AE30" s="1680"/>
      <c r="AF30" s="1680"/>
      <c r="AG30" s="1680"/>
      <c r="AH30" s="1482"/>
      <c r="AI30" s="919">
        <f t="shared" si="3"/>
        <v>0</v>
      </c>
      <c r="AJ30" s="1681">
        <v>43.78514993180552</v>
      </c>
      <c r="AK30" s="1117">
        <f t="shared" si="2"/>
        <v>0</v>
      </c>
      <c r="AL30" s="1682" t="s">
        <v>54</v>
      </c>
      <c r="AM30" s="918"/>
      <c r="AN30" s="892"/>
      <c r="AO30" s="892"/>
    </row>
    <row r="31" spans="1:41" ht="54" customHeight="1">
      <c r="A31" s="1704">
        <v>17</v>
      </c>
      <c r="B31" s="1704">
        <v>17</v>
      </c>
      <c r="C31" s="918" t="str">
        <f>'Chấm công KT'!C27</f>
        <v>T. Lọi</v>
      </c>
      <c r="D31" s="1680"/>
      <c r="E31" s="1680"/>
      <c r="F31" s="1680"/>
      <c r="G31" s="1680"/>
      <c r="H31" s="1680"/>
      <c r="I31" s="1680"/>
      <c r="J31" s="1680"/>
      <c r="K31" s="1680"/>
      <c r="L31" s="1680"/>
      <c r="M31" s="1680"/>
      <c r="N31" s="1680"/>
      <c r="O31" s="1680"/>
      <c r="P31" s="1680"/>
      <c r="Q31" s="1680"/>
      <c r="R31" s="1680"/>
      <c r="S31" s="1680"/>
      <c r="T31" s="1680"/>
      <c r="U31" s="1680"/>
      <c r="V31" s="1680"/>
      <c r="W31" s="1680"/>
      <c r="X31" s="1680"/>
      <c r="Y31" s="1680"/>
      <c r="Z31" s="1680"/>
      <c r="AA31" s="1680"/>
      <c r="AB31" s="1680"/>
      <c r="AC31" s="1680"/>
      <c r="AD31" s="1680"/>
      <c r="AE31" s="1680"/>
      <c r="AF31" s="1680"/>
      <c r="AG31" s="1680"/>
      <c r="AH31" s="1482"/>
      <c r="AI31" s="919">
        <f t="shared" si="3"/>
        <v>0</v>
      </c>
      <c r="AJ31" s="1681">
        <v>43.78514993180552</v>
      </c>
      <c r="AK31" s="1117">
        <f t="shared" si="2"/>
        <v>0</v>
      </c>
      <c r="AL31" s="1682" t="s">
        <v>54</v>
      </c>
      <c r="AM31" s="918"/>
      <c r="AN31" s="892"/>
      <c r="AO31" s="892"/>
    </row>
    <row r="32" spans="1:41" ht="54" customHeight="1">
      <c r="A32" s="1704">
        <v>18</v>
      </c>
      <c r="B32" s="1704">
        <v>18</v>
      </c>
      <c r="C32" s="918" t="str">
        <f>'Chấm công KT'!C28</f>
        <v>T. Phô Thong</v>
      </c>
      <c r="D32" s="1680"/>
      <c r="E32" s="1680"/>
      <c r="F32" s="1680"/>
      <c r="G32" s="1680"/>
      <c r="H32" s="1680"/>
      <c r="I32" s="1680"/>
      <c r="J32" s="1680"/>
      <c r="K32" s="1680"/>
      <c r="L32" s="1680"/>
      <c r="M32" s="1680"/>
      <c r="N32" s="1680"/>
      <c r="O32" s="1680"/>
      <c r="P32" s="1680"/>
      <c r="Q32" s="1680"/>
      <c r="R32" s="1680"/>
      <c r="S32" s="1680"/>
      <c r="T32" s="1680"/>
      <c r="U32" s="1680"/>
      <c r="V32" s="1680"/>
      <c r="W32" s="1680"/>
      <c r="X32" s="1680"/>
      <c r="Y32" s="1680"/>
      <c r="Z32" s="1680"/>
      <c r="AA32" s="1680"/>
      <c r="AB32" s="1680"/>
      <c r="AC32" s="1680"/>
      <c r="AD32" s="1680"/>
      <c r="AE32" s="1680"/>
      <c r="AF32" s="1680"/>
      <c r="AG32" s="1680"/>
      <c r="AH32" s="1482"/>
      <c r="AI32" s="919">
        <f t="shared" si="3"/>
        <v>0</v>
      </c>
      <c r="AJ32" s="1681">
        <v>43.78514993180552</v>
      </c>
      <c r="AK32" s="1117">
        <f t="shared" si="2"/>
        <v>0</v>
      </c>
      <c r="AL32" s="1682" t="s">
        <v>54</v>
      </c>
      <c r="AM32" s="918"/>
      <c r="AN32" s="892"/>
      <c r="AO32" s="892"/>
    </row>
    <row r="33" spans="1:41" ht="54" customHeight="1">
      <c r="A33" s="1704">
        <v>19</v>
      </c>
      <c r="B33" s="1704">
        <v>19</v>
      </c>
      <c r="C33" s="918" t="str">
        <f>'Chấm công KT'!C29</f>
        <v>N. Soi</v>
      </c>
      <c r="D33" s="1680"/>
      <c r="E33" s="1680"/>
      <c r="F33" s="1680"/>
      <c r="G33" s="1680"/>
      <c r="H33" s="1680"/>
      <c r="I33" s="1680"/>
      <c r="J33" s="1680"/>
      <c r="K33" s="1680"/>
      <c r="L33" s="1680"/>
      <c r="M33" s="1680"/>
      <c r="N33" s="1680"/>
      <c r="O33" s="1680"/>
      <c r="P33" s="1680"/>
      <c r="Q33" s="1680"/>
      <c r="R33" s="1680"/>
      <c r="S33" s="1680"/>
      <c r="T33" s="1680"/>
      <c r="U33" s="1680"/>
      <c r="V33" s="1680"/>
      <c r="W33" s="1680"/>
      <c r="X33" s="1680"/>
      <c r="Y33" s="1680"/>
      <c r="Z33" s="1680"/>
      <c r="AA33" s="1680"/>
      <c r="AB33" s="1680"/>
      <c r="AC33" s="1680"/>
      <c r="AD33" s="1680"/>
      <c r="AE33" s="1680"/>
      <c r="AF33" s="1680"/>
      <c r="AG33" s="1680"/>
      <c r="AH33" s="1482"/>
      <c r="AI33" s="919">
        <f t="shared" si="3"/>
        <v>0</v>
      </c>
      <c r="AJ33" s="1681">
        <v>43.78514993180552</v>
      </c>
      <c r="AK33" s="1117">
        <f t="shared" si="2"/>
        <v>0</v>
      </c>
      <c r="AL33" s="1682" t="s">
        <v>54</v>
      </c>
      <c r="AM33" s="918"/>
      <c r="AN33" s="892"/>
      <c r="AO33" s="892"/>
    </row>
    <row r="34" spans="1:41" ht="54" customHeight="1">
      <c r="A34" s="1704">
        <v>20</v>
      </c>
      <c r="B34" s="1704">
        <v>20</v>
      </c>
      <c r="C34" s="918" t="str">
        <f>'Chấm công KT'!C30</f>
        <v>N. Me Kha La</v>
      </c>
      <c r="D34" s="1680"/>
      <c r="E34" s="1680"/>
      <c r="F34" s="1680"/>
      <c r="G34" s="1680"/>
      <c r="H34" s="1680"/>
      <c r="I34" s="1680"/>
      <c r="J34" s="1680"/>
      <c r="K34" s="1680"/>
      <c r="L34" s="1680"/>
      <c r="M34" s="1680"/>
      <c r="N34" s="1680"/>
      <c r="O34" s="1680"/>
      <c r="P34" s="1680"/>
      <c r="Q34" s="1680"/>
      <c r="R34" s="1680"/>
      <c r="S34" s="1680"/>
      <c r="T34" s="1680"/>
      <c r="U34" s="1680"/>
      <c r="V34" s="1680"/>
      <c r="W34" s="1680"/>
      <c r="X34" s="1680"/>
      <c r="Y34" s="1680"/>
      <c r="Z34" s="1680"/>
      <c r="AA34" s="1680"/>
      <c r="AB34" s="1680"/>
      <c r="AC34" s="1680"/>
      <c r="AD34" s="1680"/>
      <c r="AE34" s="1680"/>
      <c r="AF34" s="1680"/>
      <c r="AG34" s="1680"/>
      <c r="AH34" s="1482"/>
      <c r="AI34" s="919">
        <f t="shared" si="3"/>
        <v>0</v>
      </c>
      <c r="AJ34" s="1681">
        <v>43.78514993180552</v>
      </c>
      <c r="AK34" s="1117">
        <f t="shared" si="2"/>
        <v>0</v>
      </c>
      <c r="AL34" s="1682" t="s">
        <v>54</v>
      </c>
      <c r="AM34" s="918"/>
      <c r="AN34" s="892"/>
      <c r="AO34" s="892"/>
    </row>
    <row r="35" spans="1:41" ht="54" customHeight="1">
      <c r="A35" s="1704">
        <v>21</v>
      </c>
      <c r="B35" s="1704">
        <v>21</v>
      </c>
      <c r="C35" s="918" t="str">
        <f>'Chấm công KT'!C31</f>
        <v>N. Mon Khăm</v>
      </c>
      <c r="D35" s="1680"/>
      <c r="E35" s="1680"/>
      <c r="F35" s="1680"/>
      <c r="G35" s="1680"/>
      <c r="H35" s="1680"/>
      <c r="I35" s="1680"/>
      <c r="J35" s="1680"/>
      <c r="K35" s="1680"/>
      <c r="L35" s="1680"/>
      <c r="M35" s="1680"/>
      <c r="N35" s="1680"/>
      <c r="O35" s="1680"/>
      <c r="P35" s="1680"/>
      <c r="Q35" s="1680"/>
      <c r="R35" s="1680"/>
      <c r="S35" s="1680"/>
      <c r="T35" s="1680"/>
      <c r="U35" s="1680"/>
      <c r="V35" s="1680"/>
      <c r="W35" s="1680"/>
      <c r="X35" s="1680"/>
      <c r="Y35" s="1680"/>
      <c r="Z35" s="1680"/>
      <c r="AA35" s="1680"/>
      <c r="AB35" s="1680"/>
      <c r="AC35" s="1680"/>
      <c r="AD35" s="1680"/>
      <c r="AE35" s="1680"/>
      <c r="AF35" s="1680"/>
      <c r="AG35" s="1680"/>
      <c r="AH35" s="1482"/>
      <c r="AI35" s="919">
        <f t="shared" si="3"/>
        <v>0</v>
      </c>
      <c r="AJ35" s="1681">
        <v>43.78514993180552</v>
      </c>
      <c r="AK35" s="1117">
        <f t="shared" si="2"/>
        <v>0</v>
      </c>
      <c r="AL35" s="1682" t="s">
        <v>79</v>
      </c>
      <c r="AM35" s="918"/>
      <c r="AN35" s="892"/>
      <c r="AO35" s="892"/>
    </row>
    <row r="36" spans="1:41" ht="54" customHeight="1">
      <c r="A36" s="1704">
        <v>22</v>
      </c>
      <c r="B36" s="1704">
        <v>22</v>
      </c>
      <c r="C36" s="918" t="str">
        <f>'Chấm công KT'!C32</f>
        <v>T. In</v>
      </c>
      <c r="D36" s="1680"/>
      <c r="E36" s="1680"/>
      <c r="F36" s="1680"/>
      <c r="G36" s="1680"/>
      <c r="H36" s="1680"/>
      <c r="I36" s="1680"/>
      <c r="J36" s="1680"/>
      <c r="K36" s="1680"/>
      <c r="L36" s="1680"/>
      <c r="M36" s="1680"/>
      <c r="N36" s="1680"/>
      <c r="O36" s="1680"/>
      <c r="P36" s="1680"/>
      <c r="Q36" s="1680"/>
      <c r="R36" s="1680"/>
      <c r="S36" s="1680"/>
      <c r="T36" s="1680"/>
      <c r="U36" s="1680"/>
      <c r="V36" s="1680"/>
      <c r="W36" s="1680"/>
      <c r="X36" s="1680"/>
      <c r="Y36" s="1680"/>
      <c r="Z36" s="1680"/>
      <c r="AA36" s="1680"/>
      <c r="AB36" s="1680"/>
      <c r="AC36" s="1680"/>
      <c r="AD36" s="1680"/>
      <c r="AE36" s="1680"/>
      <c r="AF36" s="1680"/>
      <c r="AG36" s="1680"/>
      <c r="AH36" s="1482"/>
      <c r="AI36" s="919">
        <f t="shared" si="3"/>
        <v>0</v>
      </c>
      <c r="AJ36" s="1681">
        <v>43.78514993180552</v>
      </c>
      <c r="AK36" s="1117">
        <f t="shared" si="2"/>
        <v>0</v>
      </c>
      <c r="AL36" s="1682" t="s">
        <v>889</v>
      </c>
      <c r="AM36" s="918"/>
      <c r="AN36" s="892"/>
      <c r="AO36" s="892"/>
    </row>
    <row r="37" spans="1:41" ht="54" customHeight="1">
      <c r="A37" s="1704">
        <v>23</v>
      </c>
      <c r="B37" s="1704">
        <v>23</v>
      </c>
      <c r="C37" s="918" t="str">
        <f>'Chấm công KT'!C33</f>
        <v>T. Bin Ly.</v>
      </c>
      <c r="D37" s="1680"/>
      <c r="E37" s="1680"/>
      <c r="F37" s="1680"/>
      <c r="G37" s="1680"/>
      <c r="H37" s="1680"/>
      <c r="I37" s="1680"/>
      <c r="J37" s="1680"/>
      <c r="K37" s="1680"/>
      <c r="L37" s="1680"/>
      <c r="M37" s="1680"/>
      <c r="N37" s="1680"/>
      <c r="O37" s="1680"/>
      <c r="P37" s="1680"/>
      <c r="Q37" s="1680"/>
      <c r="R37" s="1680"/>
      <c r="S37" s="1680"/>
      <c r="T37" s="1680"/>
      <c r="U37" s="1680"/>
      <c r="V37" s="1680"/>
      <c r="W37" s="1680"/>
      <c r="X37" s="1680"/>
      <c r="Y37" s="1680"/>
      <c r="Z37" s="1680"/>
      <c r="AA37" s="1680"/>
      <c r="AB37" s="1680"/>
      <c r="AC37" s="1680"/>
      <c r="AD37" s="1680"/>
      <c r="AE37" s="1680"/>
      <c r="AF37" s="1680"/>
      <c r="AG37" s="1680"/>
      <c r="AH37" s="1482"/>
      <c r="AI37" s="919">
        <f t="shared" si="3"/>
        <v>0</v>
      </c>
      <c r="AJ37" s="1681">
        <v>43.78514993180552</v>
      </c>
      <c r="AK37" s="1117">
        <f t="shared" si="2"/>
        <v>0</v>
      </c>
      <c r="AL37" s="1682" t="s">
        <v>79</v>
      </c>
      <c r="AM37" s="918"/>
      <c r="AN37" s="892"/>
      <c r="AO37" s="892"/>
    </row>
    <row r="38" spans="1:41" ht="54" customHeight="1">
      <c r="A38" s="1704">
        <v>24</v>
      </c>
      <c r="B38" s="1704">
        <v>24</v>
      </c>
      <c r="C38" s="918" t="str">
        <f>'Chấm công KT'!C34</f>
        <v>N. Phim Phon.</v>
      </c>
      <c r="D38" s="1680"/>
      <c r="E38" s="1680"/>
      <c r="F38" s="1680"/>
      <c r="G38" s="1680"/>
      <c r="H38" s="1680"/>
      <c r="I38" s="1680"/>
      <c r="J38" s="1680"/>
      <c r="K38" s="1680"/>
      <c r="L38" s="1680"/>
      <c r="M38" s="1680"/>
      <c r="N38" s="1680"/>
      <c r="O38" s="1680"/>
      <c r="P38" s="1680"/>
      <c r="Q38" s="1680"/>
      <c r="R38" s="1680"/>
      <c r="S38" s="1680"/>
      <c r="T38" s="1680"/>
      <c r="U38" s="1680"/>
      <c r="V38" s="1680"/>
      <c r="W38" s="1680"/>
      <c r="X38" s="1680"/>
      <c r="Y38" s="1680"/>
      <c r="Z38" s="1680"/>
      <c r="AA38" s="1680"/>
      <c r="AB38" s="1680"/>
      <c r="AC38" s="1680"/>
      <c r="AD38" s="1680"/>
      <c r="AE38" s="1680"/>
      <c r="AF38" s="1680"/>
      <c r="AG38" s="1680"/>
      <c r="AH38" s="1482"/>
      <c r="AI38" s="919">
        <f t="shared" si="3"/>
        <v>0</v>
      </c>
      <c r="AJ38" s="1681">
        <v>43.78514993180552</v>
      </c>
      <c r="AK38" s="1117">
        <f t="shared" si="2"/>
        <v>0</v>
      </c>
      <c r="AL38" s="1682" t="s">
        <v>889</v>
      </c>
      <c r="AM38" s="918"/>
      <c r="AN38" s="892"/>
      <c r="AO38" s="892"/>
    </row>
    <row r="39" spans="1:41" ht="54" customHeight="1">
      <c r="A39" s="1704">
        <v>25</v>
      </c>
      <c r="B39" s="1704">
        <v>25</v>
      </c>
      <c r="C39" s="918" t="str">
        <f>'Chấm công KT'!C35</f>
        <v>N. Nong</v>
      </c>
      <c r="D39" s="1680"/>
      <c r="E39" s="1680"/>
      <c r="F39" s="1680"/>
      <c r="G39" s="1680"/>
      <c r="H39" s="1680"/>
      <c r="I39" s="1680"/>
      <c r="J39" s="1680"/>
      <c r="K39" s="1680"/>
      <c r="L39" s="1680"/>
      <c r="M39" s="1680"/>
      <c r="N39" s="1680"/>
      <c r="O39" s="1680"/>
      <c r="P39" s="1680"/>
      <c r="Q39" s="1680"/>
      <c r="R39" s="1680"/>
      <c r="S39" s="1680"/>
      <c r="T39" s="1680"/>
      <c r="U39" s="1680"/>
      <c r="V39" s="1680"/>
      <c r="W39" s="1680"/>
      <c r="X39" s="1680"/>
      <c r="Y39" s="1680"/>
      <c r="Z39" s="1680"/>
      <c r="AA39" s="1680"/>
      <c r="AB39" s="1680"/>
      <c r="AC39" s="1680"/>
      <c r="AD39" s="1680"/>
      <c r="AE39" s="1680"/>
      <c r="AF39" s="1680"/>
      <c r="AG39" s="1680"/>
      <c r="AH39" s="1482"/>
      <c r="AI39" s="919">
        <f t="shared" si="3"/>
        <v>0</v>
      </c>
      <c r="AJ39" s="1681">
        <v>43.78514993180552</v>
      </c>
      <c r="AK39" s="1117">
        <f t="shared" si="2"/>
        <v>0</v>
      </c>
      <c r="AL39" s="1682" t="s">
        <v>54</v>
      </c>
      <c r="AM39" s="918"/>
      <c r="AN39" s="892"/>
      <c r="AO39" s="892"/>
    </row>
    <row r="40" spans="1:41" ht="54" customHeight="1">
      <c r="A40" s="1704">
        <v>26</v>
      </c>
      <c r="B40" s="1704">
        <v>26</v>
      </c>
      <c r="C40" s="918" t="str">
        <f>'Chấm công KT'!C36</f>
        <v>N. Tun 1</v>
      </c>
      <c r="D40" s="1680"/>
      <c r="E40" s="1680"/>
      <c r="F40" s="1680"/>
      <c r="G40" s="1680"/>
      <c r="H40" s="1680"/>
      <c r="I40" s="1680"/>
      <c r="J40" s="1680"/>
      <c r="K40" s="1680"/>
      <c r="L40" s="1680"/>
      <c r="M40" s="1680"/>
      <c r="N40" s="1680"/>
      <c r="O40" s="1680"/>
      <c r="P40" s="1680"/>
      <c r="Q40" s="1680"/>
      <c r="R40" s="1680"/>
      <c r="S40" s="1680"/>
      <c r="T40" s="1680"/>
      <c r="U40" s="1680"/>
      <c r="V40" s="1680"/>
      <c r="W40" s="1680"/>
      <c r="X40" s="1680"/>
      <c r="Y40" s="1680"/>
      <c r="Z40" s="1680"/>
      <c r="AA40" s="1680"/>
      <c r="AB40" s="1680"/>
      <c r="AC40" s="1680"/>
      <c r="AD40" s="1680"/>
      <c r="AE40" s="1680"/>
      <c r="AF40" s="1680"/>
      <c r="AG40" s="1680"/>
      <c r="AH40" s="1482"/>
      <c r="AI40" s="919">
        <f t="shared" si="3"/>
        <v>0</v>
      </c>
      <c r="AJ40" s="1681">
        <v>43.78514993180552</v>
      </c>
      <c r="AK40" s="1117">
        <f t="shared" si="2"/>
        <v>0</v>
      </c>
      <c r="AL40" s="1682" t="s">
        <v>54</v>
      </c>
      <c r="AM40" s="918"/>
      <c r="AN40" s="892"/>
      <c r="AO40" s="892"/>
    </row>
    <row r="41" spans="1:41" ht="54" customHeight="1">
      <c r="A41" s="1704">
        <v>27</v>
      </c>
      <c r="B41" s="1704">
        <v>27</v>
      </c>
      <c r="C41" s="918" t="str">
        <f>'Chấm công KT'!C37</f>
        <v>T . Lốc</v>
      </c>
      <c r="D41" s="1680"/>
      <c r="E41" s="1680"/>
      <c r="F41" s="1680"/>
      <c r="G41" s="1680"/>
      <c r="H41" s="1680"/>
      <c r="I41" s="1680"/>
      <c r="J41" s="1680"/>
      <c r="K41" s="1680"/>
      <c r="L41" s="1680"/>
      <c r="M41" s="1680"/>
      <c r="N41" s="1680"/>
      <c r="O41" s="1680"/>
      <c r="P41" s="1680"/>
      <c r="Q41" s="1680"/>
      <c r="R41" s="1680"/>
      <c r="S41" s="1680"/>
      <c r="T41" s="1680"/>
      <c r="U41" s="1680"/>
      <c r="V41" s="1680"/>
      <c r="W41" s="1680"/>
      <c r="X41" s="1680"/>
      <c r="Y41" s="1680"/>
      <c r="Z41" s="1680"/>
      <c r="AA41" s="1680"/>
      <c r="AB41" s="1680"/>
      <c r="AC41" s="1680"/>
      <c r="AD41" s="1680"/>
      <c r="AE41" s="1680"/>
      <c r="AF41" s="1680"/>
      <c r="AG41" s="1680"/>
      <c r="AH41" s="1482"/>
      <c r="AI41" s="919">
        <f t="shared" si="3"/>
        <v>0</v>
      </c>
      <c r="AJ41" s="1681">
        <v>43.78514993180552</v>
      </c>
      <c r="AK41" s="1117">
        <f t="shared" si="2"/>
        <v>0</v>
      </c>
      <c r="AL41" s="1682" t="s">
        <v>79</v>
      </c>
      <c r="AM41" s="918"/>
      <c r="AN41" s="892"/>
      <c r="AO41" s="892"/>
    </row>
    <row r="42" spans="1:41" ht="54" customHeight="1">
      <c r="A42" s="1704">
        <v>28</v>
      </c>
      <c r="B42" s="1704">
        <v>28</v>
      </c>
      <c r="C42" s="918" t="str">
        <f>'Chấm công KT'!C38</f>
        <v>N . Khâm (1)</v>
      </c>
      <c r="D42" s="1680"/>
      <c r="E42" s="1680"/>
      <c r="F42" s="1680"/>
      <c r="G42" s="1680"/>
      <c r="H42" s="1680"/>
      <c r="I42" s="1680"/>
      <c r="J42" s="1680"/>
      <c r="K42" s="1680"/>
      <c r="L42" s="1680"/>
      <c r="M42" s="1680"/>
      <c r="N42" s="1680"/>
      <c r="O42" s="1680"/>
      <c r="P42" s="1680"/>
      <c r="Q42" s="1680"/>
      <c r="R42" s="1680"/>
      <c r="S42" s="1680"/>
      <c r="T42" s="1680"/>
      <c r="U42" s="1680"/>
      <c r="V42" s="1680"/>
      <c r="W42" s="1680"/>
      <c r="X42" s="1680"/>
      <c r="Y42" s="1680"/>
      <c r="Z42" s="1680"/>
      <c r="AA42" s="1680"/>
      <c r="AB42" s="1680"/>
      <c r="AC42" s="1680"/>
      <c r="AD42" s="1680"/>
      <c r="AE42" s="1680"/>
      <c r="AF42" s="1680"/>
      <c r="AG42" s="1680"/>
      <c r="AH42" s="1482"/>
      <c r="AI42" s="919">
        <f t="shared" si="3"/>
        <v>0</v>
      </c>
      <c r="AJ42" s="1681">
        <v>43.78514993180552</v>
      </c>
      <c r="AK42" s="1117">
        <f t="shared" si="2"/>
        <v>0</v>
      </c>
      <c r="AL42" s="1682" t="s">
        <v>54</v>
      </c>
      <c r="AM42" s="918"/>
      <c r="AN42" s="892"/>
      <c r="AO42" s="892"/>
    </row>
    <row r="43" spans="1:41" ht="54" customHeight="1">
      <c r="A43" s="1704">
        <v>29</v>
      </c>
      <c r="B43" s="1704">
        <v>29</v>
      </c>
      <c r="C43" s="918" t="str">
        <f>'Chấm công KT'!C39</f>
        <v>T . Phết</v>
      </c>
      <c r="D43" s="1680"/>
      <c r="E43" s="1680"/>
      <c r="F43" s="1680"/>
      <c r="G43" s="1680"/>
      <c r="H43" s="1680"/>
      <c r="I43" s="1680"/>
      <c r="J43" s="1680"/>
      <c r="K43" s="1680"/>
      <c r="L43" s="1680"/>
      <c r="M43" s="1680"/>
      <c r="N43" s="1680"/>
      <c r="O43" s="1680"/>
      <c r="P43" s="1680"/>
      <c r="Q43" s="1680"/>
      <c r="R43" s="1680"/>
      <c r="S43" s="1680"/>
      <c r="T43" s="1680"/>
      <c r="U43" s="1680"/>
      <c r="V43" s="1680"/>
      <c r="W43" s="1680"/>
      <c r="X43" s="1680"/>
      <c r="Y43" s="1680"/>
      <c r="Z43" s="1680"/>
      <c r="AA43" s="1680"/>
      <c r="AB43" s="1680"/>
      <c r="AC43" s="1680"/>
      <c r="AD43" s="1680"/>
      <c r="AE43" s="1680"/>
      <c r="AF43" s="1680"/>
      <c r="AG43" s="1680"/>
      <c r="AH43" s="1482"/>
      <c r="AI43" s="919">
        <f t="shared" si="3"/>
        <v>0</v>
      </c>
      <c r="AJ43" s="1681">
        <v>43.78514993180552</v>
      </c>
      <c r="AK43" s="1117">
        <f t="shared" si="2"/>
        <v>0</v>
      </c>
      <c r="AL43" s="1682" t="s">
        <v>54</v>
      </c>
      <c r="AM43" s="918"/>
      <c r="AN43" s="892"/>
      <c r="AO43" s="892"/>
    </row>
    <row r="44" spans="1:41" ht="54" customHeight="1">
      <c r="A44" s="1704">
        <v>30</v>
      </c>
      <c r="B44" s="1704">
        <v>30</v>
      </c>
      <c r="C44" s="918" t="str">
        <f>'Chấm công KT'!C40</f>
        <v>T. Viêng Sa Văn</v>
      </c>
      <c r="D44" s="1680"/>
      <c r="E44" s="1680"/>
      <c r="F44" s="1680"/>
      <c r="G44" s="1680"/>
      <c r="H44" s="1680"/>
      <c r="I44" s="1680"/>
      <c r="J44" s="1680"/>
      <c r="K44" s="1680"/>
      <c r="L44" s="1680"/>
      <c r="M44" s="1680"/>
      <c r="N44" s="1680"/>
      <c r="O44" s="1680"/>
      <c r="P44" s="1680"/>
      <c r="Q44" s="1680"/>
      <c r="R44" s="1680"/>
      <c r="S44" s="1680"/>
      <c r="T44" s="1680"/>
      <c r="U44" s="1680"/>
      <c r="V44" s="1680"/>
      <c r="W44" s="1680"/>
      <c r="X44" s="1680"/>
      <c r="Y44" s="1680"/>
      <c r="Z44" s="1680"/>
      <c r="AA44" s="1680"/>
      <c r="AB44" s="1680"/>
      <c r="AC44" s="1680"/>
      <c r="AD44" s="1680"/>
      <c r="AE44" s="1680"/>
      <c r="AF44" s="1680"/>
      <c r="AG44" s="1680"/>
      <c r="AH44" s="1482"/>
      <c r="AI44" s="919">
        <f t="shared" si="3"/>
        <v>0</v>
      </c>
      <c r="AJ44" s="1681">
        <v>43.78514993180552</v>
      </c>
      <c r="AK44" s="1117">
        <f t="shared" si="2"/>
        <v>0</v>
      </c>
      <c r="AL44" s="1682" t="s">
        <v>54</v>
      </c>
      <c r="AM44" s="918"/>
      <c r="AN44" s="892"/>
      <c r="AO44" s="892"/>
    </row>
    <row r="45" spans="1:41" ht="54" customHeight="1">
      <c r="A45" s="1704">
        <v>31</v>
      </c>
      <c r="B45" s="1704">
        <v>31</v>
      </c>
      <c r="C45" s="918" t="str">
        <f>'Chấm công KT'!C41</f>
        <v>T. Ca Te</v>
      </c>
      <c r="D45" s="1680"/>
      <c r="E45" s="1680"/>
      <c r="F45" s="1680"/>
      <c r="G45" s="1680"/>
      <c r="H45" s="1680"/>
      <c r="I45" s="1680"/>
      <c r="J45" s="1680"/>
      <c r="K45" s="1680"/>
      <c r="L45" s="1680"/>
      <c r="M45" s="1680"/>
      <c r="N45" s="1680"/>
      <c r="O45" s="1680"/>
      <c r="P45" s="1680"/>
      <c r="Q45" s="1680"/>
      <c r="R45" s="1680"/>
      <c r="S45" s="1680"/>
      <c r="T45" s="1680"/>
      <c r="U45" s="1680"/>
      <c r="V45" s="1680"/>
      <c r="W45" s="1680"/>
      <c r="X45" s="1680"/>
      <c r="Y45" s="1680"/>
      <c r="Z45" s="1680"/>
      <c r="AA45" s="1680"/>
      <c r="AB45" s="1680"/>
      <c r="AC45" s="1680"/>
      <c r="AD45" s="1680"/>
      <c r="AE45" s="1680"/>
      <c r="AF45" s="1680"/>
      <c r="AG45" s="1680"/>
      <c r="AH45" s="1482"/>
      <c r="AI45" s="919">
        <f t="shared" si="3"/>
        <v>0</v>
      </c>
      <c r="AJ45" s="1681">
        <v>43.78514993180552</v>
      </c>
      <c r="AK45" s="1117">
        <f t="shared" si="2"/>
        <v>0</v>
      </c>
      <c r="AL45" s="1682" t="s">
        <v>54</v>
      </c>
      <c r="AM45" s="918"/>
      <c r="AN45" s="892"/>
      <c r="AO45" s="892"/>
    </row>
    <row r="46" spans="1:41" ht="54" customHeight="1">
      <c r="A46" s="1704">
        <v>32</v>
      </c>
      <c r="B46" s="1704">
        <v>32</v>
      </c>
      <c r="C46" s="918" t="str">
        <f>'Chấm công KT'!C42</f>
        <v>T. Lâm Phon</v>
      </c>
      <c r="D46" s="1680"/>
      <c r="E46" s="1680"/>
      <c r="F46" s="1680"/>
      <c r="G46" s="1680"/>
      <c r="H46" s="1680"/>
      <c r="I46" s="1680"/>
      <c r="J46" s="1680"/>
      <c r="K46" s="1680"/>
      <c r="L46" s="1680"/>
      <c r="M46" s="1680"/>
      <c r="N46" s="1680"/>
      <c r="O46" s="1680"/>
      <c r="P46" s="1680"/>
      <c r="Q46" s="1680"/>
      <c r="R46" s="1680"/>
      <c r="S46" s="1680"/>
      <c r="T46" s="1680"/>
      <c r="U46" s="1680"/>
      <c r="V46" s="1680"/>
      <c r="W46" s="1680"/>
      <c r="X46" s="1680"/>
      <c r="Y46" s="1680"/>
      <c r="Z46" s="1680"/>
      <c r="AA46" s="1680"/>
      <c r="AB46" s="1680"/>
      <c r="AC46" s="1680"/>
      <c r="AD46" s="1680"/>
      <c r="AE46" s="1680"/>
      <c r="AF46" s="1680"/>
      <c r="AG46" s="1680"/>
      <c r="AH46" s="1482"/>
      <c r="AI46" s="919">
        <f t="shared" si="3"/>
        <v>0</v>
      </c>
      <c r="AJ46" s="1681">
        <v>43.78514993180552</v>
      </c>
      <c r="AK46" s="1117">
        <f t="shared" si="2"/>
        <v>0</v>
      </c>
      <c r="AL46" s="1682" t="s">
        <v>54</v>
      </c>
      <c r="AM46" s="918"/>
      <c r="AN46" s="892"/>
      <c r="AO46" s="892"/>
    </row>
    <row r="47" spans="1:41" ht="54" customHeight="1">
      <c r="A47" s="1704">
        <v>33</v>
      </c>
      <c r="B47" s="1704">
        <v>33</v>
      </c>
      <c r="C47" s="918" t="str">
        <f>'Chấm công KT'!C43</f>
        <v>T. Sô Đa</v>
      </c>
      <c r="D47" s="1680"/>
      <c r="E47" s="1680"/>
      <c r="F47" s="1680"/>
      <c r="G47" s="1680"/>
      <c r="H47" s="1680"/>
      <c r="I47" s="1680"/>
      <c r="J47" s="1680"/>
      <c r="K47" s="1680"/>
      <c r="L47" s="1680"/>
      <c r="M47" s="1680"/>
      <c r="N47" s="1680"/>
      <c r="O47" s="1680"/>
      <c r="P47" s="1680"/>
      <c r="Q47" s="1680"/>
      <c r="R47" s="1680"/>
      <c r="S47" s="1680"/>
      <c r="T47" s="1680"/>
      <c r="U47" s="1680"/>
      <c r="V47" s="1680"/>
      <c r="W47" s="1680"/>
      <c r="X47" s="1680"/>
      <c r="Y47" s="1680"/>
      <c r="Z47" s="1680"/>
      <c r="AA47" s="1680"/>
      <c r="AB47" s="1680"/>
      <c r="AC47" s="1680"/>
      <c r="AD47" s="1680"/>
      <c r="AE47" s="1680"/>
      <c r="AF47" s="1680"/>
      <c r="AG47" s="1680"/>
      <c r="AH47" s="1482"/>
      <c r="AI47" s="919">
        <f t="shared" si="3"/>
        <v>0</v>
      </c>
      <c r="AJ47" s="1681">
        <v>43.78514993180552</v>
      </c>
      <c r="AK47" s="1117">
        <f t="shared" ref="AK47:AK78" si="4">AI47*AJ47/100</f>
        <v>0</v>
      </c>
      <c r="AL47" s="1682" t="s">
        <v>54</v>
      </c>
      <c r="AM47" s="918"/>
      <c r="AN47" s="892"/>
      <c r="AO47" s="892"/>
    </row>
    <row r="48" spans="1:41" ht="54" customHeight="1">
      <c r="A48" s="1704">
        <v>34</v>
      </c>
      <c r="B48" s="1704">
        <v>34</v>
      </c>
      <c r="C48" s="918" t="str">
        <f>'Chấm công KT'!C44</f>
        <v>T. Phu Ngân</v>
      </c>
      <c r="D48" s="1680"/>
      <c r="E48" s="1680"/>
      <c r="F48" s="1680"/>
      <c r="G48" s="1680"/>
      <c r="H48" s="1680"/>
      <c r="I48" s="1680"/>
      <c r="J48" s="1680"/>
      <c r="K48" s="1680"/>
      <c r="L48" s="1680"/>
      <c r="M48" s="1680"/>
      <c r="N48" s="1680"/>
      <c r="O48" s="1680"/>
      <c r="P48" s="1680"/>
      <c r="Q48" s="1680"/>
      <c r="R48" s="1680"/>
      <c r="S48" s="1680"/>
      <c r="T48" s="1680"/>
      <c r="U48" s="1680"/>
      <c r="V48" s="1680"/>
      <c r="W48" s="1680"/>
      <c r="X48" s="1680"/>
      <c r="Y48" s="1680"/>
      <c r="Z48" s="1680"/>
      <c r="AA48" s="1680"/>
      <c r="AB48" s="1680"/>
      <c r="AC48" s="1680"/>
      <c r="AD48" s="1680"/>
      <c r="AE48" s="1680"/>
      <c r="AF48" s="1680"/>
      <c r="AG48" s="1680"/>
      <c r="AH48" s="1482"/>
      <c r="AI48" s="919">
        <f t="shared" si="3"/>
        <v>0</v>
      </c>
      <c r="AJ48" s="1681">
        <v>43.78514993180552</v>
      </c>
      <c r="AK48" s="1117">
        <f t="shared" si="4"/>
        <v>0</v>
      </c>
      <c r="AL48" s="1682" t="s">
        <v>54</v>
      </c>
      <c r="AM48" s="918"/>
      <c r="AN48" s="892"/>
      <c r="AO48" s="892"/>
    </row>
    <row r="49" spans="1:41" ht="54" customHeight="1">
      <c r="A49" s="1704">
        <v>35</v>
      </c>
      <c r="B49" s="1704">
        <v>35</v>
      </c>
      <c r="C49" s="918" t="str">
        <f>'Chấm công KT'!C45</f>
        <v>N. Tủn</v>
      </c>
      <c r="D49" s="1680"/>
      <c r="E49" s="1680"/>
      <c r="F49" s="1680"/>
      <c r="G49" s="1680"/>
      <c r="H49" s="1680"/>
      <c r="I49" s="1680"/>
      <c r="J49" s="1680"/>
      <c r="K49" s="1680"/>
      <c r="L49" s="1680"/>
      <c r="M49" s="1680"/>
      <c r="N49" s="1680"/>
      <c r="O49" s="1680"/>
      <c r="P49" s="1680"/>
      <c r="Q49" s="1680"/>
      <c r="R49" s="1680"/>
      <c r="S49" s="1680"/>
      <c r="T49" s="1680"/>
      <c r="U49" s="1680"/>
      <c r="V49" s="1680"/>
      <c r="W49" s="1680"/>
      <c r="X49" s="1680"/>
      <c r="Y49" s="1680"/>
      <c r="Z49" s="1680"/>
      <c r="AA49" s="1680"/>
      <c r="AB49" s="1680"/>
      <c r="AC49" s="1680"/>
      <c r="AD49" s="1680"/>
      <c r="AE49" s="1680"/>
      <c r="AF49" s="1680"/>
      <c r="AG49" s="1680"/>
      <c r="AH49" s="1482"/>
      <c r="AI49" s="919">
        <f t="shared" si="3"/>
        <v>0</v>
      </c>
      <c r="AJ49" s="1681">
        <v>43.78514993180552</v>
      </c>
      <c r="AK49" s="1117">
        <f t="shared" si="4"/>
        <v>0</v>
      </c>
      <c r="AL49" s="1682" t="s">
        <v>54</v>
      </c>
      <c r="AM49" s="918"/>
      <c r="AN49" s="892"/>
      <c r="AO49" s="892"/>
    </row>
    <row r="50" spans="1:41" ht="54" customHeight="1">
      <c r="A50" s="1704">
        <v>36</v>
      </c>
      <c r="B50" s="1704">
        <v>36</v>
      </c>
      <c r="C50" s="918" t="str">
        <f>'Chấm công KT'!C46</f>
        <v>T. Lung</v>
      </c>
      <c r="D50" s="1680"/>
      <c r="E50" s="1680"/>
      <c r="F50" s="1680"/>
      <c r="G50" s="1680"/>
      <c r="H50" s="1680"/>
      <c r="I50" s="1680"/>
      <c r="J50" s="1680"/>
      <c r="K50" s="1680"/>
      <c r="L50" s="1680"/>
      <c r="M50" s="1680"/>
      <c r="N50" s="1680"/>
      <c r="O50" s="1680"/>
      <c r="P50" s="1680"/>
      <c r="Q50" s="1680"/>
      <c r="R50" s="1680"/>
      <c r="S50" s="1680"/>
      <c r="T50" s="1680"/>
      <c r="U50" s="1680"/>
      <c r="V50" s="1680"/>
      <c r="W50" s="1680"/>
      <c r="X50" s="1680"/>
      <c r="Y50" s="1680"/>
      <c r="Z50" s="1680"/>
      <c r="AA50" s="1680"/>
      <c r="AB50" s="1680"/>
      <c r="AC50" s="1680"/>
      <c r="AD50" s="1680"/>
      <c r="AE50" s="1680"/>
      <c r="AF50" s="1680"/>
      <c r="AG50" s="1680"/>
      <c r="AH50" s="1482"/>
      <c r="AI50" s="919">
        <f t="shared" si="3"/>
        <v>0</v>
      </c>
      <c r="AJ50" s="1681">
        <v>43.78514993180552</v>
      </c>
      <c r="AK50" s="1117">
        <f t="shared" si="4"/>
        <v>0</v>
      </c>
      <c r="AL50" s="1682" t="s">
        <v>54</v>
      </c>
      <c r="AM50" s="918"/>
      <c r="AN50" s="892"/>
      <c r="AO50" s="892"/>
    </row>
    <row r="51" spans="1:41" ht="54" customHeight="1">
      <c r="A51" s="1704">
        <v>37</v>
      </c>
      <c r="B51" s="1704">
        <v>37</v>
      </c>
      <c r="C51" s="918" t="str">
        <f>'Chấm công KT'!C47</f>
        <v>N. Tinh</v>
      </c>
      <c r="D51" s="1680"/>
      <c r="E51" s="1680"/>
      <c r="F51" s="1680"/>
      <c r="G51" s="1680"/>
      <c r="H51" s="1680"/>
      <c r="I51" s="1680"/>
      <c r="J51" s="1680"/>
      <c r="K51" s="1680"/>
      <c r="L51" s="1680"/>
      <c r="M51" s="1680"/>
      <c r="N51" s="1680"/>
      <c r="O51" s="1680"/>
      <c r="P51" s="1680"/>
      <c r="Q51" s="1680"/>
      <c r="R51" s="1680"/>
      <c r="S51" s="1680"/>
      <c r="T51" s="1680"/>
      <c r="U51" s="1680"/>
      <c r="V51" s="1680"/>
      <c r="W51" s="1680"/>
      <c r="X51" s="1680"/>
      <c r="Y51" s="1680"/>
      <c r="Z51" s="1680"/>
      <c r="AA51" s="1680"/>
      <c r="AB51" s="1680"/>
      <c r="AC51" s="1680"/>
      <c r="AD51" s="1680"/>
      <c r="AE51" s="1680"/>
      <c r="AF51" s="1680"/>
      <c r="AG51" s="1680"/>
      <c r="AH51" s="1482"/>
      <c r="AI51" s="919">
        <f t="shared" si="3"/>
        <v>0</v>
      </c>
      <c r="AJ51" s="1681">
        <v>43.78514993180552</v>
      </c>
      <c r="AK51" s="1117">
        <f t="shared" si="4"/>
        <v>0</v>
      </c>
      <c r="AL51" s="1682" t="s">
        <v>79</v>
      </c>
      <c r="AM51" s="918"/>
      <c r="AN51" s="892"/>
      <c r="AO51" s="892"/>
    </row>
    <row r="52" spans="1:41" ht="54" customHeight="1">
      <c r="A52" s="1704">
        <v>38</v>
      </c>
      <c r="B52" s="1704">
        <v>38</v>
      </c>
      <c r="C52" s="918" t="str">
        <f>'Chấm công KT'!C48</f>
        <v>N. Ba Say</v>
      </c>
      <c r="D52" s="1680"/>
      <c r="E52" s="1680"/>
      <c r="F52" s="1680"/>
      <c r="G52" s="1680"/>
      <c r="H52" s="1680"/>
      <c r="I52" s="1680"/>
      <c r="J52" s="1680"/>
      <c r="K52" s="1680"/>
      <c r="L52" s="1680"/>
      <c r="M52" s="1680"/>
      <c r="N52" s="1680"/>
      <c r="O52" s="1680"/>
      <c r="P52" s="1680"/>
      <c r="Q52" s="1680"/>
      <c r="R52" s="1680"/>
      <c r="S52" s="1680"/>
      <c r="T52" s="1680"/>
      <c r="U52" s="1680"/>
      <c r="V52" s="1680"/>
      <c r="W52" s="1680"/>
      <c r="X52" s="1680"/>
      <c r="Y52" s="1680"/>
      <c r="Z52" s="1680"/>
      <c r="AA52" s="1680"/>
      <c r="AB52" s="1680"/>
      <c r="AC52" s="1680"/>
      <c r="AD52" s="1680"/>
      <c r="AE52" s="1680"/>
      <c r="AF52" s="1680"/>
      <c r="AG52" s="1680"/>
      <c r="AH52" s="1482"/>
      <c r="AI52" s="919">
        <f t="shared" si="3"/>
        <v>0</v>
      </c>
      <c r="AJ52" s="1681">
        <v>43.78514993180552</v>
      </c>
      <c r="AK52" s="1117">
        <f t="shared" si="4"/>
        <v>0</v>
      </c>
      <c r="AL52" s="1682" t="s">
        <v>889</v>
      </c>
      <c r="AM52" s="918"/>
      <c r="AN52" s="892"/>
      <c r="AO52" s="892"/>
    </row>
    <row r="53" spans="1:41" ht="54" customHeight="1">
      <c r="A53" s="1704">
        <v>39</v>
      </c>
      <c r="B53" s="1704">
        <v>39</v>
      </c>
      <c r="C53" s="918" t="str">
        <f>'Chấm công KT'!C49</f>
        <v>N. Đeng</v>
      </c>
      <c r="D53" s="1680"/>
      <c r="E53" s="1680"/>
      <c r="F53" s="1680"/>
      <c r="G53" s="1680"/>
      <c r="H53" s="1680"/>
      <c r="I53" s="1680"/>
      <c r="J53" s="1680"/>
      <c r="K53" s="1680"/>
      <c r="L53" s="1680"/>
      <c r="M53" s="1680"/>
      <c r="N53" s="1680"/>
      <c r="O53" s="1680"/>
      <c r="P53" s="1680"/>
      <c r="Q53" s="1680"/>
      <c r="R53" s="1680"/>
      <c r="S53" s="1680"/>
      <c r="T53" s="1680"/>
      <c r="U53" s="1680"/>
      <c r="V53" s="1680"/>
      <c r="W53" s="1680"/>
      <c r="X53" s="1680"/>
      <c r="Y53" s="1680"/>
      <c r="Z53" s="1680"/>
      <c r="AA53" s="1680"/>
      <c r="AB53" s="1680"/>
      <c r="AC53" s="1680"/>
      <c r="AD53" s="1680"/>
      <c r="AE53" s="1680"/>
      <c r="AF53" s="1680"/>
      <c r="AG53" s="1680"/>
      <c r="AH53" s="1482"/>
      <c r="AI53" s="919">
        <f t="shared" si="3"/>
        <v>0</v>
      </c>
      <c r="AJ53" s="1681">
        <v>43.78514993180552</v>
      </c>
      <c r="AK53" s="1117">
        <f t="shared" si="4"/>
        <v>0</v>
      </c>
      <c r="AL53" s="1682" t="s">
        <v>54</v>
      </c>
      <c r="AM53" s="918"/>
      <c r="AN53" s="892"/>
      <c r="AO53" s="892"/>
    </row>
    <row r="54" spans="1:41" ht="54" customHeight="1">
      <c r="A54" s="1704">
        <v>40</v>
      </c>
      <c r="B54" s="1704">
        <v>40</v>
      </c>
      <c r="C54" s="918" t="str">
        <f>'Chấm công KT'!C50</f>
        <v>T. Tinh</v>
      </c>
      <c r="D54" s="1680"/>
      <c r="E54" s="1680"/>
      <c r="F54" s="1680"/>
      <c r="G54" s="1680"/>
      <c r="H54" s="1680"/>
      <c r="I54" s="1680"/>
      <c r="J54" s="1680"/>
      <c r="K54" s="1680"/>
      <c r="L54" s="1680"/>
      <c r="M54" s="1680"/>
      <c r="N54" s="1680"/>
      <c r="O54" s="1680"/>
      <c r="P54" s="1680"/>
      <c r="Q54" s="1680"/>
      <c r="R54" s="1680"/>
      <c r="S54" s="1680"/>
      <c r="T54" s="1680"/>
      <c r="U54" s="1680"/>
      <c r="V54" s="1680"/>
      <c r="W54" s="1680"/>
      <c r="X54" s="1680"/>
      <c r="Y54" s="1680"/>
      <c r="Z54" s="1680"/>
      <c r="AA54" s="1680"/>
      <c r="AB54" s="1680"/>
      <c r="AC54" s="1680"/>
      <c r="AD54" s="1680"/>
      <c r="AE54" s="1680"/>
      <c r="AF54" s="1680"/>
      <c r="AG54" s="1680"/>
      <c r="AH54" s="1482"/>
      <c r="AI54" s="919">
        <f t="shared" si="3"/>
        <v>0</v>
      </c>
      <c r="AJ54" s="1681">
        <v>43.78514993180552</v>
      </c>
      <c r="AK54" s="1117">
        <f t="shared" si="4"/>
        <v>0</v>
      </c>
      <c r="AL54" s="1682" t="s">
        <v>79</v>
      </c>
      <c r="AM54" s="918"/>
      <c r="AN54" s="892"/>
      <c r="AO54" s="892"/>
    </row>
    <row r="55" spans="1:41" ht="54" customHeight="1">
      <c r="A55" s="1704">
        <v>41</v>
      </c>
      <c r="B55" s="1704">
        <v>41</v>
      </c>
      <c r="C55" s="918" t="str">
        <f>'Chấm công KT'!C51</f>
        <v>T. Khăm Pỏi</v>
      </c>
      <c r="D55" s="1680"/>
      <c r="E55" s="1680"/>
      <c r="F55" s="1680"/>
      <c r="G55" s="1680"/>
      <c r="H55" s="1680"/>
      <c r="I55" s="1680"/>
      <c r="J55" s="1680"/>
      <c r="K55" s="1680"/>
      <c r="L55" s="1680"/>
      <c r="M55" s="1680"/>
      <c r="N55" s="1680"/>
      <c r="O55" s="1680"/>
      <c r="P55" s="1680"/>
      <c r="Q55" s="1680"/>
      <c r="R55" s="1680"/>
      <c r="S55" s="1680"/>
      <c r="T55" s="1680"/>
      <c r="U55" s="1680"/>
      <c r="V55" s="1680"/>
      <c r="W55" s="1680"/>
      <c r="X55" s="1680"/>
      <c r="Y55" s="1680"/>
      <c r="Z55" s="1680"/>
      <c r="AA55" s="1680"/>
      <c r="AB55" s="1680"/>
      <c r="AC55" s="1680"/>
      <c r="AD55" s="1680"/>
      <c r="AE55" s="1680"/>
      <c r="AF55" s="1680"/>
      <c r="AG55" s="1680"/>
      <c r="AH55" s="1482"/>
      <c r="AI55" s="919">
        <f t="shared" si="3"/>
        <v>0</v>
      </c>
      <c r="AJ55" s="1681">
        <v>43.78514993180552</v>
      </c>
      <c r="AK55" s="1117">
        <f t="shared" si="4"/>
        <v>0</v>
      </c>
      <c r="AL55" s="1682" t="s">
        <v>54</v>
      </c>
      <c r="AM55" s="918"/>
      <c r="AN55" s="892"/>
      <c r="AO55" s="892"/>
    </row>
    <row r="56" spans="1:41" ht="54" customHeight="1">
      <c r="A56" s="1704">
        <v>42</v>
      </c>
      <c r="B56" s="1704">
        <v>42</v>
      </c>
      <c r="C56" s="918" t="str">
        <f>'Chấm công KT'!C52</f>
        <v>Lăm Ngân</v>
      </c>
      <c r="D56" s="1680"/>
      <c r="E56" s="1680"/>
      <c r="F56" s="1680"/>
      <c r="G56" s="1680"/>
      <c r="H56" s="1680"/>
      <c r="I56" s="1680"/>
      <c r="J56" s="1680"/>
      <c r="K56" s="1680"/>
      <c r="L56" s="1680"/>
      <c r="M56" s="1680"/>
      <c r="N56" s="1680"/>
      <c r="O56" s="1680"/>
      <c r="P56" s="1680"/>
      <c r="Q56" s="1680"/>
      <c r="R56" s="1680"/>
      <c r="S56" s="1680"/>
      <c r="T56" s="1680"/>
      <c r="U56" s="1680"/>
      <c r="V56" s="1680"/>
      <c r="W56" s="1680"/>
      <c r="X56" s="1680"/>
      <c r="Y56" s="1680"/>
      <c r="Z56" s="1680"/>
      <c r="AA56" s="1680"/>
      <c r="AB56" s="1680"/>
      <c r="AC56" s="1680"/>
      <c r="AD56" s="1680"/>
      <c r="AE56" s="1680"/>
      <c r="AF56" s="1680"/>
      <c r="AG56" s="1680"/>
      <c r="AH56" s="1482"/>
      <c r="AI56" s="919">
        <f t="shared" si="3"/>
        <v>0</v>
      </c>
      <c r="AJ56" s="1681">
        <v>43.78514993180552</v>
      </c>
      <c r="AK56" s="1117">
        <f t="shared" si="4"/>
        <v>0</v>
      </c>
      <c r="AL56" s="1682" t="s">
        <v>54</v>
      </c>
      <c r="AM56" s="918"/>
      <c r="AN56" s="892"/>
      <c r="AO56" s="892"/>
    </row>
    <row r="57" spans="1:41" ht="54" customHeight="1">
      <c r="A57" s="1704">
        <v>43</v>
      </c>
      <c r="B57" s="1704">
        <v>43</v>
      </c>
      <c r="C57" s="918" t="str">
        <f>'Chấm công KT'!C53</f>
        <v>N. Ting</v>
      </c>
      <c r="D57" s="1680"/>
      <c r="E57" s="1680"/>
      <c r="F57" s="1680"/>
      <c r="G57" s="1680"/>
      <c r="H57" s="1680"/>
      <c r="I57" s="1680"/>
      <c r="J57" s="1680"/>
      <c r="K57" s="1680"/>
      <c r="L57" s="1680"/>
      <c r="M57" s="1680"/>
      <c r="N57" s="1680"/>
      <c r="O57" s="1680"/>
      <c r="P57" s="1680"/>
      <c r="Q57" s="1680"/>
      <c r="R57" s="1680"/>
      <c r="S57" s="1680"/>
      <c r="T57" s="1680"/>
      <c r="U57" s="1680"/>
      <c r="V57" s="1680"/>
      <c r="W57" s="1680"/>
      <c r="X57" s="1680"/>
      <c r="Y57" s="1680"/>
      <c r="Z57" s="1680"/>
      <c r="AA57" s="1680"/>
      <c r="AB57" s="1680"/>
      <c r="AC57" s="1680"/>
      <c r="AD57" s="1680"/>
      <c r="AE57" s="1680"/>
      <c r="AF57" s="1680"/>
      <c r="AG57" s="1680"/>
      <c r="AH57" s="1482"/>
      <c r="AI57" s="919">
        <f t="shared" si="3"/>
        <v>0</v>
      </c>
      <c r="AJ57" s="1681">
        <v>43.78514993180552</v>
      </c>
      <c r="AK57" s="1117">
        <f t="shared" si="4"/>
        <v>0</v>
      </c>
      <c r="AL57" s="1682" t="s">
        <v>54</v>
      </c>
      <c r="AM57" s="918"/>
      <c r="AN57" s="892"/>
      <c r="AO57" s="892"/>
    </row>
    <row r="58" spans="1:41" ht="54" customHeight="1">
      <c r="A58" s="1704">
        <v>44</v>
      </c>
      <c r="B58" s="1704">
        <v>44</v>
      </c>
      <c r="C58" s="918" t="str">
        <f>'Chấm công KT'!C54</f>
        <v>T. Lem</v>
      </c>
      <c r="D58" s="1680"/>
      <c r="E58" s="1680"/>
      <c r="F58" s="1680"/>
      <c r="G58" s="1680"/>
      <c r="H58" s="1680"/>
      <c r="I58" s="1680"/>
      <c r="J58" s="1680"/>
      <c r="K58" s="1680"/>
      <c r="L58" s="1680"/>
      <c r="M58" s="1680"/>
      <c r="N58" s="1680"/>
      <c r="O58" s="1680"/>
      <c r="P58" s="1680"/>
      <c r="Q58" s="1680"/>
      <c r="R58" s="1680"/>
      <c r="S58" s="1680"/>
      <c r="T58" s="1680"/>
      <c r="U58" s="1680"/>
      <c r="V58" s="1680"/>
      <c r="W58" s="1680"/>
      <c r="X58" s="1680"/>
      <c r="Y58" s="1680"/>
      <c r="Z58" s="1680"/>
      <c r="AA58" s="1680"/>
      <c r="AB58" s="1680"/>
      <c r="AC58" s="1680"/>
      <c r="AD58" s="1680"/>
      <c r="AE58" s="1680"/>
      <c r="AF58" s="1680"/>
      <c r="AG58" s="1680"/>
      <c r="AH58" s="1482"/>
      <c r="AI58" s="919">
        <f t="shared" si="3"/>
        <v>0</v>
      </c>
      <c r="AJ58" s="1681">
        <v>43.78514993180552</v>
      </c>
      <c r="AK58" s="1117">
        <f t="shared" si="4"/>
        <v>0</v>
      </c>
      <c r="AL58" s="1682" t="s">
        <v>79</v>
      </c>
      <c r="AM58" s="918"/>
      <c r="AN58" s="892"/>
      <c r="AO58" s="892"/>
    </row>
    <row r="59" spans="1:41" ht="54" customHeight="1">
      <c r="A59" s="1704">
        <v>45</v>
      </c>
      <c r="B59" s="1704">
        <v>45</v>
      </c>
      <c r="C59" s="918" t="str">
        <f>'Chấm công KT'!C55</f>
        <v>T. Pông</v>
      </c>
      <c r="D59" s="1680"/>
      <c r="E59" s="1680"/>
      <c r="F59" s="1680"/>
      <c r="G59" s="1680"/>
      <c r="H59" s="1680"/>
      <c r="I59" s="1680"/>
      <c r="J59" s="1680"/>
      <c r="K59" s="1680"/>
      <c r="L59" s="1680"/>
      <c r="M59" s="1680"/>
      <c r="N59" s="1680"/>
      <c r="O59" s="1680"/>
      <c r="P59" s="1680"/>
      <c r="Q59" s="1680"/>
      <c r="R59" s="1680"/>
      <c r="S59" s="1680"/>
      <c r="T59" s="1680"/>
      <c r="U59" s="1680"/>
      <c r="V59" s="1680"/>
      <c r="W59" s="1680"/>
      <c r="X59" s="1680"/>
      <c r="Y59" s="1680"/>
      <c r="Z59" s="1680"/>
      <c r="AA59" s="1680"/>
      <c r="AB59" s="1680"/>
      <c r="AC59" s="1680"/>
      <c r="AD59" s="1680"/>
      <c r="AE59" s="1680"/>
      <c r="AF59" s="1680"/>
      <c r="AG59" s="1680"/>
      <c r="AH59" s="1482"/>
      <c r="AI59" s="919">
        <f t="shared" si="3"/>
        <v>0</v>
      </c>
      <c r="AJ59" s="1681">
        <v>43.78514993180552</v>
      </c>
      <c r="AK59" s="1117">
        <f t="shared" si="4"/>
        <v>0</v>
      </c>
      <c r="AL59" s="1682" t="s">
        <v>54</v>
      </c>
      <c r="AM59" s="918"/>
      <c r="AN59" s="892"/>
      <c r="AO59" s="892"/>
    </row>
    <row r="60" spans="1:41" ht="54" customHeight="1">
      <c r="A60" s="1704">
        <v>46</v>
      </c>
      <c r="B60" s="1704">
        <v>46</v>
      </c>
      <c r="C60" s="918" t="str">
        <f>'Chấm công KT'!C56</f>
        <v>T. Chít</v>
      </c>
      <c r="D60" s="1680"/>
      <c r="E60" s="1680"/>
      <c r="F60" s="1680"/>
      <c r="G60" s="1680"/>
      <c r="H60" s="1680"/>
      <c r="I60" s="1680"/>
      <c r="J60" s="1680"/>
      <c r="K60" s="1680"/>
      <c r="L60" s="1680"/>
      <c r="M60" s="1680"/>
      <c r="N60" s="1680"/>
      <c r="O60" s="1680"/>
      <c r="P60" s="1680"/>
      <c r="Q60" s="1680"/>
      <c r="R60" s="1680"/>
      <c r="S60" s="1680"/>
      <c r="T60" s="1680"/>
      <c r="U60" s="1680"/>
      <c r="V60" s="1680"/>
      <c r="W60" s="1680"/>
      <c r="X60" s="1680"/>
      <c r="Y60" s="1680"/>
      <c r="Z60" s="1680"/>
      <c r="AA60" s="1680"/>
      <c r="AB60" s="1680"/>
      <c r="AC60" s="1680"/>
      <c r="AD60" s="1680"/>
      <c r="AE60" s="1680"/>
      <c r="AF60" s="1680"/>
      <c r="AG60" s="1680"/>
      <c r="AH60" s="1482"/>
      <c r="AI60" s="919">
        <f t="shared" si="3"/>
        <v>0</v>
      </c>
      <c r="AJ60" s="1681">
        <v>43.78514993180552</v>
      </c>
      <c r="AK60" s="1117">
        <f t="shared" si="4"/>
        <v>0</v>
      </c>
      <c r="AL60" s="1682" t="s">
        <v>79</v>
      </c>
      <c r="AM60" s="918"/>
      <c r="AN60" s="892"/>
      <c r="AO60" s="892"/>
    </row>
    <row r="61" spans="1:41" ht="54" customHeight="1">
      <c r="A61" s="1704">
        <v>47</v>
      </c>
      <c r="B61" s="1704">
        <v>47</v>
      </c>
      <c r="C61" s="918" t="str">
        <f>'Chấm công KT'!C57</f>
        <v>N. La</v>
      </c>
      <c r="D61" s="1680"/>
      <c r="E61" s="1680"/>
      <c r="F61" s="1680"/>
      <c r="G61" s="1680"/>
      <c r="H61" s="1680"/>
      <c r="I61" s="1680"/>
      <c r="J61" s="1680"/>
      <c r="K61" s="1680"/>
      <c r="L61" s="1680"/>
      <c r="M61" s="1680"/>
      <c r="N61" s="1680"/>
      <c r="O61" s="1680"/>
      <c r="P61" s="1680"/>
      <c r="Q61" s="1680"/>
      <c r="R61" s="1680"/>
      <c r="S61" s="1680"/>
      <c r="T61" s="1680"/>
      <c r="U61" s="1680"/>
      <c r="V61" s="1680"/>
      <c r="W61" s="1680"/>
      <c r="X61" s="1680"/>
      <c r="Y61" s="1680"/>
      <c r="Z61" s="1680"/>
      <c r="AA61" s="1680"/>
      <c r="AB61" s="1680"/>
      <c r="AC61" s="1680"/>
      <c r="AD61" s="1680"/>
      <c r="AE61" s="1680"/>
      <c r="AF61" s="1680"/>
      <c r="AG61" s="1680"/>
      <c r="AH61" s="1482"/>
      <c r="AI61" s="919">
        <f t="shared" si="3"/>
        <v>0</v>
      </c>
      <c r="AJ61" s="1681">
        <v>43.78514993180552</v>
      </c>
      <c r="AK61" s="1117">
        <f t="shared" si="4"/>
        <v>0</v>
      </c>
      <c r="AL61" s="1682" t="s">
        <v>79</v>
      </c>
      <c r="AM61" s="918"/>
      <c r="AN61" s="892"/>
      <c r="AO61" s="892"/>
    </row>
    <row r="62" spans="1:41" ht="54" customHeight="1">
      <c r="A62" s="1704">
        <v>48</v>
      </c>
      <c r="B62" s="1704">
        <v>48</v>
      </c>
      <c r="C62" s="918" t="str">
        <f>'Chấm công KT'!C58</f>
        <v>T. Đi</v>
      </c>
      <c r="D62" s="1680"/>
      <c r="E62" s="1680"/>
      <c r="F62" s="1680"/>
      <c r="G62" s="1680"/>
      <c r="H62" s="1680"/>
      <c r="I62" s="1680"/>
      <c r="J62" s="1680"/>
      <c r="K62" s="1680"/>
      <c r="L62" s="1680"/>
      <c r="M62" s="1680"/>
      <c r="N62" s="1680"/>
      <c r="O62" s="1680"/>
      <c r="P62" s="1680"/>
      <c r="Q62" s="1680"/>
      <c r="R62" s="1680"/>
      <c r="S62" s="1680"/>
      <c r="T62" s="1680"/>
      <c r="U62" s="1680"/>
      <c r="V62" s="1680"/>
      <c r="W62" s="1680"/>
      <c r="X62" s="1680"/>
      <c r="Y62" s="1680"/>
      <c r="Z62" s="1680"/>
      <c r="AA62" s="1680"/>
      <c r="AB62" s="1680"/>
      <c r="AC62" s="1680"/>
      <c r="AD62" s="1680"/>
      <c r="AE62" s="1680"/>
      <c r="AF62" s="1680"/>
      <c r="AG62" s="1680"/>
      <c r="AH62" s="1482"/>
      <c r="AI62" s="919">
        <f t="shared" si="3"/>
        <v>0</v>
      </c>
      <c r="AJ62" s="1681">
        <v>43.78514993180552</v>
      </c>
      <c r="AK62" s="1117">
        <f t="shared" si="4"/>
        <v>0</v>
      </c>
      <c r="AL62" s="1682" t="s">
        <v>79</v>
      </c>
      <c r="AM62" s="918"/>
      <c r="AN62" s="892"/>
      <c r="AO62" s="892"/>
    </row>
    <row r="63" spans="1:41" ht="54" customHeight="1">
      <c r="A63" s="1704">
        <v>49</v>
      </c>
      <c r="B63" s="1704">
        <v>49</v>
      </c>
      <c r="C63" s="918" t="str">
        <f>'Chấm công KT'!C59</f>
        <v>N. On Xi</v>
      </c>
      <c r="D63" s="1680"/>
      <c r="E63" s="1680"/>
      <c r="F63" s="1680"/>
      <c r="G63" s="1680"/>
      <c r="H63" s="1680"/>
      <c r="I63" s="1680"/>
      <c r="J63" s="1680"/>
      <c r="K63" s="1680"/>
      <c r="L63" s="1680"/>
      <c r="M63" s="1680"/>
      <c r="N63" s="1680"/>
      <c r="O63" s="1680"/>
      <c r="P63" s="1680"/>
      <c r="Q63" s="1680"/>
      <c r="R63" s="1680"/>
      <c r="S63" s="1680"/>
      <c r="T63" s="1680"/>
      <c r="U63" s="1680"/>
      <c r="V63" s="1680"/>
      <c r="W63" s="1680"/>
      <c r="X63" s="1680"/>
      <c r="Y63" s="1680"/>
      <c r="Z63" s="1680"/>
      <c r="AA63" s="1680"/>
      <c r="AB63" s="1680"/>
      <c r="AC63" s="1680"/>
      <c r="AD63" s="1680"/>
      <c r="AE63" s="1680"/>
      <c r="AF63" s="1680"/>
      <c r="AG63" s="1680"/>
      <c r="AH63" s="1482"/>
      <c r="AI63" s="919">
        <f t="shared" si="3"/>
        <v>0</v>
      </c>
      <c r="AJ63" s="1681">
        <v>43.78514993180552</v>
      </c>
      <c r="AK63" s="1117">
        <f t="shared" si="4"/>
        <v>0</v>
      </c>
      <c r="AL63" s="1682" t="s">
        <v>54</v>
      </c>
      <c r="AM63" s="918"/>
      <c r="AN63" s="892"/>
      <c r="AO63" s="892"/>
    </row>
    <row r="64" spans="1:41" ht="54" customHeight="1">
      <c r="A64" s="1704">
        <v>50</v>
      </c>
      <c r="B64" s="1704">
        <v>50</v>
      </c>
      <c r="C64" s="918" t="str">
        <f>'Chấm công KT'!C60</f>
        <v>T. Lốp</v>
      </c>
      <c r="D64" s="1680"/>
      <c r="E64" s="1680"/>
      <c r="F64" s="1680"/>
      <c r="G64" s="1680"/>
      <c r="H64" s="1680"/>
      <c r="I64" s="1680"/>
      <c r="J64" s="1680"/>
      <c r="K64" s="1680"/>
      <c r="L64" s="1680"/>
      <c r="M64" s="1680"/>
      <c r="N64" s="1680"/>
      <c r="O64" s="1680"/>
      <c r="P64" s="1680"/>
      <c r="Q64" s="1680"/>
      <c r="R64" s="1680"/>
      <c r="S64" s="1680"/>
      <c r="T64" s="1680"/>
      <c r="U64" s="1680"/>
      <c r="V64" s="1680"/>
      <c r="W64" s="1680"/>
      <c r="X64" s="1680"/>
      <c r="Y64" s="1680"/>
      <c r="Z64" s="1680"/>
      <c r="AA64" s="1680"/>
      <c r="AB64" s="1680"/>
      <c r="AC64" s="1680"/>
      <c r="AD64" s="1680"/>
      <c r="AE64" s="1680"/>
      <c r="AF64" s="1680"/>
      <c r="AG64" s="1680"/>
      <c r="AH64" s="1482"/>
      <c r="AI64" s="919">
        <f t="shared" si="3"/>
        <v>0</v>
      </c>
      <c r="AJ64" s="1681">
        <v>43.78514993180552</v>
      </c>
      <c r="AK64" s="1117">
        <f t="shared" si="4"/>
        <v>0</v>
      </c>
      <c r="AL64" s="1682" t="s">
        <v>54</v>
      </c>
      <c r="AM64" s="918"/>
      <c r="AN64" s="892"/>
      <c r="AO64" s="892"/>
    </row>
    <row r="65" spans="1:41" ht="54" customHeight="1">
      <c r="A65" s="1704">
        <v>51</v>
      </c>
      <c r="B65" s="1704">
        <v>51</v>
      </c>
      <c r="C65" s="918" t="str">
        <f>'Chấm công KT'!C61</f>
        <v>T. Son Xay</v>
      </c>
      <c r="D65" s="1680"/>
      <c r="E65" s="1680"/>
      <c r="F65" s="1680"/>
      <c r="G65" s="1680"/>
      <c r="H65" s="1680"/>
      <c r="I65" s="1680"/>
      <c r="J65" s="1680"/>
      <c r="K65" s="1680"/>
      <c r="L65" s="1680"/>
      <c r="M65" s="1680"/>
      <c r="N65" s="1680"/>
      <c r="O65" s="1680"/>
      <c r="P65" s="1680"/>
      <c r="Q65" s="1680"/>
      <c r="R65" s="1680"/>
      <c r="S65" s="1680"/>
      <c r="T65" s="1680"/>
      <c r="U65" s="1680"/>
      <c r="V65" s="1680"/>
      <c r="W65" s="1680"/>
      <c r="X65" s="1680"/>
      <c r="Y65" s="1680"/>
      <c r="Z65" s="1680"/>
      <c r="AA65" s="1680"/>
      <c r="AB65" s="1680"/>
      <c r="AC65" s="1680"/>
      <c r="AD65" s="1680"/>
      <c r="AE65" s="1680"/>
      <c r="AF65" s="1680"/>
      <c r="AG65" s="1680"/>
      <c r="AH65" s="1482"/>
      <c r="AI65" s="919">
        <f t="shared" si="3"/>
        <v>0</v>
      </c>
      <c r="AJ65" s="1681">
        <v>43.78514993180552</v>
      </c>
      <c r="AK65" s="1117">
        <f t="shared" si="4"/>
        <v>0</v>
      </c>
      <c r="AL65" s="1682" t="s">
        <v>54</v>
      </c>
      <c r="AM65" s="918"/>
      <c r="AN65" s="892"/>
      <c r="AO65" s="892"/>
    </row>
    <row r="66" spans="1:41" ht="54" customHeight="1">
      <c r="A66" s="1704">
        <v>52</v>
      </c>
      <c r="B66" s="1704">
        <v>52</v>
      </c>
      <c r="C66" s="918" t="str">
        <f>'Chấm công KT'!C62</f>
        <v>N. Lăm Phay</v>
      </c>
      <c r="D66" s="1680"/>
      <c r="E66" s="1680"/>
      <c r="F66" s="1680"/>
      <c r="G66" s="1680"/>
      <c r="H66" s="1680"/>
      <c r="I66" s="1680"/>
      <c r="J66" s="1680"/>
      <c r="K66" s="1680"/>
      <c r="L66" s="1680"/>
      <c r="M66" s="1680"/>
      <c r="N66" s="1680"/>
      <c r="O66" s="1680"/>
      <c r="P66" s="1680"/>
      <c r="Q66" s="1680"/>
      <c r="R66" s="1680"/>
      <c r="S66" s="1680"/>
      <c r="T66" s="1680"/>
      <c r="U66" s="1680"/>
      <c r="V66" s="1680"/>
      <c r="W66" s="1680"/>
      <c r="X66" s="1680"/>
      <c r="Y66" s="1680"/>
      <c r="Z66" s="1680"/>
      <c r="AA66" s="1680"/>
      <c r="AB66" s="1680"/>
      <c r="AC66" s="1680"/>
      <c r="AD66" s="1680"/>
      <c r="AE66" s="1680"/>
      <c r="AF66" s="1680"/>
      <c r="AG66" s="1680"/>
      <c r="AH66" s="1482"/>
      <c r="AI66" s="919">
        <f t="shared" si="3"/>
        <v>0</v>
      </c>
      <c r="AJ66" s="1681">
        <v>43.78514993180552</v>
      </c>
      <c r="AK66" s="1117">
        <f t="shared" si="4"/>
        <v>0</v>
      </c>
      <c r="AL66" s="1682" t="s">
        <v>79</v>
      </c>
      <c r="AM66" s="918"/>
      <c r="AN66" s="892"/>
      <c r="AO66" s="892"/>
    </row>
    <row r="67" spans="1:41" ht="54" customHeight="1">
      <c r="A67" s="1704">
        <v>53</v>
      </c>
      <c r="B67" s="1704">
        <v>53</v>
      </c>
      <c r="C67" s="918" t="str">
        <f>'Chấm công KT'!C63</f>
        <v>T. Nhung</v>
      </c>
      <c r="D67" s="1680"/>
      <c r="E67" s="1680"/>
      <c r="F67" s="1680"/>
      <c r="G67" s="1680"/>
      <c r="H67" s="1680"/>
      <c r="I67" s="1680"/>
      <c r="J67" s="1680"/>
      <c r="K67" s="1680"/>
      <c r="L67" s="1680"/>
      <c r="M67" s="1680"/>
      <c r="N67" s="1680"/>
      <c r="O67" s="1680"/>
      <c r="P67" s="1680"/>
      <c r="Q67" s="1680"/>
      <c r="R67" s="1680"/>
      <c r="S67" s="1680"/>
      <c r="T67" s="1680"/>
      <c r="U67" s="1680"/>
      <c r="V67" s="1680"/>
      <c r="W67" s="1680"/>
      <c r="X67" s="1680"/>
      <c r="Y67" s="1680"/>
      <c r="Z67" s="1680"/>
      <c r="AA67" s="1680"/>
      <c r="AB67" s="1680"/>
      <c r="AC67" s="1680"/>
      <c r="AD67" s="1680"/>
      <c r="AE67" s="1680"/>
      <c r="AF67" s="1680"/>
      <c r="AG67" s="1680"/>
      <c r="AH67" s="1482"/>
      <c r="AI67" s="919">
        <f t="shared" si="3"/>
        <v>0</v>
      </c>
      <c r="AJ67" s="1681">
        <v>43.78514993180552</v>
      </c>
      <c r="AK67" s="1117">
        <f t="shared" si="4"/>
        <v>0</v>
      </c>
      <c r="AL67" s="1682" t="s">
        <v>54</v>
      </c>
      <c r="AM67" s="918"/>
      <c r="AN67" s="892"/>
      <c r="AO67" s="892"/>
    </row>
    <row r="68" spans="1:41" ht="54" customHeight="1">
      <c r="A68" s="1704">
        <v>54</v>
      </c>
      <c r="B68" s="1704">
        <v>54</v>
      </c>
      <c r="C68" s="918" t="str">
        <f>'Chấm công KT'!C64</f>
        <v>N. In Ton</v>
      </c>
      <c r="D68" s="1680"/>
      <c r="E68" s="1680"/>
      <c r="F68" s="1680"/>
      <c r="G68" s="1680"/>
      <c r="H68" s="1680"/>
      <c r="I68" s="1680"/>
      <c r="J68" s="1680"/>
      <c r="K68" s="1680"/>
      <c r="L68" s="1680"/>
      <c r="M68" s="1680"/>
      <c r="N68" s="1680"/>
      <c r="O68" s="1680"/>
      <c r="P68" s="1680"/>
      <c r="Q68" s="1680"/>
      <c r="R68" s="1680"/>
      <c r="S68" s="1680"/>
      <c r="T68" s="1680"/>
      <c r="U68" s="1680"/>
      <c r="V68" s="1680"/>
      <c r="W68" s="1680"/>
      <c r="X68" s="1680"/>
      <c r="Y68" s="1680"/>
      <c r="Z68" s="1680"/>
      <c r="AA68" s="1680"/>
      <c r="AB68" s="1680"/>
      <c r="AC68" s="1680"/>
      <c r="AD68" s="1680"/>
      <c r="AE68" s="1680"/>
      <c r="AF68" s="1680"/>
      <c r="AG68" s="1680"/>
      <c r="AH68" s="1482"/>
      <c r="AI68" s="919">
        <f t="shared" si="3"/>
        <v>0</v>
      </c>
      <c r="AJ68" s="1681">
        <v>43.78514993180552</v>
      </c>
      <c r="AK68" s="1117">
        <f t="shared" si="4"/>
        <v>0</v>
      </c>
      <c r="AL68" s="1682" t="s">
        <v>54</v>
      </c>
      <c r="AM68" s="918"/>
      <c r="AN68" s="892"/>
      <c r="AO68" s="892"/>
    </row>
    <row r="69" spans="1:41" ht="54" customHeight="1">
      <c r="A69" s="1704">
        <v>55</v>
      </c>
      <c r="B69" s="1704">
        <v>55</v>
      </c>
      <c r="C69" s="918" t="str">
        <f>'Chấm công KT'!C65</f>
        <v>N. Khay Chăn</v>
      </c>
      <c r="D69" s="1680"/>
      <c r="E69" s="1680"/>
      <c r="F69" s="1680"/>
      <c r="G69" s="1680"/>
      <c r="H69" s="1680"/>
      <c r="I69" s="1680"/>
      <c r="J69" s="1680"/>
      <c r="K69" s="1680"/>
      <c r="L69" s="1680"/>
      <c r="M69" s="1680"/>
      <c r="N69" s="1680"/>
      <c r="O69" s="1680"/>
      <c r="P69" s="1680"/>
      <c r="Q69" s="1680"/>
      <c r="R69" s="1680"/>
      <c r="S69" s="1680"/>
      <c r="T69" s="1680"/>
      <c r="U69" s="1680"/>
      <c r="V69" s="1680"/>
      <c r="W69" s="1680"/>
      <c r="X69" s="1680"/>
      <c r="Y69" s="1680"/>
      <c r="Z69" s="1680"/>
      <c r="AA69" s="1680"/>
      <c r="AB69" s="1680"/>
      <c r="AC69" s="1680"/>
      <c r="AD69" s="1680"/>
      <c r="AE69" s="1680"/>
      <c r="AF69" s="1680"/>
      <c r="AG69" s="1680"/>
      <c r="AH69" s="1482"/>
      <c r="AI69" s="919">
        <f t="shared" si="3"/>
        <v>0</v>
      </c>
      <c r="AJ69" s="1681">
        <v>43.78514993180552</v>
      </c>
      <c r="AK69" s="1117">
        <f t="shared" si="4"/>
        <v>0</v>
      </c>
      <c r="AL69" s="1682" t="s">
        <v>54</v>
      </c>
      <c r="AM69" s="918"/>
      <c r="AN69" s="892"/>
      <c r="AO69" s="892"/>
    </row>
    <row r="70" spans="1:41" ht="54" customHeight="1">
      <c r="A70" s="1704">
        <v>56</v>
      </c>
      <c r="B70" s="1704">
        <v>56</v>
      </c>
      <c r="C70" s="918" t="str">
        <f>'Chấm công KT'!C66</f>
        <v>T Dăn</v>
      </c>
      <c r="D70" s="1680"/>
      <c r="E70" s="1680"/>
      <c r="F70" s="1680"/>
      <c r="G70" s="1680"/>
      <c r="H70" s="1680"/>
      <c r="I70" s="1680"/>
      <c r="J70" s="1680"/>
      <c r="K70" s="1680"/>
      <c r="L70" s="1680"/>
      <c r="M70" s="1680"/>
      <c r="N70" s="1680"/>
      <c r="O70" s="1680"/>
      <c r="P70" s="1680"/>
      <c r="Q70" s="1680"/>
      <c r="R70" s="1680"/>
      <c r="S70" s="1680"/>
      <c r="T70" s="1680"/>
      <c r="U70" s="1680"/>
      <c r="V70" s="1680"/>
      <c r="W70" s="1680"/>
      <c r="X70" s="1680"/>
      <c r="Y70" s="1680"/>
      <c r="Z70" s="1680"/>
      <c r="AA70" s="1680"/>
      <c r="AB70" s="1680"/>
      <c r="AC70" s="1680"/>
      <c r="AD70" s="1680"/>
      <c r="AE70" s="1680"/>
      <c r="AF70" s="1680"/>
      <c r="AG70" s="1680"/>
      <c r="AH70" s="1482"/>
      <c r="AI70" s="919">
        <f t="shared" si="3"/>
        <v>0</v>
      </c>
      <c r="AJ70" s="1681">
        <v>43.78514993180552</v>
      </c>
      <c r="AK70" s="1117">
        <f t="shared" si="4"/>
        <v>0</v>
      </c>
      <c r="AL70" s="1682" t="s">
        <v>54</v>
      </c>
      <c r="AM70" s="918"/>
      <c r="AN70" s="892"/>
      <c r="AO70" s="892"/>
    </row>
    <row r="71" spans="1:41" ht="54" customHeight="1">
      <c r="A71" s="1704">
        <v>57</v>
      </c>
      <c r="B71" s="1704">
        <v>57</v>
      </c>
      <c r="C71" s="918" t="str">
        <f>'Chấm công KT'!C67</f>
        <v>T. Xợt</v>
      </c>
      <c r="D71" s="1680"/>
      <c r="E71" s="1680"/>
      <c r="F71" s="1680"/>
      <c r="G71" s="1680"/>
      <c r="H71" s="1680"/>
      <c r="I71" s="1680"/>
      <c r="J71" s="1680"/>
      <c r="K71" s="1680"/>
      <c r="L71" s="1680"/>
      <c r="M71" s="1680"/>
      <c r="N71" s="1680"/>
      <c r="O71" s="1680"/>
      <c r="P71" s="1680"/>
      <c r="Q71" s="1680"/>
      <c r="R71" s="1680"/>
      <c r="S71" s="1680"/>
      <c r="T71" s="1680"/>
      <c r="U71" s="1680"/>
      <c r="V71" s="1680"/>
      <c r="W71" s="1680"/>
      <c r="X71" s="1680"/>
      <c r="Y71" s="1680"/>
      <c r="Z71" s="1680"/>
      <c r="AA71" s="1680"/>
      <c r="AB71" s="1680"/>
      <c r="AC71" s="1680"/>
      <c r="AD71" s="1680"/>
      <c r="AE71" s="1680"/>
      <c r="AF71" s="1680"/>
      <c r="AG71" s="1680"/>
      <c r="AH71" s="1482"/>
      <c r="AI71" s="919">
        <f t="shared" si="3"/>
        <v>0</v>
      </c>
      <c r="AJ71" s="1681">
        <v>43.78514993180552</v>
      </c>
      <c r="AK71" s="1117">
        <f t="shared" si="4"/>
        <v>0</v>
      </c>
      <c r="AL71" s="1682" t="s">
        <v>54</v>
      </c>
      <c r="AM71" s="918"/>
      <c r="AN71" s="892"/>
      <c r="AO71" s="892"/>
    </row>
    <row r="72" spans="1:41" ht="54" customHeight="1">
      <c r="A72" s="1704">
        <v>58</v>
      </c>
      <c r="B72" s="1704">
        <v>58</v>
      </c>
      <c r="C72" s="918" t="str">
        <f>'Chấm công KT'!C68</f>
        <v>N. Phết 2</v>
      </c>
      <c r="D72" s="1680"/>
      <c r="E72" s="1680"/>
      <c r="F72" s="1680"/>
      <c r="G72" s="1680"/>
      <c r="H72" s="1680"/>
      <c r="I72" s="1680"/>
      <c r="J72" s="1680"/>
      <c r="K72" s="1680"/>
      <c r="L72" s="1680"/>
      <c r="M72" s="1680"/>
      <c r="N72" s="1680"/>
      <c r="O72" s="1680"/>
      <c r="P72" s="1680"/>
      <c r="Q72" s="1680"/>
      <c r="R72" s="1680"/>
      <c r="S72" s="1680"/>
      <c r="T72" s="1680"/>
      <c r="U72" s="1680"/>
      <c r="V72" s="1680"/>
      <c r="W72" s="1680"/>
      <c r="X72" s="1680"/>
      <c r="Y72" s="1680"/>
      <c r="Z72" s="1680"/>
      <c r="AA72" s="1680"/>
      <c r="AB72" s="1680"/>
      <c r="AC72" s="1680"/>
      <c r="AD72" s="1680"/>
      <c r="AE72" s="1680"/>
      <c r="AF72" s="1680"/>
      <c r="AG72" s="1680"/>
      <c r="AH72" s="1482"/>
      <c r="AI72" s="919">
        <f t="shared" si="3"/>
        <v>0</v>
      </c>
      <c r="AJ72" s="1681">
        <v>43.78514993180552</v>
      </c>
      <c r="AK72" s="1117">
        <f t="shared" si="4"/>
        <v>0</v>
      </c>
      <c r="AL72" s="1682" t="s">
        <v>54</v>
      </c>
      <c r="AM72" s="918"/>
      <c r="AN72" s="892"/>
      <c r="AO72" s="892"/>
    </row>
    <row r="73" spans="1:41" ht="54" customHeight="1">
      <c r="A73" s="1704">
        <v>59</v>
      </c>
      <c r="B73" s="1704">
        <v>59</v>
      </c>
      <c r="C73" s="918" t="str">
        <f>'Chấm công KT'!C69</f>
        <v>T. Cạp</v>
      </c>
      <c r="D73" s="1680"/>
      <c r="E73" s="1680"/>
      <c r="F73" s="1680"/>
      <c r="G73" s="1680"/>
      <c r="H73" s="1680"/>
      <c r="I73" s="1680"/>
      <c r="J73" s="1680"/>
      <c r="K73" s="1680"/>
      <c r="L73" s="1680"/>
      <c r="M73" s="1680"/>
      <c r="N73" s="1680"/>
      <c r="O73" s="1680"/>
      <c r="P73" s="1680"/>
      <c r="Q73" s="1680"/>
      <c r="R73" s="1680"/>
      <c r="S73" s="1680"/>
      <c r="T73" s="1680"/>
      <c r="U73" s="1680"/>
      <c r="V73" s="1680"/>
      <c r="W73" s="1680"/>
      <c r="X73" s="1680"/>
      <c r="Y73" s="1680"/>
      <c r="Z73" s="1680"/>
      <c r="AA73" s="1680"/>
      <c r="AB73" s="1680"/>
      <c r="AC73" s="1680"/>
      <c r="AD73" s="1680"/>
      <c r="AE73" s="1680"/>
      <c r="AF73" s="1680"/>
      <c r="AG73" s="1680"/>
      <c r="AH73" s="1482"/>
      <c r="AI73" s="919">
        <f t="shared" si="3"/>
        <v>0</v>
      </c>
      <c r="AJ73" s="1681">
        <v>43.78514993180552</v>
      </c>
      <c r="AK73" s="1117">
        <f t="shared" si="4"/>
        <v>0</v>
      </c>
      <c r="AL73" s="1682" t="s">
        <v>79</v>
      </c>
      <c r="AM73" s="918"/>
      <c r="AN73" s="892"/>
      <c r="AO73" s="892"/>
    </row>
    <row r="74" spans="1:41" ht="54" customHeight="1">
      <c r="A74" s="1704">
        <v>60</v>
      </c>
      <c r="B74" s="1704">
        <v>60</v>
      </c>
      <c r="C74" s="918" t="str">
        <f>'Chấm công KT'!C70</f>
        <v>N. Phết</v>
      </c>
      <c r="D74" s="1680"/>
      <c r="E74" s="1680"/>
      <c r="F74" s="1680"/>
      <c r="G74" s="1680"/>
      <c r="H74" s="1680"/>
      <c r="I74" s="1680"/>
      <c r="J74" s="1680"/>
      <c r="K74" s="1680"/>
      <c r="L74" s="1680"/>
      <c r="M74" s="1680"/>
      <c r="N74" s="1680"/>
      <c r="O74" s="1680"/>
      <c r="P74" s="1680"/>
      <c r="Q74" s="1680"/>
      <c r="R74" s="1680"/>
      <c r="S74" s="1680"/>
      <c r="T74" s="1680"/>
      <c r="U74" s="1680"/>
      <c r="V74" s="1680"/>
      <c r="W74" s="1680"/>
      <c r="X74" s="1680"/>
      <c r="Y74" s="1680"/>
      <c r="Z74" s="1680"/>
      <c r="AA74" s="1680"/>
      <c r="AB74" s="1680"/>
      <c r="AC74" s="1680"/>
      <c r="AD74" s="1680"/>
      <c r="AE74" s="1680"/>
      <c r="AF74" s="1680"/>
      <c r="AG74" s="1680"/>
      <c r="AH74" s="1482"/>
      <c r="AI74" s="919">
        <f t="shared" si="3"/>
        <v>0</v>
      </c>
      <c r="AJ74" s="1681">
        <v>43.78514993180552</v>
      </c>
      <c r="AK74" s="1117">
        <f t="shared" si="4"/>
        <v>0</v>
      </c>
      <c r="AL74" s="1682" t="s">
        <v>54</v>
      </c>
      <c r="AM74" s="918"/>
      <c r="AN74" s="892"/>
      <c r="AO74" s="892"/>
    </row>
    <row r="75" spans="1:41" ht="54" customHeight="1">
      <c r="A75" s="1704">
        <v>61</v>
      </c>
      <c r="B75" s="1704">
        <v>61</v>
      </c>
      <c r="C75" s="918" t="str">
        <f>'Chấm công KT'!C71</f>
        <v>N. Bua Hom</v>
      </c>
      <c r="D75" s="1680"/>
      <c r="E75" s="1680"/>
      <c r="F75" s="1680"/>
      <c r="G75" s="1680"/>
      <c r="H75" s="1680"/>
      <c r="I75" s="1680"/>
      <c r="J75" s="1680"/>
      <c r="K75" s="1680"/>
      <c r="L75" s="1680"/>
      <c r="M75" s="1680"/>
      <c r="N75" s="1680"/>
      <c r="O75" s="1680"/>
      <c r="P75" s="1680"/>
      <c r="Q75" s="1680"/>
      <c r="R75" s="1680"/>
      <c r="S75" s="1680"/>
      <c r="T75" s="1680"/>
      <c r="U75" s="1680"/>
      <c r="V75" s="1680"/>
      <c r="W75" s="1680"/>
      <c r="X75" s="1680"/>
      <c r="Y75" s="1680"/>
      <c r="Z75" s="1680"/>
      <c r="AA75" s="1680"/>
      <c r="AB75" s="1680"/>
      <c r="AC75" s="1680"/>
      <c r="AD75" s="1680"/>
      <c r="AE75" s="1680"/>
      <c r="AF75" s="1680"/>
      <c r="AG75" s="1680"/>
      <c r="AH75" s="1482"/>
      <c r="AI75" s="919">
        <f t="shared" si="3"/>
        <v>0</v>
      </c>
      <c r="AJ75" s="1681">
        <v>43.78514993180552</v>
      </c>
      <c r="AK75" s="1117">
        <f t="shared" si="4"/>
        <v>0</v>
      </c>
      <c r="AL75" s="1682" t="s">
        <v>54</v>
      </c>
      <c r="AM75" s="918"/>
      <c r="AN75" s="892"/>
      <c r="AO75" s="892"/>
    </row>
    <row r="76" spans="1:41" ht="54" customHeight="1">
      <c r="A76" s="1704">
        <v>62</v>
      </c>
      <c r="B76" s="1704">
        <v>62</v>
      </c>
      <c r="C76" s="918" t="str">
        <f>'Chấm công KT'!C72</f>
        <v>N. Không</v>
      </c>
      <c r="D76" s="1680"/>
      <c r="E76" s="1680"/>
      <c r="F76" s="1680"/>
      <c r="G76" s="1680"/>
      <c r="H76" s="1680"/>
      <c r="I76" s="1680"/>
      <c r="J76" s="1680"/>
      <c r="K76" s="1680"/>
      <c r="L76" s="1680"/>
      <c r="M76" s="1680"/>
      <c r="N76" s="1680"/>
      <c r="O76" s="1680"/>
      <c r="P76" s="1680"/>
      <c r="Q76" s="1680"/>
      <c r="R76" s="1680"/>
      <c r="S76" s="1680"/>
      <c r="T76" s="1680"/>
      <c r="U76" s="1680"/>
      <c r="V76" s="1680"/>
      <c r="W76" s="1680"/>
      <c r="X76" s="1680"/>
      <c r="Y76" s="1680"/>
      <c r="Z76" s="1680"/>
      <c r="AA76" s="1680"/>
      <c r="AB76" s="1680"/>
      <c r="AC76" s="1680"/>
      <c r="AD76" s="1680"/>
      <c r="AE76" s="1680"/>
      <c r="AF76" s="1680"/>
      <c r="AG76" s="1680"/>
      <c r="AH76" s="1482"/>
      <c r="AI76" s="919">
        <f t="shared" si="3"/>
        <v>0</v>
      </c>
      <c r="AJ76" s="1681">
        <v>43.78514993180552</v>
      </c>
      <c r="AK76" s="1117">
        <f t="shared" si="4"/>
        <v>0</v>
      </c>
      <c r="AL76" s="1682" t="s">
        <v>79</v>
      </c>
      <c r="AM76" s="918"/>
      <c r="AN76" s="892"/>
      <c r="AO76" s="892"/>
    </row>
    <row r="77" spans="1:41" ht="54" customHeight="1">
      <c r="A77" s="1704">
        <v>63</v>
      </c>
      <c r="B77" s="1704">
        <v>63</v>
      </c>
      <c r="C77" s="918" t="str">
        <f>'Chấm công KT'!C73</f>
        <v>T. Đèng</v>
      </c>
      <c r="D77" s="1680"/>
      <c r="E77" s="1680"/>
      <c r="F77" s="1680"/>
      <c r="G77" s="1680"/>
      <c r="H77" s="1680"/>
      <c r="I77" s="1680"/>
      <c r="J77" s="1680"/>
      <c r="K77" s="1680"/>
      <c r="L77" s="1680"/>
      <c r="M77" s="1680"/>
      <c r="N77" s="1680"/>
      <c r="O77" s="1680"/>
      <c r="P77" s="1680"/>
      <c r="Q77" s="1680"/>
      <c r="R77" s="1680"/>
      <c r="S77" s="1680"/>
      <c r="T77" s="1680"/>
      <c r="U77" s="1680"/>
      <c r="V77" s="1680"/>
      <c r="W77" s="1680"/>
      <c r="X77" s="1680"/>
      <c r="Y77" s="1680"/>
      <c r="Z77" s="1680"/>
      <c r="AA77" s="1680"/>
      <c r="AB77" s="1680"/>
      <c r="AC77" s="1680"/>
      <c r="AD77" s="1680"/>
      <c r="AE77" s="1680"/>
      <c r="AF77" s="1680"/>
      <c r="AG77" s="1680"/>
      <c r="AH77" s="1482"/>
      <c r="AI77" s="919">
        <f t="shared" si="3"/>
        <v>0</v>
      </c>
      <c r="AJ77" s="1681">
        <v>43.78514993180552</v>
      </c>
      <c r="AK77" s="1117">
        <f t="shared" si="4"/>
        <v>0</v>
      </c>
      <c r="AL77" s="1682" t="s">
        <v>79</v>
      </c>
      <c r="AM77" s="918"/>
      <c r="AN77" s="892"/>
      <c r="AO77" s="892"/>
    </row>
    <row r="78" spans="1:41" ht="54" customHeight="1">
      <c r="A78" s="1704">
        <v>64</v>
      </c>
      <c r="B78" s="1704">
        <v>64</v>
      </c>
      <c r="C78" s="918" t="str">
        <f>'Chấm công KT'!C74</f>
        <v>T. May</v>
      </c>
      <c r="D78" s="1680"/>
      <c r="E78" s="1680"/>
      <c r="F78" s="1680"/>
      <c r="G78" s="1680"/>
      <c r="H78" s="1680"/>
      <c r="I78" s="1680"/>
      <c r="J78" s="1680"/>
      <c r="K78" s="1680"/>
      <c r="L78" s="1680"/>
      <c r="M78" s="1680"/>
      <c r="N78" s="1680"/>
      <c r="O78" s="1680"/>
      <c r="P78" s="1680"/>
      <c r="Q78" s="1680"/>
      <c r="R78" s="1680"/>
      <c r="S78" s="1680"/>
      <c r="T78" s="1680"/>
      <c r="U78" s="1680"/>
      <c r="V78" s="1680"/>
      <c r="W78" s="1680"/>
      <c r="X78" s="1680"/>
      <c r="Y78" s="1680"/>
      <c r="Z78" s="1680"/>
      <c r="AA78" s="1680"/>
      <c r="AB78" s="1680"/>
      <c r="AC78" s="1680"/>
      <c r="AD78" s="1680"/>
      <c r="AE78" s="1680"/>
      <c r="AF78" s="1680"/>
      <c r="AG78" s="1680"/>
      <c r="AH78" s="1482"/>
      <c r="AI78" s="919">
        <f t="shared" si="3"/>
        <v>0</v>
      </c>
      <c r="AJ78" s="1681">
        <v>43.78514993180552</v>
      </c>
      <c r="AK78" s="1117">
        <f t="shared" si="4"/>
        <v>0</v>
      </c>
      <c r="AL78" s="1682" t="s">
        <v>80</v>
      </c>
      <c r="AM78" s="918"/>
      <c r="AN78" s="892"/>
      <c r="AO78" s="892"/>
    </row>
    <row r="79" spans="1:41" ht="54" customHeight="1">
      <c r="A79" s="1704">
        <v>65</v>
      </c>
      <c r="B79" s="1704">
        <v>65</v>
      </c>
      <c r="C79" s="918" t="str">
        <f>'Chấm công KT'!C75</f>
        <v xml:space="preserve">T. La </v>
      </c>
      <c r="D79" s="1680"/>
      <c r="E79" s="1680"/>
      <c r="F79" s="1680"/>
      <c r="G79" s="1680"/>
      <c r="H79" s="1680"/>
      <c r="I79" s="1680"/>
      <c r="J79" s="1680"/>
      <c r="K79" s="1680"/>
      <c r="L79" s="1680"/>
      <c r="M79" s="1680"/>
      <c r="N79" s="1680"/>
      <c r="O79" s="1680"/>
      <c r="P79" s="1680"/>
      <c r="Q79" s="1680"/>
      <c r="R79" s="1680"/>
      <c r="S79" s="1680"/>
      <c r="T79" s="1680"/>
      <c r="U79" s="1680"/>
      <c r="V79" s="1680"/>
      <c r="W79" s="1680"/>
      <c r="X79" s="1680"/>
      <c r="Y79" s="1680"/>
      <c r="Z79" s="1680"/>
      <c r="AA79" s="1680"/>
      <c r="AB79" s="1680"/>
      <c r="AC79" s="1680"/>
      <c r="AD79" s="1680"/>
      <c r="AE79" s="1680"/>
      <c r="AF79" s="1680"/>
      <c r="AG79" s="1680"/>
      <c r="AH79" s="1482"/>
      <c r="AI79" s="919">
        <f t="shared" si="3"/>
        <v>0</v>
      </c>
      <c r="AJ79" s="1681">
        <v>43.78514993180552</v>
      </c>
      <c r="AK79" s="1117">
        <f t="shared" ref="AK79:AK94" si="5">AI79*AJ79/100</f>
        <v>0</v>
      </c>
      <c r="AL79" s="1682" t="s">
        <v>54</v>
      </c>
      <c r="AM79" s="918"/>
      <c r="AN79" s="892"/>
      <c r="AO79" s="892"/>
    </row>
    <row r="80" spans="1:41" ht="54" customHeight="1">
      <c r="A80" s="1704">
        <v>66</v>
      </c>
      <c r="B80" s="1704">
        <v>66</v>
      </c>
      <c r="C80" s="918" t="str">
        <f>'Chấm công KT'!C76</f>
        <v>T. Bờm</v>
      </c>
      <c r="D80" s="1680"/>
      <c r="E80" s="1680"/>
      <c r="F80" s="1680"/>
      <c r="G80" s="1680"/>
      <c r="H80" s="1680"/>
      <c r="I80" s="1680"/>
      <c r="J80" s="1680"/>
      <c r="K80" s="1680"/>
      <c r="L80" s="1680"/>
      <c r="M80" s="1680"/>
      <c r="N80" s="1680"/>
      <c r="O80" s="1680"/>
      <c r="P80" s="1680"/>
      <c r="Q80" s="1680"/>
      <c r="R80" s="1680"/>
      <c r="S80" s="1680"/>
      <c r="T80" s="1680"/>
      <c r="U80" s="1680"/>
      <c r="V80" s="1680"/>
      <c r="W80" s="1680"/>
      <c r="X80" s="1680"/>
      <c r="Y80" s="1680"/>
      <c r="Z80" s="1680"/>
      <c r="AA80" s="1680"/>
      <c r="AB80" s="1680"/>
      <c r="AC80" s="1680"/>
      <c r="AD80" s="1680"/>
      <c r="AE80" s="1680"/>
      <c r="AF80" s="1680"/>
      <c r="AG80" s="1680"/>
      <c r="AH80" s="1482"/>
      <c r="AI80" s="919">
        <f t="shared" ref="AI80:AI89" si="6">SUM(D80:AH80)</f>
        <v>0</v>
      </c>
      <c r="AJ80" s="1681">
        <v>43.78514993180552</v>
      </c>
      <c r="AK80" s="1117">
        <f t="shared" si="5"/>
        <v>0</v>
      </c>
      <c r="AL80" s="1682" t="s">
        <v>54</v>
      </c>
      <c r="AM80" s="918"/>
      <c r="AN80" s="892"/>
      <c r="AO80" s="892"/>
    </row>
    <row r="81" spans="1:41" ht="54" customHeight="1">
      <c r="A81" s="1704">
        <v>67</v>
      </c>
      <c r="B81" s="1704">
        <v>67</v>
      </c>
      <c r="C81" s="918" t="str">
        <f>'Chấm công KT'!C77</f>
        <v>N. Đon</v>
      </c>
      <c r="D81" s="1680"/>
      <c r="E81" s="1680"/>
      <c r="F81" s="1680"/>
      <c r="G81" s="1680"/>
      <c r="H81" s="1680"/>
      <c r="I81" s="1680"/>
      <c r="J81" s="1680"/>
      <c r="K81" s="1680"/>
      <c r="L81" s="1680"/>
      <c r="M81" s="1680"/>
      <c r="N81" s="1680"/>
      <c r="O81" s="1680"/>
      <c r="P81" s="1680"/>
      <c r="Q81" s="1680"/>
      <c r="R81" s="1680"/>
      <c r="S81" s="1680"/>
      <c r="T81" s="1680"/>
      <c r="U81" s="1680"/>
      <c r="V81" s="1680"/>
      <c r="W81" s="1680"/>
      <c r="X81" s="1680"/>
      <c r="Y81" s="1680"/>
      <c r="Z81" s="1680"/>
      <c r="AA81" s="1680"/>
      <c r="AB81" s="1680"/>
      <c r="AC81" s="1680"/>
      <c r="AD81" s="1680"/>
      <c r="AE81" s="1680"/>
      <c r="AF81" s="1680"/>
      <c r="AG81" s="1680"/>
      <c r="AH81" s="1482"/>
      <c r="AI81" s="919">
        <f t="shared" si="6"/>
        <v>0</v>
      </c>
      <c r="AJ81" s="1681">
        <v>43.78514993180552</v>
      </c>
      <c r="AK81" s="1117">
        <f t="shared" si="5"/>
        <v>0</v>
      </c>
      <c r="AL81" s="1682" t="s">
        <v>79</v>
      </c>
      <c r="AM81" s="918"/>
      <c r="AN81" s="892"/>
      <c r="AO81" s="892"/>
    </row>
    <row r="82" spans="1:41" ht="54" customHeight="1">
      <c r="A82" s="1704">
        <v>68</v>
      </c>
      <c r="B82" s="1704">
        <v>68</v>
      </c>
      <c r="C82" s="918" t="str">
        <f>'Chấm công KT'!C78</f>
        <v>T. Keo Ma Ni Son</v>
      </c>
      <c r="D82" s="1680"/>
      <c r="E82" s="1680"/>
      <c r="F82" s="1680"/>
      <c r="G82" s="1680"/>
      <c r="H82" s="1680"/>
      <c r="I82" s="1680"/>
      <c r="J82" s="1680"/>
      <c r="K82" s="1680"/>
      <c r="L82" s="1680"/>
      <c r="M82" s="1680"/>
      <c r="N82" s="1680"/>
      <c r="O82" s="1680"/>
      <c r="P82" s="1680"/>
      <c r="Q82" s="1680"/>
      <c r="R82" s="1680"/>
      <c r="S82" s="1680"/>
      <c r="T82" s="1680"/>
      <c r="U82" s="1680"/>
      <c r="V82" s="1680"/>
      <c r="W82" s="1680"/>
      <c r="X82" s="1680"/>
      <c r="Y82" s="1680"/>
      <c r="Z82" s="1680"/>
      <c r="AA82" s="1680"/>
      <c r="AB82" s="1680"/>
      <c r="AC82" s="1680"/>
      <c r="AD82" s="1680"/>
      <c r="AE82" s="1680"/>
      <c r="AF82" s="1680"/>
      <c r="AG82" s="1680"/>
      <c r="AH82" s="1482"/>
      <c r="AI82" s="919">
        <f t="shared" si="6"/>
        <v>0</v>
      </c>
      <c r="AJ82" s="1681">
        <v>43.78514993180552</v>
      </c>
      <c r="AK82" s="1117">
        <f t="shared" si="5"/>
        <v>0</v>
      </c>
      <c r="AL82" s="1682" t="s">
        <v>79</v>
      </c>
      <c r="AM82" s="918"/>
      <c r="AN82" s="892"/>
      <c r="AO82" s="892"/>
    </row>
    <row r="83" spans="1:41" ht="54" customHeight="1">
      <c r="A83" s="1704">
        <v>69</v>
      </c>
      <c r="B83" s="1704">
        <v>69</v>
      </c>
      <c r="C83" s="918" t="str">
        <f>'Chấm công KT'!C79</f>
        <v>T Bun</v>
      </c>
      <c r="D83" s="1680"/>
      <c r="E83" s="1680"/>
      <c r="F83" s="1680"/>
      <c r="G83" s="1680"/>
      <c r="H83" s="1680"/>
      <c r="I83" s="1680"/>
      <c r="J83" s="1680"/>
      <c r="K83" s="1680"/>
      <c r="L83" s="1680"/>
      <c r="M83" s="1680"/>
      <c r="N83" s="1680"/>
      <c r="O83" s="1680"/>
      <c r="P83" s="1680"/>
      <c r="Q83" s="1680"/>
      <c r="R83" s="1680"/>
      <c r="S83" s="1680"/>
      <c r="T83" s="1680"/>
      <c r="U83" s="1680"/>
      <c r="V83" s="1680"/>
      <c r="W83" s="1680"/>
      <c r="X83" s="1680"/>
      <c r="Y83" s="1680"/>
      <c r="Z83" s="1680"/>
      <c r="AA83" s="1680"/>
      <c r="AB83" s="1680"/>
      <c r="AC83" s="1680"/>
      <c r="AD83" s="1680"/>
      <c r="AE83" s="1680"/>
      <c r="AF83" s="1680"/>
      <c r="AG83" s="1680"/>
      <c r="AH83" s="1482"/>
      <c r="AI83" s="919">
        <f t="shared" si="6"/>
        <v>0</v>
      </c>
      <c r="AJ83" s="1681">
        <v>43.78514993180552</v>
      </c>
      <c r="AK83" s="1117">
        <f t="shared" si="5"/>
        <v>0</v>
      </c>
      <c r="AL83" s="1682" t="s">
        <v>79</v>
      </c>
      <c r="AM83" s="918"/>
      <c r="AN83" s="892"/>
      <c r="AO83" s="892"/>
    </row>
    <row r="84" spans="1:41" ht="54" customHeight="1">
      <c r="A84" s="1704">
        <v>70</v>
      </c>
      <c r="B84" s="1704">
        <v>70</v>
      </c>
      <c r="C84" s="918" t="str">
        <f>'Chấm công KT'!C80</f>
        <v>N. Xi</v>
      </c>
      <c r="D84" s="1680"/>
      <c r="E84" s="1680"/>
      <c r="F84" s="1680"/>
      <c r="G84" s="1680"/>
      <c r="H84" s="1680"/>
      <c r="I84" s="1680"/>
      <c r="J84" s="1680"/>
      <c r="K84" s="1680"/>
      <c r="L84" s="1680"/>
      <c r="M84" s="1680"/>
      <c r="N84" s="1680"/>
      <c r="O84" s="1680"/>
      <c r="P84" s="1680"/>
      <c r="Q84" s="1680"/>
      <c r="R84" s="1680"/>
      <c r="S84" s="1680"/>
      <c r="T84" s="1680"/>
      <c r="U84" s="1680"/>
      <c r="V84" s="1680"/>
      <c r="W84" s="1680"/>
      <c r="X84" s="1680"/>
      <c r="Y84" s="1680"/>
      <c r="Z84" s="1680"/>
      <c r="AA84" s="1680"/>
      <c r="AB84" s="1680"/>
      <c r="AC84" s="1680"/>
      <c r="AD84" s="1680"/>
      <c r="AE84" s="1680"/>
      <c r="AF84" s="1680"/>
      <c r="AG84" s="1680"/>
      <c r="AH84" s="1482"/>
      <c r="AI84" s="919">
        <f t="shared" si="6"/>
        <v>0</v>
      </c>
      <c r="AJ84" s="1681">
        <v>43.78514993180552</v>
      </c>
      <c r="AK84" s="1117">
        <f t="shared" si="5"/>
        <v>0</v>
      </c>
      <c r="AL84" s="1682" t="s">
        <v>54</v>
      </c>
      <c r="AM84" s="918"/>
      <c r="AN84" s="892"/>
      <c r="AO84" s="892"/>
    </row>
    <row r="85" spans="1:41" ht="54" customHeight="1">
      <c r="A85" s="1704">
        <v>71</v>
      </c>
      <c r="B85" s="1704">
        <v>71</v>
      </c>
      <c r="C85" s="918" t="str">
        <f>'Chấm công KT'!C81</f>
        <v>N. Chay</v>
      </c>
      <c r="D85" s="1680"/>
      <c r="E85" s="1680"/>
      <c r="F85" s="1680"/>
      <c r="G85" s="1680"/>
      <c r="H85" s="1680"/>
      <c r="I85" s="1680"/>
      <c r="J85" s="1680"/>
      <c r="K85" s="1680"/>
      <c r="L85" s="1680"/>
      <c r="M85" s="1680"/>
      <c r="N85" s="1680"/>
      <c r="O85" s="1680"/>
      <c r="P85" s="1680"/>
      <c r="Q85" s="1680"/>
      <c r="R85" s="1680"/>
      <c r="S85" s="1680"/>
      <c r="T85" s="1680"/>
      <c r="U85" s="1680"/>
      <c r="V85" s="1680"/>
      <c r="W85" s="1680"/>
      <c r="X85" s="1680"/>
      <c r="Y85" s="1680"/>
      <c r="Z85" s="1680"/>
      <c r="AA85" s="1680"/>
      <c r="AB85" s="1680"/>
      <c r="AC85" s="1680"/>
      <c r="AD85" s="1680"/>
      <c r="AE85" s="1680"/>
      <c r="AF85" s="1680"/>
      <c r="AG85" s="1680"/>
      <c r="AH85" s="1482"/>
      <c r="AI85" s="919">
        <f t="shared" si="6"/>
        <v>0</v>
      </c>
      <c r="AJ85" s="1681">
        <v>43.78514993180552</v>
      </c>
      <c r="AK85" s="1117">
        <f t="shared" si="5"/>
        <v>0</v>
      </c>
      <c r="AL85" s="1682" t="s">
        <v>54</v>
      </c>
      <c r="AM85" s="918"/>
      <c r="AN85" s="892"/>
      <c r="AO85" s="892"/>
    </row>
    <row r="86" spans="1:41" ht="54" customHeight="1">
      <c r="A86" s="1704">
        <v>72</v>
      </c>
      <c r="B86" s="1704">
        <v>72</v>
      </c>
      <c r="C86" s="918" t="str">
        <f>'Chấm công KT'!C82</f>
        <v xml:space="preserve">N. Khăm </v>
      </c>
      <c r="D86" s="1680"/>
      <c r="E86" s="1680"/>
      <c r="F86" s="1680"/>
      <c r="G86" s="1680"/>
      <c r="H86" s="1680"/>
      <c r="I86" s="1680"/>
      <c r="J86" s="1680"/>
      <c r="K86" s="1680"/>
      <c r="L86" s="1680"/>
      <c r="M86" s="1680"/>
      <c r="N86" s="1680"/>
      <c r="O86" s="1680"/>
      <c r="P86" s="1680"/>
      <c r="Q86" s="1680"/>
      <c r="R86" s="1680"/>
      <c r="S86" s="1680"/>
      <c r="T86" s="1680"/>
      <c r="U86" s="1680"/>
      <c r="V86" s="1680"/>
      <c r="W86" s="1680"/>
      <c r="X86" s="1680"/>
      <c r="Y86" s="1680"/>
      <c r="Z86" s="1680"/>
      <c r="AA86" s="1680"/>
      <c r="AB86" s="1680"/>
      <c r="AC86" s="1680"/>
      <c r="AD86" s="1680"/>
      <c r="AE86" s="1680"/>
      <c r="AF86" s="1680"/>
      <c r="AG86" s="1680"/>
      <c r="AH86" s="1482"/>
      <c r="AI86" s="919">
        <f t="shared" si="6"/>
        <v>0</v>
      </c>
      <c r="AJ86" s="1681">
        <v>43.78514993180552</v>
      </c>
      <c r="AK86" s="1117">
        <f t="shared" si="5"/>
        <v>0</v>
      </c>
      <c r="AL86" s="1682" t="s">
        <v>54</v>
      </c>
      <c r="AM86" s="918"/>
      <c r="AN86" s="892"/>
      <c r="AO86" s="892"/>
    </row>
    <row r="87" spans="1:41" ht="54" customHeight="1">
      <c r="A87" s="1704">
        <v>73</v>
      </c>
      <c r="B87" s="1704">
        <v>73</v>
      </c>
      <c r="C87" s="918" t="str">
        <f>'Chấm công KT'!C83</f>
        <v>N. Phôn</v>
      </c>
      <c r="D87" s="1680"/>
      <c r="E87" s="1680"/>
      <c r="F87" s="1680"/>
      <c r="G87" s="1680"/>
      <c r="H87" s="1680"/>
      <c r="I87" s="1680"/>
      <c r="J87" s="1680"/>
      <c r="K87" s="1680"/>
      <c r="L87" s="1680"/>
      <c r="M87" s="1680"/>
      <c r="N87" s="1680"/>
      <c r="O87" s="1680"/>
      <c r="P87" s="1680"/>
      <c r="Q87" s="1680"/>
      <c r="R87" s="1680"/>
      <c r="S87" s="1680"/>
      <c r="T87" s="1680"/>
      <c r="U87" s="1680"/>
      <c r="V87" s="1680"/>
      <c r="W87" s="1680"/>
      <c r="X87" s="1680"/>
      <c r="Y87" s="1680"/>
      <c r="Z87" s="1680"/>
      <c r="AA87" s="1680"/>
      <c r="AB87" s="1680"/>
      <c r="AC87" s="1680"/>
      <c r="AD87" s="1680"/>
      <c r="AE87" s="1680"/>
      <c r="AF87" s="1680"/>
      <c r="AG87" s="1680"/>
      <c r="AH87" s="1482"/>
      <c r="AI87" s="919">
        <f t="shared" si="6"/>
        <v>0</v>
      </c>
      <c r="AJ87" s="1681">
        <v>43.78514993180552</v>
      </c>
      <c r="AK87" s="1117">
        <f t="shared" si="5"/>
        <v>0</v>
      </c>
      <c r="AL87" s="1682" t="s">
        <v>54</v>
      </c>
      <c r="AM87" s="918"/>
      <c r="AN87" s="892"/>
      <c r="AO87" s="892"/>
    </row>
    <row r="88" spans="1:41" ht="54" customHeight="1">
      <c r="A88" s="1704">
        <v>74</v>
      </c>
      <c r="B88" s="1704">
        <v>74</v>
      </c>
      <c r="C88" s="918" t="str">
        <f>'Chấm công KT'!C84</f>
        <v>T. Xem</v>
      </c>
      <c r="D88" s="1680"/>
      <c r="E88" s="1680"/>
      <c r="F88" s="1680"/>
      <c r="G88" s="1680"/>
      <c r="H88" s="1680"/>
      <c r="I88" s="1680"/>
      <c r="J88" s="1680"/>
      <c r="K88" s="1680"/>
      <c r="L88" s="1680"/>
      <c r="M88" s="1680"/>
      <c r="N88" s="1680"/>
      <c r="O88" s="1680"/>
      <c r="P88" s="1680"/>
      <c r="Q88" s="1680"/>
      <c r="R88" s="1680"/>
      <c r="S88" s="1680"/>
      <c r="T88" s="1680"/>
      <c r="U88" s="1680"/>
      <c r="V88" s="1680"/>
      <c r="W88" s="1680"/>
      <c r="X88" s="1680"/>
      <c r="Y88" s="1680"/>
      <c r="Z88" s="1680"/>
      <c r="AA88" s="1680"/>
      <c r="AB88" s="1680"/>
      <c r="AC88" s="1680"/>
      <c r="AD88" s="1680"/>
      <c r="AE88" s="1680"/>
      <c r="AF88" s="1680"/>
      <c r="AG88" s="1680"/>
      <c r="AH88" s="1482"/>
      <c r="AI88" s="919">
        <f t="shared" si="6"/>
        <v>0</v>
      </c>
      <c r="AJ88" s="1681">
        <v>43.78514993180552</v>
      </c>
      <c r="AK88" s="1117">
        <f t="shared" si="5"/>
        <v>0</v>
      </c>
      <c r="AL88" s="1101" t="s">
        <v>802</v>
      </c>
      <c r="AM88" s="918"/>
      <c r="AN88" s="892"/>
      <c r="AO88" s="892"/>
    </row>
    <row r="89" spans="1:41" ht="54" customHeight="1">
      <c r="A89" s="1704">
        <v>75</v>
      </c>
      <c r="B89" s="1704">
        <v>75</v>
      </c>
      <c r="C89" s="918" t="str">
        <f>'Chấm công KT'!C85</f>
        <v>T.Trí</v>
      </c>
      <c r="D89" s="1482"/>
      <c r="E89" s="1482"/>
      <c r="F89" s="1482"/>
      <c r="G89" s="1482"/>
      <c r="H89" s="1482"/>
      <c r="I89" s="1482"/>
      <c r="J89" s="1482"/>
      <c r="K89" s="1482"/>
      <c r="L89" s="1482"/>
      <c r="M89" s="1482"/>
      <c r="N89" s="1482"/>
      <c r="O89" s="1482"/>
      <c r="P89" s="1482"/>
      <c r="Q89" s="1482"/>
      <c r="R89" s="1482"/>
      <c r="S89" s="1482"/>
      <c r="T89" s="1482"/>
      <c r="U89" s="1482"/>
      <c r="V89" s="1482"/>
      <c r="W89" s="1482"/>
      <c r="X89" s="1482"/>
      <c r="Y89" s="1482"/>
      <c r="Z89" s="1482"/>
      <c r="AA89" s="1482"/>
      <c r="AB89" s="1482"/>
      <c r="AC89" s="1482"/>
      <c r="AD89" s="1482"/>
      <c r="AE89" s="1482"/>
      <c r="AF89" s="1482"/>
      <c r="AG89" s="1482"/>
      <c r="AH89" s="1482"/>
      <c r="AI89" s="919">
        <f t="shared" si="6"/>
        <v>0</v>
      </c>
      <c r="AJ89" s="1483"/>
      <c r="AK89" s="1117">
        <f t="shared" si="5"/>
        <v>0</v>
      </c>
      <c r="AL89" s="1101" t="s">
        <v>802</v>
      </c>
      <c r="AM89" s="918"/>
      <c r="AN89" s="892"/>
      <c r="AO89" s="892"/>
    </row>
    <row r="90" spans="1:41" ht="54" customHeight="1">
      <c r="A90" s="1704">
        <v>76</v>
      </c>
      <c r="B90" s="1704">
        <v>76</v>
      </c>
      <c r="C90" s="918" t="str">
        <f>'Chấm công KT'!C86</f>
        <v>T. Ngân</v>
      </c>
      <c r="D90" s="1482"/>
      <c r="E90" s="1482"/>
      <c r="F90" s="1482"/>
      <c r="G90" s="1482"/>
      <c r="H90" s="1482"/>
      <c r="I90" s="1482"/>
      <c r="J90" s="1482"/>
      <c r="K90" s="1482"/>
      <c r="L90" s="1482"/>
      <c r="M90" s="1482"/>
      <c r="N90" s="1482"/>
      <c r="O90" s="1482"/>
      <c r="P90" s="1482"/>
      <c r="Q90" s="1482"/>
      <c r="R90" s="1482"/>
      <c r="S90" s="1482"/>
      <c r="T90" s="1482"/>
      <c r="U90" s="1482"/>
      <c r="V90" s="1482"/>
      <c r="W90" s="1482"/>
      <c r="X90" s="1482"/>
      <c r="Y90" s="1482"/>
      <c r="Z90" s="1482"/>
      <c r="AA90" s="1482"/>
      <c r="AB90" s="1482"/>
      <c r="AC90" s="1482"/>
      <c r="AD90" s="1482"/>
      <c r="AE90" s="1482"/>
      <c r="AF90" s="1482"/>
      <c r="AG90" s="1482"/>
      <c r="AH90" s="1482"/>
      <c r="AI90" s="919">
        <f t="shared" ref="AI90:AI91" si="7">SUM(D90:AH90)</f>
        <v>0</v>
      </c>
      <c r="AJ90" s="1483"/>
      <c r="AK90" s="1117">
        <f t="shared" si="5"/>
        <v>0</v>
      </c>
      <c r="AL90" s="1101" t="s">
        <v>802</v>
      </c>
      <c r="AM90" s="918"/>
      <c r="AN90" s="892"/>
      <c r="AO90" s="892"/>
    </row>
    <row r="91" spans="1:41" ht="54" customHeight="1">
      <c r="A91" s="1704">
        <v>77</v>
      </c>
      <c r="B91" s="1704">
        <v>77</v>
      </c>
      <c r="C91" s="918" t="str">
        <f>'Chấm công KT'!C87</f>
        <v>T.Pu</v>
      </c>
      <c r="D91" s="1482"/>
      <c r="E91" s="1482"/>
      <c r="F91" s="1482"/>
      <c r="G91" s="1482"/>
      <c r="H91" s="1482"/>
      <c r="I91" s="1482"/>
      <c r="J91" s="1482"/>
      <c r="K91" s="1482"/>
      <c r="L91" s="1482"/>
      <c r="M91" s="1482"/>
      <c r="N91" s="1482"/>
      <c r="O91" s="1482"/>
      <c r="P91" s="1482"/>
      <c r="Q91" s="1482"/>
      <c r="R91" s="1482"/>
      <c r="S91" s="1482"/>
      <c r="T91" s="1482"/>
      <c r="U91" s="1482"/>
      <c r="V91" s="1482"/>
      <c r="W91" s="1482"/>
      <c r="X91" s="1482"/>
      <c r="Y91" s="1482"/>
      <c r="Z91" s="1482"/>
      <c r="AA91" s="1482"/>
      <c r="AB91" s="1482"/>
      <c r="AC91" s="1482"/>
      <c r="AD91" s="1482"/>
      <c r="AE91" s="1482"/>
      <c r="AF91" s="1482"/>
      <c r="AG91" s="1482"/>
      <c r="AH91" s="1482"/>
      <c r="AI91" s="919">
        <f t="shared" si="7"/>
        <v>0</v>
      </c>
      <c r="AJ91" s="1483"/>
      <c r="AK91" s="1117">
        <f t="shared" si="5"/>
        <v>0</v>
      </c>
      <c r="AL91" s="1101" t="s">
        <v>802</v>
      </c>
      <c r="AM91" s="918"/>
      <c r="AN91" s="892"/>
      <c r="AO91" s="892"/>
    </row>
    <row r="92" spans="1:41" ht="54" customHeight="1">
      <c r="A92" s="1704">
        <v>78</v>
      </c>
      <c r="B92" s="1704">
        <v>78</v>
      </c>
      <c r="C92" s="918" t="str">
        <f>'Chấm công KT'!C88</f>
        <v>T.Ta</v>
      </c>
      <c r="D92" s="1482"/>
      <c r="E92" s="1482"/>
      <c r="F92" s="1482"/>
      <c r="G92" s="1482"/>
      <c r="H92" s="1482"/>
      <c r="I92" s="1482"/>
      <c r="J92" s="1482"/>
      <c r="K92" s="1482"/>
      <c r="L92" s="1482"/>
      <c r="M92" s="1482"/>
      <c r="N92" s="1482"/>
      <c r="O92" s="1482"/>
      <c r="P92" s="1482"/>
      <c r="Q92" s="1482"/>
      <c r="R92" s="1482"/>
      <c r="S92" s="1482"/>
      <c r="T92" s="1482"/>
      <c r="U92" s="1482"/>
      <c r="V92" s="1482"/>
      <c r="W92" s="1482"/>
      <c r="X92" s="1482"/>
      <c r="Y92" s="1482"/>
      <c r="Z92" s="1482"/>
      <c r="AA92" s="1482"/>
      <c r="AB92" s="1482"/>
      <c r="AC92" s="1482"/>
      <c r="AD92" s="1482"/>
      <c r="AE92" s="1482"/>
      <c r="AF92" s="1482"/>
      <c r="AG92" s="1482"/>
      <c r="AH92" s="1482"/>
      <c r="AI92" s="919">
        <f>SUM(D92:AH92)</f>
        <v>0</v>
      </c>
      <c r="AJ92" s="1483"/>
      <c r="AK92" s="1117">
        <f t="shared" si="5"/>
        <v>0</v>
      </c>
      <c r="AL92" s="1101" t="s">
        <v>802</v>
      </c>
      <c r="AM92" s="918"/>
      <c r="AN92" s="892"/>
      <c r="AO92" s="892"/>
    </row>
    <row r="93" spans="1:41" ht="54" customHeight="1">
      <c r="A93" s="1704">
        <v>79</v>
      </c>
      <c r="B93" s="1704">
        <v>79</v>
      </c>
      <c r="C93" s="918" t="str">
        <f>'Chấm công KT'!C89</f>
        <v>N.Nang</v>
      </c>
      <c r="D93" s="1482"/>
      <c r="E93" s="1482"/>
      <c r="F93" s="1482"/>
      <c r="G93" s="1482"/>
      <c r="H93" s="1482"/>
      <c r="I93" s="1482"/>
      <c r="J93" s="1482"/>
      <c r="K93" s="1482"/>
      <c r="L93" s="1482"/>
      <c r="M93" s="1482"/>
      <c r="N93" s="1482"/>
      <c r="O93" s="1482"/>
      <c r="P93" s="1482"/>
      <c r="Q93" s="1482"/>
      <c r="R93" s="1482"/>
      <c r="S93" s="1482"/>
      <c r="T93" s="1482"/>
      <c r="U93" s="1482"/>
      <c r="V93" s="1482"/>
      <c r="W93" s="1482"/>
      <c r="X93" s="1482"/>
      <c r="Y93" s="1482"/>
      <c r="Z93" s="1482"/>
      <c r="AA93" s="1482"/>
      <c r="AB93" s="1482"/>
      <c r="AC93" s="1482"/>
      <c r="AD93" s="1482"/>
      <c r="AE93" s="1482"/>
      <c r="AF93" s="1482"/>
      <c r="AG93" s="1482"/>
      <c r="AH93" s="1482"/>
      <c r="AI93" s="919">
        <f>SUM(D93:AH93)</f>
        <v>0</v>
      </c>
      <c r="AJ93" s="1483"/>
      <c r="AK93" s="1117">
        <f t="shared" si="5"/>
        <v>0</v>
      </c>
      <c r="AL93" s="1101" t="s">
        <v>802</v>
      </c>
      <c r="AM93" s="918"/>
      <c r="AN93" s="892"/>
      <c r="AO93" s="892"/>
    </row>
    <row r="94" spans="1:41" ht="54" customHeight="1">
      <c r="A94" s="1704">
        <v>80</v>
      </c>
      <c r="B94" s="1704">
        <v>80</v>
      </c>
      <c r="C94" s="1485" t="s">
        <v>975</v>
      </c>
      <c r="D94" s="1482"/>
      <c r="E94" s="1482"/>
      <c r="F94" s="1482"/>
      <c r="G94" s="1482"/>
      <c r="H94" s="1482"/>
      <c r="I94" s="1482"/>
      <c r="J94" s="1482"/>
      <c r="K94" s="1482"/>
      <c r="L94" s="1482"/>
      <c r="M94" s="1482"/>
      <c r="N94" s="1482"/>
      <c r="O94" s="1482"/>
      <c r="P94" s="1482"/>
      <c r="Q94" s="1482"/>
      <c r="R94" s="1482"/>
      <c r="S94" s="1482"/>
      <c r="T94" s="1482"/>
      <c r="U94" s="1482"/>
      <c r="V94" s="1482"/>
      <c r="W94" s="1482"/>
      <c r="X94" s="1482"/>
      <c r="Y94" s="1482"/>
      <c r="Z94" s="1482"/>
      <c r="AA94" s="1482"/>
      <c r="AB94" s="1482"/>
      <c r="AC94" s="1482"/>
      <c r="AD94" s="1482"/>
      <c r="AE94" s="1482"/>
      <c r="AF94" s="1482"/>
      <c r="AG94" s="1482"/>
      <c r="AH94" s="1482"/>
      <c r="AI94" s="919">
        <f t="shared" ref="AI94" si="8">SUM(D94:AH94)</f>
        <v>0</v>
      </c>
      <c r="AJ94" s="1483"/>
      <c r="AK94" s="1117">
        <f t="shared" si="5"/>
        <v>0</v>
      </c>
      <c r="AL94" s="1101" t="s">
        <v>802</v>
      </c>
      <c r="AM94" s="918"/>
      <c r="AN94" s="892"/>
      <c r="AO94" s="892"/>
    </row>
    <row r="95" spans="1:41" ht="54" customHeight="1">
      <c r="A95" s="1473"/>
      <c r="B95" s="1911" t="s">
        <v>607</v>
      </c>
      <c r="C95" s="1912"/>
      <c r="D95" s="1912"/>
      <c r="E95" s="1912"/>
      <c r="F95" s="1912"/>
      <c r="G95" s="1912"/>
      <c r="H95" s="1912"/>
      <c r="I95" s="1912"/>
      <c r="J95" s="1912"/>
      <c r="K95" s="1912"/>
      <c r="L95" s="1912"/>
      <c r="M95" s="1912"/>
      <c r="N95" s="1912"/>
      <c r="O95" s="1912"/>
      <c r="P95" s="1912"/>
      <c r="Q95" s="1912"/>
      <c r="R95" s="1912"/>
      <c r="S95" s="1912"/>
      <c r="T95" s="1912"/>
      <c r="U95" s="1912"/>
      <c r="V95" s="1912"/>
      <c r="W95" s="1912"/>
      <c r="X95" s="1912"/>
      <c r="Y95" s="1912"/>
      <c r="Z95" s="1912"/>
      <c r="AA95" s="1912"/>
      <c r="AB95" s="1912"/>
      <c r="AC95" s="1912"/>
      <c r="AD95" s="1912"/>
      <c r="AE95" s="1912"/>
      <c r="AF95" s="1912"/>
      <c r="AG95" s="1912"/>
      <c r="AH95" s="1912"/>
      <c r="AI95" s="1912"/>
      <c r="AJ95" s="1912"/>
      <c r="AK95" s="1043"/>
      <c r="AL95" s="1101"/>
      <c r="AM95" s="918"/>
      <c r="AN95" s="892"/>
      <c r="AO95" s="924">
        <f>SUM(AI88:AI92)</f>
        <v>0</v>
      </c>
    </row>
    <row r="96" spans="1:41" s="893" customFormat="1" ht="54" customHeight="1">
      <c r="A96" s="1910" t="s">
        <v>30</v>
      </c>
      <c r="B96" s="1910"/>
      <c r="C96" s="1910"/>
      <c r="D96" s="1291">
        <f>SUM(D97:D180)</f>
        <v>0</v>
      </c>
      <c r="E96" s="1291">
        <f t="shared" ref="E96:AF96" si="9">SUM(E97:E180)</f>
        <v>0</v>
      </c>
      <c r="F96" s="1291">
        <f t="shared" si="9"/>
        <v>0</v>
      </c>
      <c r="G96" s="1291">
        <f t="shared" si="9"/>
        <v>0</v>
      </c>
      <c r="H96" s="1291">
        <f t="shared" si="9"/>
        <v>0</v>
      </c>
      <c r="I96" s="1291">
        <f t="shared" si="9"/>
        <v>0</v>
      </c>
      <c r="J96" s="1291">
        <f t="shared" si="9"/>
        <v>0</v>
      </c>
      <c r="K96" s="1291">
        <f t="shared" si="9"/>
        <v>0</v>
      </c>
      <c r="L96" s="1291">
        <f t="shared" si="9"/>
        <v>0</v>
      </c>
      <c r="M96" s="1291">
        <f t="shared" si="9"/>
        <v>0</v>
      </c>
      <c r="N96" s="1291">
        <f t="shared" si="9"/>
        <v>0</v>
      </c>
      <c r="O96" s="1291">
        <f t="shared" si="9"/>
        <v>0</v>
      </c>
      <c r="P96" s="1291">
        <f t="shared" si="9"/>
        <v>0</v>
      </c>
      <c r="Q96" s="1291">
        <f t="shared" si="9"/>
        <v>0</v>
      </c>
      <c r="R96" s="1291">
        <f t="shared" si="9"/>
        <v>0</v>
      </c>
      <c r="S96" s="1291">
        <f t="shared" si="9"/>
        <v>0</v>
      </c>
      <c r="T96" s="1291">
        <f t="shared" si="9"/>
        <v>0</v>
      </c>
      <c r="U96" s="1291">
        <f t="shared" si="9"/>
        <v>0</v>
      </c>
      <c r="V96" s="1291">
        <f t="shared" si="9"/>
        <v>0</v>
      </c>
      <c r="W96" s="1291">
        <f t="shared" si="9"/>
        <v>0</v>
      </c>
      <c r="X96" s="1291">
        <f t="shared" si="9"/>
        <v>0</v>
      </c>
      <c r="Y96" s="1291">
        <f t="shared" si="9"/>
        <v>0</v>
      </c>
      <c r="Z96" s="1291">
        <f t="shared" si="9"/>
        <v>0</v>
      </c>
      <c r="AA96" s="1291">
        <f t="shared" si="9"/>
        <v>0</v>
      </c>
      <c r="AB96" s="1291">
        <f t="shared" si="9"/>
        <v>0</v>
      </c>
      <c r="AC96" s="1291">
        <f t="shared" si="9"/>
        <v>0</v>
      </c>
      <c r="AD96" s="1291">
        <f t="shared" si="9"/>
        <v>0</v>
      </c>
      <c r="AE96" s="1291">
        <f t="shared" si="9"/>
        <v>0</v>
      </c>
      <c r="AF96" s="1291">
        <f t="shared" si="9"/>
        <v>0</v>
      </c>
      <c r="AG96" s="1291">
        <f>SUM(AG97:AG180)</f>
        <v>0</v>
      </c>
      <c r="AH96" s="1291">
        <f t="shared" ref="AH96" si="10">SUM(AH97:AH176)</f>
        <v>0</v>
      </c>
      <c r="AI96" s="1291">
        <f>SUM(AI97:AI180)</f>
        <v>0</v>
      </c>
      <c r="AJ96" s="1291"/>
      <c r="AK96" s="1291">
        <f t="shared" ref="AK96" si="11">SUM(AK97:AK180)</f>
        <v>0</v>
      </c>
      <c r="AL96" s="1486"/>
      <c r="AM96" s="1481"/>
    </row>
    <row r="97" spans="1:41" ht="54" customHeight="1">
      <c r="A97" s="1473">
        <v>81</v>
      </c>
      <c r="B97" s="1473">
        <v>1</v>
      </c>
      <c r="C97" s="918" t="str">
        <f>'Chấm công KT'!C92</f>
        <v>T. Lê</v>
      </c>
      <c r="D97" s="1685"/>
      <c r="E97" s="1685"/>
      <c r="F97" s="1685"/>
      <c r="G97" s="1685"/>
      <c r="H97" s="1685"/>
      <c r="I97" s="1685"/>
      <c r="J97" s="1685"/>
      <c r="K97" s="1685"/>
      <c r="L97" s="1685"/>
      <c r="M97" s="1685"/>
      <c r="N97" s="1685"/>
      <c r="O97" s="1685"/>
      <c r="P97" s="1686"/>
      <c r="Q97" s="1686"/>
      <c r="R97" s="1686"/>
      <c r="S97" s="1686"/>
      <c r="T97" s="1686"/>
      <c r="U97" s="1686"/>
      <c r="V97" s="1686"/>
      <c r="W97" s="1686"/>
      <c r="X97" s="1686"/>
      <c r="Y97" s="1686"/>
      <c r="Z97" s="1686"/>
      <c r="AA97" s="1686"/>
      <c r="AB97" s="1686"/>
      <c r="AC97" s="1686"/>
      <c r="AD97" s="1686"/>
      <c r="AE97" s="1686"/>
      <c r="AF97" s="1686"/>
      <c r="AG97" s="1686"/>
      <c r="AH97" s="1466"/>
      <c r="AI97" s="919">
        <f t="shared" ref="AI97:AI160" si="12">SUM(D97:AH97)</f>
        <v>0</v>
      </c>
      <c r="AJ97" s="1684">
        <v>43.829255141887906</v>
      </c>
      <c r="AK97" s="1117">
        <f t="shared" ref="AK97:AK128" si="13">AI97*AJ97/100</f>
        <v>0</v>
      </c>
      <c r="AL97" s="1682" t="s">
        <v>54</v>
      </c>
      <c r="AM97" s="918"/>
      <c r="AN97" s="892"/>
      <c r="AO97" s="892"/>
    </row>
    <row r="98" spans="1:41" ht="54" customHeight="1">
      <c r="A98" s="1473">
        <v>82</v>
      </c>
      <c r="B98" s="1473">
        <v>2</v>
      </c>
      <c r="C98" s="918" t="str">
        <f>'Chấm công KT'!C93</f>
        <v xml:space="preserve">Nang On Teng </v>
      </c>
      <c r="D98" s="1685"/>
      <c r="E98" s="1685"/>
      <c r="F98" s="1685"/>
      <c r="G98" s="1685"/>
      <c r="H98" s="1685"/>
      <c r="I98" s="1685"/>
      <c r="J98" s="1685"/>
      <c r="K98" s="1685"/>
      <c r="L98" s="1685"/>
      <c r="M98" s="1685"/>
      <c r="N98" s="1685"/>
      <c r="O98" s="1685"/>
      <c r="P98" s="1686"/>
      <c r="Q98" s="1686"/>
      <c r="R98" s="1686"/>
      <c r="S98" s="1686"/>
      <c r="T98" s="1686"/>
      <c r="U98" s="1686"/>
      <c r="V98" s="1686"/>
      <c r="W98" s="1686"/>
      <c r="X98" s="1686"/>
      <c r="Y98" s="1686"/>
      <c r="Z98" s="1686"/>
      <c r="AA98" s="1686"/>
      <c r="AB98" s="1686"/>
      <c r="AC98" s="1686"/>
      <c r="AD98" s="1686"/>
      <c r="AE98" s="1686"/>
      <c r="AF98" s="1686"/>
      <c r="AG98" s="1686"/>
      <c r="AH98" s="1466"/>
      <c r="AI98" s="919">
        <f t="shared" si="12"/>
        <v>0</v>
      </c>
      <c r="AJ98" s="1684">
        <v>43.829255141887906</v>
      </c>
      <c r="AK98" s="1117">
        <f t="shared" si="13"/>
        <v>0</v>
      </c>
      <c r="AL98" s="1682" t="s">
        <v>54</v>
      </c>
      <c r="AM98" s="918"/>
      <c r="AN98" s="892"/>
      <c r="AO98" s="892"/>
    </row>
    <row r="99" spans="1:41" ht="54" customHeight="1">
      <c r="A99" s="1704">
        <v>83</v>
      </c>
      <c r="B99" s="1704">
        <v>3</v>
      </c>
      <c r="C99" s="918" t="str">
        <f>'Chấm công KT'!C94</f>
        <v>T. Đôn Ma</v>
      </c>
      <c r="D99" s="1685"/>
      <c r="E99" s="1685"/>
      <c r="F99" s="1685"/>
      <c r="G99" s="1685"/>
      <c r="H99" s="1685"/>
      <c r="I99" s="1685"/>
      <c r="J99" s="1685"/>
      <c r="K99" s="1685"/>
      <c r="L99" s="1685"/>
      <c r="M99" s="1685"/>
      <c r="N99" s="1685"/>
      <c r="O99" s="1685"/>
      <c r="P99" s="1686"/>
      <c r="Q99" s="1686"/>
      <c r="R99" s="1686"/>
      <c r="S99" s="1686"/>
      <c r="T99" s="1686"/>
      <c r="U99" s="1686"/>
      <c r="V99" s="1686"/>
      <c r="W99" s="1686"/>
      <c r="X99" s="1686"/>
      <c r="Y99" s="1686"/>
      <c r="Z99" s="1686"/>
      <c r="AA99" s="1686"/>
      <c r="AB99" s="1686"/>
      <c r="AC99" s="1686"/>
      <c r="AD99" s="1686"/>
      <c r="AE99" s="1686"/>
      <c r="AF99" s="1686"/>
      <c r="AG99" s="1686"/>
      <c r="AH99" s="1466"/>
      <c r="AI99" s="919">
        <f t="shared" si="12"/>
        <v>0</v>
      </c>
      <c r="AJ99" s="1684">
        <v>43.829255141887906</v>
      </c>
      <c r="AK99" s="1117">
        <f t="shared" si="13"/>
        <v>0</v>
      </c>
      <c r="AL99" s="1682" t="s">
        <v>54</v>
      </c>
      <c r="AM99" s="918"/>
      <c r="AN99" s="892"/>
      <c r="AO99" s="892"/>
    </row>
    <row r="100" spans="1:41" ht="54" customHeight="1">
      <c r="A100" s="1704">
        <v>84</v>
      </c>
      <c r="B100" s="1704">
        <v>4</v>
      </c>
      <c r="C100" s="918" t="str">
        <f>'Chấm công KT'!C95</f>
        <v>T Nôn</v>
      </c>
      <c r="D100" s="1685"/>
      <c r="E100" s="1685"/>
      <c r="F100" s="1685"/>
      <c r="G100" s="1685"/>
      <c r="H100" s="1685"/>
      <c r="I100" s="1685"/>
      <c r="J100" s="1685"/>
      <c r="K100" s="1685"/>
      <c r="L100" s="1685"/>
      <c r="M100" s="1685"/>
      <c r="N100" s="1685"/>
      <c r="O100" s="1685"/>
      <c r="P100" s="1686"/>
      <c r="Q100" s="1686"/>
      <c r="R100" s="1686"/>
      <c r="S100" s="1686"/>
      <c r="T100" s="1686"/>
      <c r="U100" s="1686"/>
      <c r="V100" s="1686"/>
      <c r="W100" s="1686"/>
      <c r="X100" s="1686"/>
      <c r="Y100" s="1686"/>
      <c r="Z100" s="1686"/>
      <c r="AA100" s="1686"/>
      <c r="AB100" s="1686"/>
      <c r="AC100" s="1686"/>
      <c r="AD100" s="1686"/>
      <c r="AE100" s="1686"/>
      <c r="AF100" s="1686"/>
      <c r="AG100" s="1686"/>
      <c r="AH100" s="1466"/>
      <c r="AI100" s="919">
        <f t="shared" si="12"/>
        <v>0</v>
      </c>
      <c r="AJ100" s="1684">
        <v>43.829255141887906</v>
      </c>
      <c r="AK100" s="1117">
        <f t="shared" si="13"/>
        <v>0</v>
      </c>
      <c r="AL100" s="1682" t="s">
        <v>54</v>
      </c>
      <c r="AM100" s="918"/>
      <c r="AN100" s="892"/>
      <c r="AO100" s="892"/>
    </row>
    <row r="101" spans="1:41" ht="54" customHeight="1">
      <c r="A101" s="1704">
        <v>85</v>
      </c>
      <c r="B101" s="1704">
        <v>5</v>
      </c>
      <c r="C101" s="918" t="str">
        <f>'Chấm công KT'!C96</f>
        <v>N. Khăm..</v>
      </c>
      <c r="D101" s="1685"/>
      <c r="E101" s="1685"/>
      <c r="F101" s="1685"/>
      <c r="G101" s="1685"/>
      <c r="H101" s="1685"/>
      <c r="I101" s="1685"/>
      <c r="J101" s="1685"/>
      <c r="K101" s="1685"/>
      <c r="L101" s="1685"/>
      <c r="M101" s="1685"/>
      <c r="N101" s="1685"/>
      <c r="O101" s="1685"/>
      <c r="P101" s="1686"/>
      <c r="Q101" s="1686"/>
      <c r="R101" s="1686"/>
      <c r="S101" s="1686"/>
      <c r="T101" s="1686"/>
      <c r="U101" s="1686"/>
      <c r="V101" s="1686"/>
      <c r="W101" s="1686"/>
      <c r="X101" s="1686"/>
      <c r="Y101" s="1686"/>
      <c r="Z101" s="1686"/>
      <c r="AA101" s="1686"/>
      <c r="AB101" s="1686"/>
      <c r="AC101" s="1686"/>
      <c r="AD101" s="1686"/>
      <c r="AE101" s="1686"/>
      <c r="AF101" s="1686"/>
      <c r="AG101" s="1686"/>
      <c r="AH101" s="1466"/>
      <c r="AI101" s="919">
        <f t="shared" si="12"/>
        <v>0</v>
      </c>
      <c r="AJ101" s="1684">
        <v>43.829255141887906</v>
      </c>
      <c r="AK101" s="1117">
        <f t="shared" si="13"/>
        <v>0</v>
      </c>
      <c r="AL101" s="1682" t="s">
        <v>54</v>
      </c>
      <c r="AM101" s="918"/>
      <c r="AN101" s="892"/>
      <c r="AO101" s="892"/>
    </row>
    <row r="102" spans="1:41" ht="54" customHeight="1">
      <c r="A102" s="1704">
        <v>86</v>
      </c>
      <c r="B102" s="1704">
        <v>6</v>
      </c>
      <c r="C102" s="918" t="str">
        <f>'Chấm công KT'!C97</f>
        <v>Nang La Ty</v>
      </c>
      <c r="D102" s="1685"/>
      <c r="E102" s="1685"/>
      <c r="F102" s="1685"/>
      <c r="G102" s="1685"/>
      <c r="H102" s="1685"/>
      <c r="I102" s="1685"/>
      <c r="J102" s="1685"/>
      <c r="K102" s="1685"/>
      <c r="L102" s="1685"/>
      <c r="M102" s="1685"/>
      <c r="N102" s="1685"/>
      <c r="O102" s="1685"/>
      <c r="P102" s="1686"/>
      <c r="Q102" s="1686"/>
      <c r="R102" s="1686"/>
      <c r="S102" s="1686"/>
      <c r="T102" s="1686"/>
      <c r="U102" s="1686"/>
      <c r="V102" s="1686"/>
      <c r="W102" s="1686"/>
      <c r="X102" s="1686"/>
      <c r="Y102" s="1686"/>
      <c r="Z102" s="1686"/>
      <c r="AA102" s="1686"/>
      <c r="AB102" s="1686"/>
      <c r="AC102" s="1686"/>
      <c r="AD102" s="1686"/>
      <c r="AE102" s="1686"/>
      <c r="AF102" s="1686"/>
      <c r="AG102" s="1686"/>
      <c r="AH102" s="1466"/>
      <c r="AI102" s="919">
        <f t="shared" si="12"/>
        <v>0</v>
      </c>
      <c r="AJ102" s="1684">
        <v>43.829255141887906</v>
      </c>
      <c r="AK102" s="1117">
        <f t="shared" si="13"/>
        <v>0</v>
      </c>
      <c r="AL102" s="1682" t="s">
        <v>54</v>
      </c>
      <c r="AM102" s="918"/>
      <c r="AN102" s="892"/>
      <c r="AO102" s="892"/>
    </row>
    <row r="103" spans="1:41" ht="54" customHeight="1">
      <c r="A103" s="1704">
        <v>87</v>
      </c>
      <c r="B103" s="1704">
        <v>7</v>
      </c>
      <c r="C103" s="918" t="str">
        <f>'Chấm công KT'!C98</f>
        <v>N.T.T Trang (1)</v>
      </c>
      <c r="D103" s="1685"/>
      <c r="E103" s="1685"/>
      <c r="F103" s="1685"/>
      <c r="G103" s="1685"/>
      <c r="H103" s="1685"/>
      <c r="I103" s="1685"/>
      <c r="J103" s="1685"/>
      <c r="K103" s="1685"/>
      <c r="L103" s="1685"/>
      <c r="M103" s="1685"/>
      <c r="N103" s="1685"/>
      <c r="O103" s="1685"/>
      <c r="P103" s="1686"/>
      <c r="Q103" s="1686"/>
      <c r="R103" s="1686"/>
      <c r="S103" s="1686"/>
      <c r="T103" s="1686"/>
      <c r="U103" s="1686"/>
      <c r="V103" s="1686"/>
      <c r="W103" s="1686"/>
      <c r="X103" s="1686"/>
      <c r="Y103" s="1686"/>
      <c r="Z103" s="1686"/>
      <c r="AA103" s="1686"/>
      <c r="AB103" s="1686"/>
      <c r="AC103" s="1686"/>
      <c r="AD103" s="1686"/>
      <c r="AE103" s="1686"/>
      <c r="AF103" s="1686"/>
      <c r="AG103" s="1686"/>
      <c r="AH103" s="1466"/>
      <c r="AI103" s="919">
        <f t="shared" si="12"/>
        <v>0</v>
      </c>
      <c r="AJ103" s="1684">
        <v>43.829255141887906</v>
      </c>
      <c r="AK103" s="1117">
        <f t="shared" si="13"/>
        <v>0</v>
      </c>
      <c r="AL103" s="1682" t="s">
        <v>54</v>
      </c>
      <c r="AM103" s="918"/>
      <c r="AN103" s="892"/>
      <c r="AO103" s="892"/>
    </row>
    <row r="104" spans="1:41" ht="54" customHeight="1">
      <c r="A104" s="1704">
        <v>88</v>
      </c>
      <c r="B104" s="1704">
        <v>8</v>
      </c>
      <c r="C104" s="918" t="str">
        <f>'Chấm công KT'!C99</f>
        <v>T. Ni On</v>
      </c>
      <c r="D104" s="1685"/>
      <c r="E104" s="1685"/>
      <c r="F104" s="1685"/>
      <c r="G104" s="1685"/>
      <c r="H104" s="1685"/>
      <c r="I104" s="1685"/>
      <c r="J104" s="1685"/>
      <c r="K104" s="1685"/>
      <c r="L104" s="1685"/>
      <c r="M104" s="1685"/>
      <c r="N104" s="1685"/>
      <c r="O104" s="1685"/>
      <c r="P104" s="1686"/>
      <c r="Q104" s="1686"/>
      <c r="R104" s="1686"/>
      <c r="S104" s="1686"/>
      <c r="T104" s="1686"/>
      <c r="U104" s="1686"/>
      <c r="V104" s="1686"/>
      <c r="W104" s="1686"/>
      <c r="X104" s="1686"/>
      <c r="Y104" s="1686"/>
      <c r="Z104" s="1686"/>
      <c r="AA104" s="1686"/>
      <c r="AB104" s="1686"/>
      <c r="AC104" s="1686"/>
      <c r="AD104" s="1686"/>
      <c r="AE104" s="1686"/>
      <c r="AF104" s="1686"/>
      <c r="AG104" s="1686"/>
      <c r="AH104" s="1466"/>
      <c r="AI104" s="919">
        <f t="shared" si="12"/>
        <v>0</v>
      </c>
      <c r="AJ104" s="1684">
        <v>43.829255141887906</v>
      </c>
      <c r="AK104" s="1117">
        <f t="shared" si="13"/>
        <v>0</v>
      </c>
      <c r="AL104" s="1682" t="s">
        <v>79</v>
      </c>
      <c r="AM104" s="918"/>
      <c r="AN104" s="892"/>
      <c r="AO104" s="892"/>
    </row>
    <row r="105" spans="1:41" ht="54" customHeight="1">
      <c r="A105" s="1704">
        <v>89</v>
      </c>
      <c r="B105" s="1704">
        <v>9</v>
      </c>
      <c r="C105" s="918" t="str">
        <f>'Chấm công KT'!C100</f>
        <v>Thảo Lẹ</v>
      </c>
      <c r="D105" s="1685"/>
      <c r="E105" s="1685"/>
      <c r="F105" s="1685"/>
      <c r="G105" s="1685"/>
      <c r="H105" s="1685"/>
      <c r="I105" s="1685"/>
      <c r="J105" s="1685"/>
      <c r="K105" s="1685"/>
      <c r="L105" s="1685"/>
      <c r="M105" s="1685"/>
      <c r="N105" s="1685"/>
      <c r="O105" s="1685"/>
      <c r="P105" s="1686"/>
      <c r="Q105" s="1686"/>
      <c r="R105" s="1686"/>
      <c r="S105" s="1686"/>
      <c r="T105" s="1686"/>
      <c r="U105" s="1686"/>
      <c r="V105" s="1686"/>
      <c r="W105" s="1686"/>
      <c r="X105" s="1686"/>
      <c r="Y105" s="1686"/>
      <c r="Z105" s="1686"/>
      <c r="AA105" s="1686"/>
      <c r="AB105" s="1686"/>
      <c r="AC105" s="1686"/>
      <c r="AD105" s="1686"/>
      <c r="AE105" s="1686"/>
      <c r="AF105" s="1686"/>
      <c r="AG105" s="1686"/>
      <c r="AH105" s="1466"/>
      <c r="AI105" s="919">
        <f t="shared" si="12"/>
        <v>0</v>
      </c>
      <c r="AJ105" s="1684">
        <v>43.829255141887906</v>
      </c>
      <c r="AK105" s="1117">
        <f t="shared" si="13"/>
        <v>0</v>
      </c>
      <c r="AL105" s="1682" t="s">
        <v>54</v>
      </c>
      <c r="AM105" s="918"/>
      <c r="AN105" s="892"/>
      <c r="AO105" s="892"/>
    </row>
    <row r="106" spans="1:41" ht="54" customHeight="1">
      <c r="A106" s="1704">
        <v>90</v>
      </c>
      <c r="B106" s="1704">
        <v>10</v>
      </c>
      <c r="C106" s="918" t="str">
        <f>'Chấm công KT'!C101</f>
        <v>T. Nả</v>
      </c>
      <c r="D106" s="1685"/>
      <c r="E106" s="1685"/>
      <c r="F106" s="1685"/>
      <c r="G106" s="1685"/>
      <c r="H106" s="1685"/>
      <c r="I106" s="1685"/>
      <c r="J106" s="1685"/>
      <c r="K106" s="1685"/>
      <c r="L106" s="1685"/>
      <c r="M106" s="1685"/>
      <c r="N106" s="1685"/>
      <c r="O106" s="1685"/>
      <c r="P106" s="1686"/>
      <c r="Q106" s="1686"/>
      <c r="R106" s="1686"/>
      <c r="S106" s="1686"/>
      <c r="T106" s="1686"/>
      <c r="U106" s="1686"/>
      <c r="V106" s="1686"/>
      <c r="W106" s="1686"/>
      <c r="X106" s="1686"/>
      <c r="Y106" s="1686"/>
      <c r="Z106" s="1686"/>
      <c r="AA106" s="1686"/>
      <c r="AB106" s="1686"/>
      <c r="AC106" s="1686"/>
      <c r="AD106" s="1686"/>
      <c r="AE106" s="1686"/>
      <c r="AF106" s="1686"/>
      <c r="AG106" s="1686"/>
      <c r="AH106" s="1466"/>
      <c r="AI106" s="919">
        <f t="shared" si="12"/>
        <v>0</v>
      </c>
      <c r="AJ106" s="1684">
        <v>43.829255141887906</v>
      </c>
      <c r="AK106" s="1117">
        <f t="shared" si="13"/>
        <v>0</v>
      </c>
      <c r="AL106" s="1682" t="s">
        <v>79</v>
      </c>
      <c r="AM106" s="918"/>
      <c r="AN106" s="892"/>
      <c r="AO106" s="892"/>
    </row>
    <row r="107" spans="1:41" ht="54" customHeight="1">
      <c r="A107" s="1704">
        <v>91</v>
      </c>
      <c r="B107" s="1704">
        <v>11</v>
      </c>
      <c r="C107" s="918" t="str">
        <f>'Chấm công KT'!C102</f>
        <v>N. Sa Văn</v>
      </c>
      <c r="D107" s="1685"/>
      <c r="E107" s="1685"/>
      <c r="F107" s="1685"/>
      <c r="G107" s="1685"/>
      <c r="H107" s="1685"/>
      <c r="I107" s="1685"/>
      <c r="J107" s="1685"/>
      <c r="K107" s="1685"/>
      <c r="L107" s="1685"/>
      <c r="M107" s="1685"/>
      <c r="N107" s="1685"/>
      <c r="O107" s="1685"/>
      <c r="P107" s="1686"/>
      <c r="Q107" s="1686"/>
      <c r="R107" s="1686"/>
      <c r="S107" s="1686"/>
      <c r="T107" s="1686"/>
      <c r="U107" s="1686"/>
      <c r="V107" s="1686"/>
      <c r="W107" s="1686"/>
      <c r="X107" s="1686"/>
      <c r="Y107" s="1686"/>
      <c r="Z107" s="1686"/>
      <c r="AA107" s="1686"/>
      <c r="AB107" s="1686"/>
      <c r="AC107" s="1686"/>
      <c r="AD107" s="1686"/>
      <c r="AE107" s="1686"/>
      <c r="AF107" s="1686"/>
      <c r="AG107" s="1686"/>
      <c r="AH107" s="1466"/>
      <c r="AI107" s="919">
        <f t="shared" si="12"/>
        <v>0</v>
      </c>
      <c r="AJ107" s="1684">
        <v>43.829255141887906</v>
      </c>
      <c r="AK107" s="1117">
        <f t="shared" si="13"/>
        <v>0</v>
      </c>
      <c r="AL107" s="1682" t="s">
        <v>54</v>
      </c>
      <c r="AM107" s="918"/>
      <c r="AN107" s="892"/>
      <c r="AO107" s="892"/>
    </row>
    <row r="108" spans="1:41" ht="54" customHeight="1">
      <c r="A108" s="1704">
        <v>92</v>
      </c>
      <c r="B108" s="1704">
        <v>12</v>
      </c>
      <c r="C108" s="918" t="str">
        <f>'Chấm công KT'!C103</f>
        <v>N. Chăn</v>
      </c>
      <c r="D108" s="1685"/>
      <c r="E108" s="1685"/>
      <c r="F108" s="1685"/>
      <c r="G108" s="1685"/>
      <c r="H108" s="1685"/>
      <c r="I108" s="1685"/>
      <c r="J108" s="1685"/>
      <c r="K108" s="1685"/>
      <c r="L108" s="1685"/>
      <c r="M108" s="1685"/>
      <c r="N108" s="1685"/>
      <c r="O108" s="1685"/>
      <c r="P108" s="1686"/>
      <c r="Q108" s="1686"/>
      <c r="R108" s="1686"/>
      <c r="S108" s="1686"/>
      <c r="T108" s="1686"/>
      <c r="U108" s="1686"/>
      <c r="V108" s="1686"/>
      <c r="W108" s="1686"/>
      <c r="X108" s="1686"/>
      <c r="Y108" s="1686"/>
      <c r="Z108" s="1686"/>
      <c r="AA108" s="1686"/>
      <c r="AB108" s="1686"/>
      <c r="AC108" s="1686"/>
      <c r="AD108" s="1686"/>
      <c r="AE108" s="1686"/>
      <c r="AF108" s="1686"/>
      <c r="AG108" s="1686"/>
      <c r="AH108" s="1466"/>
      <c r="AI108" s="919">
        <f t="shared" si="12"/>
        <v>0</v>
      </c>
      <c r="AJ108" s="1684">
        <v>43.829255141887906</v>
      </c>
      <c r="AK108" s="1117">
        <f t="shared" si="13"/>
        <v>0</v>
      </c>
      <c r="AL108" s="1682" t="s">
        <v>79</v>
      </c>
      <c r="AM108" s="918"/>
      <c r="AN108" s="892"/>
      <c r="AO108" s="892"/>
    </row>
    <row r="109" spans="1:41" ht="54" customHeight="1">
      <c r="A109" s="1704">
        <v>93</v>
      </c>
      <c r="B109" s="1704">
        <v>13</v>
      </c>
      <c r="C109" s="918" t="str">
        <f>'Chấm công KT'!C104</f>
        <v>T Núc</v>
      </c>
      <c r="D109" s="1685"/>
      <c r="E109" s="1685"/>
      <c r="F109" s="1685"/>
      <c r="G109" s="1685"/>
      <c r="H109" s="1685"/>
      <c r="I109" s="1685"/>
      <c r="J109" s="1685"/>
      <c r="K109" s="1685"/>
      <c r="L109" s="1685"/>
      <c r="M109" s="1685"/>
      <c r="N109" s="1685"/>
      <c r="O109" s="1685"/>
      <c r="P109" s="1686"/>
      <c r="Q109" s="1686"/>
      <c r="R109" s="1686"/>
      <c r="S109" s="1686"/>
      <c r="T109" s="1686"/>
      <c r="U109" s="1686"/>
      <c r="V109" s="1686"/>
      <c r="W109" s="1686"/>
      <c r="X109" s="1686"/>
      <c r="Y109" s="1686"/>
      <c r="Z109" s="1686"/>
      <c r="AA109" s="1686"/>
      <c r="AB109" s="1686"/>
      <c r="AC109" s="1686"/>
      <c r="AD109" s="1686"/>
      <c r="AE109" s="1686"/>
      <c r="AF109" s="1686"/>
      <c r="AG109" s="1686"/>
      <c r="AH109" s="1466"/>
      <c r="AI109" s="919">
        <f t="shared" si="12"/>
        <v>0</v>
      </c>
      <c r="AJ109" s="1684">
        <v>43.829255141887906</v>
      </c>
      <c r="AK109" s="1117">
        <f t="shared" si="13"/>
        <v>0</v>
      </c>
      <c r="AL109" s="1682" t="s">
        <v>79</v>
      </c>
      <c r="AM109" s="918"/>
      <c r="AN109" s="892"/>
      <c r="AO109" s="892"/>
    </row>
    <row r="110" spans="1:41" ht="54" customHeight="1">
      <c r="A110" s="1704">
        <v>94</v>
      </c>
      <c r="B110" s="1704">
        <v>14</v>
      </c>
      <c r="C110" s="918" t="str">
        <f>'Chấm công KT'!C105</f>
        <v>T. Cô</v>
      </c>
      <c r="D110" s="1685"/>
      <c r="E110" s="1685"/>
      <c r="F110" s="1685"/>
      <c r="G110" s="1685"/>
      <c r="H110" s="1685"/>
      <c r="I110" s="1685"/>
      <c r="J110" s="1685"/>
      <c r="K110" s="1685"/>
      <c r="L110" s="1685"/>
      <c r="M110" s="1685"/>
      <c r="N110" s="1685"/>
      <c r="O110" s="1685"/>
      <c r="P110" s="1686"/>
      <c r="Q110" s="1686"/>
      <c r="R110" s="1686"/>
      <c r="S110" s="1686"/>
      <c r="T110" s="1686"/>
      <c r="U110" s="1686"/>
      <c r="V110" s="1686"/>
      <c r="W110" s="1686"/>
      <c r="X110" s="1686"/>
      <c r="Y110" s="1686"/>
      <c r="Z110" s="1686"/>
      <c r="AA110" s="1686"/>
      <c r="AB110" s="1686"/>
      <c r="AC110" s="1686"/>
      <c r="AD110" s="1686"/>
      <c r="AE110" s="1686"/>
      <c r="AF110" s="1686"/>
      <c r="AG110" s="1686"/>
      <c r="AH110" s="1466"/>
      <c r="AI110" s="919">
        <f t="shared" si="12"/>
        <v>0</v>
      </c>
      <c r="AJ110" s="1684">
        <v>43.829255141887906</v>
      </c>
      <c r="AK110" s="1117">
        <f t="shared" si="13"/>
        <v>0</v>
      </c>
      <c r="AL110" s="1682" t="s">
        <v>54</v>
      </c>
      <c r="AM110" s="918"/>
      <c r="AN110" s="892"/>
      <c r="AO110" s="892"/>
    </row>
    <row r="111" spans="1:41" ht="54" customHeight="1">
      <c r="A111" s="1704">
        <v>95</v>
      </c>
      <c r="B111" s="1704">
        <v>15</v>
      </c>
      <c r="C111" s="918" t="str">
        <f>'Chấm công KT'!C106</f>
        <v>N. Khoăn Ta</v>
      </c>
      <c r="D111" s="1685"/>
      <c r="E111" s="1685"/>
      <c r="F111" s="1685"/>
      <c r="G111" s="1685"/>
      <c r="H111" s="1685"/>
      <c r="I111" s="1685"/>
      <c r="J111" s="1685"/>
      <c r="K111" s="1685"/>
      <c r="L111" s="1685"/>
      <c r="M111" s="1685"/>
      <c r="N111" s="1685"/>
      <c r="O111" s="1685"/>
      <c r="P111" s="1686"/>
      <c r="Q111" s="1686"/>
      <c r="R111" s="1686"/>
      <c r="S111" s="1686"/>
      <c r="T111" s="1686"/>
      <c r="U111" s="1686"/>
      <c r="V111" s="1686"/>
      <c r="W111" s="1686"/>
      <c r="X111" s="1686"/>
      <c r="Y111" s="1686"/>
      <c r="Z111" s="1686"/>
      <c r="AA111" s="1686"/>
      <c r="AB111" s="1686"/>
      <c r="AC111" s="1686"/>
      <c r="AD111" s="1686"/>
      <c r="AE111" s="1686"/>
      <c r="AF111" s="1686"/>
      <c r="AG111" s="1686"/>
      <c r="AH111" s="1466"/>
      <c r="AI111" s="919">
        <f t="shared" si="12"/>
        <v>0</v>
      </c>
      <c r="AJ111" s="1684">
        <v>43.829255141887906</v>
      </c>
      <c r="AK111" s="1117">
        <f t="shared" si="13"/>
        <v>0</v>
      </c>
      <c r="AL111" s="1682" t="s">
        <v>79</v>
      </c>
      <c r="AM111" s="918"/>
      <c r="AN111" s="892"/>
      <c r="AO111" s="892"/>
    </row>
    <row r="112" spans="1:41" ht="54" customHeight="1">
      <c r="A112" s="1704">
        <v>96</v>
      </c>
      <c r="B112" s="1704">
        <v>16</v>
      </c>
      <c r="C112" s="918" t="str">
        <f>'Chấm công KT'!C107</f>
        <v>T . Tom</v>
      </c>
      <c r="D112" s="1685"/>
      <c r="E112" s="1685"/>
      <c r="F112" s="1685"/>
      <c r="G112" s="1685"/>
      <c r="H112" s="1685"/>
      <c r="I112" s="1685"/>
      <c r="J112" s="1685"/>
      <c r="K112" s="1685"/>
      <c r="L112" s="1685"/>
      <c r="M112" s="1685"/>
      <c r="N112" s="1685"/>
      <c r="O112" s="1685"/>
      <c r="P112" s="1686"/>
      <c r="Q112" s="1686"/>
      <c r="R112" s="1686"/>
      <c r="S112" s="1686"/>
      <c r="T112" s="1686"/>
      <c r="U112" s="1686"/>
      <c r="V112" s="1686"/>
      <c r="W112" s="1686"/>
      <c r="X112" s="1686"/>
      <c r="Y112" s="1686"/>
      <c r="Z112" s="1686"/>
      <c r="AA112" s="1686"/>
      <c r="AB112" s="1686"/>
      <c r="AC112" s="1686"/>
      <c r="AD112" s="1686"/>
      <c r="AE112" s="1686"/>
      <c r="AF112" s="1686"/>
      <c r="AG112" s="1686"/>
      <c r="AH112" s="1466"/>
      <c r="AI112" s="919">
        <f t="shared" si="12"/>
        <v>0</v>
      </c>
      <c r="AJ112" s="1684">
        <v>43.829255141887906</v>
      </c>
      <c r="AK112" s="1117">
        <f t="shared" si="13"/>
        <v>0</v>
      </c>
      <c r="AL112" s="1682" t="s">
        <v>54</v>
      </c>
      <c r="AM112" s="918"/>
      <c r="AN112" s="892"/>
      <c r="AO112" s="892"/>
    </row>
    <row r="113" spans="1:41" ht="54" customHeight="1">
      <c r="A113" s="1704">
        <v>97</v>
      </c>
      <c r="B113" s="1704">
        <v>17</v>
      </c>
      <c r="C113" s="918" t="str">
        <f>'Chấm công KT'!C108</f>
        <v>T. Son Sa May</v>
      </c>
      <c r="D113" s="1685"/>
      <c r="E113" s="1685"/>
      <c r="F113" s="1685"/>
      <c r="G113" s="1685"/>
      <c r="H113" s="1685"/>
      <c r="I113" s="1685"/>
      <c r="J113" s="1685"/>
      <c r="K113" s="1685"/>
      <c r="L113" s="1685"/>
      <c r="M113" s="1685"/>
      <c r="N113" s="1685"/>
      <c r="O113" s="1685"/>
      <c r="P113" s="1686"/>
      <c r="Q113" s="1686"/>
      <c r="R113" s="1686"/>
      <c r="S113" s="1686"/>
      <c r="T113" s="1686"/>
      <c r="U113" s="1686"/>
      <c r="V113" s="1686"/>
      <c r="W113" s="1686"/>
      <c r="X113" s="1686"/>
      <c r="Y113" s="1686"/>
      <c r="Z113" s="1686"/>
      <c r="AA113" s="1686"/>
      <c r="AB113" s="1686"/>
      <c r="AC113" s="1686"/>
      <c r="AD113" s="1686"/>
      <c r="AE113" s="1686"/>
      <c r="AF113" s="1686"/>
      <c r="AG113" s="1686"/>
      <c r="AH113" s="1466"/>
      <c r="AI113" s="919">
        <f t="shared" si="12"/>
        <v>0</v>
      </c>
      <c r="AJ113" s="1684">
        <v>43.829255141887906</v>
      </c>
      <c r="AK113" s="1117">
        <f t="shared" si="13"/>
        <v>0</v>
      </c>
      <c r="AL113" s="1682" t="s">
        <v>54</v>
      </c>
      <c r="AM113" s="918"/>
      <c r="AN113" s="892"/>
      <c r="AO113" s="892"/>
    </row>
    <row r="114" spans="1:41" ht="54" customHeight="1">
      <c r="A114" s="1704">
        <v>98</v>
      </c>
      <c r="B114" s="1704">
        <v>18</v>
      </c>
      <c r="C114" s="918" t="str">
        <f>'Chấm công KT'!C109</f>
        <v>N. Túc</v>
      </c>
      <c r="D114" s="1685"/>
      <c r="E114" s="1685"/>
      <c r="F114" s="1685"/>
      <c r="G114" s="1685"/>
      <c r="H114" s="1685"/>
      <c r="I114" s="1685"/>
      <c r="J114" s="1685"/>
      <c r="K114" s="1685"/>
      <c r="L114" s="1685"/>
      <c r="M114" s="1685"/>
      <c r="N114" s="1685"/>
      <c r="O114" s="1685"/>
      <c r="P114" s="1686"/>
      <c r="Q114" s="1686"/>
      <c r="R114" s="1686"/>
      <c r="S114" s="1686"/>
      <c r="T114" s="1686"/>
      <c r="U114" s="1686"/>
      <c r="V114" s="1686"/>
      <c r="W114" s="1686"/>
      <c r="X114" s="1686"/>
      <c r="Y114" s="1686"/>
      <c r="Z114" s="1686"/>
      <c r="AA114" s="1686"/>
      <c r="AB114" s="1686"/>
      <c r="AC114" s="1686"/>
      <c r="AD114" s="1686"/>
      <c r="AE114" s="1686"/>
      <c r="AF114" s="1686"/>
      <c r="AG114" s="1686"/>
      <c r="AH114" s="1466"/>
      <c r="AI114" s="919">
        <f t="shared" si="12"/>
        <v>0</v>
      </c>
      <c r="AJ114" s="1684">
        <v>43.829255141887906</v>
      </c>
      <c r="AK114" s="1117">
        <f t="shared" si="13"/>
        <v>0</v>
      </c>
      <c r="AL114" s="1682" t="s">
        <v>54</v>
      </c>
      <c r="AM114" s="918"/>
      <c r="AN114" s="892"/>
      <c r="AO114" s="892"/>
    </row>
    <row r="115" spans="1:41" ht="54" customHeight="1">
      <c r="A115" s="1704">
        <v>99</v>
      </c>
      <c r="B115" s="1704">
        <v>19</v>
      </c>
      <c r="C115" s="918" t="str">
        <f>'Chấm công KT'!C110</f>
        <v>T. Say</v>
      </c>
      <c r="D115" s="1685"/>
      <c r="E115" s="1685"/>
      <c r="F115" s="1685"/>
      <c r="G115" s="1685"/>
      <c r="H115" s="1685"/>
      <c r="I115" s="1685"/>
      <c r="J115" s="1685"/>
      <c r="K115" s="1685"/>
      <c r="L115" s="1685"/>
      <c r="M115" s="1685"/>
      <c r="N115" s="1685"/>
      <c r="O115" s="1685"/>
      <c r="P115" s="1686"/>
      <c r="Q115" s="1686"/>
      <c r="R115" s="1686"/>
      <c r="S115" s="1686"/>
      <c r="T115" s="1686"/>
      <c r="U115" s="1686"/>
      <c r="V115" s="1686"/>
      <c r="W115" s="1686"/>
      <c r="X115" s="1686"/>
      <c r="Y115" s="1686"/>
      <c r="Z115" s="1686"/>
      <c r="AA115" s="1686"/>
      <c r="AB115" s="1686"/>
      <c r="AC115" s="1686"/>
      <c r="AD115" s="1686"/>
      <c r="AE115" s="1686"/>
      <c r="AF115" s="1686"/>
      <c r="AG115" s="1686"/>
      <c r="AH115" s="1466"/>
      <c r="AI115" s="919">
        <f t="shared" si="12"/>
        <v>0</v>
      </c>
      <c r="AJ115" s="1684">
        <v>43.829255141887906</v>
      </c>
      <c r="AK115" s="1117">
        <f t="shared" si="13"/>
        <v>0</v>
      </c>
      <c r="AL115" s="1682" t="s">
        <v>79</v>
      </c>
      <c r="AM115" s="918"/>
      <c r="AN115" s="892"/>
      <c r="AO115" s="892"/>
    </row>
    <row r="116" spans="1:41" ht="54" customHeight="1">
      <c r="A116" s="1704">
        <v>100</v>
      </c>
      <c r="B116" s="1704">
        <v>20</v>
      </c>
      <c r="C116" s="918" t="str">
        <f>'Chấm công KT'!C111</f>
        <v>T. Pha Đi</v>
      </c>
      <c r="D116" s="1685"/>
      <c r="E116" s="1685"/>
      <c r="F116" s="1685"/>
      <c r="G116" s="1685"/>
      <c r="H116" s="1685"/>
      <c r="I116" s="1685"/>
      <c r="J116" s="1685"/>
      <c r="K116" s="1685"/>
      <c r="L116" s="1685"/>
      <c r="M116" s="1685"/>
      <c r="N116" s="1685"/>
      <c r="O116" s="1685"/>
      <c r="P116" s="1686"/>
      <c r="Q116" s="1686"/>
      <c r="R116" s="1686"/>
      <c r="S116" s="1686"/>
      <c r="T116" s="1686"/>
      <c r="U116" s="1686"/>
      <c r="V116" s="1686"/>
      <c r="W116" s="1686"/>
      <c r="X116" s="1686"/>
      <c r="Y116" s="1686"/>
      <c r="Z116" s="1686"/>
      <c r="AA116" s="1686"/>
      <c r="AB116" s="1686"/>
      <c r="AC116" s="1686"/>
      <c r="AD116" s="1686"/>
      <c r="AE116" s="1686"/>
      <c r="AF116" s="1686"/>
      <c r="AG116" s="1686"/>
      <c r="AH116" s="1466"/>
      <c r="AI116" s="919">
        <f t="shared" si="12"/>
        <v>0</v>
      </c>
      <c r="AJ116" s="1684">
        <v>43.829255141887906</v>
      </c>
      <c r="AK116" s="1117">
        <f t="shared" si="13"/>
        <v>0</v>
      </c>
      <c r="AL116" s="1682" t="s">
        <v>54</v>
      </c>
      <c r="AM116" s="918"/>
      <c r="AN116" s="892"/>
      <c r="AO116" s="892"/>
    </row>
    <row r="117" spans="1:41" ht="54" customHeight="1">
      <c r="A117" s="1704">
        <v>101</v>
      </c>
      <c r="B117" s="1704">
        <v>21</v>
      </c>
      <c r="C117" s="918" t="str">
        <f>'Chấm công KT'!C112</f>
        <v>T. Un</v>
      </c>
      <c r="D117" s="1685"/>
      <c r="E117" s="1685"/>
      <c r="F117" s="1685"/>
      <c r="G117" s="1685"/>
      <c r="H117" s="1685"/>
      <c r="I117" s="1685"/>
      <c r="J117" s="1685"/>
      <c r="K117" s="1685"/>
      <c r="L117" s="1685"/>
      <c r="M117" s="1685"/>
      <c r="N117" s="1685"/>
      <c r="O117" s="1685"/>
      <c r="P117" s="1686"/>
      <c r="Q117" s="1686"/>
      <c r="R117" s="1686"/>
      <c r="S117" s="1686"/>
      <c r="T117" s="1686"/>
      <c r="U117" s="1686"/>
      <c r="V117" s="1686"/>
      <c r="W117" s="1686"/>
      <c r="X117" s="1686"/>
      <c r="Y117" s="1686"/>
      <c r="Z117" s="1686"/>
      <c r="AA117" s="1686"/>
      <c r="AB117" s="1686"/>
      <c r="AC117" s="1686"/>
      <c r="AD117" s="1686"/>
      <c r="AE117" s="1686"/>
      <c r="AF117" s="1686"/>
      <c r="AG117" s="1686"/>
      <c r="AH117" s="1466"/>
      <c r="AI117" s="919">
        <f t="shared" si="12"/>
        <v>0</v>
      </c>
      <c r="AJ117" s="1684">
        <v>43.829255141887906</v>
      </c>
      <c r="AK117" s="1117">
        <f t="shared" si="13"/>
        <v>0</v>
      </c>
      <c r="AL117" s="1682" t="s">
        <v>79</v>
      </c>
      <c r="AM117" s="918"/>
      <c r="AN117" s="892"/>
      <c r="AO117" s="892"/>
    </row>
    <row r="118" spans="1:41" ht="54" customHeight="1">
      <c r="A118" s="1704">
        <v>102</v>
      </c>
      <c r="B118" s="1704">
        <v>22</v>
      </c>
      <c r="C118" s="918" t="str">
        <f>'Chấm công KT'!C113</f>
        <v>T. Ôn</v>
      </c>
      <c r="D118" s="1685"/>
      <c r="E118" s="1685"/>
      <c r="F118" s="1685"/>
      <c r="G118" s="1685"/>
      <c r="H118" s="1685"/>
      <c r="I118" s="1685"/>
      <c r="J118" s="1685"/>
      <c r="K118" s="1685"/>
      <c r="L118" s="1685"/>
      <c r="M118" s="1685"/>
      <c r="N118" s="1685"/>
      <c r="O118" s="1685"/>
      <c r="P118" s="1686"/>
      <c r="Q118" s="1686"/>
      <c r="R118" s="1686"/>
      <c r="S118" s="1686"/>
      <c r="T118" s="1686"/>
      <c r="U118" s="1686"/>
      <c r="V118" s="1686"/>
      <c r="W118" s="1686"/>
      <c r="X118" s="1686"/>
      <c r="Y118" s="1686"/>
      <c r="Z118" s="1686"/>
      <c r="AA118" s="1686"/>
      <c r="AB118" s="1686"/>
      <c r="AC118" s="1686"/>
      <c r="AD118" s="1686"/>
      <c r="AE118" s="1686"/>
      <c r="AF118" s="1686"/>
      <c r="AG118" s="1686"/>
      <c r="AH118" s="1466"/>
      <c r="AI118" s="919">
        <f t="shared" si="12"/>
        <v>0</v>
      </c>
      <c r="AJ118" s="1684">
        <v>43.829255141887906</v>
      </c>
      <c r="AK118" s="1117">
        <f t="shared" si="13"/>
        <v>0</v>
      </c>
      <c r="AL118" s="1682" t="s">
        <v>54</v>
      </c>
      <c r="AM118" s="918"/>
      <c r="AN118" s="892"/>
      <c r="AO118" s="892"/>
    </row>
    <row r="119" spans="1:41" ht="54" customHeight="1">
      <c r="A119" s="1704">
        <v>103</v>
      </c>
      <c r="B119" s="1704">
        <v>23</v>
      </c>
      <c r="C119" s="918" t="str">
        <f>'Chấm công KT'!C114</f>
        <v>N. Không</v>
      </c>
      <c r="D119" s="1685"/>
      <c r="E119" s="1685"/>
      <c r="F119" s="1685"/>
      <c r="G119" s="1685"/>
      <c r="H119" s="1685"/>
      <c r="I119" s="1685"/>
      <c r="J119" s="1685"/>
      <c r="K119" s="1685"/>
      <c r="L119" s="1685"/>
      <c r="M119" s="1685"/>
      <c r="N119" s="1685"/>
      <c r="O119" s="1685"/>
      <c r="P119" s="1686"/>
      <c r="Q119" s="1686"/>
      <c r="R119" s="1686"/>
      <c r="S119" s="1686"/>
      <c r="T119" s="1686"/>
      <c r="U119" s="1686"/>
      <c r="V119" s="1686"/>
      <c r="W119" s="1686"/>
      <c r="X119" s="1686"/>
      <c r="Y119" s="1686"/>
      <c r="Z119" s="1686"/>
      <c r="AA119" s="1686"/>
      <c r="AB119" s="1686"/>
      <c r="AC119" s="1686"/>
      <c r="AD119" s="1686"/>
      <c r="AE119" s="1686"/>
      <c r="AF119" s="1686"/>
      <c r="AG119" s="1686"/>
      <c r="AH119" s="1466"/>
      <c r="AI119" s="919">
        <f t="shared" si="12"/>
        <v>0</v>
      </c>
      <c r="AJ119" s="1684">
        <v>43.829255141887906</v>
      </c>
      <c r="AK119" s="1117">
        <f t="shared" si="13"/>
        <v>0</v>
      </c>
      <c r="AL119" s="1682" t="s">
        <v>79</v>
      </c>
      <c r="AM119" s="918"/>
      <c r="AN119" s="892"/>
      <c r="AO119" s="892"/>
    </row>
    <row r="120" spans="1:41" ht="54" customHeight="1">
      <c r="A120" s="1704">
        <v>104</v>
      </c>
      <c r="B120" s="1704">
        <v>24</v>
      </c>
      <c r="C120" s="918" t="str">
        <f>'Chấm công KT'!C115</f>
        <v>Văn Đi</v>
      </c>
      <c r="D120" s="1685"/>
      <c r="E120" s="1685"/>
      <c r="F120" s="1685"/>
      <c r="G120" s="1685"/>
      <c r="H120" s="1685"/>
      <c r="I120" s="1685"/>
      <c r="J120" s="1685"/>
      <c r="K120" s="1685"/>
      <c r="L120" s="1685"/>
      <c r="M120" s="1685"/>
      <c r="N120" s="1685"/>
      <c r="O120" s="1685"/>
      <c r="P120" s="1686"/>
      <c r="Q120" s="1686"/>
      <c r="R120" s="1686"/>
      <c r="S120" s="1686"/>
      <c r="T120" s="1686"/>
      <c r="U120" s="1686"/>
      <c r="V120" s="1686"/>
      <c r="W120" s="1686"/>
      <c r="X120" s="1686"/>
      <c r="Y120" s="1686"/>
      <c r="Z120" s="1686"/>
      <c r="AA120" s="1686"/>
      <c r="AB120" s="1686"/>
      <c r="AC120" s="1686"/>
      <c r="AD120" s="1686"/>
      <c r="AE120" s="1686"/>
      <c r="AF120" s="1686"/>
      <c r="AG120" s="1686"/>
      <c r="AH120" s="1466"/>
      <c r="AI120" s="919">
        <f t="shared" si="12"/>
        <v>0</v>
      </c>
      <c r="AJ120" s="1684">
        <v>43.829255141887906</v>
      </c>
      <c r="AK120" s="1117">
        <f t="shared" si="13"/>
        <v>0</v>
      </c>
      <c r="AL120" s="1682" t="s">
        <v>79</v>
      </c>
      <c r="AM120" s="918"/>
      <c r="AN120" s="892"/>
      <c r="AO120" s="892"/>
    </row>
    <row r="121" spans="1:41" ht="54" customHeight="1">
      <c r="A121" s="1704">
        <v>105</v>
      </c>
      <c r="B121" s="1704">
        <v>25</v>
      </c>
      <c r="C121" s="918" t="str">
        <f>'Chấm công KT'!C116</f>
        <v>T. U Đôm</v>
      </c>
      <c r="D121" s="1685"/>
      <c r="E121" s="1685"/>
      <c r="F121" s="1685"/>
      <c r="G121" s="1685"/>
      <c r="H121" s="1685"/>
      <c r="I121" s="1685"/>
      <c r="J121" s="1685"/>
      <c r="K121" s="1685"/>
      <c r="L121" s="1685"/>
      <c r="M121" s="1685"/>
      <c r="N121" s="1685"/>
      <c r="O121" s="1685"/>
      <c r="P121" s="1686"/>
      <c r="Q121" s="1686"/>
      <c r="R121" s="1686"/>
      <c r="S121" s="1686"/>
      <c r="T121" s="1686"/>
      <c r="U121" s="1686"/>
      <c r="V121" s="1686"/>
      <c r="W121" s="1686"/>
      <c r="X121" s="1686"/>
      <c r="Y121" s="1686"/>
      <c r="Z121" s="1686"/>
      <c r="AA121" s="1686"/>
      <c r="AB121" s="1686"/>
      <c r="AC121" s="1686"/>
      <c r="AD121" s="1686"/>
      <c r="AE121" s="1686"/>
      <c r="AF121" s="1686"/>
      <c r="AG121" s="1686"/>
      <c r="AH121" s="1466"/>
      <c r="AI121" s="919">
        <f t="shared" si="12"/>
        <v>0</v>
      </c>
      <c r="AJ121" s="1684">
        <v>43.829255141887906</v>
      </c>
      <c r="AK121" s="1117">
        <f t="shared" si="13"/>
        <v>0</v>
      </c>
      <c r="AL121" s="1682" t="s">
        <v>54</v>
      </c>
      <c r="AM121" s="918"/>
      <c r="AN121" s="892"/>
      <c r="AO121" s="892"/>
    </row>
    <row r="122" spans="1:41" ht="54" customHeight="1">
      <c r="A122" s="1704">
        <v>106</v>
      </c>
      <c r="B122" s="1704">
        <v>26</v>
      </c>
      <c r="C122" s="918" t="str">
        <f>'Chấm công KT'!C117</f>
        <v>N. Lăm Thong</v>
      </c>
      <c r="D122" s="1685"/>
      <c r="E122" s="1685"/>
      <c r="F122" s="1685"/>
      <c r="G122" s="1685"/>
      <c r="H122" s="1685"/>
      <c r="I122" s="1685"/>
      <c r="J122" s="1685"/>
      <c r="K122" s="1685"/>
      <c r="L122" s="1685"/>
      <c r="M122" s="1685"/>
      <c r="N122" s="1685"/>
      <c r="O122" s="1685"/>
      <c r="P122" s="1686"/>
      <c r="Q122" s="1686"/>
      <c r="R122" s="1686"/>
      <c r="S122" s="1686"/>
      <c r="T122" s="1686"/>
      <c r="U122" s="1686"/>
      <c r="V122" s="1686"/>
      <c r="W122" s="1686"/>
      <c r="X122" s="1686"/>
      <c r="Y122" s="1686"/>
      <c r="Z122" s="1686"/>
      <c r="AA122" s="1686"/>
      <c r="AB122" s="1686"/>
      <c r="AC122" s="1686"/>
      <c r="AD122" s="1686"/>
      <c r="AE122" s="1686"/>
      <c r="AF122" s="1686"/>
      <c r="AG122" s="1686"/>
      <c r="AH122" s="1466"/>
      <c r="AI122" s="919">
        <f t="shared" si="12"/>
        <v>0</v>
      </c>
      <c r="AJ122" s="1684">
        <v>43.829255141887906</v>
      </c>
      <c r="AK122" s="1117">
        <f t="shared" si="13"/>
        <v>0</v>
      </c>
      <c r="AL122" s="1682" t="s">
        <v>54</v>
      </c>
      <c r="AM122" s="918"/>
      <c r="AN122" s="892"/>
      <c r="AO122" s="892"/>
    </row>
    <row r="123" spans="1:41" ht="54" customHeight="1">
      <c r="A123" s="1704">
        <v>107</v>
      </c>
      <c r="B123" s="1704">
        <v>27</v>
      </c>
      <c r="C123" s="918" t="str">
        <f>'Chấm công KT'!C118</f>
        <v>N. Seng</v>
      </c>
      <c r="D123" s="1685"/>
      <c r="E123" s="1685"/>
      <c r="F123" s="1685"/>
      <c r="G123" s="1685"/>
      <c r="H123" s="1685"/>
      <c r="I123" s="1685"/>
      <c r="J123" s="1685"/>
      <c r="K123" s="1685"/>
      <c r="L123" s="1685"/>
      <c r="M123" s="1685"/>
      <c r="N123" s="1685"/>
      <c r="O123" s="1685"/>
      <c r="P123" s="1686"/>
      <c r="Q123" s="1686"/>
      <c r="R123" s="1686"/>
      <c r="S123" s="1686"/>
      <c r="T123" s="1686"/>
      <c r="U123" s="1686"/>
      <c r="V123" s="1686"/>
      <c r="W123" s="1686"/>
      <c r="X123" s="1686"/>
      <c r="Y123" s="1686"/>
      <c r="Z123" s="1686"/>
      <c r="AA123" s="1686"/>
      <c r="AB123" s="1686"/>
      <c r="AC123" s="1686"/>
      <c r="AD123" s="1686"/>
      <c r="AE123" s="1686"/>
      <c r="AF123" s="1686"/>
      <c r="AG123" s="1686"/>
      <c r="AH123" s="1466"/>
      <c r="AI123" s="919">
        <f t="shared" si="12"/>
        <v>0</v>
      </c>
      <c r="AJ123" s="1684">
        <v>43.829255141887906</v>
      </c>
      <c r="AK123" s="1117">
        <f t="shared" si="13"/>
        <v>0</v>
      </c>
      <c r="AL123" s="1682" t="s">
        <v>79</v>
      </c>
      <c r="AM123" s="918"/>
      <c r="AN123" s="892"/>
      <c r="AO123" s="892"/>
    </row>
    <row r="124" spans="1:41" ht="54" customHeight="1">
      <c r="A124" s="1704">
        <v>108</v>
      </c>
      <c r="B124" s="1704">
        <v>28</v>
      </c>
      <c r="C124" s="918" t="str">
        <f>'Chấm công KT'!C119</f>
        <v>T Đeng</v>
      </c>
      <c r="D124" s="1685"/>
      <c r="E124" s="1685"/>
      <c r="F124" s="1685"/>
      <c r="G124" s="1685"/>
      <c r="H124" s="1685"/>
      <c r="I124" s="1685"/>
      <c r="J124" s="1685"/>
      <c r="K124" s="1685"/>
      <c r="L124" s="1685"/>
      <c r="M124" s="1685"/>
      <c r="N124" s="1685"/>
      <c r="O124" s="1685"/>
      <c r="P124" s="1686"/>
      <c r="Q124" s="1686"/>
      <c r="R124" s="1686"/>
      <c r="S124" s="1686"/>
      <c r="T124" s="1686"/>
      <c r="U124" s="1686"/>
      <c r="V124" s="1686"/>
      <c r="W124" s="1686"/>
      <c r="X124" s="1686"/>
      <c r="Y124" s="1686"/>
      <c r="Z124" s="1686"/>
      <c r="AA124" s="1686"/>
      <c r="AB124" s="1686"/>
      <c r="AC124" s="1686"/>
      <c r="AD124" s="1686"/>
      <c r="AE124" s="1686"/>
      <c r="AF124" s="1686"/>
      <c r="AG124" s="1686"/>
      <c r="AH124" s="1466"/>
      <c r="AI124" s="919">
        <f t="shared" si="12"/>
        <v>0</v>
      </c>
      <c r="AJ124" s="1684">
        <v>43.829255141887906</v>
      </c>
      <c r="AK124" s="1117">
        <f t="shared" si="13"/>
        <v>0</v>
      </c>
      <c r="AL124" s="1682" t="s">
        <v>54</v>
      </c>
      <c r="AM124" s="918"/>
      <c r="AN124" s="892"/>
      <c r="AO124" s="892"/>
    </row>
    <row r="125" spans="1:41" ht="54" customHeight="1">
      <c r="A125" s="1704">
        <v>109</v>
      </c>
      <c r="B125" s="1704">
        <v>29</v>
      </c>
      <c r="C125" s="918" t="str">
        <f>'Chấm công KT'!C120</f>
        <v>T . Keo</v>
      </c>
      <c r="D125" s="1685"/>
      <c r="E125" s="1685"/>
      <c r="F125" s="1685"/>
      <c r="G125" s="1685"/>
      <c r="H125" s="1685"/>
      <c r="I125" s="1685"/>
      <c r="J125" s="1685"/>
      <c r="K125" s="1685"/>
      <c r="L125" s="1685"/>
      <c r="M125" s="1685"/>
      <c r="N125" s="1685"/>
      <c r="O125" s="1685"/>
      <c r="P125" s="1686"/>
      <c r="Q125" s="1686"/>
      <c r="R125" s="1686"/>
      <c r="S125" s="1686"/>
      <c r="T125" s="1686"/>
      <c r="U125" s="1686"/>
      <c r="V125" s="1686"/>
      <c r="W125" s="1686"/>
      <c r="X125" s="1686"/>
      <c r="Y125" s="1686"/>
      <c r="Z125" s="1686"/>
      <c r="AA125" s="1686"/>
      <c r="AB125" s="1686"/>
      <c r="AC125" s="1686"/>
      <c r="AD125" s="1686"/>
      <c r="AE125" s="1686"/>
      <c r="AF125" s="1686"/>
      <c r="AG125" s="1686"/>
      <c r="AH125" s="1466"/>
      <c r="AI125" s="919">
        <f t="shared" si="12"/>
        <v>0</v>
      </c>
      <c r="AJ125" s="1684">
        <v>43.829255141887906</v>
      </c>
      <c r="AK125" s="1117">
        <f t="shared" si="13"/>
        <v>0</v>
      </c>
      <c r="AL125" s="1682" t="s">
        <v>79</v>
      </c>
      <c r="AM125" s="918"/>
      <c r="AN125" s="892"/>
      <c r="AO125" s="892"/>
    </row>
    <row r="126" spans="1:41" ht="54" customHeight="1">
      <c r="A126" s="1704">
        <v>110</v>
      </c>
      <c r="B126" s="1704">
        <v>30</v>
      </c>
      <c r="C126" s="918" t="str">
        <f>'Chấm công KT'!C121</f>
        <v>Văn Na Nọi</v>
      </c>
      <c r="D126" s="1685"/>
      <c r="E126" s="1685"/>
      <c r="F126" s="1685"/>
      <c r="G126" s="1685"/>
      <c r="H126" s="1685"/>
      <c r="I126" s="1685"/>
      <c r="J126" s="1685"/>
      <c r="K126" s="1685"/>
      <c r="L126" s="1685"/>
      <c r="M126" s="1685"/>
      <c r="N126" s="1685"/>
      <c r="O126" s="1685"/>
      <c r="P126" s="1686"/>
      <c r="Q126" s="1686"/>
      <c r="R126" s="1686"/>
      <c r="S126" s="1686"/>
      <c r="T126" s="1686"/>
      <c r="U126" s="1686"/>
      <c r="V126" s="1686"/>
      <c r="W126" s="1686"/>
      <c r="X126" s="1686"/>
      <c r="Y126" s="1686"/>
      <c r="Z126" s="1686"/>
      <c r="AA126" s="1686"/>
      <c r="AB126" s="1686"/>
      <c r="AC126" s="1686"/>
      <c r="AD126" s="1686"/>
      <c r="AE126" s="1686"/>
      <c r="AF126" s="1686"/>
      <c r="AG126" s="1686"/>
      <c r="AH126" s="1466"/>
      <c r="AI126" s="919">
        <f t="shared" si="12"/>
        <v>0</v>
      </c>
      <c r="AJ126" s="1684">
        <v>43.829255141887906</v>
      </c>
      <c r="AK126" s="1117">
        <f t="shared" si="13"/>
        <v>0</v>
      </c>
      <c r="AL126" s="1682" t="s">
        <v>79</v>
      </c>
      <c r="AM126" s="918"/>
      <c r="AN126" s="892"/>
      <c r="AO126" s="892"/>
    </row>
    <row r="127" spans="1:41" ht="54" customHeight="1">
      <c r="A127" s="1704">
        <v>111</v>
      </c>
      <c r="B127" s="1704">
        <v>31</v>
      </c>
      <c r="C127" s="918" t="str">
        <f>'Chấm công KT'!C122</f>
        <v>T. Ta</v>
      </c>
      <c r="D127" s="1685"/>
      <c r="E127" s="1685"/>
      <c r="F127" s="1685"/>
      <c r="G127" s="1685"/>
      <c r="H127" s="1685"/>
      <c r="I127" s="1685"/>
      <c r="J127" s="1685"/>
      <c r="K127" s="1685"/>
      <c r="L127" s="1685"/>
      <c r="M127" s="1685"/>
      <c r="N127" s="1685"/>
      <c r="O127" s="1685"/>
      <c r="P127" s="1686"/>
      <c r="Q127" s="1686"/>
      <c r="R127" s="1686"/>
      <c r="S127" s="1686"/>
      <c r="T127" s="1686"/>
      <c r="U127" s="1686"/>
      <c r="V127" s="1686"/>
      <c r="W127" s="1686"/>
      <c r="X127" s="1686"/>
      <c r="Y127" s="1686"/>
      <c r="Z127" s="1686"/>
      <c r="AA127" s="1686"/>
      <c r="AB127" s="1686"/>
      <c r="AC127" s="1686"/>
      <c r="AD127" s="1686"/>
      <c r="AE127" s="1686"/>
      <c r="AF127" s="1686"/>
      <c r="AG127" s="1686"/>
      <c r="AH127" s="1466"/>
      <c r="AI127" s="919">
        <f t="shared" si="12"/>
        <v>0</v>
      </c>
      <c r="AJ127" s="1684">
        <v>43.829255141887906</v>
      </c>
      <c r="AK127" s="1117">
        <f t="shared" si="13"/>
        <v>0</v>
      </c>
      <c r="AL127" s="1682" t="s">
        <v>54</v>
      </c>
      <c r="AM127" s="918"/>
      <c r="AN127" s="892"/>
      <c r="AO127" s="892"/>
    </row>
    <row r="128" spans="1:41" ht="54" customHeight="1">
      <c r="A128" s="1704">
        <v>112</v>
      </c>
      <c r="B128" s="1704">
        <v>32</v>
      </c>
      <c r="C128" s="918" t="str">
        <f>'Chấm công KT'!C123</f>
        <v>Phon Xa Văn</v>
      </c>
      <c r="D128" s="1685"/>
      <c r="E128" s="1685"/>
      <c r="F128" s="1685"/>
      <c r="G128" s="1685"/>
      <c r="H128" s="1685"/>
      <c r="I128" s="1685"/>
      <c r="J128" s="1685"/>
      <c r="K128" s="1685"/>
      <c r="L128" s="1685"/>
      <c r="M128" s="1685"/>
      <c r="N128" s="1685"/>
      <c r="O128" s="1685"/>
      <c r="P128" s="1686"/>
      <c r="Q128" s="1686"/>
      <c r="R128" s="1686"/>
      <c r="S128" s="1686"/>
      <c r="T128" s="1686"/>
      <c r="U128" s="1686"/>
      <c r="V128" s="1686"/>
      <c r="W128" s="1686"/>
      <c r="X128" s="1686"/>
      <c r="Y128" s="1686"/>
      <c r="Z128" s="1686"/>
      <c r="AA128" s="1686"/>
      <c r="AB128" s="1686"/>
      <c r="AC128" s="1686"/>
      <c r="AD128" s="1686"/>
      <c r="AE128" s="1686"/>
      <c r="AF128" s="1686"/>
      <c r="AG128" s="1686"/>
      <c r="AH128" s="1466"/>
      <c r="AI128" s="919">
        <f t="shared" si="12"/>
        <v>0</v>
      </c>
      <c r="AJ128" s="1684">
        <v>43.829255141887906</v>
      </c>
      <c r="AK128" s="1117">
        <f t="shared" si="13"/>
        <v>0</v>
      </c>
      <c r="AL128" s="1682" t="s">
        <v>79</v>
      </c>
      <c r="AM128" s="918"/>
      <c r="AN128" s="892"/>
      <c r="AO128" s="892"/>
    </row>
    <row r="129" spans="1:41" ht="54" customHeight="1">
      <c r="A129" s="1704">
        <v>113</v>
      </c>
      <c r="B129" s="1704">
        <v>33</v>
      </c>
      <c r="C129" s="918" t="str">
        <f>'Chấm công KT'!C124</f>
        <v>T. Nọi</v>
      </c>
      <c r="D129" s="1685"/>
      <c r="E129" s="1685"/>
      <c r="F129" s="1685"/>
      <c r="G129" s="1685"/>
      <c r="H129" s="1685"/>
      <c r="I129" s="1685"/>
      <c r="J129" s="1685"/>
      <c r="K129" s="1685"/>
      <c r="L129" s="1685"/>
      <c r="M129" s="1685"/>
      <c r="N129" s="1685"/>
      <c r="O129" s="1685"/>
      <c r="P129" s="1686"/>
      <c r="Q129" s="1686"/>
      <c r="R129" s="1686"/>
      <c r="S129" s="1686"/>
      <c r="T129" s="1686"/>
      <c r="U129" s="1686"/>
      <c r="V129" s="1686"/>
      <c r="W129" s="1686"/>
      <c r="X129" s="1686"/>
      <c r="Y129" s="1686"/>
      <c r="Z129" s="1686"/>
      <c r="AA129" s="1686"/>
      <c r="AB129" s="1686"/>
      <c r="AC129" s="1686"/>
      <c r="AD129" s="1686"/>
      <c r="AE129" s="1686"/>
      <c r="AF129" s="1686"/>
      <c r="AG129" s="1686"/>
      <c r="AH129" s="1466"/>
      <c r="AI129" s="919">
        <f t="shared" si="12"/>
        <v>0</v>
      </c>
      <c r="AJ129" s="1684">
        <v>43.829255141887906</v>
      </c>
      <c r="AK129" s="1117">
        <f t="shared" ref="AK129:AK160" si="14">AI129*AJ129/100</f>
        <v>0</v>
      </c>
      <c r="AL129" s="1682" t="s">
        <v>54</v>
      </c>
      <c r="AM129" s="918"/>
      <c r="AN129" s="892"/>
      <c r="AO129" s="892"/>
    </row>
    <row r="130" spans="1:41" ht="54" customHeight="1">
      <c r="A130" s="1704">
        <v>114</v>
      </c>
      <c r="B130" s="1704">
        <v>34</v>
      </c>
      <c r="C130" s="918" t="str">
        <f>'Chấm công KT'!C125</f>
        <v>N. Nôn</v>
      </c>
      <c r="D130" s="1685"/>
      <c r="E130" s="1685"/>
      <c r="F130" s="1685"/>
      <c r="G130" s="1685"/>
      <c r="H130" s="1685"/>
      <c r="I130" s="1685"/>
      <c r="J130" s="1685"/>
      <c r="K130" s="1685"/>
      <c r="L130" s="1685"/>
      <c r="M130" s="1685"/>
      <c r="N130" s="1685"/>
      <c r="O130" s="1685"/>
      <c r="P130" s="1686"/>
      <c r="Q130" s="1686"/>
      <c r="R130" s="1686"/>
      <c r="S130" s="1686"/>
      <c r="T130" s="1686"/>
      <c r="U130" s="1686"/>
      <c r="V130" s="1686"/>
      <c r="W130" s="1686"/>
      <c r="X130" s="1686"/>
      <c r="Y130" s="1686"/>
      <c r="Z130" s="1686"/>
      <c r="AA130" s="1686"/>
      <c r="AB130" s="1686"/>
      <c r="AC130" s="1686"/>
      <c r="AD130" s="1686"/>
      <c r="AE130" s="1686"/>
      <c r="AF130" s="1686"/>
      <c r="AG130" s="1686"/>
      <c r="AH130" s="1466"/>
      <c r="AI130" s="919">
        <f t="shared" si="12"/>
        <v>0</v>
      </c>
      <c r="AJ130" s="1684">
        <v>43.829255141887906</v>
      </c>
      <c r="AK130" s="1117">
        <f t="shared" si="14"/>
        <v>0</v>
      </c>
      <c r="AL130" s="1682" t="s">
        <v>54</v>
      </c>
      <c r="AM130" s="918"/>
      <c r="AN130" s="892"/>
      <c r="AO130" s="892"/>
    </row>
    <row r="131" spans="1:41" ht="54" customHeight="1">
      <c r="A131" s="1704">
        <v>115</v>
      </c>
      <c r="B131" s="1704">
        <v>35</v>
      </c>
      <c r="C131" s="918" t="str">
        <f>'Chấm công KT'!C126</f>
        <v>N. Công Say</v>
      </c>
      <c r="D131" s="1685"/>
      <c r="E131" s="1685"/>
      <c r="F131" s="1685"/>
      <c r="G131" s="1685"/>
      <c r="H131" s="1685"/>
      <c r="I131" s="1685"/>
      <c r="J131" s="1685"/>
      <c r="K131" s="1685"/>
      <c r="L131" s="1685"/>
      <c r="M131" s="1685"/>
      <c r="N131" s="1685"/>
      <c r="O131" s="1685"/>
      <c r="P131" s="1686"/>
      <c r="Q131" s="1686"/>
      <c r="R131" s="1686"/>
      <c r="S131" s="1686"/>
      <c r="T131" s="1686"/>
      <c r="U131" s="1686"/>
      <c r="V131" s="1686"/>
      <c r="W131" s="1686"/>
      <c r="X131" s="1686"/>
      <c r="Y131" s="1686"/>
      <c r="Z131" s="1686"/>
      <c r="AA131" s="1686"/>
      <c r="AB131" s="1686"/>
      <c r="AC131" s="1686"/>
      <c r="AD131" s="1686"/>
      <c r="AE131" s="1686"/>
      <c r="AF131" s="1686"/>
      <c r="AG131" s="1686"/>
      <c r="AH131" s="1466"/>
      <c r="AI131" s="919">
        <f t="shared" si="12"/>
        <v>0</v>
      </c>
      <c r="AJ131" s="1684">
        <v>43.829255141887906</v>
      </c>
      <c r="AK131" s="1117">
        <f t="shared" si="14"/>
        <v>0</v>
      </c>
      <c r="AL131" s="1682" t="s">
        <v>54</v>
      </c>
      <c r="AM131" s="918"/>
      <c r="AN131" s="892"/>
      <c r="AO131" s="892"/>
    </row>
    <row r="132" spans="1:41" ht="54" customHeight="1">
      <c r="A132" s="1704">
        <v>116</v>
      </c>
      <c r="B132" s="1704">
        <v>36</v>
      </c>
      <c r="C132" s="918" t="str">
        <f>'Chấm công KT'!C127</f>
        <v>N. Xi Xộm</v>
      </c>
      <c r="D132" s="1685"/>
      <c r="E132" s="1685"/>
      <c r="F132" s="1685"/>
      <c r="G132" s="1685"/>
      <c r="H132" s="1685"/>
      <c r="I132" s="1685"/>
      <c r="J132" s="1685"/>
      <c r="K132" s="1685"/>
      <c r="L132" s="1685"/>
      <c r="M132" s="1685"/>
      <c r="N132" s="1685"/>
      <c r="O132" s="1685"/>
      <c r="P132" s="1686"/>
      <c r="Q132" s="1686"/>
      <c r="R132" s="1686"/>
      <c r="S132" s="1686"/>
      <c r="T132" s="1686"/>
      <c r="U132" s="1686"/>
      <c r="V132" s="1686"/>
      <c r="W132" s="1686"/>
      <c r="X132" s="1686"/>
      <c r="Y132" s="1686"/>
      <c r="Z132" s="1686"/>
      <c r="AA132" s="1686"/>
      <c r="AB132" s="1686"/>
      <c r="AC132" s="1686"/>
      <c r="AD132" s="1686"/>
      <c r="AE132" s="1686"/>
      <c r="AF132" s="1686"/>
      <c r="AG132" s="1686"/>
      <c r="AH132" s="1466"/>
      <c r="AI132" s="919">
        <f t="shared" si="12"/>
        <v>0</v>
      </c>
      <c r="AJ132" s="1684">
        <v>43.829255141887906</v>
      </c>
      <c r="AK132" s="1117">
        <f t="shared" si="14"/>
        <v>0</v>
      </c>
      <c r="AL132" s="1682" t="s">
        <v>79</v>
      </c>
      <c r="AM132" s="918"/>
      <c r="AN132" s="892"/>
      <c r="AO132" s="892"/>
    </row>
    <row r="133" spans="1:41" ht="54" customHeight="1">
      <c r="A133" s="1704">
        <v>117</v>
      </c>
      <c r="B133" s="1704">
        <v>37</v>
      </c>
      <c r="C133" s="918" t="str">
        <f>'Chấm công KT'!C128</f>
        <v>T. Đuông</v>
      </c>
      <c r="D133" s="1685"/>
      <c r="E133" s="1685"/>
      <c r="F133" s="1685"/>
      <c r="G133" s="1685"/>
      <c r="H133" s="1685"/>
      <c r="I133" s="1685"/>
      <c r="J133" s="1685"/>
      <c r="K133" s="1685"/>
      <c r="L133" s="1685"/>
      <c r="M133" s="1685"/>
      <c r="N133" s="1685"/>
      <c r="O133" s="1685"/>
      <c r="P133" s="1686"/>
      <c r="Q133" s="1686"/>
      <c r="R133" s="1686"/>
      <c r="S133" s="1686"/>
      <c r="T133" s="1686"/>
      <c r="U133" s="1686"/>
      <c r="V133" s="1686"/>
      <c r="W133" s="1686"/>
      <c r="X133" s="1686"/>
      <c r="Y133" s="1686"/>
      <c r="Z133" s="1686"/>
      <c r="AA133" s="1686"/>
      <c r="AB133" s="1686"/>
      <c r="AC133" s="1686"/>
      <c r="AD133" s="1686"/>
      <c r="AE133" s="1686"/>
      <c r="AF133" s="1686"/>
      <c r="AG133" s="1686"/>
      <c r="AH133" s="1466"/>
      <c r="AI133" s="919">
        <f t="shared" si="12"/>
        <v>0</v>
      </c>
      <c r="AJ133" s="1684">
        <v>43.829255141887906</v>
      </c>
      <c r="AK133" s="1117">
        <f t="shared" si="14"/>
        <v>0</v>
      </c>
      <c r="AL133" s="1682" t="s">
        <v>79</v>
      </c>
      <c r="AM133" s="918"/>
      <c r="AN133" s="892"/>
      <c r="AO133" s="892"/>
    </row>
    <row r="134" spans="1:41" ht="54" customHeight="1">
      <c r="A134" s="1704">
        <v>118</v>
      </c>
      <c r="B134" s="1704">
        <v>38</v>
      </c>
      <c r="C134" s="918" t="str">
        <f>'Chấm công KT'!C129</f>
        <v>T . Pheng</v>
      </c>
      <c r="D134" s="1685"/>
      <c r="E134" s="1685"/>
      <c r="F134" s="1685"/>
      <c r="G134" s="1685"/>
      <c r="H134" s="1685"/>
      <c r="I134" s="1685"/>
      <c r="J134" s="1685"/>
      <c r="K134" s="1685"/>
      <c r="L134" s="1685"/>
      <c r="M134" s="1685"/>
      <c r="N134" s="1685"/>
      <c r="O134" s="1685"/>
      <c r="P134" s="1686"/>
      <c r="Q134" s="1686"/>
      <c r="R134" s="1686"/>
      <c r="S134" s="1686"/>
      <c r="T134" s="1686"/>
      <c r="U134" s="1686"/>
      <c r="V134" s="1686"/>
      <c r="W134" s="1686"/>
      <c r="X134" s="1686"/>
      <c r="Y134" s="1686"/>
      <c r="Z134" s="1686"/>
      <c r="AA134" s="1686"/>
      <c r="AB134" s="1686"/>
      <c r="AC134" s="1686"/>
      <c r="AD134" s="1686"/>
      <c r="AE134" s="1686"/>
      <c r="AF134" s="1686"/>
      <c r="AG134" s="1686"/>
      <c r="AH134" s="1466"/>
      <c r="AI134" s="919">
        <f t="shared" si="12"/>
        <v>0</v>
      </c>
      <c r="AJ134" s="1684">
        <v>43.829255141887906</v>
      </c>
      <c r="AK134" s="1117">
        <f t="shared" si="14"/>
        <v>0</v>
      </c>
      <c r="AL134" s="1682" t="s">
        <v>79</v>
      </c>
      <c r="AM134" s="918"/>
      <c r="AN134" s="892"/>
      <c r="AO134" s="892"/>
    </row>
    <row r="135" spans="1:41" ht="54" customHeight="1">
      <c r="A135" s="1704">
        <v>119</v>
      </c>
      <c r="B135" s="1704">
        <v>39</v>
      </c>
      <c r="C135" s="918" t="str">
        <f>'Chấm công KT'!C130</f>
        <v>T. Nọi Ê</v>
      </c>
      <c r="D135" s="1685"/>
      <c r="E135" s="1685"/>
      <c r="F135" s="1685"/>
      <c r="G135" s="1685"/>
      <c r="H135" s="1685"/>
      <c r="I135" s="1685"/>
      <c r="J135" s="1685"/>
      <c r="K135" s="1685"/>
      <c r="L135" s="1685"/>
      <c r="M135" s="1685"/>
      <c r="N135" s="1685"/>
      <c r="O135" s="1685"/>
      <c r="P135" s="1686"/>
      <c r="Q135" s="1686"/>
      <c r="R135" s="1686"/>
      <c r="S135" s="1686"/>
      <c r="T135" s="1686"/>
      <c r="U135" s="1686"/>
      <c r="V135" s="1686"/>
      <c r="W135" s="1686"/>
      <c r="X135" s="1686"/>
      <c r="Y135" s="1686"/>
      <c r="Z135" s="1686"/>
      <c r="AA135" s="1686"/>
      <c r="AB135" s="1686"/>
      <c r="AC135" s="1686"/>
      <c r="AD135" s="1686"/>
      <c r="AE135" s="1686"/>
      <c r="AF135" s="1686"/>
      <c r="AG135" s="1686"/>
      <c r="AH135" s="1466"/>
      <c r="AI135" s="919">
        <f t="shared" si="12"/>
        <v>0</v>
      </c>
      <c r="AJ135" s="1684">
        <v>43.829255141887906</v>
      </c>
      <c r="AK135" s="1117">
        <f t="shared" si="14"/>
        <v>0</v>
      </c>
      <c r="AL135" s="1682" t="s">
        <v>54</v>
      </c>
      <c r="AM135" s="918"/>
      <c r="AN135" s="892"/>
      <c r="AO135" s="892"/>
    </row>
    <row r="136" spans="1:41" ht="54" customHeight="1">
      <c r="A136" s="1704">
        <v>120</v>
      </c>
      <c r="B136" s="1704">
        <v>40</v>
      </c>
      <c r="C136" s="918" t="str">
        <f>'Chấm công KT'!C131</f>
        <v>N. Đeng</v>
      </c>
      <c r="D136" s="1685"/>
      <c r="E136" s="1685"/>
      <c r="F136" s="1685"/>
      <c r="G136" s="1685"/>
      <c r="H136" s="1685"/>
      <c r="I136" s="1685"/>
      <c r="J136" s="1685"/>
      <c r="K136" s="1685"/>
      <c r="L136" s="1685"/>
      <c r="M136" s="1685"/>
      <c r="N136" s="1685"/>
      <c r="O136" s="1685"/>
      <c r="P136" s="1686"/>
      <c r="Q136" s="1686"/>
      <c r="R136" s="1686"/>
      <c r="S136" s="1686"/>
      <c r="T136" s="1686"/>
      <c r="U136" s="1686"/>
      <c r="V136" s="1686"/>
      <c r="W136" s="1686"/>
      <c r="X136" s="1686"/>
      <c r="Y136" s="1686"/>
      <c r="Z136" s="1686"/>
      <c r="AA136" s="1686"/>
      <c r="AB136" s="1686"/>
      <c r="AC136" s="1686"/>
      <c r="AD136" s="1686"/>
      <c r="AE136" s="1686"/>
      <c r="AF136" s="1686"/>
      <c r="AG136" s="1686"/>
      <c r="AH136" s="1466"/>
      <c r="AI136" s="919">
        <f t="shared" si="12"/>
        <v>0</v>
      </c>
      <c r="AJ136" s="1684">
        <v>43.829255141887906</v>
      </c>
      <c r="AK136" s="1117">
        <f t="shared" si="14"/>
        <v>0</v>
      </c>
      <c r="AL136" s="1682" t="s">
        <v>54</v>
      </c>
      <c r="AM136" s="918"/>
      <c r="AN136" s="892"/>
      <c r="AO136" s="892"/>
    </row>
    <row r="137" spans="1:41" ht="54" customHeight="1">
      <c r="A137" s="1704">
        <v>121</v>
      </c>
      <c r="B137" s="1704">
        <v>41</v>
      </c>
      <c r="C137" s="918" t="str">
        <f>'Chấm công KT'!C132</f>
        <v>Xôm Phon 1</v>
      </c>
      <c r="D137" s="1685"/>
      <c r="E137" s="1685"/>
      <c r="F137" s="1685"/>
      <c r="G137" s="1685"/>
      <c r="H137" s="1685"/>
      <c r="I137" s="1685"/>
      <c r="J137" s="1685"/>
      <c r="K137" s="1685"/>
      <c r="L137" s="1685"/>
      <c r="M137" s="1685"/>
      <c r="N137" s="1685"/>
      <c r="O137" s="1685"/>
      <c r="P137" s="1686"/>
      <c r="Q137" s="1686"/>
      <c r="R137" s="1686"/>
      <c r="S137" s="1686"/>
      <c r="T137" s="1686"/>
      <c r="U137" s="1686"/>
      <c r="V137" s="1686"/>
      <c r="W137" s="1686"/>
      <c r="X137" s="1686"/>
      <c r="Y137" s="1686"/>
      <c r="Z137" s="1686"/>
      <c r="AA137" s="1686"/>
      <c r="AB137" s="1686"/>
      <c r="AC137" s="1686"/>
      <c r="AD137" s="1686"/>
      <c r="AE137" s="1686"/>
      <c r="AF137" s="1686"/>
      <c r="AG137" s="1686"/>
      <c r="AH137" s="1466"/>
      <c r="AI137" s="919">
        <f t="shared" si="12"/>
        <v>0</v>
      </c>
      <c r="AJ137" s="1684">
        <v>43.829255141887906</v>
      </c>
      <c r="AK137" s="1117">
        <f t="shared" si="14"/>
        <v>0</v>
      </c>
      <c r="AL137" s="1682" t="s">
        <v>889</v>
      </c>
      <c r="AM137" s="918"/>
      <c r="AN137" s="892"/>
      <c r="AO137" s="892"/>
    </row>
    <row r="138" spans="1:41" ht="54" customHeight="1">
      <c r="A138" s="1704">
        <v>122</v>
      </c>
      <c r="B138" s="1704">
        <v>42</v>
      </c>
      <c r="C138" s="918" t="str">
        <f>'Chấm công KT'!C133</f>
        <v>C. Trang 1</v>
      </c>
      <c r="D138" s="1685"/>
      <c r="E138" s="1685"/>
      <c r="F138" s="1685"/>
      <c r="G138" s="1685"/>
      <c r="H138" s="1685"/>
      <c r="I138" s="1685"/>
      <c r="J138" s="1685"/>
      <c r="K138" s="1685"/>
      <c r="L138" s="1685"/>
      <c r="M138" s="1685"/>
      <c r="N138" s="1685"/>
      <c r="O138" s="1685"/>
      <c r="P138" s="1686"/>
      <c r="Q138" s="1686"/>
      <c r="R138" s="1686"/>
      <c r="S138" s="1686"/>
      <c r="T138" s="1686"/>
      <c r="U138" s="1686"/>
      <c r="V138" s="1686"/>
      <c r="W138" s="1686"/>
      <c r="X138" s="1686"/>
      <c r="Y138" s="1686"/>
      <c r="Z138" s="1686"/>
      <c r="AA138" s="1686"/>
      <c r="AB138" s="1686"/>
      <c r="AC138" s="1686"/>
      <c r="AD138" s="1686"/>
      <c r="AE138" s="1686"/>
      <c r="AF138" s="1686"/>
      <c r="AG138" s="1686"/>
      <c r="AH138" s="1466"/>
      <c r="AI138" s="919">
        <f t="shared" si="12"/>
        <v>0</v>
      </c>
      <c r="AJ138" s="1684">
        <v>43.829255141887906</v>
      </c>
      <c r="AK138" s="1117">
        <f t="shared" si="14"/>
        <v>0</v>
      </c>
      <c r="AL138" s="1682" t="s">
        <v>54</v>
      </c>
      <c r="AM138" s="918"/>
      <c r="AN138" s="892"/>
      <c r="AO138" s="892"/>
    </row>
    <row r="139" spans="1:41" ht="54" customHeight="1">
      <c r="A139" s="1704">
        <v>123</v>
      </c>
      <c r="B139" s="1704">
        <v>43</v>
      </c>
      <c r="C139" s="918" t="str">
        <f>'Chấm công KT'!C134</f>
        <v>Lâm Ngân</v>
      </c>
      <c r="D139" s="1685"/>
      <c r="E139" s="1685"/>
      <c r="F139" s="1685"/>
      <c r="G139" s="1685"/>
      <c r="H139" s="1685"/>
      <c r="I139" s="1685"/>
      <c r="J139" s="1685"/>
      <c r="K139" s="1685"/>
      <c r="L139" s="1685"/>
      <c r="M139" s="1685"/>
      <c r="N139" s="1685"/>
      <c r="O139" s="1685"/>
      <c r="P139" s="1686"/>
      <c r="Q139" s="1686"/>
      <c r="R139" s="1686"/>
      <c r="S139" s="1686"/>
      <c r="T139" s="1686"/>
      <c r="U139" s="1686"/>
      <c r="V139" s="1686"/>
      <c r="W139" s="1686"/>
      <c r="X139" s="1686"/>
      <c r="Y139" s="1686"/>
      <c r="Z139" s="1686"/>
      <c r="AA139" s="1686"/>
      <c r="AB139" s="1686"/>
      <c r="AC139" s="1686"/>
      <c r="AD139" s="1686"/>
      <c r="AE139" s="1686"/>
      <c r="AF139" s="1686"/>
      <c r="AG139" s="1686"/>
      <c r="AH139" s="1466"/>
      <c r="AI139" s="919">
        <f t="shared" si="12"/>
        <v>0</v>
      </c>
      <c r="AJ139" s="1684">
        <v>43.829255141887906</v>
      </c>
      <c r="AK139" s="1117">
        <f t="shared" si="14"/>
        <v>0</v>
      </c>
      <c r="AL139" s="1682" t="s">
        <v>54</v>
      </c>
      <c r="AM139" s="918"/>
      <c r="AN139" s="892"/>
      <c r="AO139" s="892"/>
    </row>
    <row r="140" spans="1:41" ht="54" customHeight="1">
      <c r="A140" s="1704">
        <v>124</v>
      </c>
      <c r="B140" s="1704">
        <v>44</v>
      </c>
      <c r="C140" s="918" t="str">
        <f>'Chấm công KT'!C135</f>
        <v>T. Thong A</v>
      </c>
      <c r="D140" s="1685"/>
      <c r="E140" s="1685"/>
      <c r="F140" s="1685"/>
      <c r="G140" s="1685"/>
      <c r="H140" s="1685"/>
      <c r="I140" s="1685"/>
      <c r="J140" s="1685"/>
      <c r="K140" s="1685"/>
      <c r="L140" s="1685"/>
      <c r="M140" s="1685"/>
      <c r="N140" s="1685"/>
      <c r="O140" s="1685"/>
      <c r="P140" s="1686"/>
      <c r="Q140" s="1686"/>
      <c r="R140" s="1686"/>
      <c r="S140" s="1686"/>
      <c r="T140" s="1686"/>
      <c r="U140" s="1686"/>
      <c r="V140" s="1686"/>
      <c r="W140" s="1686"/>
      <c r="X140" s="1686"/>
      <c r="Y140" s="1686"/>
      <c r="Z140" s="1686"/>
      <c r="AA140" s="1686"/>
      <c r="AB140" s="1686"/>
      <c r="AC140" s="1686"/>
      <c r="AD140" s="1686"/>
      <c r="AE140" s="1686"/>
      <c r="AF140" s="1686"/>
      <c r="AG140" s="1686"/>
      <c r="AH140" s="1466"/>
      <c r="AI140" s="919">
        <f t="shared" si="12"/>
        <v>0</v>
      </c>
      <c r="AJ140" s="1684">
        <v>43.829255141887906</v>
      </c>
      <c r="AK140" s="1117">
        <f t="shared" si="14"/>
        <v>0</v>
      </c>
      <c r="AL140" s="1682" t="s">
        <v>54</v>
      </c>
      <c r="AM140" s="918"/>
      <c r="AN140" s="892"/>
      <c r="AO140" s="892"/>
    </row>
    <row r="141" spans="1:41" ht="54" customHeight="1">
      <c r="A141" s="1704">
        <v>125</v>
      </c>
      <c r="B141" s="1704">
        <v>45</v>
      </c>
      <c r="C141" s="918" t="str">
        <f>'Chấm công KT'!C136</f>
        <v>T Phù</v>
      </c>
      <c r="D141" s="1685"/>
      <c r="E141" s="1685"/>
      <c r="F141" s="1685"/>
      <c r="G141" s="1685"/>
      <c r="H141" s="1685"/>
      <c r="I141" s="1685"/>
      <c r="J141" s="1685"/>
      <c r="K141" s="1685"/>
      <c r="L141" s="1685"/>
      <c r="M141" s="1685"/>
      <c r="N141" s="1685"/>
      <c r="O141" s="1685"/>
      <c r="P141" s="1686"/>
      <c r="Q141" s="1686"/>
      <c r="R141" s="1686"/>
      <c r="S141" s="1686"/>
      <c r="T141" s="1686"/>
      <c r="U141" s="1686"/>
      <c r="V141" s="1686"/>
      <c r="W141" s="1686"/>
      <c r="X141" s="1686"/>
      <c r="Y141" s="1686"/>
      <c r="Z141" s="1686"/>
      <c r="AA141" s="1686"/>
      <c r="AB141" s="1686"/>
      <c r="AC141" s="1686"/>
      <c r="AD141" s="1686"/>
      <c r="AE141" s="1686"/>
      <c r="AF141" s="1686"/>
      <c r="AG141" s="1686"/>
      <c r="AH141" s="1466"/>
      <c r="AI141" s="919">
        <f t="shared" si="12"/>
        <v>0</v>
      </c>
      <c r="AJ141" s="1684">
        <v>43.829255141887906</v>
      </c>
      <c r="AK141" s="1117">
        <f t="shared" si="14"/>
        <v>0</v>
      </c>
      <c r="AL141" s="1682" t="s">
        <v>54</v>
      </c>
      <c r="AM141" s="918"/>
      <c r="AN141" s="892"/>
      <c r="AO141" s="892"/>
    </row>
    <row r="142" spans="1:41" ht="54" customHeight="1">
      <c r="A142" s="1704">
        <v>126</v>
      </c>
      <c r="B142" s="1704">
        <v>46</v>
      </c>
      <c r="C142" s="918" t="str">
        <f>'Chấm công KT'!C137</f>
        <v>Viêng Khăm</v>
      </c>
      <c r="D142" s="1685"/>
      <c r="E142" s="1685"/>
      <c r="F142" s="1685"/>
      <c r="G142" s="1685"/>
      <c r="H142" s="1685"/>
      <c r="I142" s="1685"/>
      <c r="J142" s="1685"/>
      <c r="K142" s="1685"/>
      <c r="L142" s="1685"/>
      <c r="M142" s="1685"/>
      <c r="N142" s="1685"/>
      <c r="O142" s="1685"/>
      <c r="P142" s="1686"/>
      <c r="Q142" s="1686"/>
      <c r="R142" s="1686"/>
      <c r="S142" s="1686"/>
      <c r="T142" s="1686"/>
      <c r="U142" s="1686"/>
      <c r="V142" s="1686"/>
      <c r="W142" s="1686"/>
      <c r="X142" s="1686"/>
      <c r="Y142" s="1686"/>
      <c r="Z142" s="1686"/>
      <c r="AA142" s="1686"/>
      <c r="AB142" s="1686"/>
      <c r="AC142" s="1686"/>
      <c r="AD142" s="1686"/>
      <c r="AE142" s="1686"/>
      <c r="AF142" s="1686"/>
      <c r="AG142" s="1686"/>
      <c r="AH142" s="1466"/>
      <c r="AI142" s="919">
        <f t="shared" si="12"/>
        <v>0</v>
      </c>
      <c r="AJ142" s="1684">
        <v>43.829255141887906</v>
      </c>
      <c r="AK142" s="1117">
        <f t="shared" si="14"/>
        <v>0</v>
      </c>
      <c r="AL142" s="1682" t="s">
        <v>79</v>
      </c>
      <c r="AM142" s="918"/>
      <c r="AN142" s="892"/>
      <c r="AO142" s="892"/>
    </row>
    <row r="143" spans="1:41" ht="54" customHeight="1">
      <c r="A143" s="1704">
        <v>127</v>
      </c>
      <c r="B143" s="1704">
        <v>47</v>
      </c>
      <c r="C143" s="918" t="str">
        <f>'Chấm công KT'!C138</f>
        <v>Veo Khăm</v>
      </c>
      <c r="D143" s="1685"/>
      <c r="E143" s="1685"/>
      <c r="F143" s="1685"/>
      <c r="G143" s="1685"/>
      <c r="H143" s="1685"/>
      <c r="I143" s="1685"/>
      <c r="J143" s="1685"/>
      <c r="K143" s="1685"/>
      <c r="L143" s="1685"/>
      <c r="M143" s="1685"/>
      <c r="N143" s="1685"/>
      <c r="O143" s="1685"/>
      <c r="P143" s="1686"/>
      <c r="Q143" s="1686"/>
      <c r="R143" s="1686"/>
      <c r="S143" s="1686"/>
      <c r="T143" s="1686"/>
      <c r="U143" s="1686"/>
      <c r="V143" s="1686"/>
      <c r="W143" s="1686"/>
      <c r="X143" s="1686"/>
      <c r="Y143" s="1686"/>
      <c r="Z143" s="1686"/>
      <c r="AA143" s="1686"/>
      <c r="AB143" s="1686"/>
      <c r="AC143" s="1686"/>
      <c r="AD143" s="1686"/>
      <c r="AE143" s="1686"/>
      <c r="AF143" s="1686"/>
      <c r="AG143" s="1686"/>
      <c r="AH143" s="1466"/>
      <c r="AI143" s="919">
        <f t="shared" si="12"/>
        <v>0</v>
      </c>
      <c r="AJ143" s="1684">
        <v>43.829255141887906</v>
      </c>
      <c r="AK143" s="1117">
        <f t="shared" si="14"/>
        <v>0</v>
      </c>
      <c r="AL143" s="1682" t="s">
        <v>54</v>
      </c>
      <c r="AM143" s="918"/>
      <c r="AN143" s="892"/>
      <c r="AO143" s="892"/>
    </row>
    <row r="144" spans="1:41" ht="54" customHeight="1">
      <c r="A144" s="1704">
        <v>128</v>
      </c>
      <c r="B144" s="1704">
        <v>48</v>
      </c>
      <c r="C144" s="918" t="str">
        <f>'Chấm công KT'!C139</f>
        <v>T . Khon</v>
      </c>
      <c r="D144" s="1685"/>
      <c r="E144" s="1685"/>
      <c r="F144" s="1685"/>
      <c r="G144" s="1685"/>
      <c r="H144" s="1685"/>
      <c r="I144" s="1685"/>
      <c r="J144" s="1685"/>
      <c r="K144" s="1685"/>
      <c r="L144" s="1685"/>
      <c r="M144" s="1685"/>
      <c r="N144" s="1685"/>
      <c r="O144" s="1685"/>
      <c r="P144" s="1686"/>
      <c r="Q144" s="1686"/>
      <c r="R144" s="1686"/>
      <c r="S144" s="1686"/>
      <c r="T144" s="1686"/>
      <c r="U144" s="1686"/>
      <c r="V144" s="1686"/>
      <c r="W144" s="1686"/>
      <c r="X144" s="1686"/>
      <c r="Y144" s="1686"/>
      <c r="Z144" s="1686"/>
      <c r="AA144" s="1686"/>
      <c r="AB144" s="1686"/>
      <c r="AC144" s="1686"/>
      <c r="AD144" s="1686"/>
      <c r="AE144" s="1686"/>
      <c r="AF144" s="1686"/>
      <c r="AG144" s="1686"/>
      <c r="AH144" s="1466"/>
      <c r="AI144" s="919">
        <f t="shared" si="12"/>
        <v>0</v>
      </c>
      <c r="AJ144" s="1684">
        <v>43.829255141887906</v>
      </c>
      <c r="AK144" s="1117">
        <f t="shared" si="14"/>
        <v>0</v>
      </c>
      <c r="AL144" s="1682" t="s">
        <v>889</v>
      </c>
      <c r="AM144" s="918"/>
      <c r="AN144" s="892"/>
      <c r="AO144" s="892"/>
    </row>
    <row r="145" spans="1:41" ht="54" customHeight="1">
      <c r="A145" s="1704">
        <v>129</v>
      </c>
      <c r="B145" s="1704">
        <v>49</v>
      </c>
      <c r="C145" s="918" t="str">
        <f>'Chấm công KT'!C140</f>
        <v>N. Nun</v>
      </c>
      <c r="D145" s="1685"/>
      <c r="E145" s="1685"/>
      <c r="F145" s="1685"/>
      <c r="G145" s="1685"/>
      <c r="H145" s="1685"/>
      <c r="I145" s="1685"/>
      <c r="J145" s="1685"/>
      <c r="K145" s="1685"/>
      <c r="L145" s="1685"/>
      <c r="M145" s="1685"/>
      <c r="N145" s="1685"/>
      <c r="O145" s="1685"/>
      <c r="P145" s="1686"/>
      <c r="Q145" s="1686"/>
      <c r="R145" s="1686"/>
      <c r="S145" s="1686"/>
      <c r="T145" s="1686"/>
      <c r="U145" s="1686"/>
      <c r="V145" s="1686"/>
      <c r="W145" s="1686"/>
      <c r="X145" s="1686"/>
      <c r="Y145" s="1686"/>
      <c r="Z145" s="1686"/>
      <c r="AA145" s="1686"/>
      <c r="AB145" s="1686"/>
      <c r="AC145" s="1686"/>
      <c r="AD145" s="1686"/>
      <c r="AE145" s="1686"/>
      <c r="AF145" s="1686"/>
      <c r="AG145" s="1686"/>
      <c r="AH145" s="1466"/>
      <c r="AI145" s="919">
        <f t="shared" si="12"/>
        <v>0</v>
      </c>
      <c r="AJ145" s="1684">
        <v>43.829255141887906</v>
      </c>
      <c r="AK145" s="1117">
        <f t="shared" si="14"/>
        <v>0</v>
      </c>
      <c r="AL145" s="1682" t="s">
        <v>54</v>
      </c>
      <c r="AM145" s="918"/>
      <c r="AN145" s="892"/>
      <c r="AO145" s="892"/>
    </row>
    <row r="146" spans="1:41" ht="54" customHeight="1">
      <c r="A146" s="1704">
        <v>130</v>
      </c>
      <c r="B146" s="1704">
        <v>50</v>
      </c>
      <c r="C146" s="918" t="str">
        <f>'Chấm công KT'!C141</f>
        <v>In Pông</v>
      </c>
      <c r="D146" s="1685"/>
      <c r="E146" s="1685"/>
      <c r="F146" s="1685"/>
      <c r="G146" s="1685"/>
      <c r="H146" s="1685"/>
      <c r="I146" s="1685"/>
      <c r="J146" s="1685"/>
      <c r="K146" s="1685"/>
      <c r="L146" s="1685"/>
      <c r="M146" s="1685"/>
      <c r="N146" s="1685"/>
      <c r="O146" s="1685"/>
      <c r="P146" s="1686"/>
      <c r="Q146" s="1686"/>
      <c r="R146" s="1686"/>
      <c r="S146" s="1686"/>
      <c r="T146" s="1686"/>
      <c r="U146" s="1686"/>
      <c r="V146" s="1686"/>
      <c r="W146" s="1686"/>
      <c r="X146" s="1686"/>
      <c r="Y146" s="1686"/>
      <c r="Z146" s="1686"/>
      <c r="AA146" s="1686"/>
      <c r="AB146" s="1686"/>
      <c r="AC146" s="1686"/>
      <c r="AD146" s="1686"/>
      <c r="AE146" s="1686"/>
      <c r="AF146" s="1686"/>
      <c r="AG146" s="1686"/>
      <c r="AH146" s="1466"/>
      <c r="AI146" s="919">
        <f t="shared" si="12"/>
        <v>0</v>
      </c>
      <c r="AJ146" s="1684">
        <v>43.829255141887906</v>
      </c>
      <c r="AK146" s="1117">
        <f t="shared" si="14"/>
        <v>0</v>
      </c>
      <c r="AL146" s="1682" t="s">
        <v>79</v>
      </c>
      <c r="AM146" s="918"/>
      <c r="AN146" s="892"/>
      <c r="AO146" s="892"/>
    </row>
    <row r="147" spans="1:41" ht="54" customHeight="1">
      <c r="A147" s="1704">
        <v>131</v>
      </c>
      <c r="B147" s="1704">
        <v>51</v>
      </c>
      <c r="C147" s="918" t="str">
        <f>'Chấm công KT'!C142</f>
        <v>A Nóc</v>
      </c>
      <c r="D147" s="1685"/>
      <c r="E147" s="1685"/>
      <c r="F147" s="1685"/>
      <c r="G147" s="1685"/>
      <c r="H147" s="1685"/>
      <c r="I147" s="1685"/>
      <c r="J147" s="1685"/>
      <c r="K147" s="1685"/>
      <c r="L147" s="1685"/>
      <c r="M147" s="1685"/>
      <c r="N147" s="1685"/>
      <c r="O147" s="1685"/>
      <c r="P147" s="1686"/>
      <c r="Q147" s="1686"/>
      <c r="R147" s="1686"/>
      <c r="S147" s="1686"/>
      <c r="T147" s="1686"/>
      <c r="U147" s="1686"/>
      <c r="V147" s="1686"/>
      <c r="W147" s="1686"/>
      <c r="X147" s="1686"/>
      <c r="Y147" s="1686"/>
      <c r="Z147" s="1686"/>
      <c r="AA147" s="1686"/>
      <c r="AB147" s="1686"/>
      <c r="AC147" s="1686"/>
      <c r="AD147" s="1686"/>
      <c r="AE147" s="1686"/>
      <c r="AF147" s="1686"/>
      <c r="AG147" s="1686"/>
      <c r="AH147" s="1466"/>
      <c r="AI147" s="919">
        <f t="shared" si="12"/>
        <v>0</v>
      </c>
      <c r="AJ147" s="1684">
        <v>43.829255141887906</v>
      </c>
      <c r="AK147" s="1117">
        <f t="shared" si="14"/>
        <v>0</v>
      </c>
      <c r="AL147" s="1682" t="s">
        <v>79</v>
      </c>
      <c r="AM147" s="918"/>
      <c r="AN147" s="892"/>
      <c r="AO147" s="892"/>
    </row>
    <row r="148" spans="1:41" ht="54" customHeight="1">
      <c r="A148" s="1704">
        <v>132</v>
      </c>
      <c r="B148" s="1704">
        <v>52</v>
      </c>
      <c r="C148" s="918" t="str">
        <f>'Chấm công KT'!C143</f>
        <v>N. Lắc</v>
      </c>
      <c r="D148" s="1685"/>
      <c r="E148" s="1685"/>
      <c r="F148" s="1685"/>
      <c r="G148" s="1685"/>
      <c r="H148" s="1685"/>
      <c r="I148" s="1685"/>
      <c r="J148" s="1685"/>
      <c r="K148" s="1685"/>
      <c r="L148" s="1685"/>
      <c r="M148" s="1685"/>
      <c r="N148" s="1685"/>
      <c r="O148" s="1685"/>
      <c r="P148" s="1686"/>
      <c r="Q148" s="1686"/>
      <c r="R148" s="1686"/>
      <c r="S148" s="1686"/>
      <c r="T148" s="1686"/>
      <c r="U148" s="1686"/>
      <c r="V148" s="1686"/>
      <c r="W148" s="1686"/>
      <c r="X148" s="1686"/>
      <c r="Y148" s="1686"/>
      <c r="Z148" s="1686"/>
      <c r="AA148" s="1686"/>
      <c r="AB148" s="1686"/>
      <c r="AC148" s="1686"/>
      <c r="AD148" s="1686"/>
      <c r="AE148" s="1686"/>
      <c r="AF148" s="1686"/>
      <c r="AG148" s="1686"/>
      <c r="AH148" s="1466"/>
      <c r="AI148" s="919">
        <f t="shared" si="12"/>
        <v>0</v>
      </c>
      <c r="AJ148" s="1684">
        <v>43.829255141887906</v>
      </c>
      <c r="AK148" s="1117">
        <f t="shared" si="14"/>
        <v>0</v>
      </c>
      <c r="AL148" s="1682" t="s">
        <v>54</v>
      </c>
      <c r="AM148" s="918"/>
      <c r="AN148" s="892"/>
      <c r="AO148" s="892"/>
    </row>
    <row r="149" spans="1:41" ht="54" customHeight="1">
      <c r="A149" s="1704">
        <v>133</v>
      </c>
      <c r="B149" s="1704">
        <v>53</v>
      </c>
      <c r="C149" s="918" t="str">
        <f>'Chấm công KT'!C144</f>
        <v xml:space="preserve">T. Lăm  </v>
      </c>
      <c r="D149" s="1685"/>
      <c r="E149" s="1685"/>
      <c r="F149" s="1685"/>
      <c r="G149" s="1685"/>
      <c r="H149" s="1685"/>
      <c r="I149" s="1685"/>
      <c r="J149" s="1685"/>
      <c r="K149" s="1685"/>
      <c r="L149" s="1685"/>
      <c r="M149" s="1685"/>
      <c r="N149" s="1685"/>
      <c r="O149" s="1685"/>
      <c r="P149" s="1686"/>
      <c r="Q149" s="1686"/>
      <c r="R149" s="1686"/>
      <c r="S149" s="1686"/>
      <c r="T149" s="1686"/>
      <c r="U149" s="1686"/>
      <c r="V149" s="1686"/>
      <c r="W149" s="1686"/>
      <c r="X149" s="1686"/>
      <c r="Y149" s="1686"/>
      <c r="Z149" s="1686"/>
      <c r="AA149" s="1686"/>
      <c r="AB149" s="1686"/>
      <c r="AC149" s="1686"/>
      <c r="AD149" s="1686"/>
      <c r="AE149" s="1686"/>
      <c r="AF149" s="1686"/>
      <c r="AG149" s="1686"/>
      <c r="AH149" s="1466"/>
      <c r="AI149" s="919">
        <f t="shared" si="12"/>
        <v>0</v>
      </c>
      <c r="AJ149" s="1684">
        <v>43.829255141887906</v>
      </c>
      <c r="AK149" s="1117">
        <f t="shared" si="14"/>
        <v>0</v>
      </c>
      <c r="AL149" s="1682" t="s">
        <v>54</v>
      </c>
      <c r="AM149" s="918"/>
      <c r="AN149" s="892"/>
      <c r="AO149" s="892"/>
    </row>
    <row r="150" spans="1:41" ht="54" customHeight="1">
      <c r="A150" s="1704">
        <v>134</v>
      </c>
      <c r="B150" s="1704">
        <v>54</v>
      </c>
      <c r="C150" s="918" t="str">
        <f>'Chấm công KT'!C145</f>
        <v>Khăm Phiêng</v>
      </c>
      <c r="D150" s="1685"/>
      <c r="E150" s="1685"/>
      <c r="F150" s="1685"/>
      <c r="G150" s="1685"/>
      <c r="H150" s="1685"/>
      <c r="I150" s="1685"/>
      <c r="J150" s="1685"/>
      <c r="K150" s="1685"/>
      <c r="L150" s="1685"/>
      <c r="M150" s="1685"/>
      <c r="N150" s="1685"/>
      <c r="O150" s="1685"/>
      <c r="P150" s="1686"/>
      <c r="Q150" s="1686"/>
      <c r="R150" s="1686"/>
      <c r="S150" s="1686"/>
      <c r="T150" s="1686"/>
      <c r="U150" s="1686"/>
      <c r="V150" s="1686"/>
      <c r="W150" s="1686"/>
      <c r="X150" s="1686"/>
      <c r="Y150" s="1686"/>
      <c r="Z150" s="1686"/>
      <c r="AA150" s="1686"/>
      <c r="AB150" s="1686"/>
      <c r="AC150" s="1686"/>
      <c r="AD150" s="1686"/>
      <c r="AE150" s="1686"/>
      <c r="AF150" s="1686"/>
      <c r="AG150" s="1686"/>
      <c r="AH150" s="1466"/>
      <c r="AI150" s="919">
        <f t="shared" si="12"/>
        <v>0</v>
      </c>
      <c r="AJ150" s="1684">
        <v>43.829255141887906</v>
      </c>
      <c r="AK150" s="1117">
        <f t="shared" si="14"/>
        <v>0</v>
      </c>
      <c r="AL150" s="1682" t="s">
        <v>54</v>
      </c>
      <c r="AM150" s="918"/>
      <c r="AN150" s="892"/>
      <c r="AO150" s="892"/>
    </row>
    <row r="151" spans="1:41" ht="54" customHeight="1">
      <c r="A151" s="1704">
        <v>135</v>
      </c>
      <c r="B151" s="1704">
        <v>55</v>
      </c>
      <c r="C151" s="918" t="str">
        <f>'Chấm công KT'!C146</f>
        <v>Khiêng Khăm</v>
      </c>
      <c r="D151" s="1685"/>
      <c r="E151" s="1685"/>
      <c r="F151" s="1685"/>
      <c r="G151" s="1685"/>
      <c r="H151" s="1685"/>
      <c r="I151" s="1685"/>
      <c r="J151" s="1685"/>
      <c r="K151" s="1685"/>
      <c r="L151" s="1685"/>
      <c r="M151" s="1685"/>
      <c r="N151" s="1685"/>
      <c r="O151" s="1685"/>
      <c r="P151" s="1686"/>
      <c r="Q151" s="1686"/>
      <c r="R151" s="1686"/>
      <c r="S151" s="1686"/>
      <c r="T151" s="1686"/>
      <c r="U151" s="1686"/>
      <c r="V151" s="1686"/>
      <c r="W151" s="1686"/>
      <c r="X151" s="1686"/>
      <c r="Y151" s="1686"/>
      <c r="Z151" s="1686"/>
      <c r="AA151" s="1686"/>
      <c r="AB151" s="1686"/>
      <c r="AC151" s="1686"/>
      <c r="AD151" s="1686"/>
      <c r="AE151" s="1686"/>
      <c r="AF151" s="1686"/>
      <c r="AG151" s="1686"/>
      <c r="AH151" s="1466"/>
      <c r="AI151" s="919">
        <f t="shared" si="12"/>
        <v>0</v>
      </c>
      <c r="AJ151" s="1684">
        <v>43.829255141887906</v>
      </c>
      <c r="AK151" s="1117">
        <f t="shared" si="14"/>
        <v>0</v>
      </c>
      <c r="AL151" s="1682" t="s">
        <v>54</v>
      </c>
      <c r="AM151" s="918"/>
      <c r="AN151" s="892"/>
      <c r="AO151" s="892"/>
    </row>
    <row r="152" spans="1:41" ht="54" customHeight="1">
      <c r="A152" s="1704">
        <v>136</v>
      </c>
      <c r="B152" s="1704">
        <v>56</v>
      </c>
      <c r="C152" s="918" t="str">
        <f>'Chấm công KT'!C147</f>
        <v>T. Kỷ</v>
      </c>
      <c r="D152" s="1685"/>
      <c r="E152" s="1685"/>
      <c r="F152" s="1685"/>
      <c r="G152" s="1685"/>
      <c r="H152" s="1685"/>
      <c r="I152" s="1685"/>
      <c r="J152" s="1685"/>
      <c r="K152" s="1685"/>
      <c r="L152" s="1685"/>
      <c r="M152" s="1685"/>
      <c r="N152" s="1685"/>
      <c r="O152" s="1685"/>
      <c r="P152" s="1686"/>
      <c r="Q152" s="1686"/>
      <c r="R152" s="1686"/>
      <c r="S152" s="1686"/>
      <c r="T152" s="1686"/>
      <c r="U152" s="1686"/>
      <c r="V152" s="1686"/>
      <c r="W152" s="1686"/>
      <c r="X152" s="1686"/>
      <c r="Y152" s="1686"/>
      <c r="Z152" s="1686"/>
      <c r="AA152" s="1686"/>
      <c r="AB152" s="1686"/>
      <c r="AC152" s="1686"/>
      <c r="AD152" s="1686"/>
      <c r="AE152" s="1686"/>
      <c r="AF152" s="1686"/>
      <c r="AG152" s="1686"/>
      <c r="AH152" s="1466"/>
      <c r="AI152" s="919">
        <f t="shared" si="12"/>
        <v>0</v>
      </c>
      <c r="AJ152" s="1684">
        <v>43.829255141887906</v>
      </c>
      <c r="AK152" s="1117">
        <f t="shared" si="14"/>
        <v>0</v>
      </c>
      <c r="AL152" s="1682" t="s">
        <v>54</v>
      </c>
      <c r="AM152" s="918"/>
      <c r="AN152" s="892"/>
      <c r="AO152" s="892"/>
    </row>
    <row r="153" spans="1:41" ht="54" customHeight="1">
      <c r="A153" s="1704">
        <v>137</v>
      </c>
      <c r="B153" s="1704">
        <v>57</v>
      </c>
      <c r="C153" s="918" t="str">
        <f>'Chấm công KT'!C148</f>
        <v>T. Vi Lai Văn</v>
      </c>
      <c r="D153" s="1685"/>
      <c r="E153" s="1685"/>
      <c r="F153" s="1685"/>
      <c r="G153" s="1685"/>
      <c r="H153" s="1685"/>
      <c r="I153" s="1685"/>
      <c r="J153" s="1685"/>
      <c r="K153" s="1685"/>
      <c r="L153" s="1685"/>
      <c r="M153" s="1685"/>
      <c r="N153" s="1685"/>
      <c r="O153" s="1685"/>
      <c r="P153" s="1686"/>
      <c r="Q153" s="1686"/>
      <c r="R153" s="1686"/>
      <c r="S153" s="1686"/>
      <c r="T153" s="1686"/>
      <c r="U153" s="1686"/>
      <c r="V153" s="1686"/>
      <c r="W153" s="1686"/>
      <c r="X153" s="1686"/>
      <c r="Y153" s="1686"/>
      <c r="Z153" s="1686"/>
      <c r="AA153" s="1686"/>
      <c r="AB153" s="1686"/>
      <c r="AC153" s="1686"/>
      <c r="AD153" s="1686"/>
      <c r="AE153" s="1686"/>
      <c r="AF153" s="1686"/>
      <c r="AG153" s="1686"/>
      <c r="AH153" s="1466"/>
      <c r="AI153" s="919">
        <f t="shared" si="12"/>
        <v>0</v>
      </c>
      <c r="AJ153" s="1684">
        <v>43.829255141887906</v>
      </c>
      <c r="AK153" s="1117">
        <f t="shared" si="14"/>
        <v>0</v>
      </c>
      <c r="AL153" s="1682" t="s">
        <v>54</v>
      </c>
      <c r="AM153" s="918"/>
      <c r="AN153" s="892"/>
      <c r="AO153" s="892"/>
    </row>
    <row r="154" spans="1:41" ht="54" customHeight="1">
      <c r="A154" s="1704">
        <v>138</v>
      </c>
      <c r="B154" s="1704">
        <v>58</v>
      </c>
      <c r="C154" s="918" t="str">
        <f>'Chấm công KT'!C149</f>
        <v>T. Ê</v>
      </c>
      <c r="D154" s="1685"/>
      <c r="E154" s="1685"/>
      <c r="F154" s="1685"/>
      <c r="G154" s="1685"/>
      <c r="H154" s="1685"/>
      <c r="I154" s="1685"/>
      <c r="J154" s="1685"/>
      <c r="K154" s="1685"/>
      <c r="L154" s="1685"/>
      <c r="M154" s="1685"/>
      <c r="N154" s="1685"/>
      <c r="O154" s="1685"/>
      <c r="P154" s="1686"/>
      <c r="Q154" s="1686"/>
      <c r="R154" s="1686"/>
      <c r="S154" s="1686"/>
      <c r="T154" s="1686"/>
      <c r="U154" s="1686"/>
      <c r="V154" s="1686"/>
      <c r="W154" s="1686"/>
      <c r="X154" s="1686"/>
      <c r="Y154" s="1686"/>
      <c r="Z154" s="1686"/>
      <c r="AA154" s="1686"/>
      <c r="AB154" s="1686"/>
      <c r="AC154" s="1686"/>
      <c r="AD154" s="1686"/>
      <c r="AE154" s="1686"/>
      <c r="AF154" s="1686"/>
      <c r="AG154" s="1686"/>
      <c r="AH154" s="1466"/>
      <c r="AI154" s="919">
        <f t="shared" si="12"/>
        <v>0</v>
      </c>
      <c r="AJ154" s="1684">
        <v>43.829255141887906</v>
      </c>
      <c r="AK154" s="1117">
        <f t="shared" si="14"/>
        <v>0</v>
      </c>
      <c r="AL154" s="1682" t="s">
        <v>54</v>
      </c>
      <c r="AM154" s="918"/>
      <c r="AN154" s="892"/>
      <c r="AO154" s="892"/>
    </row>
    <row r="155" spans="1:41" ht="54" customHeight="1">
      <c r="A155" s="1704">
        <v>139</v>
      </c>
      <c r="B155" s="1704">
        <v>59</v>
      </c>
      <c r="C155" s="918" t="str">
        <f>'Chấm công KT'!C150</f>
        <v>N. Lắt Đa</v>
      </c>
      <c r="D155" s="1685"/>
      <c r="E155" s="1685"/>
      <c r="F155" s="1685"/>
      <c r="G155" s="1685"/>
      <c r="H155" s="1685"/>
      <c r="I155" s="1685"/>
      <c r="J155" s="1685"/>
      <c r="K155" s="1685"/>
      <c r="L155" s="1685"/>
      <c r="M155" s="1685"/>
      <c r="N155" s="1685"/>
      <c r="O155" s="1685"/>
      <c r="P155" s="1686"/>
      <c r="Q155" s="1686"/>
      <c r="R155" s="1686"/>
      <c r="S155" s="1686"/>
      <c r="T155" s="1686"/>
      <c r="U155" s="1686"/>
      <c r="V155" s="1686"/>
      <c r="W155" s="1686"/>
      <c r="X155" s="1686"/>
      <c r="Y155" s="1686"/>
      <c r="Z155" s="1686"/>
      <c r="AA155" s="1686"/>
      <c r="AB155" s="1686"/>
      <c r="AC155" s="1686"/>
      <c r="AD155" s="1686"/>
      <c r="AE155" s="1686"/>
      <c r="AF155" s="1686"/>
      <c r="AG155" s="1686"/>
      <c r="AH155" s="1466"/>
      <c r="AI155" s="919">
        <f t="shared" si="12"/>
        <v>0</v>
      </c>
      <c r="AJ155" s="1684">
        <v>43.829255141887906</v>
      </c>
      <c r="AK155" s="1117">
        <f t="shared" si="14"/>
        <v>0</v>
      </c>
      <c r="AL155" s="1682" t="s">
        <v>54</v>
      </c>
      <c r="AM155" s="918"/>
      <c r="AN155" s="892"/>
      <c r="AO155" s="892"/>
    </row>
    <row r="156" spans="1:41" ht="54" customHeight="1">
      <c r="A156" s="1704">
        <v>140</v>
      </c>
      <c r="B156" s="1704">
        <v>60</v>
      </c>
      <c r="C156" s="918" t="str">
        <f>'Chấm công KT'!C151</f>
        <v>N. Tieng Na</v>
      </c>
      <c r="D156" s="1685"/>
      <c r="E156" s="1685"/>
      <c r="F156" s="1685"/>
      <c r="G156" s="1685"/>
      <c r="H156" s="1685"/>
      <c r="I156" s="1685"/>
      <c r="J156" s="1685"/>
      <c r="K156" s="1685"/>
      <c r="L156" s="1685"/>
      <c r="M156" s="1685"/>
      <c r="N156" s="1685"/>
      <c r="O156" s="1685"/>
      <c r="P156" s="1686"/>
      <c r="Q156" s="1686"/>
      <c r="R156" s="1686"/>
      <c r="S156" s="1686"/>
      <c r="T156" s="1686"/>
      <c r="U156" s="1686"/>
      <c r="V156" s="1686"/>
      <c r="W156" s="1686"/>
      <c r="X156" s="1686"/>
      <c r="Y156" s="1686"/>
      <c r="Z156" s="1686"/>
      <c r="AA156" s="1686"/>
      <c r="AB156" s="1686"/>
      <c r="AC156" s="1686"/>
      <c r="AD156" s="1686"/>
      <c r="AE156" s="1686"/>
      <c r="AF156" s="1686"/>
      <c r="AG156" s="1686"/>
      <c r="AH156" s="1466"/>
      <c r="AI156" s="919">
        <f t="shared" si="12"/>
        <v>0</v>
      </c>
      <c r="AJ156" s="1684">
        <v>43.829255141887906</v>
      </c>
      <c r="AK156" s="1117">
        <f t="shared" si="14"/>
        <v>0</v>
      </c>
      <c r="AL156" s="1682" t="s">
        <v>54</v>
      </c>
      <c r="AM156" s="918"/>
      <c r="AN156" s="892"/>
      <c r="AO156" s="892"/>
    </row>
    <row r="157" spans="1:41" ht="54" customHeight="1">
      <c r="A157" s="1704">
        <v>141</v>
      </c>
      <c r="B157" s="1704">
        <v>61</v>
      </c>
      <c r="C157" s="918" t="str">
        <f>'Chấm công KT'!C152</f>
        <v>T. Đăm</v>
      </c>
      <c r="D157" s="1685"/>
      <c r="E157" s="1685"/>
      <c r="F157" s="1685"/>
      <c r="G157" s="1685"/>
      <c r="H157" s="1685"/>
      <c r="I157" s="1685"/>
      <c r="J157" s="1685"/>
      <c r="K157" s="1685"/>
      <c r="L157" s="1685"/>
      <c r="M157" s="1685"/>
      <c r="N157" s="1685"/>
      <c r="O157" s="1685"/>
      <c r="P157" s="1686"/>
      <c r="Q157" s="1686"/>
      <c r="R157" s="1686"/>
      <c r="S157" s="1686"/>
      <c r="T157" s="1686"/>
      <c r="U157" s="1686"/>
      <c r="V157" s="1686"/>
      <c r="W157" s="1686"/>
      <c r="X157" s="1686"/>
      <c r="Y157" s="1686"/>
      <c r="Z157" s="1686"/>
      <c r="AA157" s="1686"/>
      <c r="AB157" s="1686"/>
      <c r="AC157" s="1686"/>
      <c r="AD157" s="1686"/>
      <c r="AE157" s="1686"/>
      <c r="AF157" s="1686"/>
      <c r="AG157" s="1686"/>
      <c r="AH157" s="1466"/>
      <c r="AI157" s="919">
        <f t="shared" si="12"/>
        <v>0</v>
      </c>
      <c r="AJ157" s="1684">
        <v>43.829255141887906</v>
      </c>
      <c r="AK157" s="1117">
        <f t="shared" si="14"/>
        <v>0</v>
      </c>
      <c r="AL157" s="1682" t="s">
        <v>79</v>
      </c>
      <c r="AM157" s="918"/>
      <c r="AN157" s="892"/>
      <c r="AO157" s="892"/>
    </row>
    <row r="158" spans="1:41" ht="54" customHeight="1">
      <c r="A158" s="1704">
        <v>142</v>
      </c>
      <c r="B158" s="1704">
        <v>62</v>
      </c>
      <c r="C158" s="918" t="str">
        <f>'Chấm công KT'!C153</f>
        <v>T. Văn Ê</v>
      </c>
      <c r="D158" s="1685"/>
      <c r="E158" s="1685"/>
      <c r="F158" s="1685"/>
      <c r="G158" s="1685"/>
      <c r="H158" s="1685"/>
      <c r="I158" s="1685"/>
      <c r="J158" s="1685"/>
      <c r="K158" s="1685"/>
      <c r="L158" s="1685"/>
      <c r="M158" s="1685"/>
      <c r="N158" s="1685"/>
      <c r="O158" s="1685"/>
      <c r="P158" s="1686"/>
      <c r="Q158" s="1686"/>
      <c r="R158" s="1686"/>
      <c r="S158" s="1686"/>
      <c r="T158" s="1686"/>
      <c r="U158" s="1686"/>
      <c r="V158" s="1686"/>
      <c r="W158" s="1686"/>
      <c r="X158" s="1686"/>
      <c r="Y158" s="1686"/>
      <c r="Z158" s="1686"/>
      <c r="AA158" s="1686"/>
      <c r="AB158" s="1686"/>
      <c r="AC158" s="1686"/>
      <c r="AD158" s="1686"/>
      <c r="AE158" s="1686"/>
      <c r="AF158" s="1686"/>
      <c r="AG158" s="1686"/>
      <c r="AH158" s="1466"/>
      <c r="AI158" s="919">
        <f t="shared" si="12"/>
        <v>0</v>
      </c>
      <c r="AJ158" s="1684">
        <v>43.829255141887906</v>
      </c>
      <c r="AK158" s="1117">
        <f t="shared" si="14"/>
        <v>0</v>
      </c>
      <c r="AL158" s="1682" t="s">
        <v>54</v>
      </c>
      <c r="AM158" s="918"/>
      <c r="AN158" s="892"/>
      <c r="AO158" s="892"/>
    </row>
    <row r="159" spans="1:41" ht="54" customHeight="1">
      <c r="A159" s="1704">
        <v>143</v>
      </c>
      <c r="B159" s="1704">
        <v>63</v>
      </c>
      <c r="C159" s="918" t="str">
        <f>'Chấm công KT'!C154</f>
        <v>T. Sinh</v>
      </c>
      <c r="D159" s="1685"/>
      <c r="E159" s="1685"/>
      <c r="F159" s="1685"/>
      <c r="G159" s="1685"/>
      <c r="H159" s="1685"/>
      <c r="I159" s="1685"/>
      <c r="J159" s="1685"/>
      <c r="K159" s="1685"/>
      <c r="L159" s="1685"/>
      <c r="M159" s="1685"/>
      <c r="N159" s="1685"/>
      <c r="O159" s="1685"/>
      <c r="P159" s="1686"/>
      <c r="Q159" s="1686"/>
      <c r="R159" s="1686"/>
      <c r="S159" s="1686"/>
      <c r="T159" s="1686"/>
      <c r="U159" s="1686"/>
      <c r="V159" s="1686"/>
      <c r="W159" s="1686"/>
      <c r="X159" s="1686"/>
      <c r="Y159" s="1686"/>
      <c r="Z159" s="1686"/>
      <c r="AA159" s="1686"/>
      <c r="AB159" s="1686"/>
      <c r="AC159" s="1686"/>
      <c r="AD159" s="1686"/>
      <c r="AE159" s="1686"/>
      <c r="AF159" s="1686"/>
      <c r="AG159" s="1686"/>
      <c r="AH159" s="1466"/>
      <c r="AI159" s="919">
        <f t="shared" si="12"/>
        <v>0</v>
      </c>
      <c r="AJ159" s="1684">
        <v>43.829255141887906</v>
      </c>
      <c r="AK159" s="1117">
        <f t="shared" si="14"/>
        <v>0</v>
      </c>
      <c r="AL159" s="1682" t="s">
        <v>54</v>
      </c>
      <c r="AM159" s="918"/>
      <c r="AN159" s="892"/>
      <c r="AO159" s="892"/>
    </row>
    <row r="160" spans="1:41" ht="54" customHeight="1">
      <c r="A160" s="1704">
        <v>144</v>
      </c>
      <c r="B160" s="1704">
        <v>64</v>
      </c>
      <c r="C160" s="918" t="str">
        <f>'Chấm công KT'!C155</f>
        <v>T. Khăm Công</v>
      </c>
      <c r="D160" s="1685"/>
      <c r="E160" s="1685"/>
      <c r="F160" s="1685"/>
      <c r="G160" s="1685"/>
      <c r="H160" s="1685"/>
      <c r="I160" s="1685"/>
      <c r="J160" s="1685"/>
      <c r="K160" s="1685"/>
      <c r="L160" s="1685"/>
      <c r="M160" s="1685"/>
      <c r="N160" s="1685"/>
      <c r="O160" s="1685"/>
      <c r="P160" s="1686"/>
      <c r="Q160" s="1686"/>
      <c r="R160" s="1686"/>
      <c r="S160" s="1686"/>
      <c r="T160" s="1686"/>
      <c r="U160" s="1686"/>
      <c r="V160" s="1686"/>
      <c r="W160" s="1686"/>
      <c r="X160" s="1686"/>
      <c r="Y160" s="1686"/>
      <c r="Z160" s="1686"/>
      <c r="AA160" s="1686"/>
      <c r="AB160" s="1686"/>
      <c r="AC160" s="1686"/>
      <c r="AD160" s="1686"/>
      <c r="AE160" s="1686"/>
      <c r="AF160" s="1686"/>
      <c r="AG160" s="1686"/>
      <c r="AH160" s="1466"/>
      <c r="AI160" s="919">
        <f t="shared" si="12"/>
        <v>0</v>
      </c>
      <c r="AJ160" s="1684">
        <v>43.829255141887906</v>
      </c>
      <c r="AK160" s="1117">
        <f t="shared" si="14"/>
        <v>0</v>
      </c>
      <c r="AL160" s="1682" t="s">
        <v>79</v>
      </c>
      <c r="AM160" s="918"/>
      <c r="AN160" s="892"/>
      <c r="AO160" s="892"/>
    </row>
    <row r="161" spans="1:41" ht="54" customHeight="1">
      <c r="A161" s="1704">
        <v>145</v>
      </c>
      <c r="B161" s="1704">
        <v>65</v>
      </c>
      <c r="C161" s="918" t="str">
        <f>'Chấm công KT'!C156</f>
        <v>T. Ngon</v>
      </c>
      <c r="D161" s="1685"/>
      <c r="E161" s="1685"/>
      <c r="F161" s="1685"/>
      <c r="G161" s="1685"/>
      <c r="H161" s="1685"/>
      <c r="I161" s="1685"/>
      <c r="J161" s="1685"/>
      <c r="K161" s="1685"/>
      <c r="L161" s="1685"/>
      <c r="M161" s="1685"/>
      <c r="N161" s="1685"/>
      <c r="O161" s="1685"/>
      <c r="P161" s="1686"/>
      <c r="Q161" s="1686"/>
      <c r="R161" s="1686"/>
      <c r="S161" s="1686"/>
      <c r="T161" s="1686"/>
      <c r="U161" s="1686"/>
      <c r="V161" s="1686"/>
      <c r="W161" s="1686"/>
      <c r="X161" s="1686"/>
      <c r="Y161" s="1686"/>
      <c r="Z161" s="1686"/>
      <c r="AA161" s="1686"/>
      <c r="AB161" s="1686"/>
      <c r="AC161" s="1686"/>
      <c r="AD161" s="1686"/>
      <c r="AE161" s="1686"/>
      <c r="AF161" s="1686"/>
      <c r="AG161" s="1686"/>
      <c r="AH161" s="1466"/>
      <c r="AI161" s="919">
        <f t="shared" ref="AI161:AI175" si="15">SUM(D161:AH161)</f>
        <v>0</v>
      </c>
      <c r="AJ161" s="1684">
        <v>43.829255141887906</v>
      </c>
      <c r="AK161" s="1117">
        <f t="shared" ref="AK161:AK180" si="16">AI161*AJ161/100</f>
        <v>0</v>
      </c>
      <c r="AL161" s="1682" t="s">
        <v>54</v>
      </c>
      <c r="AM161" s="918"/>
      <c r="AN161" s="892"/>
      <c r="AO161" s="892"/>
    </row>
    <row r="162" spans="1:41" ht="54" customHeight="1">
      <c r="A162" s="1704">
        <v>146</v>
      </c>
      <c r="B162" s="1704">
        <v>66</v>
      </c>
      <c r="C162" s="918" t="str">
        <f>'Chấm công KT'!C157</f>
        <v>N . Lạ</v>
      </c>
      <c r="D162" s="1685"/>
      <c r="E162" s="1685"/>
      <c r="F162" s="1685"/>
      <c r="G162" s="1685"/>
      <c r="H162" s="1685"/>
      <c r="I162" s="1685"/>
      <c r="J162" s="1685"/>
      <c r="K162" s="1685"/>
      <c r="L162" s="1685"/>
      <c r="M162" s="1685"/>
      <c r="N162" s="1685"/>
      <c r="O162" s="1685"/>
      <c r="P162" s="1686"/>
      <c r="Q162" s="1686"/>
      <c r="R162" s="1686"/>
      <c r="S162" s="1686"/>
      <c r="T162" s="1686"/>
      <c r="U162" s="1686"/>
      <c r="V162" s="1686"/>
      <c r="W162" s="1686"/>
      <c r="X162" s="1686"/>
      <c r="Y162" s="1686"/>
      <c r="Z162" s="1686"/>
      <c r="AA162" s="1686"/>
      <c r="AB162" s="1686"/>
      <c r="AC162" s="1686"/>
      <c r="AD162" s="1686"/>
      <c r="AE162" s="1686"/>
      <c r="AF162" s="1686"/>
      <c r="AG162" s="1686"/>
      <c r="AH162" s="1466"/>
      <c r="AI162" s="919">
        <f t="shared" si="15"/>
        <v>0</v>
      </c>
      <c r="AJ162" s="1684">
        <v>43.829255141887906</v>
      </c>
      <c r="AK162" s="1117">
        <f t="shared" si="16"/>
        <v>0</v>
      </c>
      <c r="AL162" s="1682" t="s">
        <v>54</v>
      </c>
      <c r="AM162" s="918"/>
      <c r="AN162" s="892"/>
      <c r="AO162" s="892"/>
    </row>
    <row r="163" spans="1:41" ht="54" customHeight="1">
      <c r="A163" s="1704">
        <v>147</v>
      </c>
      <c r="B163" s="1704">
        <v>67</v>
      </c>
      <c r="C163" s="918" t="str">
        <f>'Chấm công KT'!C158</f>
        <v>T. Chỏ</v>
      </c>
      <c r="D163" s="1685"/>
      <c r="E163" s="1685"/>
      <c r="F163" s="1685"/>
      <c r="G163" s="1685"/>
      <c r="H163" s="1685"/>
      <c r="I163" s="1685"/>
      <c r="J163" s="1685"/>
      <c r="K163" s="1685"/>
      <c r="L163" s="1685"/>
      <c r="M163" s="1685"/>
      <c r="N163" s="1685"/>
      <c r="O163" s="1685"/>
      <c r="P163" s="1686"/>
      <c r="Q163" s="1686"/>
      <c r="R163" s="1686"/>
      <c r="S163" s="1686"/>
      <c r="T163" s="1686"/>
      <c r="U163" s="1686"/>
      <c r="V163" s="1686"/>
      <c r="W163" s="1686"/>
      <c r="X163" s="1686"/>
      <c r="Y163" s="1686"/>
      <c r="Z163" s="1686"/>
      <c r="AA163" s="1686"/>
      <c r="AB163" s="1686"/>
      <c r="AC163" s="1686"/>
      <c r="AD163" s="1686"/>
      <c r="AE163" s="1686"/>
      <c r="AF163" s="1686"/>
      <c r="AG163" s="1686"/>
      <c r="AH163" s="1466"/>
      <c r="AI163" s="919">
        <f t="shared" si="15"/>
        <v>0</v>
      </c>
      <c r="AJ163" s="1684">
        <v>43.829255141887906</v>
      </c>
      <c r="AK163" s="1117">
        <f t="shared" si="16"/>
        <v>0</v>
      </c>
      <c r="AL163" s="1682" t="s">
        <v>79</v>
      </c>
      <c r="AM163" s="918"/>
      <c r="AN163" s="892"/>
      <c r="AO163" s="892"/>
    </row>
    <row r="164" spans="1:41" ht="54" customHeight="1">
      <c r="A164" s="1704">
        <v>148</v>
      </c>
      <c r="B164" s="1704">
        <v>68</v>
      </c>
      <c r="C164" s="918" t="str">
        <f>'Chấm công KT'!C159</f>
        <v>Chăn Đen</v>
      </c>
      <c r="D164" s="1685"/>
      <c r="E164" s="1685"/>
      <c r="F164" s="1685"/>
      <c r="G164" s="1685"/>
      <c r="H164" s="1685"/>
      <c r="I164" s="1685"/>
      <c r="J164" s="1685"/>
      <c r="K164" s="1685"/>
      <c r="L164" s="1685"/>
      <c r="M164" s="1685"/>
      <c r="N164" s="1685"/>
      <c r="O164" s="1685"/>
      <c r="P164" s="1686"/>
      <c r="Q164" s="1686"/>
      <c r="R164" s="1686"/>
      <c r="S164" s="1686"/>
      <c r="T164" s="1686"/>
      <c r="U164" s="1686"/>
      <c r="V164" s="1686"/>
      <c r="W164" s="1686"/>
      <c r="X164" s="1686"/>
      <c r="Y164" s="1686"/>
      <c r="Z164" s="1686"/>
      <c r="AA164" s="1686"/>
      <c r="AB164" s="1686"/>
      <c r="AC164" s="1686"/>
      <c r="AD164" s="1686"/>
      <c r="AE164" s="1686"/>
      <c r="AF164" s="1686"/>
      <c r="AG164" s="1686"/>
      <c r="AH164" s="1466"/>
      <c r="AI164" s="919">
        <f t="shared" si="15"/>
        <v>0</v>
      </c>
      <c r="AJ164" s="1684">
        <v>43.829255141887906</v>
      </c>
      <c r="AK164" s="1117">
        <f t="shared" si="16"/>
        <v>0</v>
      </c>
      <c r="AL164" s="1682" t="s">
        <v>79</v>
      </c>
      <c r="AM164" s="918"/>
      <c r="AN164" s="892"/>
      <c r="AO164" s="892"/>
    </row>
    <row r="165" spans="1:41" ht="54" customHeight="1">
      <c r="A165" s="1704">
        <v>149</v>
      </c>
      <c r="B165" s="1704">
        <v>69</v>
      </c>
      <c r="C165" s="918" t="str">
        <f>'Chấm công KT'!C160</f>
        <v>T. Vôn</v>
      </c>
      <c r="D165" s="1685"/>
      <c r="E165" s="1685"/>
      <c r="F165" s="1685"/>
      <c r="G165" s="1685"/>
      <c r="H165" s="1685"/>
      <c r="I165" s="1685"/>
      <c r="J165" s="1685"/>
      <c r="K165" s="1685"/>
      <c r="L165" s="1685"/>
      <c r="M165" s="1685"/>
      <c r="N165" s="1685"/>
      <c r="O165" s="1685"/>
      <c r="P165" s="1686"/>
      <c r="Q165" s="1686"/>
      <c r="R165" s="1686"/>
      <c r="S165" s="1686"/>
      <c r="T165" s="1686"/>
      <c r="U165" s="1686"/>
      <c r="V165" s="1686"/>
      <c r="W165" s="1686"/>
      <c r="X165" s="1686"/>
      <c r="Y165" s="1686"/>
      <c r="Z165" s="1686"/>
      <c r="AA165" s="1686"/>
      <c r="AB165" s="1686"/>
      <c r="AC165" s="1686"/>
      <c r="AD165" s="1686"/>
      <c r="AE165" s="1686"/>
      <c r="AF165" s="1686"/>
      <c r="AG165" s="1686"/>
      <c r="AH165" s="1466"/>
      <c r="AI165" s="919">
        <f t="shared" si="15"/>
        <v>0</v>
      </c>
      <c r="AJ165" s="1684">
        <v>43.829255141887906</v>
      </c>
      <c r="AK165" s="1117">
        <f t="shared" si="16"/>
        <v>0</v>
      </c>
      <c r="AL165" s="1682" t="s">
        <v>54</v>
      </c>
      <c r="AM165" s="918"/>
      <c r="AN165" s="892"/>
      <c r="AO165" s="892"/>
    </row>
    <row r="166" spans="1:41" ht="54" customHeight="1">
      <c r="A166" s="1704">
        <v>150</v>
      </c>
      <c r="B166" s="1704">
        <v>70</v>
      </c>
      <c r="C166" s="918" t="str">
        <f>'Chấm công KT'!C161</f>
        <v>Đa Ly</v>
      </c>
      <c r="D166" s="1685"/>
      <c r="E166" s="1685"/>
      <c r="F166" s="1685"/>
      <c r="G166" s="1685"/>
      <c r="H166" s="1685"/>
      <c r="I166" s="1685"/>
      <c r="J166" s="1685"/>
      <c r="K166" s="1685"/>
      <c r="L166" s="1685"/>
      <c r="M166" s="1685"/>
      <c r="N166" s="1685"/>
      <c r="O166" s="1685"/>
      <c r="P166" s="1686"/>
      <c r="Q166" s="1686"/>
      <c r="R166" s="1686"/>
      <c r="S166" s="1686"/>
      <c r="T166" s="1686"/>
      <c r="U166" s="1686"/>
      <c r="V166" s="1686"/>
      <c r="W166" s="1686"/>
      <c r="X166" s="1686"/>
      <c r="Y166" s="1686"/>
      <c r="Z166" s="1686"/>
      <c r="AA166" s="1686"/>
      <c r="AB166" s="1686"/>
      <c r="AC166" s="1686"/>
      <c r="AD166" s="1686"/>
      <c r="AE166" s="1686"/>
      <c r="AF166" s="1686"/>
      <c r="AG166" s="1686"/>
      <c r="AH166" s="1466"/>
      <c r="AI166" s="919">
        <f t="shared" si="15"/>
        <v>0</v>
      </c>
      <c r="AJ166" s="1684">
        <v>43.829255141887906</v>
      </c>
      <c r="AK166" s="1117">
        <f t="shared" si="16"/>
        <v>0</v>
      </c>
      <c r="AL166" s="1682" t="s">
        <v>54</v>
      </c>
      <c r="AM166" s="918"/>
      <c r="AN166" s="892"/>
      <c r="AO166" s="892"/>
    </row>
    <row r="167" spans="1:41" ht="54" customHeight="1">
      <c r="A167" s="1704">
        <v>151</v>
      </c>
      <c r="B167" s="1704">
        <v>71</v>
      </c>
      <c r="C167" s="918" t="str">
        <f>'Chấm công KT'!C162</f>
        <v>Na Ly ...</v>
      </c>
      <c r="D167" s="1685"/>
      <c r="E167" s="1685"/>
      <c r="F167" s="1685"/>
      <c r="G167" s="1685"/>
      <c r="H167" s="1685"/>
      <c r="I167" s="1685"/>
      <c r="J167" s="1685"/>
      <c r="K167" s="1685"/>
      <c r="L167" s="1685"/>
      <c r="M167" s="1685"/>
      <c r="N167" s="1685"/>
      <c r="O167" s="1685"/>
      <c r="P167" s="1686"/>
      <c r="Q167" s="1686"/>
      <c r="R167" s="1686"/>
      <c r="S167" s="1686"/>
      <c r="T167" s="1686"/>
      <c r="U167" s="1686"/>
      <c r="V167" s="1686"/>
      <c r="W167" s="1686"/>
      <c r="X167" s="1686"/>
      <c r="Y167" s="1686"/>
      <c r="Z167" s="1686"/>
      <c r="AA167" s="1686"/>
      <c r="AB167" s="1686"/>
      <c r="AC167" s="1686"/>
      <c r="AD167" s="1686"/>
      <c r="AE167" s="1686"/>
      <c r="AF167" s="1686"/>
      <c r="AG167" s="1686"/>
      <c r="AH167" s="1466"/>
      <c r="AI167" s="919">
        <f t="shared" si="15"/>
        <v>0</v>
      </c>
      <c r="AJ167" s="1684">
        <v>43.829255141887906</v>
      </c>
      <c r="AK167" s="1117">
        <f t="shared" si="16"/>
        <v>0</v>
      </c>
      <c r="AL167" s="1682" t="s">
        <v>54</v>
      </c>
      <c r="AM167" s="918"/>
      <c r="AN167" s="892"/>
      <c r="AO167" s="892"/>
    </row>
    <row r="168" spans="1:41" ht="54" customHeight="1">
      <c r="A168" s="1704">
        <v>152</v>
      </c>
      <c r="B168" s="1704">
        <v>72</v>
      </c>
      <c r="C168" s="918" t="str">
        <f>'Chấm công KT'!C163</f>
        <v>Lắc Xa Mi</v>
      </c>
      <c r="D168" s="1685"/>
      <c r="E168" s="1685"/>
      <c r="F168" s="1685"/>
      <c r="G168" s="1685"/>
      <c r="H168" s="1685"/>
      <c r="I168" s="1685"/>
      <c r="J168" s="1685"/>
      <c r="K168" s="1685"/>
      <c r="L168" s="1685"/>
      <c r="M168" s="1685"/>
      <c r="N168" s="1685"/>
      <c r="O168" s="1685"/>
      <c r="P168" s="1686"/>
      <c r="Q168" s="1686"/>
      <c r="R168" s="1686"/>
      <c r="S168" s="1686"/>
      <c r="T168" s="1686"/>
      <c r="U168" s="1686"/>
      <c r="V168" s="1686"/>
      <c r="W168" s="1686"/>
      <c r="X168" s="1686"/>
      <c r="Y168" s="1686"/>
      <c r="Z168" s="1686"/>
      <c r="AA168" s="1686"/>
      <c r="AB168" s="1686"/>
      <c r="AC168" s="1686"/>
      <c r="AD168" s="1686"/>
      <c r="AE168" s="1686"/>
      <c r="AF168" s="1686"/>
      <c r="AG168" s="1686"/>
      <c r="AH168" s="1466"/>
      <c r="AI168" s="919">
        <f t="shared" si="15"/>
        <v>0</v>
      </c>
      <c r="AJ168" s="1684">
        <v>43.829255141887906</v>
      </c>
      <c r="AK168" s="1117">
        <f t="shared" si="16"/>
        <v>0</v>
      </c>
      <c r="AL168" s="1682" t="s">
        <v>54</v>
      </c>
      <c r="AM168" s="918"/>
      <c r="AN168" s="892"/>
      <c r="AO168" s="892"/>
    </row>
    <row r="169" spans="1:41" ht="54" customHeight="1">
      <c r="A169" s="1704">
        <v>153</v>
      </c>
      <c r="B169" s="1704">
        <v>73</v>
      </c>
      <c r="C169" s="918" t="str">
        <f>'Chấm công KT'!C164</f>
        <v>A Xít</v>
      </c>
      <c r="D169" s="1685"/>
      <c r="E169" s="1685"/>
      <c r="F169" s="1685"/>
      <c r="G169" s="1685"/>
      <c r="H169" s="1685"/>
      <c r="I169" s="1685"/>
      <c r="J169" s="1685"/>
      <c r="K169" s="1685"/>
      <c r="L169" s="1685"/>
      <c r="M169" s="1685"/>
      <c r="N169" s="1685"/>
      <c r="O169" s="1685"/>
      <c r="P169" s="1686"/>
      <c r="Q169" s="1686"/>
      <c r="R169" s="1686"/>
      <c r="S169" s="1686"/>
      <c r="T169" s="1686"/>
      <c r="U169" s="1686"/>
      <c r="V169" s="1686"/>
      <c r="W169" s="1686"/>
      <c r="X169" s="1686"/>
      <c r="Y169" s="1686"/>
      <c r="Z169" s="1686"/>
      <c r="AA169" s="1686"/>
      <c r="AB169" s="1686"/>
      <c r="AC169" s="1686"/>
      <c r="AD169" s="1686"/>
      <c r="AE169" s="1686"/>
      <c r="AF169" s="1686"/>
      <c r="AG169" s="1686"/>
      <c r="AH169" s="1466"/>
      <c r="AI169" s="919">
        <f t="shared" si="15"/>
        <v>0</v>
      </c>
      <c r="AJ169" s="1684">
        <v>43.829255141887906</v>
      </c>
      <c r="AK169" s="1117">
        <f t="shared" si="16"/>
        <v>0</v>
      </c>
      <c r="AL169" s="1682" t="s">
        <v>79</v>
      </c>
      <c r="AM169" s="918"/>
      <c r="AN169" s="892"/>
      <c r="AO169" s="892"/>
    </row>
    <row r="170" spans="1:41" ht="54" customHeight="1">
      <c r="A170" s="1704">
        <v>154</v>
      </c>
      <c r="B170" s="1704">
        <v>74</v>
      </c>
      <c r="C170" s="918" t="str">
        <f>'Chấm công KT'!C165</f>
        <v>Bợt</v>
      </c>
      <c r="D170" s="1466"/>
      <c r="E170" s="1466"/>
      <c r="F170" s="1466"/>
      <c r="G170" s="1466"/>
      <c r="H170" s="1466"/>
      <c r="I170" s="1466"/>
      <c r="J170" s="1466"/>
      <c r="K170" s="1466"/>
      <c r="L170" s="1466"/>
      <c r="M170" s="1466"/>
      <c r="N170" s="1466"/>
      <c r="O170" s="1466"/>
      <c r="P170" s="1466"/>
      <c r="Q170" s="1466"/>
      <c r="R170" s="1466"/>
      <c r="S170" s="1466"/>
      <c r="T170" s="1466"/>
      <c r="U170" s="1466"/>
      <c r="V170" s="1466"/>
      <c r="W170" s="1466"/>
      <c r="X170" s="1466"/>
      <c r="Y170" s="1466"/>
      <c r="Z170" s="1466"/>
      <c r="AA170" s="1466"/>
      <c r="AB170" s="1466"/>
      <c r="AC170" s="1466"/>
      <c r="AD170" s="1466"/>
      <c r="AE170" s="1466"/>
      <c r="AF170" s="1466"/>
      <c r="AG170" s="1466"/>
      <c r="AH170" s="1466"/>
      <c r="AI170" s="919">
        <f t="shared" si="15"/>
        <v>0</v>
      </c>
      <c r="AJ170" s="1487"/>
      <c r="AK170" s="1117">
        <f t="shared" si="16"/>
        <v>0</v>
      </c>
      <c r="AL170" s="1679" t="s">
        <v>802</v>
      </c>
      <c r="AM170" s="918"/>
      <c r="AN170" s="892"/>
      <c r="AO170" s="892"/>
    </row>
    <row r="171" spans="1:41" ht="54" customHeight="1">
      <c r="A171" s="1704">
        <v>155</v>
      </c>
      <c r="B171" s="1704">
        <v>75</v>
      </c>
      <c r="C171" s="918" t="str">
        <f>'Chấm công KT'!C166</f>
        <v>Đức Văn</v>
      </c>
      <c r="D171" s="1466"/>
      <c r="E171" s="1466"/>
      <c r="F171" s="1466"/>
      <c r="G171" s="1466"/>
      <c r="H171" s="1466"/>
      <c r="I171" s="1466"/>
      <c r="J171" s="1466"/>
      <c r="K171" s="1466"/>
      <c r="L171" s="1466"/>
      <c r="M171" s="1466"/>
      <c r="N171" s="1466"/>
      <c r="O171" s="1466"/>
      <c r="P171" s="1466"/>
      <c r="Q171" s="1466"/>
      <c r="R171" s="1466"/>
      <c r="S171" s="1466"/>
      <c r="T171" s="1466"/>
      <c r="U171" s="1466"/>
      <c r="V171" s="1466"/>
      <c r="W171" s="1466"/>
      <c r="X171" s="1466"/>
      <c r="Y171" s="1466"/>
      <c r="Z171" s="1466"/>
      <c r="AA171" s="1466"/>
      <c r="AB171" s="1466"/>
      <c r="AC171" s="1466"/>
      <c r="AD171" s="1466"/>
      <c r="AE171" s="1466"/>
      <c r="AF171" s="1466"/>
      <c r="AG171" s="1466"/>
      <c r="AH171" s="1466"/>
      <c r="AI171" s="919">
        <f t="shared" si="15"/>
        <v>0</v>
      </c>
      <c r="AJ171" s="1487"/>
      <c r="AK171" s="1117">
        <f t="shared" si="16"/>
        <v>0</v>
      </c>
      <c r="AL171" s="1679" t="s">
        <v>802</v>
      </c>
      <c r="AM171" s="918"/>
      <c r="AN171" s="892"/>
      <c r="AO171" s="892"/>
    </row>
    <row r="172" spans="1:41" ht="54" customHeight="1">
      <c r="A172" s="1704">
        <v>156</v>
      </c>
      <c r="B172" s="1704">
        <v>76</v>
      </c>
      <c r="C172" s="918" t="str">
        <f>'Chấm công KT'!C167</f>
        <v>A Van</v>
      </c>
      <c r="D172" s="1466"/>
      <c r="E172" s="1466"/>
      <c r="F172" s="1466"/>
      <c r="G172" s="1466"/>
      <c r="H172" s="1466"/>
      <c r="I172" s="1466"/>
      <c r="J172" s="1466"/>
      <c r="K172" s="1466"/>
      <c r="L172" s="1466"/>
      <c r="M172" s="1466"/>
      <c r="N172" s="1466"/>
      <c r="O172" s="1466"/>
      <c r="P172" s="1466"/>
      <c r="Q172" s="1466"/>
      <c r="R172" s="1466"/>
      <c r="S172" s="1466"/>
      <c r="T172" s="1466"/>
      <c r="U172" s="1466"/>
      <c r="V172" s="1466"/>
      <c r="W172" s="1466"/>
      <c r="X172" s="1466"/>
      <c r="Y172" s="1466"/>
      <c r="Z172" s="1466"/>
      <c r="AA172" s="1466"/>
      <c r="AB172" s="1466"/>
      <c r="AC172" s="1466"/>
      <c r="AD172" s="1466"/>
      <c r="AE172" s="1466"/>
      <c r="AF172" s="1466"/>
      <c r="AG172" s="1466"/>
      <c r="AH172" s="1466"/>
      <c r="AI172" s="919">
        <f t="shared" si="15"/>
        <v>0</v>
      </c>
      <c r="AJ172" s="1487"/>
      <c r="AK172" s="1117">
        <f t="shared" si="16"/>
        <v>0</v>
      </c>
      <c r="AL172" s="1679" t="s">
        <v>802</v>
      </c>
      <c r="AM172" s="918"/>
      <c r="AN172" s="892"/>
      <c r="AO172" s="892"/>
    </row>
    <row r="173" spans="1:41" ht="54" customHeight="1">
      <c r="A173" s="1704">
        <v>157</v>
      </c>
      <c r="B173" s="1704">
        <v>77</v>
      </c>
      <c r="C173" s="918" t="str">
        <f>'Chấm công KT'!C168</f>
        <v>A thít</v>
      </c>
      <c r="D173" s="1466"/>
      <c r="E173" s="1466"/>
      <c r="F173" s="1466"/>
      <c r="G173" s="1466"/>
      <c r="H173" s="1466"/>
      <c r="I173" s="1466"/>
      <c r="J173" s="1466"/>
      <c r="K173" s="1466"/>
      <c r="L173" s="1466"/>
      <c r="M173" s="1466"/>
      <c r="N173" s="1466"/>
      <c r="O173" s="1466"/>
      <c r="P173" s="1466"/>
      <c r="Q173" s="1466"/>
      <c r="R173" s="1466"/>
      <c r="S173" s="1466"/>
      <c r="T173" s="1466"/>
      <c r="U173" s="1466"/>
      <c r="V173" s="1466"/>
      <c r="W173" s="1466"/>
      <c r="X173" s="1466"/>
      <c r="Y173" s="1466"/>
      <c r="Z173" s="1466"/>
      <c r="AA173" s="1466"/>
      <c r="AB173" s="1466"/>
      <c r="AC173" s="1466"/>
      <c r="AD173" s="1466"/>
      <c r="AE173" s="1466"/>
      <c r="AF173" s="1466"/>
      <c r="AG173" s="1466"/>
      <c r="AH173" s="1466"/>
      <c r="AI173" s="919">
        <f t="shared" si="15"/>
        <v>0</v>
      </c>
      <c r="AJ173" s="1487"/>
      <c r="AK173" s="1117">
        <f t="shared" si="16"/>
        <v>0</v>
      </c>
      <c r="AL173" s="1679" t="s">
        <v>802</v>
      </c>
      <c r="AM173" s="918"/>
      <c r="AN173" s="892"/>
      <c r="AO173" s="892"/>
    </row>
    <row r="174" spans="1:41" ht="54" customHeight="1">
      <c r="A174" s="1704">
        <v>158</v>
      </c>
      <c r="B174" s="1704">
        <v>78</v>
      </c>
      <c r="C174" s="918" t="str">
        <f>'Chấm công KT'!C169</f>
        <v>Món</v>
      </c>
      <c r="D174" s="1466"/>
      <c r="E174" s="1466"/>
      <c r="F174" s="1466"/>
      <c r="G174" s="1466"/>
      <c r="H174" s="1466"/>
      <c r="I174" s="1466"/>
      <c r="J174" s="1466"/>
      <c r="K174" s="1466"/>
      <c r="L174" s="1466"/>
      <c r="M174" s="1466"/>
      <c r="N174" s="1466"/>
      <c r="O174" s="1466"/>
      <c r="P174" s="1466"/>
      <c r="Q174" s="1466"/>
      <c r="R174" s="1466"/>
      <c r="S174" s="1466"/>
      <c r="T174" s="1466"/>
      <c r="U174" s="1466"/>
      <c r="V174" s="1466"/>
      <c r="W174" s="1466"/>
      <c r="X174" s="1466"/>
      <c r="Y174" s="1466"/>
      <c r="Z174" s="1466"/>
      <c r="AA174" s="1466"/>
      <c r="AB174" s="1466"/>
      <c r="AC174" s="1466"/>
      <c r="AD174" s="1466"/>
      <c r="AE174" s="1466"/>
      <c r="AF174" s="1466"/>
      <c r="AG174" s="1466"/>
      <c r="AH174" s="1466"/>
      <c r="AI174" s="919">
        <f t="shared" si="15"/>
        <v>0</v>
      </c>
      <c r="AJ174" s="1487"/>
      <c r="AK174" s="1117">
        <f t="shared" si="16"/>
        <v>0</v>
      </c>
      <c r="AL174" s="1679" t="s">
        <v>802</v>
      </c>
      <c r="AM174" s="918"/>
      <c r="AN174" s="892"/>
      <c r="AO174" s="892"/>
    </row>
    <row r="175" spans="1:41" ht="54" customHeight="1">
      <c r="A175" s="1704">
        <v>159</v>
      </c>
      <c r="B175" s="1704">
        <v>79</v>
      </c>
      <c r="C175" s="918" t="str">
        <f>'Chấm công KT'!C170</f>
        <v>A tèng</v>
      </c>
      <c r="D175" s="1466"/>
      <c r="E175" s="1466"/>
      <c r="F175" s="1466"/>
      <c r="G175" s="1466"/>
      <c r="H175" s="1466"/>
      <c r="I175" s="1466"/>
      <c r="J175" s="1466"/>
      <c r="K175" s="1466"/>
      <c r="L175" s="1466"/>
      <c r="M175" s="1466"/>
      <c r="N175" s="1466"/>
      <c r="O175" s="1466"/>
      <c r="P175" s="1466"/>
      <c r="Q175" s="1466"/>
      <c r="R175" s="1466"/>
      <c r="S175" s="1466"/>
      <c r="T175" s="1466"/>
      <c r="U175" s="1466"/>
      <c r="V175" s="1466"/>
      <c r="W175" s="1466"/>
      <c r="X175" s="1466"/>
      <c r="Y175" s="1466"/>
      <c r="Z175" s="1466"/>
      <c r="AA175" s="1466"/>
      <c r="AB175" s="1466"/>
      <c r="AC175" s="1466"/>
      <c r="AD175" s="1466"/>
      <c r="AE175" s="1466"/>
      <c r="AF175" s="1466"/>
      <c r="AG175" s="1466"/>
      <c r="AH175" s="1466"/>
      <c r="AI175" s="919">
        <f t="shared" si="15"/>
        <v>0</v>
      </c>
      <c r="AJ175" s="1487"/>
      <c r="AK175" s="1117">
        <f t="shared" si="16"/>
        <v>0</v>
      </c>
      <c r="AL175" s="1679" t="s">
        <v>802</v>
      </c>
      <c r="AM175" s="918"/>
      <c r="AN175" s="892"/>
      <c r="AO175" s="928">
        <f>SUM(AI171:AI175)</f>
        <v>0</v>
      </c>
    </row>
    <row r="176" spans="1:41" ht="54" customHeight="1">
      <c r="A176" s="1704">
        <v>160</v>
      </c>
      <c r="B176" s="1704">
        <v>80</v>
      </c>
      <c r="C176" s="918" t="str">
        <f>'Chấm công KT'!C171</f>
        <v xml:space="preserve">Đao </v>
      </c>
      <c r="D176" s="1466"/>
      <c r="E176" s="1466"/>
      <c r="F176" s="1466"/>
      <c r="G176" s="1466"/>
      <c r="H176" s="1466"/>
      <c r="I176" s="1466"/>
      <c r="J176" s="1466"/>
      <c r="K176" s="1466"/>
      <c r="L176" s="1466"/>
      <c r="M176" s="1466"/>
      <c r="N176" s="1466"/>
      <c r="O176" s="1466"/>
      <c r="P176" s="1466"/>
      <c r="Q176" s="1466"/>
      <c r="R176" s="1466"/>
      <c r="S176" s="1466"/>
      <c r="T176" s="1466"/>
      <c r="U176" s="1466"/>
      <c r="V176" s="1466"/>
      <c r="W176" s="1466"/>
      <c r="X176" s="1466"/>
      <c r="Y176" s="1466"/>
      <c r="Z176" s="1466"/>
      <c r="AA176" s="1466"/>
      <c r="AB176" s="1466"/>
      <c r="AC176" s="1466"/>
      <c r="AD176" s="1466"/>
      <c r="AE176" s="1466"/>
      <c r="AF176" s="1466"/>
      <c r="AG176" s="1466"/>
      <c r="AH176" s="1466"/>
      <c r="AI176" s="919">
        <f>SUM(D176:AH176)</f>
        <v>0</v>
      </c>
      <c r="AJ176" s="1487"/>
      <c r="AK176" s="1117">
        <f t="shared" si="16"/>
        <v>0</v>
      </c>
      <c r="AL176" s="1679" t="s">
        <v>802</v>
      </c>
      <c r="AM176" s="918"/>
      <c r="AN176" s="892"/>
      <c r="AO176" s="928"/>
    </row>
    <row r="177" spans="1:41" ht="54" customHeight="1">
      <c r="A177" s="1704">
        <v>161</v>
      </c>
      <c r="B177" s="1704">
        <v>81</v>
      </c>
      <c r="C177" s="918" t="str">
        <f>'Chấm công KT'!C172</f>
        <v>Lôn</v>
      </c>
      <c r="D177" s="1466"/>
      <c r="E177" s="1466"/>
      <c r="F177" s="1466"/>
      <c r="G177" s="1466"/>
      <c r="H177" s="1466"/>
      <c r="I177" s="1466"/>
      <c r="J177" s="1466"/>
      <c r="K177" s="1466"/>
      <c r="L177" s="1466"/>
      <c r="M177" s="1466"/>
      <c r="N177" s="1466"/>
      <c r="O177" s="1466"/>
      <c r="P177" s="1466"/>
      <c r="Q177" s="1466"/>
      <c r="R177" s="1466"/>
      <c r="S177" s="1466"/>
      <c r="T177" s="1466"/>
      <c r="U177" s="1466"/>
      <c r="V177" s="1466"/>
      <c r="W177" s="1466"/>
      <c r="X177" s="1466"/>
      <c r="Y177" s="1466"/>
      <c r="Z177" s="1466"/>
      <c r="AA177" s="1466"/>
      <c r="AB177" s="1466"/>
      <c r="AC177" s="1466"/>
      <c r="AD177" s="1466"/>
      <c r="AE177" s="1466"/>
      <c r="AF177" s="1466"/>
      <c r="AG177" s="1466"/>
      <c r="AH177" s="1466"/>
      <c r="AI177" s="919">
        <f t="shared" ref="AI177:AI180" si="17">SUM(D177:AH177)</f>
        <v>0</v>
      </c>
      <c r="AJ177" s="1487"/>
      <c r="AK177" s="1117">
        <f t="shared" si="16"/>
        <v>0</v>
      </c>
      <c r="AL177" s="1679" t="s">
        <v>802</v>
      </c>
      <c r="AM177" s="918"/>
      <c r="AN177" s="892"/>
      <c r="AO177" s="928"/>
    </row>
    <row r="178" spans="1:41" ht="54" customHeight="1">
      <c r="A178" s="1704">
        <v>162</v>
      </c>
      <c r="B178" s="1704">
        <v>82</v>
      </c>
      <c r="C178" s="918" t="str">
        <f>'Chấm công KT'!C173</f>
        <v>Phay</v>
      </c>
      <c r="D178" s="1466"/>
      <c r="E178" s="1466"/>
      <c r="F178" s="1466"/>
      <c r="G178" s="1466"/>
      <c r="H178" s="1466"/>
      <c r="I178" s="1466"/>
      <c r="J178" s="1466"/>
      <c r="K178" s="1466"/>
      <c r="L178" s="1466"/>
      <c r="M178" s="1466"/>
      <c r="N178" s="1466"/>
      <c r="O178" s="1466"/>
      <c r="P178" s="1466"/>
      <c r="Q178" s="1466"/>
      <c r="R178" s="1466"/>
      <c r="S178" s="1466"/>
      <c r="T178" s="1466"/>
      <c r="U178" s="1466"/>
      <c r="V178" s="1466"/>
      <c r="W178" s="1466"/>
      <c r="X178" s="1466"/>
      <c r="Y178" s="1466"/>
      <c r="Z178" s="1466"/>
      <c r="AA178" s="1466"/>
      <c r="AB178" s="1466"/>
      <c r="AC178" s="1466"/>
      <c r="AD178" s="1466"/>
      <c r="AE178" s="1466"/>
      <c r="AF178" s="1466"/>
      <c r="AG178" s="1466"/>
      <c r="AH178" s="1466"/>
      <c r="AI178" s="919">
        <f t="shared" si="17"/>
        <v>0</v>
      </c>
      <c r="AJ178" s="1487"/>
      <c r="AK178" s="1117">
        <f t="shared" si="16"/>
        <v>0</v>
      </c>
      <c r="AL178" s="1679" t="s">
        <v>802</v>
      </c>
      <c r="AM178" s="918"/>
      <c r="AN178" s="892"/>
      <c r="AO178" s="928"/>
    </row>
    <row r="179" spans="1:41" ht="54" customHeight="1">
      <c r="A179" s="1704">
        <v>163</v>
      </c>
      <c r="B179" s="1704">
        <v>83</v>
      </c>
      <c r="C179" s="918" t="str">
        <f>'Chấm công KT'!C174</f>
        <v xml:space="preserve">Chày </v>
      </c>
      <c r="D179" s="1466"/>
      <c r="E179" s="1466"/>
      <c r="F179" s="1466"/>
      <c r="G179" s="1466"/>
      <c r="H179" s="1466"/>
      <c r="I179" s="1466"/>
      <c r="J179" s="1466"/>
      <c r="K179" s="1466"/>
      <c r="L179" s="1466"/>
      <c r="M179" s="1466"/>
      <c r="N179" s="1466"/>
      <c r="O179" s="1466"/>
      <c r="P179" s="1466"/>
      <c r="Q179" s="1466"/>
      <c r="R179" s="1466"/>
      <c r="S179" s="1466"/>
      <c r="T179" s="1466"/>
      <c r="U179" s="1466"/>
      <c r="V179" s="1466"/>
      <c r="W179" s="1466"/>
      <c r="X179" s="1466"/>
      <c r="Y179" s="1466"/>
      <c r="Z179" s="1466"/>
      <c r="AA179" s="1466"/>
      <c r="AB179" s="1466"/>
      <c r="AC179" s="1466"/>
      <c r="AD179" s="1466"/>
      <c r="AE179" s="1466"/>
      <c r="AF179" s="1466"/>
      <c r="AG179" s="1466"/>
      <c r="AH179" s="1466"/>
      <c r="AI179" s="919">
        <f t="shared" si="17"/>
        <v>0</v>
      </c>
      <c r="AJ179" s="1487"/>
      <c r="AK179" s="1117">
        <f t="shared" si="16"/>
        <v>0</v>
      </c>
      <c r="AL179" s="1679" t="s">
        <v>802</v>
      </c>
      <c r="AM179" s="918"/>
      <c r="AN179" s="892"/>
      <c r="AO179" s="928"/>
    </row>
    <row r="180" spans="1:41" ht="54" customHeight="1">
      <c r="A180" s="1704">
        <v>164</v>
      </c>
      <c r="B180" s="1704">
        <v>84</v>
      </c>
      <c r="C180" s="918" t="str">
        <f>'Chấm công KT'!C175</f>
        <v>Mày</v>
      </c>
      <c r="D180" s="1466"/>
      <c r="E180" s="1466"/>
      <c r="F180" s="1466"/>
      <c r="G180" s="1466"/>
      <c r="H180" s="1466"/>
      <c r="I180" s="1466"/>
      <c r="J180" s="1466"/>
      <c r="K180" s="1466"/>
      <c r="L180" s="1466"/>
      <c r="M180" s="1466"/>
      <c r="N180" s="1466"/>
      <c r="O180" s="1466"/>
      <c r="P180" s="1466"/>
      <c r="Q180" s="1466"/>
      <c r="R180" s="1466"/>
      <c r="S180" s="1466"/>
      <c r="T180" s="1466"/>
      <c r="U180" s="1466"/>
      <c r="V180" s="1466"/>
      <c r="W180" s="1466"/>
      <c r="X180" s="1466"/>
      <c r="Y180" s="1466"/>
      <c r="Z180" s="1466"/>
      <c r="AA180" s="1466"/>
      <c r="AB180" s="1466"/>
      <c r="AC180" s="1466"/>
      <c r="AD180" s="1466"/>
      <c r="AE180" s="1466"/>
      <c r="AF180" s="1466"/>
      <c r="AG180" s="1466"/>
      <c r="AH180" s="1466"/>
      <c r="AI180" s="919">
        <f t="shared" si="17"/>
        <v>0</v>
      </c>
      <c r="AJ180" s="1487"/>
      <c r="AK180" s="1117">
        <f t="shared" si="16"/>
        <v>0</v>
      </c>
      <c r="AL180" s="1679" t="s">
        <v>802</v>
      </c>
      <c r="AM180" s="918"/>
      <c r="AN180" s="892"/>
      <c r="AO180" s="928"/>
    </row>
    <row r="181" spans="1:41" ht="54" customHeight="1">
      <c r="A181" s="1473"/>
      <c r="B181" s="1961" t="s">
        <v>608</v>
      </c>
      <c r="C181" s="1962"/>
      <c r="D181" s="1962"/>
      <c r="E181" s="1962"/>
      <c r="F181" s="1962"/>
      <c r="G181" s="1962"/>
      <c r="H181" s="1962"/>
      <c r="I181" s="1962"/>
      <c r="J181" s="1962"/>
      <c r="K181" s="1962"/>
      <c r="L181" s="1962"/>
      <c r="M181" s="1962"/>
      <c r="N181" s="1962"/>
      <c r="O181" s="1962"/>
      <c r="P181" s="1962"/>
      <c r="Q181" s="1962"/>
      <c r="R181" s="1962"/>
      <c r="S181" s="1962"/>
      <c r="T181" s="1962"/>
      <c r="U181" s="1962"/>
      <c r="V181" s="1962"/>
      <c r="W181" s="1962"/>
      <c r="X181" s="1962"/>
      <c r="Y181" s="1962"/>
      <c r="Z181" s="1962"/>
      <c r="AA181" s="1962"/>
      <c r="AB181" s="1962"/>
      <c r="AC181" s="1962"/>
      <c r="AD181" s="1962"/>
      <c r="AE181" s="1962"/>
      <c r="AF181" s="1962"/>
      <c r="AG181" s="1962"/>
      <c r="AH181" s="1962"/>
      <c r="AI181" s="1962"/>
      <c r="AJ181" s="1962"/>
      <c r="AK181" s="1118"/>
      <c r="AL181" s="1484"/>
      <c r="AM181" s="918"/>
      <c r="AN181" s="892"/>
      <c r="AO181" s="892"/>
    </row>
    <row r="182" spans="1:41" ht="54" customHeight="1">
      <c r="A182" s="1910" t="s">
        <v>30</v>
      </c>
      <c r="B182" s="1910"/>
      <c r="C182" s="1910"/>
      <c r="D182" s="1291">
        <f>SUM(D183:D244)</f>
        <v>0</v>
      </c>
      <c r="E182" s="1291">
        <f t="shared" ref="E182:AG182" si="18">SUM(E183:E244)</f>
        <v>0</v>
      </c>
      <c r="F182" s="1291">
        <f t="shared" si="18"/>
        <v>0</v>
      </c>
      <c r="G182" s="1291">
        <f t="shared" si="18"/>
        <v>0</v>
      </c>
      <c r="H182" s="1291">
        <f t="shared" si="18"/>
        <v>0</v>
      </c>
      <c r="I182" s="1291">
        <f t="shared" si="18"/>
        <v>0</v>
      </c>
      <c r="J182" s="1291">
        <f t="shared" si="18"/>
        <v>0</v>
      </c>
      <c r="K182" s="1291">
        <f t="shared" si="18"/>
        <v>0</v>
      </c>
      <c r="L182" s="1291">
        <f t="shared" si="18"/>
        <v>0</v>
      </c>
      <c r="M182" s="1291">
        <f t="shared" si="18"/>
        <v>0</v>
      </c>
      <c r="N182" s="1291">
        <f t="shared" si="18"/>
        <v>0</v>
      </c>
      <c r="O182" s="1291">
        <f t="shared" si="18"/>
        <v>0</v>
      </c>
      <c r="P182" s="1291">
        <f t="shared" si="18"/>
        <v>0</v>
      </c>
      <c r="Q182" s="1291">
        <f t="shared" si="18"/>
        <v>0</v>
      </c>
      <c r="R182" s="1291">
        <f t="shared" si="18"/>
        <v>0</v>
      </c>
      <c r="S182" s="1291">
        <f t="shared" si="18"/>
        <v>0</v>
      </c>
      <c r="T182" s="1291">
        <f t="shared" si="18"/>
        <v>0</v>
      </c>
      <c r="U182" s="1291">
        <f t="shared" si="18"/>
        <v>0</v>
      </c>
      <c r="V182" s="1291">
        <f t="shared" si="18"/>
        <v>0</v>
      </c>
      <c r="W182" s="1291">
        <f t="shared" si="18"/>
        <v>0</v>
      </c>
      <c r="X182" s="1291">
        <f t="shared" si="18"/>
        <v>0</v>
      </c>
      <c r="Y182" s="1291">
        <f t="shared" si="18"/>
        <v>0</v>
      </c>
      <c r="Z182" s="1291">
        <f t="shared" si="18"/>
        <v>0</v>
      </c>
      <c r="AA182" s="1291">
        <f t="shared" si="18"/>
        <v>0</v>
      </c>
      <c r="AB182" s="1291">
        <f t="shared" si="18"/>
        <v>0</v>
      </c>
      <c r="AC182" s="1291">
        <f t="shared" si="18"/>
        <v>0</v>
      </c>
      <c r="AD182" s="1291">
        <f t="shared" si="18"/>
        <v>0</v>
      </c>
      <c r="AE182" s="1291">
        <f t="shared" si="18"/>
        <v>0</v>
      </c>
      <c r="AF182" s="1291">
        <f t="shared" si="18"/>
        <v>0</v>
      </c>
      <c r="AG182" s="1291">
        <f t="shared" si="18"/>
        <v>0</v>
      </c>
      <c r="AH182" s="1474"/>
      <c r="AI182" s="1291">
        <f>SUM(AI183:AI244)</f>
        <v>0</v>
      </c>
      <c r="AJ182" s="1291"/>
      <c r="AK182" s="1291">
        <f t="shared" ref="AK182" si="19">SUM(AK183:AK244)</f>
        <v>0</v>
      </c>
      <c r="AL182" s="918"/>
      <c r="AM182" s="918"/>
      <c r="AN182" s="892"/>
      <c r="AO182" s="892"/>
    </row>
    <row r="183" spans="1:41" ht="54" customHeight="1">
      <c r="A183" s="1473">
        <v>165</v>
      </c>
      <c r="B183" s="1473">
        <v>1</v>
      </c>
      <c r="C183" s="918" t="str">
        <f>'Chấm công KT'!C177</f>
        <v>T.Son say A</v>
      </c>
      <c r="D183" s="1687"/>
      <c r="E183" s="1687"/>
      <c r="F183" s="1687"/>
      <c r="G183" s="1687"/>
      <c r="H183" s="1687"/>
      <c r="I183" s="1687"/>
      <c r="J183" s="1687"/>
      <c r="K183" s="1687"/>
      <c r="L183" s="1687"/>
      <c r="M183" s="1687"/>
      <c r="N183" s="1687"/>
      <c r="O183" s="1687"/>
      <c r="P183" s="1688"/>
      <c r="Q183" s="1688"/>
      <c r="R183" s="1688"/>
      <c r="S183" s="1688"/>
      <c r="T183" s="1688"/>
      <c r="U183" s="1688"/>
      <c r="V183" s="1688"/>
      <c r="W183" s="1688"/>
      <c r="X183" s="1688"/>
      <c r="Y183" s="1688"/>
      <c r="Z183" s="1688"/>
      <c r="AA183" s="1688"/>
      <c r="AB183" s="1688"/>
      <c r="AC183" s="1688"/>
      <c r="AD183" s="1688"/>
      <c r="AE183" s="1688"/>
      <c r="AF183" s="1688"/>
      <c r="AG183" s="1688"/>
      <c r="AH183" s="1488"/>
      <c r="AI183" s="919">
        <f t="shared" ref="AI183:AI240" si="20">SUM(D183:AH183)</f>
        <v>0</v>
      </c>
      <c r="AJ183" s="1684">
        <v>43.564841212989492</v>
      </c>
      <c r="AK183" s="1117">
        <f t="shared" ref="AK183:AK214" si="21">AI183*AJ183/100</f>
        <v>0</v>
      </c>
      <c r="AL183" s="1682" t="s">
        <v>79</v>
      </c>
      <c r="AM183" s="918"/>
      <c r="AN183" s="892"/>
      <c r="AO183" s="892"/>
    </row>
    <row r="184" spans="1:41" ht="54" customHeight="1">
      <c r="A184" s="1473">
        <v>166</v>
      </c>
      <c r="B184" s="1473">
        <v>2</v>
      </c>
      <c r="C184" s="918" t="str">
        <f>'Chấm công KT'!C178</f>
        <v>N. Keo</v>
      </c>
      <c r="D184" s="1687"/>
      <c r="E184" s="1687"/>
      <c r="F184" s="1687"/>
      <c r="G184" s="1687"/>
      <c r="H184" s="1687"/>
      <c r="I184" s="1687"/>
      <c r="J184" s="1687"/>
      <c r="K184" s="1687"/>
      <c r="L184" s="1687"/>
      <c r="M184" s="1687"/>
      <c r="N184" s="1687"/>
      <c r="O184" s="1687"/>
      <c r="P184" s="1688"/>
      <c r="Q184" s="1688"/>
      <c r="R184" s="1688"/>
      <c r="S184" s="1688"/>
      <c r="T184" s="1688"/>
      <c r="U184" s="1688"/>
      <c r="V184" s="1688"/>
      <c r="W184" s="1688"/>
      <c r="X184" s="1688"/>
      <c r="Y184" s="1688"/>
      <c r="Z184" s="1688"/>
      <c r="AA184" s="1688"/>
      <c r="AB184" s="1688"/>
      <c r="AC184" s="1688"/>
      <c r="AD184" s="1688"/>
      <c r="AE184" s="1688"/>
      <c r="AF184" s="1688"/>
      <c r="AG184" s="1688"/>
      <c r="AH184" s="1488"/>
      <c r="AI184" s="919">
        <f t="shared" si="20"/>
        <v>0</v>
      </c>
      <c r="AJ184" s="1684">
        <v>43.564841212989492</v>
      </c>
      <c r="AK184" s="1117">
        <f t="shared" si="21"/>
        <v>0</v>
      </c>
      <c r="AL184" s="1682" t="s">
        <v>79</v>
      </c>
      <c r="AM184" s="918"/>
      <c r="AN184" s="892"/>
      <c r="AO184" s="892"/>
    </row>
    <row r="185" spans="1:41" ht="54" customHeight="1">
      <c r="A185" s="1704">
        <v>167</v>
      </c>
      <c r="B185" s="1704">
        <v>3</v>
      </c>
      <c r="C185" s="918" t="str">
        <f>'Chấm công KT'!C179</f>
        <v>T .Nhum</v>
      </c>
      <c r="D185" s="1687"/>
      <c r="E185" s="1687"/>
      <c r="F185" s="1687"/>
      <c r="G185" s="1687"/>
      <c r="H185" s="1687"/>
      <c r="I185" s="1687"/>
      <c r="J185" s="1687"/>
      <c r="K185" s="1687"/>
      <c r="L185" s="1687"/>
      <c r="M185" s="1687"/>
      <c r="N185" s="1687"/>
      <c r="O185" s="1687"/>
      <c r="P185" s="1688"/>
      <c r="Q185" s="1688"/>
      <c r="R185" s="1688"/>
      <c r="S185" s="1688"/>
      <c r="T185" s="1688"/>
      <c r="U185" s="1688"/>
      <c r="V185" s="1688"/>
      <c r="W185" s="1688"/>
      <c r="X185" s="1688"/>
      <c r="Y185" s="1688"/>
      <c r="Z185" s="1688"/>
      <c r="AA185" s="1688"/>
      <c r="AB185" s="1688"/>
      <c r="AC185" s="1688"/>
      <c r="AD185" s="1688"/>
      <c r="AE185" s="1688"/>
      <c r="AF185" s="1688"/>
      <c r="AG185" s="1688"/>
      <c r="AH185" s="1488"/>
      <c r="AI185" s="919">
        <f t="shared" si="20"/>
        <v>0</v>
      </c>
      <c r="AJ185" s="1684">
        <v>43.564841212989492</v>
      </c>
      <c r="AK185" s="1117">
        <f t="shared" si="21"/>
        <v>0</v>
      </c>
      <c r="AL185" s="1682" t="s">
        <v>79</v>
      </c>
      <c r="AM185" s="918"/>
      <c r="AN185" s="892"/>
      <c r="AO185" s="892"/>
    </row>
    <row r="186" spans="1:41" ht="54" customHeight="1">
      <c r="A186" s="1704">
        <v>168</v>
      </c>
      <c r="B186" s="1704">
        <v>4</v>
      </c>
      <c r="C186" s="918" t="str">
        <f>'Chấm công KT'!C180</f>
        <v>N.Vông Ma Ni</v>
      </c>
      <c r="D186" s="1687"/>
      <c r="E186" s="1687"/>
      <c r="F186" s="1687"/>
      <c r="G186" s="1687"/>
      <c r="H186" s="1687"/>
      <c r="I186" s="1687"/>
      <c r="J186" s="1687"/>
      <c r="K186" s="1687"/>
      <c r="L186" s="1687"/>
      <c r="M186" s="1687"/>
      <c r="N186" s="1687"/>
      <c r="O186" s="1687"/>
      <c r="P186" s="1688"/>
      <c r="Q186" s="1688"/>
      <c r="R186" s="1688"/>
      <c r="S186" s="1688"/>
      <c r="T186" s="1688"/>
      <c r="U186" s="1688"/>
      <c r="V186" s="1688"/>
      <c r="W186" s="1688"/>
      <c r="X186" s="1688"/>
      <c r="Y186" s="1688"/>
      <c r="Z186" s="1688"/>
      <c r="AA186" s="1688"/>
      <c r="AB186" s="1688"/>
      <c r="AC186" s="1688"/>
      <c r="AD186" s="1688"/>
      <c r="AE186" s="1688"/>
      <c r="AF186" s="1688"/>
      <c r="AG186" s="1688"/>
      <c r="AH186" s="1488"/>
      <c r="AI186" s="919">
        <f t="shared" si="20"/>
        <v>0</v>
      </c>
      <c r="AJ186" s="1684">
        <v>43.564841212989492</v>
      </c>
      <c r="AK186" s="1117">
        <f t="shared" si="21"/>
        <v>0</v>
      </c>
      <c r="AL186" s="1682" t="s">
        <v>54</v>
      </c>
      <c r="AM186" s="918"/>
      <c r="AN186" s="892"/>
      <c r="AO186" s="892"/>
    </row>
    <row r="187" spans="1:41" ht="54" customHeight="1">
      <c r="A187" s="1704">
        <v>169</v>
      </c>
      <c r="B187" s="1704">
        <v>5</v>
      </c>
      <c r="C187" s="918" t="str">
        <f>'Chấm công KT'!C181</f>
        <v>Đao Hương</v>
      </c>
      <c r="D187" s="1687"/>
      <c r="E187" s="1687"/>
      <c r="F187" s="1687"/>
      <c r="G187" s="1687"/>
      <c r="H187" s="1687"/>
      <c r="I187" s="1687"/>
      <c r="J187" s="1687"/>
      <c r="K187" s="1687"/>
      <c r="L187" s="1687"/>
      <c r="M187" s="1687"/>
      <c r="N187" s="1687"/>
      <c r="O187" s="1687"/>
      <c r="P187" s="1688"/>
      <c r="Q187" s="1688"/>
      <c r="R187" s="1688"/>
      <c r="S187" s="1688"/>
      <c r="T187" s="1688"/>
      <c r="U187" s="1688"/>
      <c r="V187" s="1688"/>
      <c r="W187" s="1688"/>
      <c r="X187" s="1688"/>
      <c r="Y187" s="1688"/>
      <c r="Z187" s="1688"/>
      <c r="AA187" s="1688"/>
      <c r="AB187" s="1688"/>
      <c r="AC187" s="1688"/>
      <c r="AD187" s="1688"/>
      <c r="AE187" s="1688"/>
      <c r="AF187" s="1688"/>
      <c r="AG187" s="1688"/>
      <c r="AH187" s="1488"/>
      <c r="AI187" s="919">
        <f t="shared" si="20"/>
        <v>0</v>
      </c>
      <c r="AJ187" s="1684">
        <v>43.564841212989492</v>
      </c>
      <c r="AK187" s="1117">
        <f t="shared" si="21"/>
        <v>0</v>
      </c>
      <c r="AL187" s="1682" t="s">
        <v>54</v>
      </c>
      <c r="AM187" s="918"/>
      <c r="AN187" s="892"/>
      <c r="AO187" s="892"/>
    </row>
    <row r="188" spans="1:41" ht="54" customHeight="1">
      <c r="A188" s="1704">
        <v>170</v>
      </c>
      <c r="B188" s="1704">
        <v>6</v>
      </c>
      <c r="C188" s="918" t="str">
        <f>'Chấm công KT'!C182</f>
        <v>T. Xi Nun</v>
      </c>
      <c r="D188" s="1687"/>
      <c r="E188" s="1687"/>
      <c r="F188" s="1687"/>
      <c r="G188" s="1687"/>
      <c r="H188" s="1687"/>
      <c r="I188" s="1687"/>
      <c r="J188" s="1687"/>
      <c r="K188" s="1687"/>
      <c r="L188" s="1687"/>
      <c r="M188" s="1687"/>
      <c r="N188" s="1687"/>
      <c r="O188" s="1687"/>
      <c r="P188" s="1688"/>
      <c r="Q188" s="1688"/>
      <c r="R188" s="1688"/>
      <c r="S188" s="1688"/>
      <c r="T188" s="1688"/>
      <c r="U188" s="1688"/>
      <c r="V188" s="1688"/>
      <c r="W188" s="1688"/>
      <c r="X188" s="1688"/>
      <c r="Y188" s="1688"/>
      <c r="Z188" s="1688"/>
      <c r="AA188" s="1688"/>
      <c r="AB188" s="1688"/>
      <c r="AC188" s="1688"/>
      <c r="AD188" s="1688"/>
      <c r="AE188" s="1688"/>
      <c r="AF188" s="1688"/>
      <c r="AG188" s="1688"/>
      <c r="AH188" s="1488"/>
      <c r="AI188" s="919">
        <f t="shared" si="20"/>
        <v>0</v>
      </c>
      <c r="AJ188" s="1684">
        <v>43.564841212989492</v>
      </c>
      <c r="AK188" s="1117">
        <f t="shared" si="21"/>
        <v>0</v>
      </c>
      <c r="AL188" s="1682" t="s">
        <v>54</v>
      </c>
      <c r="AM188" s="918"/>
      <c r="AN188" s="892"/>
      <c r="AO188" s="892"/>
    </row>
    <row r="189" spans="1:41" ht="54" customHeight="1">
      <c r="A189" s="1704">
        <v>171</v>
      </c>
      <c r="B189" s="1704">
        <v>7</v>
      </c>
      <c r="C189" s="918" t="str">
        <f>'Chấm công KT'!C183</f>
        <v>T. Bun Hinh</v>
      </c>
      <c r="D189" s="1687"/>
      <c r="E189" s="1687"/>
      <c r="F189" s="1687"/>
      <c r="G189" s="1687"/>
      <c r="H189" s="1687"/>
      <c r="I189" s="1687"/>
      <c r="J189" s="1687"/>
      <c r="K189" s="1687"/>
      <c r="L189" s="1687"/>
      <c r="M189" s="1687"/>
      <c r="N189" s="1687"/>
      <c r="O189" s="1687"/>
      <c r="P189" s="1688"/>
      <c r="Q189" s="1688"/>
      <c r="R189" s="1688"/>
      <c r="S189" s="1688"/>
      <c r="T189" s="1688"/>
      <c r="U189" s="1688"/>
      <c r="V189" s="1688"/>
      <c r="W189" s="1688"/>
      <c r="X189" s="1688"/>
      <c r="Y189" s="1688"/>
      <c r="Z189" s="1688"/>
      <c r="AA189" s="1688"/>
      <c r="AB189" s="1688"/>
      <c r="AC189" s="1688"/>
      <c r="AD189" s="1688"/>
      <c r="AE189" s="1688"/>
      <c r="AF189" s="1688"/>
      <c r="AG189" s="1688"/>
      <c r="AH189" s="1488"/>
      <c r="AI189" s="919">
        <f t="shared" si="20"/>
        <v>0</v>
      </c>
      <c r="AJ189" s="1684">
        <v>43.564841212989492</v>
      </c>
      <c r="AK189" s="1117">
        <f t="shared" si="21"/>
        <v>0</v>
      </c>
      <c r="AL189" s="1682" t="s">
        <v>54</v>
      </c>
      <c r="AM189" s="918"/>
      <c r="AN189" s="892"/>
      <c r="AO189" s="892"/>
    </row>
    <row r="190" spans="1:41" ht="54" customHeight="1">
      <c r="A190" s="1704">
        <v>172</v>
      </c>
      <c r="B190" s="1704">
        <v>8</v>
      </c>
      <c r="C190" s="918" t="str">
        <f>'Chấm công KT'!C184</f>
        <v>N. Lăm</v>
      </c>
      <c r="D190" s="1687"/>
      <c r="E190" s="1687"/>
      <c r="F190" s="1687"/>
      <c r="G190" s="1687"/>
      <c r="H190" s="1687"/>
      <c r="I190" s="1687"/>
      <c r="J190" s="1687"/>
      <c r="K190" s="1687"/>
      <c r="L190" s="1687"/>
      <c r="M190" s="1687"/>
      <c r="N190" s="1687"/>
      <c r="O190" s="1687"/>
      <c r="P190" s="1688"/>
      <c r="Q190" s="1688"/>
      <c r="R190" s="1688"/>
      <c r="S190" s="1688"/>
      <c r="T190" s="1688"/>
      <c r="U190" s="1688"/>
      <c r="V190" s="1688"/>
      <c r="W190" s="1688"/>
      <c r="X190" s="1688"/>
      <c r="Y190" s="1688"/>
      <c r="Z190" s="1688"/>
      <c r="AA190" s="1688"/>
      <c r="AB190" s="1688"/>
      <c r="AC190" s="1688"/>
      <c r="AD190" s="1688"/>
      <c r="AE190" s="1688"/>
      <c r="AF190" s="1688"/>
      <c r="AG190" s="1688"/>
      <c r="AH190" s="1488"/>
      <c r="AI190" s="919">
        <f t="shared" si="20"/>
        <v>0</v>
      </c>
      <c r="AJ190" s="1684">
        <v>43.564841212989492</v>
      </c>
      <c r="AK190" s="1117">
        <f t="shared" si="21"/>
        <v>0</v>
      </c>
      <c r="AL190" s="1682" t="s">
        <v>54</v>
      </c>
      <c r="AM190" s="918"/>
      <c r="AN190" s="892"/>
      <c r="AO190" s="892"/>
    </row>
    <row r="191" spans="1:41" ht="54" customHeight="1">
      <c r="A191" s="1704">
        <v>173</v>
      </c>
      <c r="B191" s="1704">
        <v>9</v>
      </c>
      <c r="C191" s="918" t="str">
        <f>'Chấm công KT'!C185</f>
        <v>N. Xúc</v>
      </c>
      <c r="D191" s="1687"/>
      <c r="E191" s="1687"/>
      <c r="F191" s="1687"/>
      <c r="G191" s="1687"/>
      <c r="H191" s="1687"/>
      <c r="I191" s="1687"/>
      <c r="J191" s="1687"/>
      <c r="K191" s="1687"/>
      <c r="L191" s="1687"/>
      <c r="M191" s="1687"/>
      <c r="N191" s="1687"/>
      <c r="O191" s="1687"/>
      <c r="P191" s="1688"/>
      <c r="Q191" s="1688"/>
      <c r="R191" s="1688"/>
      <c r="S191" s="1688"/>
      <c r="T191" s="1688"/>
      <c r="U191" s="1688"/>
      <c r="V191" s="1688"/>
      <c r="W191" s="1688"/>
      <c r="X191" s="1688"/>
      <c r="Y191" s="1688"/>
      <c r="Z191" s="1688"/>
      <c r="AA191" s="1688"/>
      <c r="AB191" s="1688"/>
      <c r="AC191" s="1688"/>
      <c r="AD191" s="1688"/>
      <c r="AE191" s="1688"/>
      <c r="AF191" s="1688"/>
      <c r="AG191" s="1688"/>
      <c r="AH191" s="1488"/>
      <c r="AI191" s="919">
        <f t="shared" si="20"/>
        <v>0</v>
      </c>
      <c r="AJ191" s="1684">
        <v>43.564841212989492</v>
      </c>
      <c r="AK191" s="1117">
        <f t="shared" si="21"/>
        <v>0</v>
      </c>
      <c r="AL191" s="1682" t="s">
        <v>54</v>
      </c>
      <c r="AM191" s="918"/>
      <c r="AN191" s="892"/>
      <c r="AO191" s="892"/>
    </row>
    <row r="192" spans="1:41" ht="54" customHeight="1">
      <c r="A192" s="1704">
        <v>174</v>
      </c>
      <c r="B192" s="1704">
        <v>10</v>
      </c>
      <c r="C192" s="918" t="str">
        <f>'Chấm công KT'!C186</f>
        <v>N. Lẹ</v>
      </c>
      <c r="D192" s="1687"/>
      <c r="E192" s="1687"/>
      <c r="F192" s="1687"/>
      <c r="G192" s="1687"/>
      <c r="H192" s="1687"/>
      <c r="I192" s="1687"/>
      <c r="J192" s="1687"/>
      <c r="K192" s="1687"/>
      <c r="L192" s="1687"/>
      <c r="M192" s="1687"/>
      <c r="N192" s="1687"/>
      <c r="O192" s="1687"/>
      <c r="P192" s="1688"/>
      <c r="Q192" s="1688"/>
      <c r="R192" s="1688"/>
      <c r="S192" s="1688"/>
      <c r="T192" s="1688"/>
      <c r="U192" s="1688"/>
      <c r="V192" s="1688"/>
      <c r="W192" s="1688"/>
      <c r="X192" s="1688"/>
      <c r="Y192" s="1688"/>
      <c r="Z192" s="1688"/>
      <c r="AA192" s="1688"/>
      <c r="AB192" s="1688"/>
      <c r="AC192" s="1688"/>
      <c r="AD192" s="1688"/>
      <c r="AE192" s="1688"/>
      <c r="AF192" s="1688"/>
      <c r="AG192" s="1688"/>
      <c r="AH192" s="1488"/>
      <c r="AI192" s="919">
        <f t="shared" si="20"/>
        <v>0</v>
      </c>
      <c r="AJ192" s="1684">
        <v>43.564841212989492</v>
      </c>
      <c r="AK192" s="1117">
        <f t="shared" si="21"/>
        <v>0</v>
      </c>
      <c r="AL192" s="1682" t="s">
        <v>79</v>
      </c>
      <c r="AM192" s="918"/>
      <c r="AN192" s="892"/>
      <c r="AO192" s="892"/>
    </row>
    <row r="193" spans="1:41" ht="54" customHeight="1">
      <c r="A193" s="1704">
        <v>175</v>
      </c>
      <c r="B193" s="1704">
        <v>11</v>
      </c>
      <c r="C193" s="918" t="str">
        <f>'Chấm công KT'!C187</f>
        <v>N . Thích</v>
      </c>
      <c r="D193" s="1687"/>
      <c r="E193" s="1687"/>
      <c r="F193" s="1687"/>
      <c r="G193" s="1687"/>
      <c r="H193" s="1687"/>
      <c r="I193" s="1687"/>
      <c r="J193" s="1687"/>
      <c r="K193" s="1687"/>
      <c r="L193" s="1687"/>
      <c r="M193" s="1687"/>
      <c r="N193" s="1687"/>
      <c r="O193" s="1687"/>
      <c r="P193" s="1688"/>
      <c r="Q193" s="1688"/>
      <c r="R193" s="1688"/>
      <c r="S193" s="1688"/>
      <c r="T193" s="1688"/>
      <c r="U193" s="1688"/>
      <c r="V193" s="1688"/>
      <c r="W193" s="1688"/>
      <c r="X193" s="1688"/>
      <c r="Y193" s="1688"/>
      <c r="Z193" s="1688"/>
      <c r="AA193" s="1688"/>
      <c r="AB193" s="1688"/>
      <c r="AC193" s="1688"/>
      <c r="AD193" s="1688"/>
      <c r="AE193" s="1688"/>
      <c r="AF193" s="1688"/>
      <c r="AG193" s="1688"/>
      <c r="AH193" s="1488"/>
      <c r="AI193" s="919">
        <f t="shared" si="20"/>
        <v>0</v>
      </c>
      <c r="AJ193" s="1684">
        <v>43.564841212989492</v>
      </c>
      <c r="AK193" s="1117">
        <f t="shared" si="21"/>
        <v>0</v>
      </c>
      <c r="AL193" s="1682" t="s">
        <v>54</v>
      </c>
      <c r="AM193" s="918"/>
      <c r="AN193" s="892"/>
      <c r="AO193" s="892"/>
    </row>
    <row r="194" spans="1:41" ht="54" customHeight="1">
      <c r="A194" s="1704">
        <v>176</v>
      </c>
      <c r="B194" s="1704">
        <v>12</v>
      </c>
      <c r="C194" s="918" t="str">
        <f>'Chấm công KT'!C188</f>
        <v>N. Cong Mi</v>
      </c>
      <c r="D194" s="1687"/>
      <c r="E194" s="1687"/>
      <c r="F194" s="1687"/>
      <c r="G194" s="1687"/>
      <c r="H194" s="1687"/>
      <c r="I194" s="1687"/>
      <c r="J194" s="1687"/>
      <c r="K194" s="1687"/>
      <c r="L194" s="1687"/>
      <c r="M194" s="1687"/>
      <c r="N194" s="1687"/>
      <c r="O194" s="1687"/>
      <c r="P194" s="1688"/>
      <c r="Q194" s="1688"/>
      <c r="R194" s="1688"/>
      <c r="S194" s="1688"/>
      <c r="T194" s="1688"/>
      <c r="U194" s="1688"/>
      <c r="V194" s="1688"/>
      <c r="W194" s="1688"/>
      <c r="X194" s="1688"/>
      <c r="Y194" s="1688"/>
      <c r="Z194" s="1688"/>
      <c r="AA194" s="1688"/>
      <c r="AB194" s="1688"/>
      <c r="AC194" s="1688"/>
      <c r="AD194" s="1688"/>
      <c r="AE194" s="1688"/>
      <c r="AF194" s="1688"/>
      <c r="AG194" s="1688"/>
      <c r="AH194" s="1488"/>
      <c r="AI194" s="919">
        <f t="shared" si="20"/>
        <v>0</v>
      </c>
      <c r="AJ194" s="1684">
        <v>43.564841212989492</v>
      </c>
      <c r="AK194" s="1117">
        <f t="shared" si="21"/>
        <v>0</v>
      </c>
      <c r="AL194" s="1682" t="s">
        <v>54</v>
      </c>
      <c r="AM194" s="918"/>
      <c r="AN194" s="892"/>
      <c r="AO194" s="892"/>
    </row>
    <row r="195" spans="1:41" ht="54" customHeight="1">
      <c r="A195" s="1704">
        <v>177</v>
      </c>
      <c r="B195" s="1704">
        <v>13</v>
      </c>
      <c r="C195" s="918" t="str">
        <f>'Chấm công KT'!C189</f>
        <v>T . Vay</v>
      </c>
      <c r="D195" s="1687"/>
      <c r="E195" s="1687"/>
      <c r="F195" s="1687"/>
      <c r="G195" s="1687"/>
      <c r="H195" s="1687"/>
      <c r="I195" s="1687"/>
      <c r="J195" s="1687"/>
      <c r="K195" s="1687"/>
      <c r="L195" s="1687"/>
      <c r="M195" s="1687"/>
      <c r="N195" s="1687"/>
      <c r="O195" s="1687"/>
      <c r="P195" s="1688"/>
      <c r="Q195" s="1688"/>
      <c r="R195" s="1688"/>
      <c r="S195" s="1688"/>
      <c r="T195" s="1688"/>
      <c r="U195" s="1688"/>
      <c r="V195" s="1688"/>
      <c r="W195" s="1688"/>
      <c r="X195" s="1688"/>
      <c r="Y195" s="1688"/>
      <c r="Z195" s="1688"/>
      <c r="AA195" s="1688"/>
      <c r="AB195" s="1688"/>
      <c r="AC195" s="1688"/>
      <c r="AD195" s="1688"/>
      <c r="AE195" s="1688"/>
      <c r="AF195" s="1688"/>
      <c r="AG195" s="1688"/>
      <c r="AH195" s="1488"/>
      <c r="AI195" s="919">
        <f t="shared" si="20"/>
        <v>0</v>
      </c>
      <c r="AJ195" s="1684">
        <v>43.564841212989492</v>
      </c>
      <c r="AK195" s="1117">
        <f t="shared" si="21"/>
        <v>0</v>
      </c>
      <c r="AL195" s="1682" t="s">
        <v>54</v>
      </c>
      <c r="AM195" s="918"/>
      <c r="AN195" s="892"/>
      <c r="AO195" s="892"/>
    </row>
    <row r="196" spans="1:41" ht="54" customHeight="1">
      <c r="A196" s="1704">
        <v>178</v>
      </c>
      <c r="B196" s="1704">
        <v>14</v>
      </c>
      <c r="C196" s="918" t="str">
        <f>'Chấm công KT'!C190</f>
        <v>T. Khăm Mặn</v>
      </c>
      <c r="D196" s="1687"/>
      <c r="E196" s="1687"/>
      <c r="F196" s="1687"/>
      <c r="G196" s="1687"/>
      <c r="H196" s="1687"/>
      <c r="I196" s="1687"/>
      <c r="J196" s="1687"/>
      <c r="K196" s="1687"/>
      <c r="L196" s="1687"/>
      <c r="M196" s="1687"/>
      <c r="N196" s="1687"/>
      <c r="O196" s="1687"/>
      <c r="P196" s="1688"/>
      <c r="Q196" s="1688"/>
      <c r="R196" s="1688"/>
      <c r="S196" s="1688"/>
      <c r="T196" s="1688"/>
      <c r="U196" s="1688"/>
      <c r="V196" s="1688"/>
      <c r="W196" s="1688"/>
      <c r="X196" s="1688"/>
      <c r="Y196" s="1688"/>
      <c r="Z196" s="1688"/>
      <c r="AA196" s="1688"/>
      <c r="AB196" s="1688"/>
      <c r="AC196" s="1688"/>
      <c r="AD196" s="1688"/>
      <c r="AE196" s="1688"/>
      <c r="AF196" s="1688"/>
      <c r="AG196" s="1688"/>
      <c r="AH196" s="1488"/>
      <c r="AI196" s="919">
        <f t="shared" si="20"/>
        <v>0</v>
      </c>
      <c r="AJ196" s="1684">
        <v>43.564841212989492</v>
      </c>
      <c r="AK196" s="1117">
        <f t="shared" si="21"/>
        <v>0</v>
      </c>
      <c r="AL196" s="1682" t="s">
        <v>54</v>
      </c>
      <c r="AM196" s="918"/>
      <c r="AN196" s="892"/>
      <c r="AO196" s="892"/>
    </row>
    <row r="197" spans="1:41" ht="54" customHeight="1">
      <c r="A197" s="1704">
        <v>179</v>
      </c>
      <c r="B197" s="1704">
        <v>15</v>
      </c>
      <c r="C197" s="918" t="str">
        <f>'Chấm công KT'!C191</f>
        <v>T . In Tong</v>
      </c>
      <c r="D197" s="1687"/>
      <c r="E197" s="1687"/>
      <c r="F197" s="1687"/>
      <c r="G197" s="1687"/>
      <c r="H197" s="1687"/>
      <c r="I197" s="1687"/>
      <c r="J197" s="1687"/>
      <c r="K197" s="1687"/>
      <c r="L197" s="1687"/>
      <c r="M197" s="1687"/>
      <c r="N197" s="1687"/>
      <c r="O197" s="1687"/>
      <c r="P197" s="1688"/>
      <c r="Q197" s="1688"/>
      <c r="R197" s="1688"/>
      <c r="S197" s="1688"/>
      <c r="T197" s="1688"/>
      <c r="U197" s="1688"/>
      <c r="V197" s="1688"/>
      <c r="W197" s="1688"/>
      <c r="X197" s="1688"/>
      <c r="Y197" s="1688"/>
      <c r="Z197" s="1688"/>
      <c r="AA197" s="1688"/>
      <c r="AB197" s="1688"/>
      <c r="AC197" s="1688"/>
      <c r="AD197" s="1688"/>
      <c r="AE197" s="1688"/>
      <c r="AF197" s="1688"/>
      <c r="AG197" s="1688"/>
      <c r="AH197" s="1488"/>
      <c r="AI197" s="919">
        <f t="shared" si="20"/>
        <v>0</v>
      </c>
      <c r="AJ197" s="1684">
        <v>43.564841212989492</v>
      </c>
      <c r="AK197" s="1117">
        <f t="shared" si="21"/>
        <v>0</v>
      </c>
      <c r="AL197" s="1682" t="s">
        <v>54</v>
      </c>
      <c r="AM197" s="918"/>
      <c r="AN197" s="892"/>
      <c r="AO197" s="892"/>
    </row>
    <row r="198" spans="1:41" ht="54" customHeight="1">
      <c r="A198" s="1704">
        <v>180</v>
      </c>
      <c r="B198" s="1704">
        <v>16</v>
      </c>
      <c r="C198" s="918" t="str">
        <f>'Chấm công KT'!C192</f>
        <v>T. Sòn</v>
      </c>
      <c r="D198" s="1687"/>
      <c r="E198" s="1687"/>
      <c r="F198" s="1687"/>
      <c r="G198" s="1687"/>
      <c r="H198" s="1687"/>
      <c r="I198" s="1687"/>
      <c r="J198" s="1687"/>
      <c r="K198" s="1687"/>
      <c r="L198" s="1687"/>
      <c r="M198" s="1687"/>
      <c r="N198" s="1687"/>
      <c r="O198" s="1687"/>
      <c r="P198" s="1688"/>
      <c r="Q198" s="1688"/>
      <c r="R198" s="1688"/>
      <c r="S198" s="1688"/>
      <c r="T198" s="1688"/>
      <c r="U198" s="1688"/>
      <c r="V198" s="1688"/>
      <c r="W198" s="1688"/>
      <c r="X198" s="1688"/>
      <c r="Y198" s="1688"/>
      <c r="Z198" s="1688"/>
      <c r="AA198" s="1688"/>
      <c r="AB198" s="1688"/>
      <c r="AC198" s="1688"/>
      <c r="AD198" s="1688"/>
      <c r="AE198" s="1688"/>
      <c r="AF198" s="1688"/>
      <c r="AG198" s="1688"/>
      <c r="AH198" s="1488"/>
      <c r="AI198" s="919">
        <f t="shared" si="20"/>
        <v>0</v>
      </c>
      <c r="AJ198" s="1684">
        <v>43.564841212989492</v>
      </c>
      <c r="AK198" s="1117">
        <f t="shared" si="21"/>
        <v>0</v>
      </c>
      <c r="AL198" s="1682" t="s">
        <v>79</v>
      </c>
      <c r="AM198" s="918"/>
      <c r="AN198" s="892"/>
      <c r="AO198" s="892"/>
    </row>
    <row r="199" spans="1:41" ht="54" customHeight="1">
      <c r="A199" s="1704">
        <v>181</v>
      </c>
      <c r="B199" s="1704">
        <v>17</v>
      </c>
      <c r="C199" s="918" t="str">
        <f>'Chấm công KT'!C193</f>
        <v>T. Lăm Phêng</v>
      </c>
      <c r="D199" s="1687"/>
      <c r="E199" s="1687"/>
      <c r="F199" s="1687"/>
      <c r="G199" s="1687"/>
      <c r="H199" s="1687"/>
      <c r="I199" s="1687"/>
      <c r="J199" s="1687"/>
      <c r="K199" s="1687"/>
      <c r="L199" s="1687"/>
      <c r="M199" s="1687"/>
      <c r="N199" s="1687"/>
      <c r="O199" s="1687"/>
      <c r="P199" s="1688"/>
      <c r="Q199" s="1688"/>
      <c r="R199" s="1688"/>
      <c r="S199" s="1688"/>
      <c r="T199" s="1688"/>
      <c r="U199" s="1688"/>
      <c r="V199" s="1688"/>
      <c r="W199" s="1688"/>
      <c r="X199" s="1688"/>
      <c r="Y199" s="1688"/>
      <c r="Z199" s="1688"/>
      <c r="AA199" s="1688"/>
      <c r="AB199" s="1688"/>
      <c r="AC199" s="1688"/>
      <c r="AD199" s="1688"/>
      <c r="AE199" s="1688"/>
      <c r="AF199" s="1688"/>
      <c r="AG199" s="1688"/>
      <c r="AH199" s="1488"/>
      <c r="AI199" s="919">
        <f t="shared" si="20"/>
        <v>0</v>
      </c>
      <c r="AJ199" s="1684">
        <v>43.564841212989492</v>
      </c>
      <c r="AK199" s="1117">
        <f t="shared" si="21"/>
        <v>0</v>
      </c>
      <c r="AL199" s="1682" t="s">
        <v>54</v>
      </c>
      <c r="AM199" s="918"/>
      <c r="AN199" s="892"/>
      <c r="AO199" s="892"/>
    </row>
    <row r="200" spans="1:41" ht="54" customHeight="1">
      <c r="A200" s="1704">
        <v>182</v>
      </c>
      <c r="B200" s="1704">
        <v>18</v>
      </c>
      <c r="C200" s="918" t="str">
        <f>'Chấm công KT'!C194</f>
        <v>T Xèng</v>
      </c>
      <c r="D200" s="1687"/>
      <c r="E200" s="1687"/>
      <c r="F200" s="1687"/>
      <c r="G200" s="1687"/>
      <c r="H200" s="1687"/>
      <c r="I200" s="1687"/>
      <c r="J200" s="1687"/>
      <c r="K200" s="1687"/>
      <c r="L200" s="1687"/>
      <c r="M200" s="1687"/>
      <c r="N200" s="1687"/>
      <c r="O200" s="1687"/>
      <c r="P200" s="1688"/>
      <c r="Q200" s="1688"/>
      <c r="R200" s="1688"/>
      <c r="S200" s="1688"/>
      <c r="T200" s="1688"/>
      <c r="U200" s="1688"/>
      <c r="V200" s="1688"/>
      <c r="W200" s="1688"/>
      <c r="X200" s="1688"/>
      <c r="Y200" s="1688"/>
      <c r="Z200" s="1688"/>
      <c r="AA200" s="1688"/>
      <c r="AB200" s="1688"/>
      <c r="AC200" s="1688"/>
      <c r="AD200" s="1688"/>
      <c r="AE200" s="1688"/>
      <c r="AF200" s="1688"/>
      <c r="AG200" s="1688"/>
      <c r="AH200" s="1488"/>
      <c r="AI200" s="919">
        <f t="shared" si="20"/>
        <v>0</v>
      </c>
      <c r="AJ200" s="1684">
        <v>43.564841212989492</v>
      </c>
      <c r="AK200" s="1117">
        <f t="shared" si="21"/>
        <v>0</v>
      </c>
      <c r="AL200" s="1682" t="s">
        <v>54</v>
      </c>
      <c r="AM200" s="918"/>
      <c r="AN200" s="892"/>
      <c r="AO200" s="892"/>
    </row>
    <row r="201" spans="1:41" ht="54" customHeight="1">
      <c r="A201" s="1704">
        <v>183</v>
      </c>
      <c r="B201" s="1704">
        <v>19</v>
      </c>
      <c r="C201" s="918" t="str">
        <f>'Chấm công KT'!C195</f>
        <v>N. Phăn</v>
      </c>
      <c r="D201" s="1687"/>
      <c r="E201" s="1687"/>
      <c r="F201" s="1687"/>
      <c r="G201" s="1687"/>
      <c r="H201" s="1687"/>
      <c r="I201" s="1687"/>
      <c r="J201" s="1687"/>
      <c r="K201" s="1687"/>
      <c r="L201" s="1687"/>
      <c r="M201" s="1687"/>
      <c r="N201" s="1687"/>
      <c r="O201" s="1687"/>
      <c r="P201" s="1688"/>
      <c r="Q201" s="1688"/>
      <c r="R201" s="1688"/>
      <c r="S201" s="1688"/>
      <c r="T201" s="1688"/>
      <c r="U201" s="1688"/>
      <c r="V201" s="1688"/>
      <c r="W201" s="1688"/>
      <c r="X201" s="1688"/>
      <c r="Y201" s="1688"/>
      <c r="Z201" s="1688"/>
      <c r="AA201" s="1688"/>
      <c r="AB201" s="1688"/>
      <c r="AC201" s="1688"/>
      <c r="AD201" s="1688"/>
      <c r="AE201" s="1688"/>
      <c r="AF201" s="1688"/>
      <c r="AG201" s="1688"/>
      <c r="AH201" s="1488"/>
      <c r="AI201" s="919">
        <f t="shared" si="20"/>
        <v>0</v>
      </c>
      <c r="AJ201" s="1684">
        <v>43.564841212989492</v>
      </c>
      <c r="AK201" s="1117">
        <f t="shared" si="21"/>
        <v>0</v>
      </c>
      <c r="AL201" s="1682" t="s">
        <v>79</v>
      </c>
      <c r="AM201" s="918"/>
      <c r="AN201" s="892"/>
      <c r="AO201" s="892"/>
    </row>
    <row r="202" spans="1:41" ht="54" customHeight="1">
      <c r="A202" s="1704">
        <v>184</v>
      </c>
      <c r="B202" s="1704">
        <v>20</v>
      </c>
      <c r="C202" s="918" t="str">
        <f>'Chấm công KT'!C196</f>
        <v>T. Huôn</v>
      </c>
      <c r="D202" s="1687"/>
      <c r="E202" s="1687"/>
      <c r="F202" s="1687"/>
      <c r="G202" s="1687"/>
      <c r="H202" s="1687"/>
      <c r="I202" s="1687"/>
      <c r="J202" s="1687"/>
      <c r="K202" s="1687"/>
      <c r="L202" s="1687"/>
      <c r="M202" s="1687"/>
      <c r="N202" s="1687"/>
      <c r="O202" s="1687"/>
      <c r="P202" s="1688"/>
      <c r="Q202" s="1688"/>
      <c r="R202" s="1688"/>
      <c r="S202" s="1688"/>
      <c r="T202" s="1688"/>
      <c r="U202" s="1688"/>
      <c r="V202" s="1688"/>
      <c r="W202" s="1688"/>
      <c r="X202" s="1688"/>
      <c r="Y202" s="1688"/>
      <c r="Z202" s="1688"/>
      <c r="AA202" s="1688"/>
      <c r="AB202" s="1688"/>
      <c r="AC202" s="1688"/>
      <c r="AD202" s="1688"/>
      <c r="AE202" s="1688"/>
      <c r="AF202" s="1688"/>
      <c r="AG202" s="1688"/>
      <c r="AH202" s="1488"/>
      <c r="AI202" s="919">
        <f t="shared" si="20"/>
        <v>0</v>
      </c>
      <c r="AJ202" s="1684">
        <v>43.564841212989492</v>
      </c>
      <c r="AK202" s="1117">
        <f t="shared" si="21"/>
        <v>0</v>
      </c>
      <c r="AL202" s="1682" t="s">
        <v>54</v>
      </c>
      <c r="AM202" s="918"/>
      <c r="AN202" s="892"/>
      <c r="AO202" s="892"/>
    </row>
    <row r="203" spans="1:41" ht="54" customHeight="1">
      <c r="A203" s="1704">
        <v>185</v>
      </c>
      <c r="B203" s="1704">
        <v>21</v>
      </c>
      <c r="C203" s="918" t="str">
        <f>'Chấm công KT'!C197</f>
        <v>N. Lay</v>
      </c>
      <c r="D203" s="1687"/>
      <c r="E203" s="1687"/>
      <c r="F203" s="1687"/>
      <c r="G203" s="1687"/>
      <c r="H203" s="1687"/>
      <c r="I203" s="1687"/>
      <c r="J203" s="1687"/>
      <c r="K203" s="1687"/>
      <c r="L203" s="1687"/>
      <c r="M203" s="1687"/>
      <c r="N203" s="1687"/>
      <c r="O203" s="1687"/>
      <c r="P203" s="1688"/>
      <c r="Q203" s="1688"/>
      <c r="R203" s="1688"/>
      <c r="S203" s="1688"/>
      <c r="T203" s="1688"/>
      <c r="U203" s="1688"/>
      <c r="V203" s="1688"/>
      <c r="W203" s="1688"/>
      <c r="X203" s="1688"/>
      <c r="Y203" s="1688"/>
      <c r="Z203" s="1688"/>
      <c r="AA203" s="1688"/>
      <c r="AB203" s="1688"/>
      <c r="AC203" s="1688"/>
      <c r="AD203" s="1688"/>
      <c r="AE203" s="1688"/>
      <c r="AF203" s="1688"/>
      <c r="AG203" s="1688"/>
      <c r="AH203" s="1488"/>
      <c r="AI203" s="919">
        <f t="shared" si="20"/>
        <v>0</v>
      </c>
      <c r="AJ203" s="1684">
        <v>43.564841212989492</v>
      </c>
      <c r="AK203" s="1117">
        <f t="shared" si="21"/>
        <v>0</v>
      </c>
      <c r="AL203" s="1682" t="s">
        <v>54</v>
      </c>
      <c r="AM203" s="918"/>
      <c r="AN203" s="892"/>
      <c r="AO203" s="892"/>
    </row>
    <row r="204" spans="1:41" ht="54" customHeight="1">
      <c r="A204" s="1704">
        <v>186</v>
      </c>
      <c r="B204" s="1704">
        <v>22</v>
      </c>
      <c r="C204" s="918" t="str">
        <f>'Chấm công KT'!C198</f>
        <v>N. Pon</v>
      </c>
      <c r="D204" s="1687"/>
      <c r="E204" s="1687"/>
      <c r="F204" s="1687"/>
      <c r="G204" s="1687"/>
      <c r="H204" s="1687"/>
      <c r="I204" s="1687"/>
      <c r="J204" s="1687"/>
      <c r="K204" s="1687"/>
      <c r="L204" s="1687"/>
      <c r="M204" s="1687"/>
      <c r="N204" s="1687"/>
      <c r="O204" s="1687"/>
      <c r="P204" s="1688"/>
      <c r="Q204" s="1688"/>
      <c r="R204" s="1688"/>
      <c r="S204" s="1688"/>
      <c r="T204" s="1688"/>
      <c r="U204" s="1688"/>
      <c r="V204" s="1688"/>
      <c r="W204" s="1688"/>
      <c r="X204" s="1688"/>
      <c r="Y204" s="1688"/>
      <c r="Z204" s="1688"/>
      <c r="AA204" s="1688"/>
      <c r="AB204" s="1688"/>
      <c r="AC204" s="1688"/>
      <c r="AD204" s="1688"/>
      <c r="AE204" s="1688"/>
      <c r="AF204" s="1688"/>
      <c r="AG204" s="1688"/>
      <c r="AH204" s="1488"/>
      <c r="AI204" s="919">
        <f t="shared" si="20"/>
        <v>0</v>
      </c>
      <c r="AJ204" s="1684">
        <v>43.564841212989492</v>
      </c>
      <c r="AK204" s="1117">
        <f t="shared" si="21"/>
        <v>0</v>
      </c>
      <c r="AL204" s="1682" t="s">
        <v>54</v>
      </c>
      <c r="AM204" s="918"/>
      <c r="AN204" s="892"/>
      <c r="AO204" s="892"/>
    </row>
    <row r="205" spans="1:41" ht="54" customHeight="1">
      <c r="A205" s="1704">
        <v>187</v>
      </c>
      <c r="B205" s="1704">
        <v>23</v>
      </c>
      <c r="C205" s="918" t="str">
        <f>'Chấm công KT'!C199</f>
        <v>N. Bun Đi</v>
      </c>
      <c r="D205" s="1687"/>
      <c r="E205" s="1687"/>
      <c r="F205" s="1687"/>
      <c r="G205" s="1687"/>
      <c r="H205" s="1687"/>
      <c r="I205" s="1687"/>
      <c r="J205" s="1687"/>
      <c r="K205" s="1687"/>
      <c r="L205" s="1687"/>
      <c r="M205" s="1687"/>
      <c r="N205" s="1687"/>
      <c r="O205" s="1687"/>
      <c r="P205" s="1688"/>
      <c r="Q205" s="1688"/>
      <c r="R205" s="1688"/>
      <c r="S205" s="1688"/>
      <c r="T205" s="1688"/>
      <c r="U205" s="1688"/>
      <c r="V205" s="1688"/>
      <c r="W205" s="1688"/>
      <c r="X205" s="1688"/>
      <c r="Y205" s="1688"/>
      <c r="Z205" s="1688"/>
      <c r="AA205" s="1688"/>
      <c r="AB205" s="1688"/>
      <c r="AC205" s="1688"/>
      <c r="AD205" s="1688"/>
      <c r="AE205" s="1688"/>
      <c r="AF205" s="1688"/>
      <c r="AG205" s="1688"/>
      <c r="AH205" s="1488"/>
      <c r="AI205" s="919">
        <f t="shared" si="20"/>
        <v>0</v>
      </c>
      <c r="AJ205" s="1684">
        <v>43.564841212989492</v>
      </c>
      <c r="AK205" s="1117">
        <f t="shared" si="21"/>
        <v>0</v>
      </c>
      <c r="AL205" s="1682" t="s">
        <v>54</v>
      </c>
      <c r="AM205" s="918"/>
      <c r="AN205" s="892"/>
      <c r="AO205" s="892"/>
    </row>
    <row r="206" spans="1:41" ht="54" customHeight="1">
      <c r="A206" s="1704">
        <v>188</v>
      </c>
      <c r="B206" s="1704">
        <v>24</v>
      </c>
      <c r="C206" s="918" t="str">
        <f>'Chấm công KT'!C200</f>
        <v>N. Phon</v>
      </c>
      <c r="D206" s="1687"/>
      <c r="E206" s="1687"/>
      <c r="F206" s="1687"/>
      <c r="G206" s="1687"/>
      <c r="H206" s="1687"/>
      <c r="I206" s="1687"/>
      <c r="J206" s="1687"/>
      <c r="K206" s="1687"/>
      <c r="L206" s="1687"/>
      <c r="M206" s="1687"/>
      <c r="N206" s="1687"/>
      <c r="O206" s="1687"/>
      <c r="P206" s="1688"/>
      <c r="Q206" s="1688"/>
      <c r="R206" s="1688"/>
      <c r="S206" s="1688"/>
      <c r="T206" s="1688"/>
      <c r="U206" s="1688"/>
      <c r="V206" s="1688"/>
      <c r="W206" s="1688"/>
      <c r="X206" s="1688"/>
      <c r="Y206" s="1688"/>
      <c r="Z206" s="1688"/>
      <c r="AA206" s="1688"/>
      <c r="AB206" s="1688"/>
      <c r="AC206" s="1688"/>
      <c r="AD206" s="1688"/>
      <c r="AE206" s="1688"/>
      <c r="AF206" s="1688"/>
      <c r="AG206" s="1688"/>
      <c r="AH206" s="1488"/>
      <c r="AI206" s="919">
        <f t="shared" si="20"/>
        <v>0</v>
      </c>
      <c r="AJ206" s="1684">
        <v>43.564841212989492</v>
      </c>
      <c r="AK206" s="1117">
        <f t="shared" si="21"/>
        <v>0</v>
      </c>
      <c r="AL206" s="1682" t="s">
        <v>54</v>
      </c>
      <c r="AM206" s="918"/>
      <c r="AN206" s="892"/>
      <c r="AO206" s="892"/>
    </row>
    <row r="207" spans="1:41" ht="54" customHeight="1">
      <c r="A207" s="1704">
        <v>189</v>
      </c>
      <c r="B207" s="1704">
        <v>25</v>
      </c>
      <c r="C207" s="918" t="str">
        <f>'Chấm công KT'!C201</f>
        <v>T. Cỏ</v>
      </c>
      <c r="D207" s="1687"/>
      <c r="E207" s="1687"/>
      <c r="F207" s="1687"/>
      <c r="G207" s="1687"/>
      <c r="H207" s="1687"/>
      <c r="I207" s="1687"/>
      <c r="J207" s="1687"/>
      <c r="K207" s="1687"/>
      <c r="L207" s="1687"/>
      <c r="M207" s="1687"/>
      <c r="N207" s="1687"/>
      <c r="O207" s="1687"/>
      <c r="P207" s="1688"/>
      <c r="Q207" s="1688"/>
      <c r="R207" s="1688"/>
      <c r="S207" s="1688"/>
      <c r="T207" s="1688"/>
      <c r="U207" s="1688"/>
      <c r="V207" s="1688"/>
      <c r="W207" s="1688"/>
      <c r="X207" s="1688"/>
      <c r="Y207" s="1688"/>
      <c r="Z207" s="1688"/>
      <c r="AA207" s="1688"/>
      <c r="AB207" s="1688"/>
      <c r="AC207" s="1688"/>
      <c r="AD207" s="1688"/>
      <c r="AE207" s="1688"/>
      <c r="AF207" s="1688"/>
      <c r="AG207" s="1688"/>
      <c r="AH207" s="1488"/>
      <c r="AI207" s="919">
        <f t="shared" si="20"/>
        <v>0</v>
      </c>
      <c r="AJ207" s="1684">
        <v>43.564841212989492</v>
      </c>
      <c r="AK207" s="1117">
        <f t="shared" si="21"/>
        <v>0</v>
      </c>
      <c r="AL207" s="1682" t="s">
        <v>54</v>
      </c>
      <c r="AM207" s="918"/>
      <c r="AN207" s="892"/>
      <c r="AO207" s="892"/>
    </row>
    <row r="208" spans="1:41" ht="54" customHeight="1">
      <c r="A208" s="1704">
        <v>190</v>
      </c>
      <c r="B208" s="1704">
        <v>26</v>
      </c>
      <c r="C208" s="918" t="str">
        <f>'Chấm công KT'!C202</f>
        <v>N. Phu Văn</v>
      </c>
      <c r="D208" s="1687"/>
      <c r="E208" s="1687"/>
      <c r="F208" s="1687"/>
      <c r="G208" s="1687"/>
      <c r="H208" s="1687"/>
      <c r="I208" s="1687"/>
      <c r="J208" s="1687"/>
      <c r="K208" s="1687"/>
      <c r="L208" s="1687"/>
      <c r="M208" s="1687"/>
      <c r="N208" s="1687"/>
      <c r="O208" s="1687"/>
      <c r="P208" s="1688"/>
      <c r="Q208" s="1688"/>
      <c r="R208" s="1688"/>
      <c r="S208" s="1688"/>
      <c r="T208" s="1688"/>
      <c r="U208" s="1688"/>
      <c r="V208" s="1688"/>
      <c r="W208" s="1688"/>
      <c r="X208" s="1688"/>
      <c r="Y208" s="1688"/>
      <c r="Z208" s="1688"/>
      <c r="AA208" s="1688"/>
      <c r="AB208" s="1688"/>
      <c r="AC208" s="1688"/>
      <c r="AD208" s="1688"/>
      <c r="AE208" s="1688"/>
      <c r="AF208" s="1688"/>
      <c r="AG208" s="1688"/>
      <c r="AH208" s="1488"/>
      <c r="AI208" s="919">
        <f t="shared" si="20"/>
        <v>0</v>
      </c>
      <c r="AJ208" s="1684">
        <v>43.564841212989492</v>
      </c>
      <c r="AK208" s="1117">
        <f t="shared" si="21"/>
        <v>0</v>
      </c>
      <c r="AL208" s="1682" t="s">
        <v>54</v>
      </c>
      <c r="AM208" s="918"/>
      <c r="AN208" s="892"/>
      <c r="AO208" s="892"/>
    </row>
    <row r="209" spans="1:41" ht="54" customHeight="1">
      <c r="A209" s="1704">
        <v>191</v>
      </c>
      <c r="B209" s="1704">
        <v>27</v>
      </c>
      <c r="C209" s="918" t="str">
        <f>'Chấm công KT'!C203</f>
        <v>N. Lỷ</v>
      </c>
      <c r="D209" s="1687"/>
      <c r="E209" s="1687"/>
      <c r="F209" s="1687"/>
      <c r="G209" s="1687"/>
      <c r="H209" s="1687"/>
      <c r="I209" s="1687"/>
      <c r="J209" s="1687"/>
      <c r="K209" s="1687"/>
      <c r="L209" s="1687"/>
      <c r="M209" s="1687"/>
      <c r="N209" s="1687"/>
      <c r="O209" s="1687"/>
      <c r="P209" s="1688"/>
      <c r="Q209" s="1688"/>
      <c r="R209" s="1688"/>
      <c r="S209" s="1688"/>
      <c r="T209" s="1688"/>
      <c r="U209" s="1688"/>
      <c r="V209" s="1688"/>
      <c r="W209" s="1688"/>
      <c r="X209" s="1688"/>
      <c r="Y209" s="1688"/>
      <c r="Z209" s="1688"/>
      <c r="AA209" s="1688"/>
      <c r="AB209" s="1688"/>
      <c r="AC209" s="1688"/>
      <c r="AD209" s="1688"/>
      <c r="AE209" s="1688"/>
      <c r="AF209" s="1688"/>
      <c r="AG209" s="1688"/>
      <c r="AH209" s="1488"/>
      <c r="AI209" s="919">
        <f t="shared" si="20"/>
        <v>0</v>
      </c>
      <c r="AJ209" s="1684">
        <v>43.564841212989492</v>
      </c>
      <c r="AK209" s="1117">
        <f t="shared" si="21"/>
        <v>0</v>
      </c>
      <c r="AL209" s="1682" t="s">
        <v>54</v>
      </c>
      <c r="AM209" s="918"/>
      <c r="AN209" s="892"/>
      <c r="AO209" s="892"/>
    </row>
    <row r="210" spans="1:41" ht="54" customHeight="1">
      <c r="A210" s="1704">
        <v>192</v>
      </c>
      <c r="B210" s="1704">
        <v>28</v>
      </c>
      <c r="C210" s="918" t="str">
        <f>'Chấm công KT'!C204</f>
        <v>T. Vy</v>
      </c>
      <c r="D210" s="1687"/>
      <c r="E210" s="1687"/>
      <c r="F210" s="1687"/>
      <c r="G210" s="1687"/>
      <c r="H210" s="1687"/>
      <c r="I210" s="1687"/>
      <c r="J210" s="1687"/>
      <c r="K210" s="1687"/>
      <c r="L210" s="1687"/>
      <c r="M210" s="1687"/>
      <c r="N210" s="1687"/>
      <c r="O210" s="1687"/>
      <c r="P210" s="1688"/>
      <c r="Q210" s="1688"/>
      <c r="R210" s="1688"/>
      <c r="S210" s="1688"/>
      <c r="T210" s="1688"/>
      <c r="U210" s="1688"/>
      <c r="V210" s="1688"/>
      <c r="W210" s="1688"/>
      <c r="X210" s="1688"/>
      <c r="Y210" s="1688"/>
      <c r="Z210" s="1688"/>
      <c r="AA210" s="1688"/>
      <c r="AB210" s="1688"/>
      <c r="AC210" s="1688"/>
      <c r="AD210" s="1688"/>
      <c r="AE210" s="1688"/>
      <c r="AF210" s="1688"/>
      <c r="AG210" s="1688"/>
      <c r="AH210" s="1488"/>
      <c r="AI210" s="919">
        <f t="shared" si="20"/>
        <v>0</v>
      </c>
      <c r="AJ210" s="1684">
        <v>43.564841212989492</v>
      </c>
      <c r="AK210" s="1117">
        <f t="shared" si="21"/>
        <v>0</v>
      </c>
      <c r="AL210" s="1682" t="s">
        <v>54</v>
      </c>
      <c r="AM210" s="918"/>
      <c r="AN210" s="892"/>
      <c r="AO210" s="892"/>
    </row>
    <row r="211" spans="1:41" ht="54" customHeight="1">
      <c r="A211" s="1704">
        <v>193</v>
      </c>
      <c r="B211" s="1704">
        <v>29</v>
      </c>
      <c r="C211" s="918" t="str">
        <f>'Chấm công KT'!C205</f>
        <v>T. Xi Nuôn</v>
      </c>
      <c r="D211" s="1687"/>
      <c r="E211" s="1687"/>
      <c r="F211" s="1687"/>
      <c r="G211" s="1687"/>
      <c r="H211" s="1687"/>
      <c r="I211" s="1687"/>
      <c r="J211" s="1687"/>
      <c r="K211" s="1687"/>
      <c r="L211" s="1687"/>
      <c r="M211" s="1687"/>
      <c r="N211" s="1687"/>
      <c r="O211" s="1687"/>
      <c r="P211" s="1688"/>
      <c r="Q211" s="1688"/>
      <c r="R211" s="1688"/>
      <c r="S211" s="1688"/>
      <c r="T211" s="1688"/>
      <c r="U211" s="1688"/>
      <c r="V211" s="1688"/>
      <c r="W211" s="1688"/>
      <c r="X211" s="1688"/>
      <c r="Y211" s="1688"/>
      <c r="Z211" s="1688"/>
      <c r="AA211" s="1688"/>
      <c r="AB211" s="1688"/>
      <c r="AC211" s="1688"/>
      <c r="AD211" s="1688"/>
      <c r="AE211" s="1688"/>
      <c r="AF211" s="1688"/>
      <c r="AG211" s="1688"/>
      <c r="AH211" s="1488"/>
      <c r="AI211" s="919">
        <f t="shared" si="20"/>
        <v>0</v>
      </c>
      <c r="AJ211" s="1684">
        <v>43.564841212989492</v>
      </c>
      <c r="AK211" s="1117">
        <f t="shared" si="21"/>
        <v>0</v>
      </c>
      <c r="AL211" s="1682" t="s">
        <v>79</v>
      </c>
      <c r="AM211" s="918"/>
      <c r="AN211" s="892"/>
      <c r="AO211" s="892"/>
    </row>
    <row r="212" spans="1:41" ht="54" customHeight="1">
      <c r="A212" s="1704">
        <v>194</v>
      </c>
      <c r="B212" s="1704">
        <v>30</v>
      </c>
      <c r="C212" s="918" t="str">
        <f>'Chấm công KT'!C206</f>
        <v>N. Ốc</v>
      </c>
      <c r="D212" s="1687"/>
      <c r="E212" s="1687"/>
      <c r="F212" s="1687"/>
      <c r="G212" s="1687"/>
      <c r="H212" s="1687"/>
      <c r="I212" s="1687"/>
      <c r="J212" s="1687"/>
      <c r="K212" s="1687"/>
      <c r="L212" s="1687"/>
      <c r="M212" s="1687"/>
      <c r="N212" s="1687"/>
      <c r="O212" s="1687"/>
      <c r="P212" s="1688"/>
      <c r="Q212" s="1688"/>
      <c r="R212" s="1688"/>
      <c r="S212" s="1688"/>
      <c r="T212" s="1688"/>
      <c r="U212" s="1688"/>
      <c r="V212" s="1688"/>
      <c r="W212" s="1688"/>
      <c r="X212" s="1688"/>
      <c r="Y212" s="1688"/>
      <c r="Z212" s="1688"/>
      <c r="AA212" s="1688"/>
      <c r="AB212" s="1688"/>
      <c r="AC212" s="1688"/>
      <c r="AD212" s="1688"/>
      <c r="AE212" s="1688"/>
      <c r="AF212" s="1688"/>
      <c r="AG212" s="1688"/>
      <c r="AH212" s="1488"/>
      <c r="AI212" s="919">
        <f t="shared" si="20"/>
        <v>0</v>
      </c>
      <c r="AJ212" s="1684">
        <v>43.564841212989492</v>
      </c>
      <c r="AK212" s="1117">
        <f t="shared" si="21"/>
        <v>0</v>
      </c>
      <c r="AL212" s="1682" t="s">
        <v>54</v>
      </c>
      <c r="AM212" s="918"/>
      <c r="AN212" s="892"/>
      <c r="AO212" s="892"/>
    </row>
    <row r="213" spans="1:41" ht="54" customHeight="1">
      <c r="A213" s="1704">
        <v>195</v>
      </c>
      <c r="B213" s="1704">
        <v>31</v>
      </c>
      <c r="C213" s="918" t="str">
        <f>'Chấm công KT'!C207</f>
        <v>T. Văn Nô</v>
      </c>
      <c r="D213" s="1687"/>
      <c r="E213" s="1687"/>
      <c r="F213" s="1687"/>
      <c r="G213" s="1687"/>
      <c r="H213" s="1687"/>
      <c r="I213" s="1687"/>
      <c r="J213" s="1687"/>
      <c r="K213" s="1687"/>
      <c r="L213" s="1687"/>
      <c r="M213" s="1687"/>
      <c r="N213" s="1687"/>
      <c r="O213" s="1687"/>
      <c r="P213" s="1688"/>
      <c r="Q213" s="1688"/>
      <c r="R213" s="1688"/>
      <c r="S213" s="1688"/>
      <c r="T213" s="1688"/>
      <c r="U213" s="1688"/>
      <c r="V213" s="1688"/>
      <c r="W213" s="1688"/>
      <c r="X213" s="1688"/>
      <c r="Y213" s="1688"/>
      <c r="Z213" s="1688"/>
      <c r="AA213" s="1688"/>
      <c r="AB213" s="1688"/>
      <c r="AC213" s="1688"/>
      <c r="AD213" s="1688"/>
      <c r="AE213" s="1688"/>
      <c r="AF213" s="1688"/>
      <c r="AG213" s="1688"/>
      <c r="AH213" s="1488"/>
      <c r="AI213" s="919">
        <f t="shared" si="20"/>
        <v>0</v>
      </c>
      <c r="AJ213" s="1684">
        <v>43.564841212989492</v>
      </c>
      <c r="AK213" s="1117">
        <f t="shared" si="21"/>
        <v>0</v>
      </c>
      <c r="AL213" s="1682" t="s">
        <v>54</v>
      </c>
      <c r="AM213" s="918"/>
      <c r="AN213" s="892"/>
      <c r="AO213" s="892"/>
    </row>
    <row r="214" spans="1:41" ht="54" customHeight="1">
      <c r="A214" s="1704">
        <v>196</v>
      </c>
      <c r="B214" s="1704">
        <v>32</v>
      </c>
      <c r="C214" s="918" t="str">
        <f>'Chấm công KT'!C208</f>
        <v>N. Văn Ta</v>
      </c>
      <c r="D214" s="1687"/>
      <c r="E214" s="1687"/>
      <c r="F214" s="1687"/>
      <c r="G214" s="1687"/>
      <c r="H214" s="1687"/>
      <c r="I214" s="1687"/>
      <c r="J214" s="1687"/>
      <c r="K214" s="1687"/>
      <c r="L214" s="1687"/>
      <c r="M214" s="1687"/>
      <c r="N214" s="1687"/>
      <c r="O214" s="1687"/>
      <c r="P214" s="1688"/>
      <c r="Q214" s="1688"/>
      <c r="R214" s="1688"/>
      <c r="S214" s="1688"/>
      <c r="T214" s="1688"/>
      <c r="U214" s="1688"/>
      <c r="V214" s="1688"/>
      <c r="W214" s="1688"/>
      <c r="X214" s="1688"/>
      <c r="Y214" s="1688"/>
      <c r="Z214" s="1688"/>
      <c r="AA214" s="1688"/>
      <c r="AB214" s="1688"/>
      <c r="AC214" s="1688"/>
      <c r="AD214" s="1688"/>
      <c r="AE214" s="1688"/>
      <c r="AF214" s="1688"/>
      <c r="AG214" s="1688"/>
      <c r="AH214" s="1488"/>
      <c r="AI214" s="919">
        <f t="shared" si="20"/>
        <v>0</v>
      </c>
      <c r="AJ214" s="1684">
        <v>43.564841212989492</v>
      </c>
      <c r="AK214" s="1117">
        <f t="shared" si="21"/>
        <v>0</v>
      </c>
      <c r="AL214" s="1682" t="s">
        <v>79</v>
      </c>
      <c r="AM214" s="918"/>
      <c r="AN214" s="892"/>
      <c r="AO214" s="892"/>
    </row>
    <row r="215" spans="1:41" ht="54" customHeight="1">
      <c r="A215" s="1704">
        <v>197</v>
      </c>
      <c r="B215" s="1704">
        <v>33</v>
      </c>
      <c r="C215" s="918" t="str">
        <f>'Chấm công KT'!C209</f>
        <v>T. Thon</v>
      </c>
      <c r="D215" s="1687"/>
      <c r="E215" s="1687"/>
      <c r="F215" s="1687"/>
      <c r="G215" s="1687"/>
      <c r="H215" s="1687"/>
      <c r="I215" s="1687"/>
      <c r="J215" s="1687"/>
      <c r="K215" s="1687"/>
      <c r="L215" s="1687"/>
      <c r="M215" s="1687"/>
      <c r="N215" s="1687"/>
      <c r="O215" s="1687"/>
      <c r="P215" s="1688"/>
      <c r="Q215" s="1688"/>
      <c r="R215" s="1688"/>
      <c r="S215" s="1688"/>
      <c r="T215" s="1688"/>
      <c r="U215" s="1688"/>
      <c r="V215" s="1688"/>
      <c r="W215" s="1688"/>
      <c r="X215" s="1688"/>
      <c r="Y215" s="1688"/>
      <c r="Z215" s="1688"/>
      <c r="AA215" s="1688"/>
      <c r="AB215" s="1688"/>
      <c r="AC215" s="1688"/>
      <c r="AD215" s="1688"/>
      <c r="AE215" s="1688"/>
      <c r="AF215" s="1688"/>
      <c r="AG215" s="1688"/>
      <c r="AH215" s="1488"/>
      <c r="AI215" s="919">
        <f t="shared" si="20"/>
        <v>0</v>
      </c>
      <c r="AJ215" s="1684">
        <v>43.564841212989492</v>
      </c>
      <c r="AK215" s="1117">
        <f t="shared" ref="AK215:AK244" si="22">AI215*AJ215/100</f>
        <v>0</v>
      </c>
      <c r="AL215" s="1682" t="s">
        <v>54</v>
      </c>
      <c r="AM215" s="918"/>
      <c r="AN215" s="892"/>
      <c r="AO215" s="892"/>
    </row>
    <row r="216" spans="1:41" ht="54" customHeight="1">
      <c r="A216" s="1704">
        <v>198</v>
      </c>
      <c r="B216" s="1704">
        <v>34</v>
      </c>
      <c r="C216" s="918" t="str">
        <f>'Chấm công KT'!C210</f>
        <v>Bun Thon</v>
      </c>
      <c r="D216" s="1687"/>
      <c r="E216" s="1687"/>
      <c r="F216" s="1687"/>
      <c r="G216" s="1687"/>
      <c r="H216" s="1687"/>
      <c r="I216" s="1687"/>
      <c r="J216" s="1687"/>
      <c r="K216" s="1687"/>
      <c r="L216" s="1687"/>
      <c r="M216" s="1687"/>
      <c r="N216" s="1687"/>
      <c r="O216" s="1687"/>
      <c r="P216" s="1688"/>
      <c r="Q216" s="1688"/>
      <c r="R216" s="1688"/>
      <c r="S216" s="1688"/>
      <c r="T216" s="1688"/>
      <c r="U216" s="1688"/>
      <c r="V216" s="1688"/>
      <c r="W216" s="1688"/>
      <c r="X216" s="1688"/>
      <c r="Y216" s="1688"/>
      <c r="Z216" s="1688"/>
      <c r="AA216" s="1688"/>
      <c r="AB216" s="1688"/>
      <c r="AC216" s="1688"/>
      <c r="AD216" s="1688"/>
      <c r="AE216" s="1688"/>
      <c r="AF216" s="1688"/>
      <c r="AG216" s="1688"/>
      <c r="AH216" s="1488"/>
      <c r="AI216" s="919">
        <f t="shared" si="20"/>
        <v>0</v>
      </c>
      <c r="AJ216" s="1684">
        <v>43.564841212989492</v>
      </c>
      <c r="AK216" s="1117">
        <f t="shared" si="22"/>
        <v>0</v>
      </c>
      <c r="AL216" s="1682" t="s">
        <v>54</v>
      </c>
      <c r="AM216" s="918"/>
      <c r="AN216" s="892"/>
      <c r="AO216" s="892"/>
    </row>
    <row r="217" spans="1:41" ht="54" customHeight="1">
      <c r="A217" s="1704">
        <v>199</v>
      </c>
      <c r="B217" s="1704">
        <v>35</v>
      </c>
      <c r="C217" s="918" t="str">
        <f>'Chấm công KT'!C211</f>
        <v>N. Túc</v>
      </c>
      <c r="D217" s="1687"/>
      <c r="E217" s="1687"/>
      <c r="F217" s="1687"/>
      <c r="G217" s="1687"/>
      <c r="H217" s="1687"/>
      <c r="I217" s="1687"/>
      <c r="J217" s="1687"/>
      <c r="K217" s="1687"/>
      <c r="L217" s="1687"/>
      <c r="M217" s="1687"/>
      <c r="N217" s="1687"/>
      <c r="O217" s="1687"/>
      <c r="P217" s="1688"/>
      <c r="Q217" s="1688"/>
      <c r="R217" s="1688"/>
      <c r="S217" s="1688"/>
      <c r="T217" s="1688"/>
      <c r="U217" s="1688"/>
      <c r="V217" s="1688"/>
      <c r="W217" s="1688"/>
      <c r="X217" s="1688"/>
      <c r="Y217" s="1688"/>
      <c r="Z217" s="1688"/>
      <c r="AA217" s="1688"/>
      <c r="AB217" s="1688"/>
      <c r="AC217" s="1688"/>
      <c r="AD217" s="1688"/>
      <c r="AE217" s="1688"/>
      <c r="AF217" s="1688"/>
      <c r="AG217" s="1688"/>
      <c r="AH217" s="1488"/>
      <c r="AI217" s="919">
        <f t="shared" si="20"/>
        <v>0</v>
      </c>
      <c r="AJ217" s="1684">
        <v>43.564841212989492</v>
      </c>
      <c r="AK217" s="1117">
        <f t="shared" si="22"/>
        <v>0</v>
      </c>
      <c r="AL217" s="1682" t="s">
        <v>54</v>
      </c>
      <c r="AM217" s="918"/>
      <c r="AN217" s="892"/>
      <c r="AO217" s="892"/>
    </row>
    <row r="218" spans="1:41" ht="54" customHeight="1">
      <c r="A218" s="1704">
        <v>200</v>
      </c>
      <c r="B218" s="1704">
        <v>36</v>
      </c>
      <c r="C218" s="918" t="str">
        <f>'Chấm công KT'!C212</f>
        <v>N. Xeo Khăm</v>
      </c>
      <c r="D218" s="1687"/>
      <c r="E218" s="1687"/>
      <c r="F218" s="1687"/>
      <c r="G218" s="1687"/>
      <c r="H218" s="1687"/>
      <c r="I218" s="1687"/>
      <c r="J218" s="1687"/>
      <c r="K218" s="1687"/>
      <c r="L218" s="1687"/>
      <c r="M218" s="1687"/>
      <c r="N218" s="1687"/>
      <c r="O218" s="1687"/>
      <c r="P218" s="1688"/>
      <c r="Q218" s="1688"/>
      <c r="R218" s="1688"/>
      <c r="S218" s="1688"/>
      <c r="T218" s="1688"/>
      <c r="U218" s="1688"/>
      <c r="V218" s="1688"/>
      <c r="W218" s="1688"/>
      <c r="X218" s="1688"/>
      <c r="Y218" s="1688"/>
      <c r="Z218" s="1688"/>
      <c r="AA218" s="1688"/>
      <c r="AB218" s="1688"/>
      <c r="AC218" s="1688"/>
      <c r="AD218" s="1688"/>
      <c r="AE218" s="1688"/>
      <c r="AF218" s="1688"/>
      <c r="AG218" s="1688"/>
      <c r="AH218" s="1488"/>
      <c r="AI218" s="919">
        <f t="shared" si="20"/>
        <v>0</v>
      </c>
      <c r="AJ218" s="1684">
        <v>43.564841212989492</v>
      </c>
      <c r="AK218" s="1117">
        <f t="shared" si="22"/>
        <v>0</v>
      </c>
      <c r="AL218" s="1682" t="s">
        <v>79</v>
      </c>
      <c r="AM218" s="918"/>
      <c r="AN218" s="892"/>
      <c r="AO218" s="892"/>
    </row>
    <row r="219" spans="1:41" ht="54" customHeight="1">
      <c r="A219" s="1704">
        <v>201</v>
      </c>
      <c r="B219" s="1704">
        <v>37</v>
      </c>
      <c r="C219" s="918" t="str">
        <f>'Chấm công KT'!C213</f>
        <v>T. Khăm...</v>
      </c>
      <c r="D219" s="1687"/>
      <c r="E219" s="1687"/>
      <c r="F219" s="1687"/>
      <c r="G219" s="1687"/>
      <c r="H219" s="1687"/>
      <c r="I219" s="1687"/>
      <c r="J219" s="1687"/>
      <c r="K219" s="1687"/>
      <c r="L219" s="1687"/>
      <c r="M219" s="1687"/>
      <c r="N219" s="1687"/>
      <c r="O219" s="1687"/>
      <c r="P219" s="1688"/>
      <c r="Q219" s="1688"/>
      <c r="R219" s="1688"/>
      <c r="S219" s="1688"/>
      <c r="T219" s="1688"/>
      <c r="U219" s="1688"/>
      <c r="V219" s="1688"/>
      <c r="W219" s="1688"/>
      <c r="X219" s="1688"/>
      <c r="Y219" s="1688"/>
      <c r="Z219" s="1688"/>
      <c r="AA219" s="1688"/>
      <c r="AB219" s="1688"/>
      <c r="AC219" s="1688"/>
      <c r="AD219" s="1688"/>
      <c r="AE219" s="1688"/>
      <c r="AF219" s="1688"/>
      <c r="AG219" s="1688"/>
      <c r="AH219" s="1488"/>
      <c r="AI219" s="919">
        <f t="shared" si="20"/>
        <v>0</v>
      </c>
      <c r="AJ219" s="1684">
        <v>43.564841212989492</v>
      </c>
      <c r="AK219" s="1117">
        <f t="shared" si="22"/>
        <v>0</v>
      </c>
      <c r="AL219" s="1682" t="s">
        <v>54</v>
      </c>
      <c r="AM219" s="918"/>
      <c r="AN219" s="892"/>
      <c r="AO219" s="892"/>
    </row>
    <row r="220" spans="1:41" ht="54" customHeight="1">
      <c r="A220" s="1704">
        <v>202</v>
      </c>
      <c r="B220" s="1704">
        <v>38</v>
      </c>
      <c r="C220" s="918" t="str">
        <f>'Chấm công KT'!C214</f>
        <v>T. Đôn</v>
      </c>
      <c r="D220" s="1687"/>
      <c r="E220" s="1687"/>
      <c r="F220" s="1687"/>
      <c r="G220" s="1687"/>
      <c r="H220" s="1687"/>
      <c r="I220" s="1687"/>
      <c r="J220" s="1687"/>
      <c r="K220" s="1687"/>
      <c r="L220" s="1687"/>
      <c r="M220" s="1687"/>
      <c r="N220" s="1687"/>
      <c r="O220" s="1687"/>
      <c r="P220" s="1688"/>
      <c r="Q220" s="1688"/>
      <c r="R220" s="1688"/>
      <c r="S220" s="1688"/>
      <c r="T220" s="1688"/>
      <c r="U220" s="1688"/>
      <c r="V220" s="1688"/>
      <c r="W220" s="1688"/>
      <c r="X220" s="1688"/>
      <c r="Y220" s="1688"/>
      <c r="Z220" s="1688"/>
      <c r="AA220" s="1688"/>
      <c r="AB220" s="1688"/>
      <c r="AC220" s="1688"/>
      <c r="AD220" s="1688"/>
      <c r="AE220" s="1688"/>
      <c r="AF220" s="1688"/>
      <c r="AG220" s="1688"/>
      <c r="AH220" s="1488"/>
      <c r="AI220" s="919">
        <f t="shared" si="20"/>
        <v>0</v>
      </c>
      <c r="AJ220" s="1684">
        <v>43.564841212989492</v>
      </c>
      <c r="AK220" s="1117">
        <f t="shared" si="22"/>
        <v>0</v>
      </c>
      <c r="AL220" s="1682" t="s">
        <v>889</v>
      </c>
      <c r="AM220" s="918"/>
      <c r="AN220" s="892"/>
      <c r="AO220" s="892"/>
    </row>
    <row r="221" spans="1:41" ht="54" customHeight="1">
      <c r="A221" s="1704">
        <v>203</v>
      </c>
      <c r="B221" s="1704">
        <v>39</v>
      </c>
      <c r="C221" s="918" t="str">
        <f>'Chấm công KT'!C215</f>
        <v>N. Pheng</v>
      </c>
      <c r="D221" s="1687"/>
      <c r="E221" s="1687"/>
      <c r="F221" s="1687"/>
      <c r="G221" s="1687"/>
      <c r="H221" s="1687"/>
      <c r="I221" s="1687"/>
      <c r="J221" s="1687"/>
      <c r="K221" s="1687"/>
      <c r="L221" s="1687"/>
      <c r="M221" s="1687"/>
      <c r="N221" s="1687"/>
      <c r="O221" s="1687"/>
      <c r="P221" s="1688"/>
      <c r="Q221" s="1688"/>
      <c r="R221" s="1688"/>
      <c r="S221" s="1688"/>
      <c r="T221" s="1688"/>
      <c r="U221" s="1688"/>
      <c r="V221" s="1688"/>
      <c r="W221" s="1688"/>
      <c r="X221" s="1688"/>
      <c r="Y221" s="1688"/>
      <c r="Z221" s="1688"/>
      <c r="AA221" s="1688"/>
      <c r="AB221" s="1688"/>
      <c r="AC221" s="1688"/>
      <c r="AD221" s="1688"/>
      <c r="AE221" s="1688"/>
      <c r="AF221" s="1688"/>
      <c r="AG221" s="1688"/>
      <c r="AH221" s="1488"/>
      <c r="AI221" s="919">
        <f t="shared" si="20"/>
        <v>0</v>
      </c>
      <c r="AJ221" s="1684">
        <v>43.564841212989492</v>
      </c>
      <c r="AK221" s="1117">
        <f t="shared" si="22"/>
        <v>0</v>
      </c>
      <c r="AL221" s="1682" t="s">
        <v>54</v>
      </c>
      <c r="AM221" s="918"/>
      <c r="AN221" s="892"/>
      <c r="AO221" s="892"/>
    </row>
    <row r="222" spans="1:41" ht="54" customHeight="1">
      <c r="A222" s="1704">
        <v>204</v>
      </c>
      <c r="B222" s="1704">
        <v>40</v>
      </c>
      <c r="C222" s="918" t="str">
        <f>'Chấm công KT'!C216</f>
        <v>N. Mom</v>
      </c>
      <c r="D222" s="1687"/>
      <c r="E222" s="1687"/>
      <c r="F222" s="1687"/>
      <c r="G222" s="1687"/>
      <c r="H222" s="1687"/>
      <c r="I222" s="1687"/>
      <c r="J222" s="1687"/>
      <c r="K222" s="1687"/>
      <c r="L222" s="1687"/>
      <c r="M222" s="1687"/>
      <c r="N222" s="1687"/>
      <c r="O222" s="1687"/>
      <c r="P222" s="1688"/>
      <c r="Q222" s="1688"/>
      <c r="R222" s="1688"/>
      <c r="S222" s="1688"/>
      <c r="T222" s="1688"/>
      <c r="U222" s="1688"/>
      <c r="V222" s="1688"/>
      <c r="W222" s="1688"/>
      <c r="X222" s="1688"/>
      <c r="Y222" s="1688"/>
      <c r="Z222" s="1688"/>
      <c r="AA222" s="1688"/>
      <c r="AB222" s="1688"/>
      <c r="AC222" s="1688"/>
      <c r="AD222" s="1688"/>
      <c r="AE222" s="1688"/>
      <c r="AF222" s="1688"/>
      <c r="AG222" s="1688"/>
      <c r="AH222" s="1488"/>
      <c r="AI222" s="919">
        <f t="shared" si="20"/>
        <v>0</v>
      </c>
      <c r="AJ222" s="1684">
        <v>43.564841212989492</v>
      </c>
      <c r="AK222" s="1117">
        <f t="shared" si="22"/>
        <v>0</v>
      </c>
      <c r="AL222" s="1682" t="s">
        <v>54</v>
      </c>
      <c r="AM222" s="918"/>
      <c r="AN222" s="892"/>
      <c r="AO222" s="892"/>
    </row>
    <row r="223" spans="1:41" ht="54" customHeight="1">
      <c r="A223" s="1704">
        <v>205</v>
      </c>
      <c r="B223" s="1704">
        <v>41</v>
      </c>
      <c r="C223" s="918" t="str">
        <f>'Chấm công KT'!C217</f>
        <v>Phắt Ta Na</v>
      </c>
      <c r="D223" s="1687"/>
      <c r="E223" s="1687"/>
      <c r="F223" s="1687"/>
      <c r="G223" s="1687"/>
      <c r="H223" s="1687"/>
      <c r="I223" s="1687"/>
      <c r="J223" s="1687"/>
      <c r="K223" s="1687"/>
      <c r="L223" s="1687"/>
      <c r="M223" s="1687"/>
      <c r="N223" s="1687"/>
      <c r="O223" s="1687"/>
      <c r="P223" s="1688"/>
      <c r="Q223" s="1688"/>
      <c r="R223" s="1688"/>
      <c r="S223" s="1688"/>
      <c r="T223" s="1688"/>
      <c r="U223" s="1688"/>
      <c r="V223" s="1688"/>
      <c r="W223" s="1688"/>
      <c r="X223" s="1688"/>
      <c r="Y223" s="1688"/>
      <c r="Z223" s="1688"/>
      <c r="AA223" s="1688"/>
      <c r="AB223" s="1688"/>
      <c r="AC223" s="1688"/>
      <c r="AD223" s="1688"/>
      <c r="AE223" s="1688"/>
      <c r="AF223" s="1688"/>
      <c r="AG223" s="1688"/>
      <c r="AH223" s="1488"/>
      <c r="AI223" s="919">
        <f t="shared" si="20"/>
        <v>0</v>
      </c>
      <c r="AJ223" s="1684">
        <v>43.564841212989492</v>
      </c>
      <c r="AK223" s="1117">
        <f t="shared" si="22"/>
        <v>0</v>
      </c>
      <c r="AL223" s="1682" t="s">
        <v>79</v>
      </c>
      <c r="AM223" s="918"/>
      <c r="AN223" s="892"/>
      <c r="AO223" s="892"/>
    </row>
    <row r="224" spans="1:41" ht="54" customHeight="1">
      <c r="A224" s="1704">
        <v>206</v>
      </c>
      <c r="B224" s="1704">
        <v>42</v>
      </c>
      <c r="C224" s="918" t="str">
        <f>'Chấm công KT'!C218</f>
        <v>Khăn Hạ</v>
      </c>
      <c r="D224" s="1687"/>
      <c r="E224" s="1687"/>
      <c r="F224" s="1687"/>
      <c r="G224" s="1687"/>
      <c r="H224" s="1687"/>
      <c r="I224" s="1687"/>
      <c r="J224" s="1687"/>
      <c r="K224" s="1687"/>
      <c r="L224" s="1687"/>
      <c r="M224" s="1687"/>
      <c r="N224" s="1687"/>
      <c r="O224" s="1687"/>
      <c r="P224" s="1688"/>
      <c r="Q224" s="1688"/>
      <c r="R224" s="1688"/>
      <c r="S224" s="1688"/>
      <c r="T224" s="1688"/>
      <c r="U224" s="1688"/>
      <c r="V224" s="1688"/>
      <c r="W224" s="1688"/>
      <c r="X224" s="1688"/>
      <c r="Y224" s="1688"/>
      <c r="Z224" s="1688"/>
      <c r="AA224" s="1688"/>
      <c r="AB224" s="1688"/>
      <c r="AC224" s="1688"/>
      <c r="AD224" s="1688"/>
      <c r="AE224" s="1688"/>
      <c r="AF224" s="1688"/>
      <c r="AG224" s="1688"/>
      <c r="AH224" s="1488"/>
      <c r="AI224" s="919">
        <f t="shared" si="20"/>
        <v>0</v>
      </c>
      <c r="AJ224" s="1684">
        <v>43.564841212989492</v>
      </c>
      <c r="AK224" s="1117">
        <f t="shared" si="22"/>
        <v>0</v>
      </c>
      <c r="AL224" s="1682" t="s">
        <v>54</v>
      </c>
      <c r="AM224" s="918"/>
      <c r="AN224" s="892"/>
      <c r="AO224" s="892"/>
    </row>
    <row r="225" spans="1:41" ht="54" customHeight="1">
      <c r="A225" s="1704">
        <v>207</v>
      </c>
      <c r="B225" s="1704">
        <v>43</v>
      </c>
      <c r="C225" s="918" t="str">
        <f>'Chấm công KT'!C219</f>
        <v>T. Chăn La .</v>
      </c>
      <c r="D225" s="1687"/>
      <c r="E225" s="1687"/>
      <c r="F225" s="1687"/>
      <c r="G225" s="1687"/>
      <c r="H225" s="1687"/>
      <c r="I225" s="1687"/>
      <c r="J225" s="1687"/>
      <c r="K225" s="1687"/>
      <c r="L225" s="1687"/>
      <c r="M225" s="1687"/>
      <c r="N225" s="1687"/>
      <c r="O225" s="1687"/>
      <c r="P225" s="1688"/>
      <c r="Q225" s="1688"/>
      <c r="R225" s="1688"/>
      <c r="S225" s="1688"/>
      <c r="T225" s="1688"/>
      <c r="U225" s="1688"/>
      <c r="V225" s="1688"/>
      <c r="W225" s="1688"/>
      <c r="X225" s="1688"/>
      <c r="Y225" s="1688"/>
      <c r="Z225" s="1688"/>
      <c r="AA225" s="1688"/>
      <c r="AB225" s="1688"/>
      <c r="AC225" s="1688"/>
      <c r="AD225" s="1688"/>
      <c r="AE225" s="1688"/>
      <c r="AF225" s="1688"/>
      <c r="AG225" s="1688"/>
      <c r="AH225" s="1488"/>
      <c r="AI225" s="919">
        <f t="shared" si="20"/>
        <v>0</v>
      </c>
      <c r="AJ225" s="1684">
        <v>43.564841212989492</v>
      </c>
      <c r="AK225" s="1117">
        <f t="shared" si="22"/>
        <v>0</v>
      </c>
      <c r="AL225" s="1682" t="s">
        <v>54</v>
      </c>
      <c r="AM225" s="918"/>
      <c r="AN225" s="892"/>
      <c r="AO225" s="892"/>
    </row>
    <row r="226" spans="1:41" ht="54" customHeight="1">
      <c r="A226" s="1704">
        <v>208</v>
      </c>
      <c r="B226" s="1704">
        <v>44</v>
      </c>
      <c r="C226" s="918" t="str">
        <f>'Chấm công KT'!C220</f>
        <v>T. Nú</v>
      </c>
      <c r="D226" s="1687"/>
      <c r="E226" s="1687"/>
      <c r="F226" s="1687"/>
      <c r="G226" s="1687"/>
      <c r="H226" s="1687"/>
      <c r="I226" s="1687"/>
      <c r="J226" s="1687"/>
      <c r="K226" s="1687"/>
      <c r="L226" s="1687"/>
      <c r="M226" s="1687"/>
      <c r="N226" s="1687"/>
      <c r="O226" s="1687"/>
      <c r="P226" s="1688"/>
      <c r="Q226" s="1688"/>
      <c r="R226" s="1688"/>
      <c r="S226" s="1688"/>
      <c r="T226" s="1688"/>
      <c r="U226" s="1688"/>
      <c r="V226" s="1688"/>
      <c r="W226" s="1688"/>
      <c r="X226" s="1688"/>
      <c r="Y226" s="1688"/>
      <c r="Z226" s="1688"/>
      <c r="AA226" s="1688"/>
      <c r="AB226" s="1688"/>
      <c r="AC226" s="1688"/>
      <c r="AD226" s="1688"/>
      <c r="AE226" s="1688"/>
      <c r="AF226" s="1688"/>
      <c r="AG226" s="1688"/>
      <c r="AH226" s="1488"/>
      <c r="AI226" s="919">
        <f t="shared" si="20"/>
        <v>0</v>
      </c>
      <c r="AJ226" s="1684">
        <v>43.564841212989492</v>
      </c>
      <c r="AK226" s="1117">
        <f t="shared" si="22"/>
        <v>0</v>
      </c>
      <c r="AL226" s="1682" t="s">
        <v>54</v>
      </c>
      <c r="AM226" s="918"/>
      <c r="AN226" s="892"/>
      <c r="AO226" s="892"/>
    </row>
    <row r="227" spans="1:41" ht="54" customHeight="1">
      <c r="A227" s="1704">
        <v>209</v>
      </c>
      <c r="B227" s="1704">
        <v>45</v>
      </c>
      <c r="C227" s="918" t="str">
        <f>'Chấm công KT'!C221</f>
        <v>T. Xan Nha</v>
      </c>
      <c r="D227" s="1687"/>
      <c r="E227" s="1687"/>
      <c r="F227" s="1687"/>
      <c r="G227" s="1687"/>
      <c r="H227" s="1687"/>
      <c r="I227" s="1687"/>
      <c r="J227" s="1687"/>
      <c r="K227" s="1687"/>
      <c r="L227" s="1687"/>
      <c r="M227" s="1687"/>
      <c r="N227" s="1687"/>
      <c r="O227" s="1687"/>
      <c r="P227" s="1688"/>
      <c r="Q227" s="1688"/>
      <c r="R227" s="1688"/>
      <c r="S227" s="1688"/>
      <c r="T227" s="1688"/>
      <c r="U227" s="1688"/>
      <c r="V227" s="1688"/>
      <c r="W227" s="1688"/>
      <c r="X227" s="1688"/>
      <c r="Y227" s="1688"/>
      <c r="Z227" s="1688"/>
      <c r="AA227" s="1688"/>
      <c r="AB227" s="1688"/>
      <c r="AC227" s="1688"/>
      <c r="AD227" s="1688"/>
      <c r="AE227" s="1688"/>
      <c r="AF227" s="1688"/>
      <c r="AG227" s="1688"/>
      <c r="AH227" s="1488"/>
      <c r="AI227" s="919">
        <f t="shared" si="20"/>
        <v>0</v>
      </c>
      <c r="AJ227" s="1684">
        <v>43.564841212989492</v>
      </c>
      <c r="AK227" s="1117">
        <f t="shared" si="22"/>
        <v>0</v>
      </c>
      <c r="AL227" s="1682" t="s">
        <v>54</v>
      </c>
      <c r="AM227" s="918"/>
      <c r="AN227" s="892"/>
      <c r="AO227" s="892"/>
    </row>
    <row r="228" spans="1:41" ht="54" customHeight="1">
      <c r="A228" s="1704">
        <v>210</v>
      </c>
      <c r="B228" s="1704">
        <v>46</v>
      </c>
      <c r="C228" s="918" t="str">
        <f>'Chấm công KT'!C222</f>
        <v>T. A lem</v>
      </c>
      <c r="D228" s="1687"/>
      <c r="E228" s="1687"/>
      <c r="F228" s="1687"/>
      <c r="G228" s="1687"/>
      <c r="H228" s="1687"/>
      <c r="I228" s="1687"/>
      <c r="J228" s="1687"/>
      <c r="K228" s="1687"/>
      <c r="L228" s="1687"/>
      <c r="M228" s="1687"/>
      <c r="N228" s="1687"/>
      <c r="O228" s="1687"/>
      <c r="P228" s="1688"/>
      <c r="Q228" s="1688"/>
      <c r="R228" s="1688"/>
      <c r="S228" s="1688"/>
      <c r="T228" s="1688"/>
      <c r="U228" s="1688"/>
      <c r="V228" s="1688"/>
      <c r="W228" s="1688"/>
      <c r="X228" s="1688"/>
      <c r="Y228" s="1688"/>
      <c r="Z228" s="1688"/>
      <c r="AA228" s="1688"/>
      <c r="AB228" s="1688"/>
      <c r="AC228" s="1688"/>
      <c r="AD228" s="1688"/>
      <c r="AE228" s="1688"/>
      <c r="AF228" s="1688"/>
      <c r="AG228" s="1688"/>
      <c r="AH228" s="1488"/>
      <c r="AI228" s="919">
        <f t="shared" si="20"/>
        <v>0</v>
      </c>
      <c r="AJ228" s="1684">
        <v>43.564841212989492</v>
      </c>
      <c r="AK228" s="1117">
        <f t="shared" si="22"/>
        <v>0</v>
      </c>
      <c r="AL228" s="1682" t="s">
        <v>54</v>
      </c>
      <c r="AM228" s="918"/>
      <c r="AN228" s="892"/>
      <c r="AO228" s="892"/>
    </row>
    <row r="229" spans="1:41" ht="54" customHeight="1">
      <c r="A229" s="1704">
        <v>211</v>
      </c>
      <c r="B229" s="1704">
        <v>47</v>
      </c>
      <c r="C229" s="918" t="str">
        <f>'Chấm công KT'!C223</f>
        <v>T. Chăn</v>
      </c>
      <c r="D229" s="1687"/>
      <c r="E229" s="1687"/>
      <c r="F229" s="1687"/>
      <c r="G229" s="1687"/>
      <c r="H229" s="1687"/>
      <c r="I229" s="1687"/>
      <c r="J229" s="1687"/>
      <c r="K229" s="1687"/>
      <c r="L229" s="1687"/>
      <c r="M229" s="1687"/>
      <c r="N229" s="1687"/>
      <c r="O229" s="1687"/>
      <c r="P229" s="1688"/>
      <c r="Q229" s="1688"/>
      <c r="R229" s="1688"/>
      <c r="S229" s="1688"/>
      <c r="T229" s="1688"/>
      <c r="U229" s="1688"/>
      <c r="V229" s="1688"/>
      <c r="W229" s="1688"/>
      <c r="X229" s="1688"/>
      <c r="Y229" s="1688"/>
      <c r="Z229" s="1688"/>
      <c r="AA229" s="1688"/>
      <c r="AB229" s="1688"/>
      <c r="AC229" s="1688"/>
      <c r="AD229" s="1688"/>
      <c r="AE229" s="1688"/>
      <c r="AF229" s="1688"/>
      <c r="AG229" s="1688"/>
      <c r="AH229" s="1488"/>
      <c r="AI229" s="919">
        <f t="shared" si="20"/>
        <v>0</v>
      </c>
      <c r="AJ229" s="1684">
        <v>43.564841212989492</v>
      </c>
      <c r="AK229" s="1117">
        <f t="shared" si="22"/>
        <v>0</v>
      </c>
      <c r="AL229" s="1682" t="s">
        <v>79</v>
      </c>
      <c r="AM229" s="918"/>
      <c r="AN229" s="892"/>
      <c r="AO229" s="892"/>
    </row>
    <row r="230" spans="1:41" ht="54" customHeight="1">
      <c r="A230" s="1704">
        <v>212</v>
      </c>
      <c r="B230" s="1704">
        <v>48</v>
      </c>
      <c r="C230" s="918" t="str">
        <f>'Chấm công KT'!C224</f>
        <v>T . Cổ</v>
      </c>
      <c r="D230" s="1687"/>
      <c r="E230" s="1687"/>
      <c r="F230" s="1687"/>
      <c r="G230" s="1687"/>
      <c r="H230" s="1687"/>
      <c r="I230" s="1687"/>
      <c r="J230" s="1687"/>
      <c r="K230" s="1687"/>
      <c r="L230" s="1687"/>
      <c r="M230" s="1687"/>
      <c r="N230" s="1687"/>
      <c r="O230" s="1687"/>
      <c r="P230" s="1688"/>
      <c r="Q230" s="1688"/>
      <c r="R230" s="1688"/>
      <c r="S230" s="1688"/>
      <c r="T230" s="1688"/>
      <c r="U230" s="1688"/>
      <c r="V230" s="1688"/>
      <c r="W230" s="1688"/>
      <c r="X230" s="1688"/>
      <c r="Y230" s="1688"/>
      <c r="Z230" s="1688"/>
      <c r="AA230" s="1688"/>
      <c r="AB230" s="1688"/>
      <c r="AC230" s="1688"/>
      <c r="AD230" s="1688"/>
      <c r="AE230" s="1688"/>
      <c r="AF230" s="1688"/>
      <c r="AG230" s="1688"/>
      <c r="AH230" s="1488"/>
      <c r="AI230" s="919">
        <f t="shared" si="20"/>
        <v>0</v>
      </c>
      <c r="AJ230" s="1684">
        <v>43.564841212989492</v>
      </c>
      <c r="AK230" s="1117">
        <f t="shared" si="22"/>
        <v>0</v>
      </c>
      <c r="AL230" s="1682" t="s">
        <v>79</v>
      </c>
      <c r="AM230" s="918"/>
      <c r="AN230" s="892"/>
      <c r="AO230" s="892"/>
    </row>
    <row r="231" spans="1:41" ht="54" customHeight="1">
      <c r="A231" s="1704">
        <v>213</v>
      </c>
      <c r="B231" s="1704">
        <v>49</v>
      </c>
      <c r="C231" s="918" t="str">
        <f>'Chấm công KT'!C225</f>
        <v>N. Phim Pha</v>
      </c>
      <c r="D231" s="1687"/>
      <c r="E231" s="1687"/>
      <c r="F231" s="1687"/>
      <c r="G231" s="1687"/>
      <c r="H231" s="1687"/>
      <c r="I231" s="1687"/>
      <c r="J231" s="1687"/>
      <c r="K231" s="1687"/>
      <c r="L231" s="1687"/>
      <c r="M231" s="1687"/>
      <c r="N231" s="1687"/>
      <c r="O231" s="1687"/>
      <c r="P231" s="1688"/>
      <c r="Q231" s="1688"/>
      <c r="R231" s="1688"/>
      <c r="S231" s="1688"/>
      <c r="T231" s="1688"/>
      <c r="U231" s="1688"/>
      <c r="V231" s="1688"/>
      <c r="W231" s="1688"/>
      <c r="X231" s="1688"/>
      <c r="Y231" s="1688"/>
      <c r="Z231" s="1688"/>
      <c r="AA231" s="1688"/>
      <c r="AB231" s="1688"/>
      <c r="AC231" s="1688"/>
      <c r="AD231" s="1688"/>
      <c r="AE231" s="1688"/>
      <c r="AF231" s="1688"/>
      <c r="AG231" s="1688"/>
      <c r="AH231" s="1488"/>
      <c r="AI231" s="919">
        <f t="shared" si="20"/>
        <v>0</v>
      </c>
      <c r="AJ231" s="1684">
        <v>43.564841212989492</v>
      </c>
      <c r="AK231" s="1117">
        <f t="shared" si="22"/>
        <v>0</v>
      </c>
      <c r="AL231" s="1682" t="s">
        <v>54</v>
      </c>
      <c r="AM231" s="918"/>
      <c r="AN231" s="892"/>
      <c r="AO231" s="892"/>
    </row>
    <row r="232" spans="1:41" ht="54" customHeight="1">
      <c r="A232" s="1704">
        <v>214</v>
      </c>
      <c r="B232" s="1704">
        <v>50</v>
      </c>
      <c r="C232" s="918" t="str">
        <f>'Chấm công KT'!C226</f>
        <v xml:space="preserve">T. Xeng </v>
      </c>
      <c r="D232" s="1687"/>
      <c r="E232" s="1687"/>
      <c r="F232" s="1687"/>
      <c r="G232" s="1687"/>
      <c r="H232" s="1687"/>
      <c r="I232" s="1687"/>
      <c r="J232" s="1687"/>
      <c r="K232" s="1687"/>
      <c r="L232" s="1687"/>
      <c r="M232" s="1687"/>
      <c r="N232" s="1687"/>
      <c r="O232" s="1687"/>
      <c r="P232" s="1688"/>
      <c r="Q232" s="1688"/>
      <c r="R232" s="1688"/>
      <c r="S232" s="1688"/>
      <c r="T232" s="1688"/>
      <c r="U232" s="1688"/>
      <c r="V232" s="1688"/>
      <c r="W232" s="1688"/>
      <c r="X232" s="1688"/>
      <c r="Y232" s="1688"/>
      <c r="Z232" s="1688"/>
      <c r="AA232" s="1688"/>
      <c r="AB232" s="1688"/>
      <c r="AC232" s="1688"/>
      <c r="AD232" s="1688"/>
      <c r="AE232" s="1688"/>
      <c r="AF232" s="1688"/>
      <c r="AG232" s="1688"/>
      <c r="AH232" s="1488"/>
      <c r="AI232" s="919">
        <f t="shared" si="20"/>
        <v>0</v>
      </c>
      <c r="AJ232" s="1684">
        <v>43.564841212989492</v>
      </c>
      <c r="AK232" s="1117">
        <f t="shared" si="22"/>
        <v>0</v>
      </c>
      <c r="AL232" s="1682" t="s">
        <v>54</v>
      </c>
      <c r="AM232" s="918"/>
      <c r="AN232" s="892"/>
      <c r="AO232" s="892"/>
    </row>
    <row r="233" spans="1:41" ht="54" customHeight="1">
      <c r="A233" s="1704">
        <v>215</v>
      </c>
      <c r="B233" s="1704">
        <v>51</v>
      </c>
      <c r="C233" s="918" t="str">
        <f>'Chấm công KT'!C227</f>
        <v>T. Vạt</v>
      </c>
      <c r="D233" s="1687"/>
      <c r="E233" s="1687"/>
      <c r="F233" s="1687"/>
      <c r="G233" s="1687"/>
      <c r="H233" s="1687"/>
      <c r="I233" s="1687"/>
      <c r="J233" s="1687"/>
      <c r="K233" s="1687"/>
      <c r="L233" s="1687"/>
      <c r="M233" s="1687"/>
      <c r="N233" s="1687"/>
      <c r="O233" s="1687"/>
      <c r="P233" s="1688"/>
      <c r="Q233" s="1688"/>
      <c r="R233" s="1688"/>
      <c r="S233" s="1688"/>
      <c r="T233" s="1688"/>
      <c r="U233" s="1688"/>
      <c r="V233" s="1688"/>
      <c r="W233" s="1688"/>
      <c r="X233" s="1688"/>
      <c r="Y233" s="1688"/>
      <c r="Z233" s="1688"/>
      <c r="AA233" s="1688"/>
      <c r="AB233" s="1688"/>
      <c r="AC233" s="1688"/>
      <c r="AD233" s="1688"/>
      <c r="AE233" s="1688"/>
      <c r="AF233" s="1688"/>
      <c r="AG233" s="1688"/>
      <c r="AH233" s="1488"/>
      <c r="AI233" s="919">
        <f t="shared" si="20"/>
        <v>0</v>
      </c>
      <c r="AJ233" s="1684">
        <v>43.564841212989492</v>
      </c>
      <c r="AK233" s="1117">
        <f t="shared" si="22"/>
        <v>0</v>
      </c>
      <c r="AL233" s="1682" t="s">
        <v>54</v>
      </c>
      <c r="AM233" s="918"/>
      <c r="AN233" s="892"/>
      <c r="AO233" s="892"/>
    </row>
    <row r="234" spans="1:41" ht="54" customHeight="1">
      <c r="A234" s="1704">
        <v>216</v>
      </c>
      <c r="B234" s="1704">
        <v>52</v>
      </c>
      <c r="C234" s="918" t="str">
        <f>'Chấm công KT'!C228</f>
        <v>T. Lay</v>
      </c>
      <c r="D234" s="1687"/>
      <c r="E234" s="1687"/>
      <c r="F234" s="1687"/>
      <c r="G234" s="1687"/>
      <c r="H234" s="1687"/>
      <c r="I234" s="1687"/>
      <c r="J234" s="1687"/>
      <c r="K234" s="1687"/>
      <c r="L234" s="1687"/>
      <c r="M234" s="1687"/>
      <c r="N234" s="1687"/>
      <c r="O234" s="1687"/>
      <c r="P234" s="1688"/>
      <c r="Q234" s="1688"/>
      <c r="R234" s="1688"/>
      <c r="S234" s="1688"/>
      <c r="T234" s="1688"/>
      <c r="U234" s="1688"/>
      <c r="V234" s="1688"/>
      <c r="W234" s="1688"/>
      <c r="X234" s="1688"/>
      <c r="Y234" s="1688"/>
      <c r="Z234" s="1688"/>
      <c r="AA234" s="1688"/>
      <c r="AB234" s="1688"/>
      <c r="AC234" s="1688"/>
      <c r="AD234" s="1688"/>
      <c r="AE234" s="1688"/>
      <c r="AF234" s="1688"/>
      <c r="AG234" s="1688"/>
      <c r="AH234" s="1488"/>
      <c r="AI234" s="919">
        <f t="shared" si="20"/>
        <v>0</v>
      </c>
      <c r="AJ234" s="1684">
        <v>43.564841212989492</v>
      </c>
      <c r="AK234" s="1117">
        <f t="shared" si="22"/>
        <v>0</v>
      </c>
      <c r="AL234" s="1682" t="s">
        <v>54</v>
      </c>
      <c r="AM234" s="918"/>
      <c r="AN234" s="892"/>
      <c r="AO234" s="892"/>
    </row>
    <row r="235" spans="1:41" ht="54" customHeight="1">
      <c r="A235" s="1704">
        <v>217</v>
      </c>
      <c r="B235" s="1704">
        <v>53</v>
      </c>
      <c r="C235" s="918" t="str">
        <f>'Chấm công KT'!C229</f>
        <v>Lăm Thon</v>
      </c>
      <c r="D235" s="1687"/>
      <c r="E235" s="1687"/>
      <c r="F235" s="1687"/>
      <c r="G235" s="1687"/>
      <c r="H235" s="1687"/>
      <c r="I235" s="1687"/>
      <c r="J235" s="1687"/>
      <c r="K235" s="1687"/>
      <c r="L235" s="1687"/>
      <c r="M235" s="1687"/>
      <c r="N235" s="1687"/>
      <c r="O235" s="1687"/>
      <c r="P235" s="1688"/>
      <c r="Q235" s="1688"/>
      <c r="R235" s="1688"/>
      <c r="S235" s="1688"/>
      <c r="T235" s="1688"/>
      <c r="U235" s="1688"/>
      <c r="V235" s="1688"/>
      <c r="W235" s="1688"/>
      <c r="X235" s="1688"/>
      <c r="Y235" s="1688"/>
      <c r="Z235" s="1688"/>
      <c r="AA235" s="1688"/>
      <c r="AB235" s="1688"/>
      <c r="AC235" s="1688"/>
      <c r="AD235" s="1688"/>
      <c r="AE235" s="1688"/>
      <c r="AF235" s="1688"/>
      <c r="AG235" s="1688"/>
      <c r="AH235" s="1488"/>
      <c r="AI235" s="919">
        <f t="shared" si="20"/>
        <v>0</v>
      </c>
      <c r="AJ235" s="1684">
        <v>43.564841212989492</v>
      </c>
      <c r="AK235" s="1117">
        <f t="shared" si="22"/>
        <v>0</v>
      </c>
      <c r="AL235" s="1682" t="s">
        <v>54</v>
      </c>
      <c r="AM235" s="918"/>
      <c r="AN235" s="892"/>
      <c r="AO235" s="892"/>
    </row>
    <row r="236" spans="1:41" ht="54" customHeight="1">
      <c r="A236" s="1704">
        <v>218</v>
      </c>
      <c r="B236" s="1704">
        <v>54</v>
      </c>
      <c r="C236" s="918" t="str">
        <f>'Chấm công KT'!C230</f>
        <v>T Bun Xi</v>
      </c>
      <c r="D236" s="1687"/>
      <c r="E236" s="1687"/>
      <c r="F236" s="1687"/>
      <c r="G236" s="1687"/>
      <c r="H236" s="1687"/>
      <c r="I236" s="1687"/>
      <c r="J236" s="1687"/>
      <c r="K236" s="1687"/>
      <c r="L236" s="1687"/>
      <c r="M236" s="1687"/>
      <c r="N236" s="1687"/>
      <c r="O236" s="1687"/>
      <c r="P236" s="1688"/>
      <c r="Q236" s="1688"/>
      <c r="R236" s="1688"/>
      <c r="S236" s="1688"/>
      <c r="T236" s="1688"/>
      <c r="U236" s="1688"/>
      <c r="V236" s="1688"/>
      <c r="W236" s="1688"/>
      <c r="X236" s="1688"/>
      <c r="Y236" s="1688"/>
      <c r="Z236" s="1688"/>
      <c r="AA236" s="1688"/>
      <c r="AB236" s="1688"/>
      <c r="AC236" s="1688"/>
      <c r="AD236" s="1688"/>
      <c r="AE236" s="1688"/>
      <c r="AF236" s="1688"/>
      <c r="AG236" s="1688"/>
      <c r="AH236" s="1488"/>
      <c r="AI236" s="919">
        <f t="shared" si="20"/>
        <v>0</v>
      </c>
      <c r="AJ236" s="1684">
        <v>43.564841212989492</v>
      </c>
      <c r="AK236" s="1117">
        <f t="shared" si="22"/>
        <v>0</v>
      </c>
      <c r="AL236" s="1682" t="s">
        <v>54</v>
      </c>
      <c r="AM236" s="918"/>
      <c r="AN236" s="892"/>
      <c r="AO236" s="892"/>
    </row>
    <row r="237" spans="1:41" ht="54" customHeight="1">
      <c r="A237" s="1704">
        <v>219</v>
      </c>
      <c r="B237" s="1704">
        <v>55</v>
      </c>
      <c r="C237" s="918" t="str">
        <f>'Chấm công KT'!C231</f>
        <v>Xô La</v>
      </c>
      <c r="D237" s="1687"/>
      <c r="E237" s="1687"/>
      <c r="F237" s="1687"/>
      <c r="G237" s="1687"/>
      <c r="H237" s="1687"/>
      <c r="I237" s="1687"/>
      <c r="J237" s="1687"/>
      <c r="K237" s="1687"/>
      <c r="L237" s="1687"/>
      <c r="M237" s="1687"/>
      <c r="N237" s="1687"/>
      <c r="O237" s="1687"/>
      <c r="P237" s="1688"/>
      <c r="Q237" s="1688"/>
      <c r="R237" s="1688"/>
      <c r="S237" s="1688"/>
      <c r="T237" s="1688"/>
      <c r="U237" s="1688"/>
      <c r="V237" s="1688"/>
      <c r="W237" s="1688"/>
      <c r="X237" s="1688"/>
      <c r="Y237" s="1688"/>
      <c r="Z237" s="1688"/>
      <c r="AA237" s="1688"/>
      <c r="AB237" s="1688"/>
      <c r="AC237" s="1688"/>
      <c r="AD237" s="1688"/>
      <c r="AE237" s="1688"/>
      <c r="AF237" s="1688"/>
      <c r="AG237" s="1688"/>
      <c r="AH237" s="1488"/>
      <c r="AI237" s="919">
        <f t="shared" si="20"/>
        <v>0</v>
      </c>
      <c r="AJ237" s="1684">
        <v>43.564841212989492</v>
      </c>
      <c r="AK237" s="1117">
        <f t="shared" si="22"/>
        <v>0</v>
      </c>
      <c r="AL237" s="1682" t="s">
        <v>54</v>
      </c>
      <c r="AM237" s="918"/>
      <c r="AN237" s="892"/>
      <c r="AO237" s="892"/>
    </row>
    <row r="238" spans="1:41" ht="54" customHeight="1">
      <c r="A238" s="1704">
        <v>220</v>
      </c>
      <c r="B238" s="1704">
        <v>56</v>
      </c>
      <c r="C238" s="918" t="str">
        <f>'Chấm công KT'!C232</f>
        <v>T. Xơn</v>
      </c>
      <c r="D238" s="1687"/>
      <c r="E238" s="1687"/>
      <c r="F238" s="1687"/>
      <c r="G238" s="1687"/>
      <c r="H238" s="1687"/>
      <c r="I238" s="1687"/>
      <c r="J238" s="1687"/>
      <c r="K238" s="1687"/>
      <c r="L238" s="1687"/>
      <c r="M238" s="1687"/>
      <c r="N238" s="1687"/>
      <c r="O238" s="1687"/>
      <c r="P238" s="1688"/>
      <c r="Q238" s="1688"/>
      <c r="R238" s="1688"/>
      <c r="S238" s="1688"/>
      <c r="T238" s="1688"/>
      <c r="U238" s="1688"/>
      <c r="V238" s="1688"/>
      <c r="W238" s="1688"/>
      <c r="X238" s="1688"/>
      <c r="Y238" s="1688"/>
      <c r="Z238" s="1688"/>
      <c r="AA238" s="1688"/>
      <c r="AB238" s="1688"/>
      <c r="AC238" s="1688"/>
      <c r="AD238" s="1688"/>
      <c r="AE238" s="1688"/>
      <c r="AF238" s="1688"/>
      <c r="AG238" s="1688"/>
      <c r="AH238" s="1488"/>
      <c r="AI238" s="919">
        <f t="shared" si="20"/>
        <v>0</v>
      </c>
      <c r="AJ238" s="1684">
        <v>43.564841212989492</v>
      </c>
      <c r="AK238" s="1117">
        <f t="shared" si="22"/>
        <v>0</v>
      </c>
      <c r="AL238" s="1682" t="s">
        <v>54</v>
      </c>
      <c r="AM238" s="918"/>
      <c r="AN238" s="892"/>
      <c r="AO238" s="892"/>
    </row>
    <row r="239" spans="1:41" ht="54" customHeight="1">
      <c r="A239" s="1704">
        <v>221</v>
      </c>
      <c r="B239" s="1704">
        <v>57</v>
      </c>
      <c r="C239" s="918" t="str">
        <f>'Chấm công KT'!C233</f>
        <v>T. K Đăm</v>
      </c>
      <c r="D239" s="1687"/>
      <c r="E239" s="1687"/>
      <c r="F239" s="1687"/>
      <c r="G239" s="1687"/>
      <c r="H239" s="1687"/>
      <c r="I239" s="1687"/>
      <c r="J239" s="1687"/>
      <c r="K239" s="1687"/>
      <c r="L239" s="1687"/>
      <c r="M239" s="1687"/>
      <c r="N239" s="1687"/>
      <c r="O239" s="1687"/>
      <c r="P239" s="1688"/>
      <c r="Q239" s="1688"/>
      <c r="R239" s="1688"/>
      <c r="S239" s="1688"/>
      <c r="T239" s="1688"/>
      <c r="U239" s="1688"/>
      <c r="V239" s="1688"/>
      <c r="W239" s="1688"/>
      <c r="X239" s="1688"/>
      <c r="Y239" s="1688"/>
      <c r="Z239" s="1688"/>
      <c r="AA239" s="1688"/>
      <c r="AB239" s="1688"/>
      <c r="AC239" s="1688"/>
      <c r="AD239" s="1688"/>
      <c r="AE239" s="1688"/>
      <c r="AF239" s="1688"/>
      <c r="AG239" s="1688"/>
      <c r="AH239" s="1488"/>
      <c r="AI239" s="919">
        <f t="shared" si="20"/>
        <v>0</v>
      </c>
      <c r="AJ239" s="1684">
        <v>43.564841212989492</v>
      </c>
      <c r="AK239" s="1117">
        <f t="shared" si="22"/>
        <v>0</v>
      </c>
      <c r="AL239" s="1682" t="s">
        <v>54</v>
      </c>
      <c r="AM239" s="918"/>
      <c r="AN239" s="892"/>
      <c r="AO239" s="892"/>
    </row>
    <row r="240" spans="1:41" ht="54" customHeight="1">
      <c r="A240" s="1704">
        <v>222</v>
      </c>
      <c r="B240" s="1704">
        <v>58</v>
      </c>
      <c r="C240" s="918" t="str">
        <f>'Chấm công KT'!C234</f>
        <v>N. Nô La</v>
      </c>
      <c r="D240" s="1687"/>
      <c r="E240" s="1687"/>
      <c r="F240" s="1687"/>
      <c r="G240" s="1687"/>
      <c r="H240" s="1687"/>
      <c r="I240" s="1687"/>
      <c r="J240" s="1687"/>
      <c r="K240" s="1687"/>
      <c r="L240" s="1687"/>
      <c r="M240" s="1687"/>
      <c r="N240" s="1687"/>
      <c r="O240" s="1687"/>
      <c r="P240" s="1688"/>
      <c r="Q240" s="1688"/>
      <c r="R240" s="1688"/>
      <c r="S240" s="1688"/>
      <c r="T240" s="1688"/>
      <c r="U240" s="1688"/>
      <c r="V240" s="1688"/>
      <c r="W240" s="1688"/>
      <c r="X240" s="1688"/>
      <c r="Y240" s="1688"/>
      <c r="Z240" s="1688"/>
      <c r="AA240" s="1688"/>
      <c r="AB240" s="1688"/>
      <c r="AC240" s="1688"/>
      <c r="AD240" s="1688"/>
      <c r="AE240" s="1688"/>
      <c r="AF240" s="1688"/>
      <c r="AG240" s="1688"/>
      <c r="AH240" s="1488"/>
      <c r="AI240" s="919">
        <f t="shared" si="20"/>
        <v>0</v>
      </c>
      <c r="AJ240" s="1684">
        <v>43.564841212989492</v>
      </c>
      <c r="AK240" s="1117">
        <f t="shared" si="22"/>
        <v>0</v>
      </c>
      <c r="AL240" s="1682" t="s">
        <v>54</v>
      </c>
      <c r="AM240" s="918"/>
      <c r="AN240" s="892"/>
      <c r="AO240" s="892"/>
    </row>
    <row r="241" spans="1:41" ht="54" customHeight="1">
      <c r="A241" s="1704">
        <v>223</v>
      </c>
      <c r="B241" s="1704">
        <v>59</v>
      </c>
      <c r="C241" s="918" t="str">
        <f>'Chấm công KT'!C235</f>
        <v>T. Thong</v>
      </c>
      <c r="D241" s="1687"/>
      <c r="E241" s="1687"/>
      <c r="F241" s="1687"/>
      <c r="G241" s="1687"/>
      <c r="H241" s="1687"/>
      <c r="I241" s="1687"/>
      <c r="J241" s="1687"/>
      <c r="K241" s="1687"/>
      <c r="L241" s="1687"/>
      <c r="M241" s="1687"/>
      <c r="N241" s="1687"/>
      <c r="O241" s="1687"/>
      <c r="P241" s="1688"/>
      <c r="Q241" s="1688"/>
      <c r="R241" s="1688"/>
      <c r="S241" s="1688"/>
      <c r="T241" s="1688"/>
      <c r="U241" s="1688"/>
      <c r="V241" s="1688"/>
      <c r="W241" s="1688"/>
      <c r="X241" s="1688"/>
      <c r="Y241" s="1688"/>
      <c r="Z241" s="1688"/>
      <c r="AA241" s="1688"/>
      <c r="AB241" s="1688"/>
      <c r="AC241" s="1688"/>
      <c r="AD241" s="1688"/>
      <c r="AE241" s="1688"/>
      <c r="AF241" s="1688"/>
      <c r="AG241" s="1688"/>
      <c r="AH241" s="1488"/>
      <c r="AI241" s="919">
        <f t="shared" ref="AI241:AI242" si="23">SUM(D241:AH241)</f>
        <v>0</v>
      </c>
      <c r="AJ241" s="1684">
        <v>43.564841212989492</v>
      </c>
      <c r="AK241" s="1117">
        <f t="shared" si="22"/>
        <v>0</v>
      </c>
      <c r="AL241" s="1484" t="s">
        <v>802</v>
      </c>
      <c r="AM241" s="918"/>
      <c r="AN241" s="892"/>
      <c r="AO241" s="892"/>
    </row>
    <row r="242" spans="1:41" ht="54" customHeight="1">
      <c r="A242" s="1704">
        <v>224</v>
      </c>
      <c r="B242" s="1704">
        <v>60</v>
      </c>
      <c r="C242" s="918" t="str">
        <f>'Chấm công KT'!C236</f>
        <v>T. Khách</v>
      </c>
      <c r="D242" s="1687"/>
      <c r="E242" s="1687"/>
      <c r="F242" s="1687"/>
      <c r="G242" s="1687"/>
      <c r="H242" s="1687"/>
      <c r="I242" s="1687"/>
      <c r="J242" s="1687"/>
      <c r="K242" s="1687"/>
      <c r="L242" s="1687"/>
      <c r="M242" s="1687"/>
      <c r="N242" s="1687"/>
      <c r="O242" s="1687"/>
      <c r="P242" s="1688"/>
      <c r="Q242" s="1688"/>
      <c r="R242" s="1688"/>
      <c r="S242" s="1688"/>
      <c r="T242" s="1688"/>
      <c r="U242" s="1688"/>
      <c r="V242" s="1688"/>
      <c r="W242" s="1688"/>
      <c r="X242" s="1688"/>
      <c r="Y242" s="1688"/>
      <c r="Z242" s="1688"/>
      <c r="AA242" s="1688"/>
      <c r="AB242" s="1688"/>
      <c r="AC242" s="1688"/>
      <c r="AD242" s="1688"/>
      <c r="AE242" s="1688"/>
      <c r="AF242" s="1688"/>
      <c r="AG242" s="1688"/>
      <c r="AH242" s="1488"/>
      <c r="AI242" s="919">
        <f t="shared" si="23"/>
        <v>0</v>
      </c>
      <c r="AJ242" s="1684">
        <v>43.564841212989492</v>
      </c>
      <c r="AK242" s="1117">
        <f t="shared" si="22"/>
        <v>0</v>
      </c>
      <c r="AL242" s="1484" t="s">
        <v>802</v>
      </c>
      <c r="AM242" s="918"/>
      <c r="AN242" s="892"/>
      <c r="AO242" s="892"/>
    </row>
    <row r="243" spans="1:41" ht="54" customHeight="1">
      <c r="A243" s="1704">
        <v>225</v>
      </c>
      <c r="B243" s="1704">
        <v>61</v>
      </c>
      <c r="C243" s="918" t="str">
        <f>'Chấm công KT'!C237</f>
        <v>Nang On Xi</v>
      </c>
      <c r="D243" s="1687"/>
      <c r="E243" s="1687"/>
      <c r="F243" s="1687"/>
      <c r="G243" s="1687"/>
      <c r="H243" s="1687"/>
      <c r="I243" s="1687"/>
      <c r="J243" s="1687"/>
      <c r="K243" s="1687"/>
      <c r="L243" s="1687"/>
      <c r="M243" s="1687"/>
      <c r="N243" s="1687"/>
      <c r="O243" s="1687"/>
      <c r="P243" s="1688"/>
      <c r="Q243" s="1688"/>
      <c r="R243" s="1688"/>
      <c r="S243" s="1688"/>
      <c r="T243" s="1688"/>
      <c r="U243" s="1688"/>
      <c r="V243" s="1688"/>
      <c r="W243" s="1688"/>
      <c r="X243" s="1688"/>
      <c r="Y243" s="1688"/>
      <c r="Z243" s="1688"/>
      <c r="AA243" s="1688"/>
      <c r="AB243" s="1688"/>
      <c r="AC243" s="1688"/>
      <c r="AD243" s="1688"/>
      <c r="AE243" s="1688"/>
      <c r="AF243" s="1688"/>
      <c r="AG243" s="1688"/>
      <c r="AH243" s="1488"/>
      <c r="AI243" s="919">
        <f t="shared" ref="AI243:AI244" si="24">SUM(D243:AH243)</f>
        <v>0</v>
      </c>
      <c r="AJ243" s="1684">
        <v>43.564841212989492</v>
      </c>
      <c r="AK243" s="1117">
        <f t="shared" si="22"/>
        <v>0</v>
      </c>
      <c r="AL243" s="1484" t="s">
        <v>802</v>
      </c>
      <c r="AM243" s="918"/>
      <c r="AN243" s="892"/>
      <c r="AO243" s="892"/>
    </row>
    <row r="244" spans="1:41" ht="54" customHeight="1">
      <c r="A244" s="1704">
        <v>226</v>
      </c>
      <c r="B244" s="1704">
        <v>62</v>
      </c>
      <c r="C244" s="918" t="str">
        <f>'Chấm công KT'!C238</f>
        <v>Thảo Túc</v>
      </c>
      <c r="D244" s="1687"/>
      <c r="E244" s="1687"/>
      <c r="F244" s="1687"/>
      <c r="G244" s="1687"/>
      <c r="H244" s="1687"/>
      <c r="I244" s="1687"/>
      <c r="J244" s="1687"/>
      <c r="K244" s="1687"/>
      <c r="L244" s="1687"/>
      <c r="M244" s="1687"/>
      <c r="N244" s="1687"/>
      <c r="O244" s="1687"/>
      <c r="P244" s="1688"/>
      <c r="Q244" s="1688"/>
      <c r="R244" s="1688"/>
      <c r="S244" s="1688"/>
      <c r="T244" s="1688"/>
      <c r="U244" s="1688"/>
      <c r="V244" s="1688"/>
      <c r="W244" s="1688"/>
      <c r="X244" s="1688"/>
      <c r="Y244" s="1688"/>
      <c r="Z244" s="1688"/>
      <c r="AA244" s="1688"/>
      <c r="AB244" s="1688"/>
      <c r="AC244" s="1688"/>
      <c r="AD244" s="1688"/>
      <c r="AE244" s="1688"/>
      <c r="AF244" s="1688"/>
      <c r="AG244" s="1688"/>
      <c r="AH244" s="1488"/>
      <c r="AI244" s="919">
        <f t="shared" si="24"/>
        <v>0</v>
      </c>
      <c r="AJ244" s="1684">
        <v>43.564841212989492</v>
      </c>
      <c r="AK244" s="1117">
        <f t="shared" si="22"/>
        <v>0</v>
      </c>
      <c r="AL244" s="1484" t="s">
        <v>802</v>
      </c>
      <c r="AM244" s="918"/>
      <c r="AN244" s="892"/>
      <c r="AO244" s="892"/>
    </row>
    <row r="245" spans="1:41" ht="54" customHeight="1">
      <c r="A245" s="1473"/>
      <c r="B245" s="1961" t="s">
        <v>609</v>
      </c>
      <c r="C245" s="1962"/>
      <c r="D245" s="1962"/>
      <c r="E245" s="1962"/>
      <c r="F245" s="1962"/>
      <c r="G245" s="1962"/>
      <c r="H245" s="1962"/>
      <c r="I245" s="1962"/>
      <c r="J245" s="1962"/>
      <c r="K245" s="1962"/>
      <c r="L245" s="1962"/>
      <c r="M245" s="1962"/>
      <c r="N245" s="1962"/>
      <c r="O245" s="1962"/>
      <c r="P245" s="1962"/>
      <c r="Q245" s="1962"/>
      <c r="R245" s="1962"/>
      <c r="S245" s="1962"/>
      <c r="T245" s="1962"/>
      <c r="U245" s="1962"/>
      <c r="V245" s="1962"/>
      <c r="W245" s="1962"/>
      <c r="X245" s="1962"/>
      <c r="Y245" s="1962"/>
      <c r="Z245" s="1962"/>
      <c r="AA245" s="1962"/>
      <c r="AB245" s="1962"/>
      <c r="AC245" s="1962"/>
      <c r="AD245" s="1962"/>
      <c r="AE245" s="1962"/>
      <c r="AF245" s="1962"/>
      <c r="AG245" s="1962"/>
      <c r="AH245" s="1962"/>
      <c r="AI245" s="1962"/>
      <c r="AJ245" s="1962"/>
      <c r="AK245" s="1118"/>
      <c r="AL245" s="918"/>
      <c r="AM245" s="918"/>
      <c r="AN245" s="892"/>
      <c r="AO245" s="923">
        <f>SUM(AI241:AI244)</f>
        <v>0</v>
      </c>
    </row>
    <row r="246" spans="1:41" ht="54" customHeight="1">
      <c r="A246" s="1910" t="s">
        <v>30</v>
      </c>
      <c r="B246" s="1910"/>
      <c r="C246" s="1910"/>
      <c r="D246" s="1291">
        <f>SUM(D247:D313)</f>
        <v>0</v>
      </c>
      <c r="E246" s="1291">
        <f t="shared" ref="E246:AG246" si="25">SUM(E247:E313)</f>
        <v>0</v>
      </c>
      <c r="F246" s="1291">
        <f t="shared" si="25"/>
        <v>0</v>
      </c>
      <c r="G246" s="1291">
        <f t="shared" si="25"/>
        <v>0</v>
      </c>
      <c r="H246" s="1291">
        <f t="shared" si="25"/>
        <v>0</v>
      </c>
      <c r="I246" s="1291">
        <f t="shared" si="25"/>
        <v>0</v>
      </c>
      <c r="J246" s="1291">
        <f t="shared" si="25"/>
        <v>0</v>
      </c>
      <c r="K246" s="1291">
        <f t="shared" si="25"/>
        <v>0</v>
      </c>
      <c r="L246" s="1291">
        <f t="shared" si="25"/>
        <v>0</v>
      </c>
      <c r="M246" s="1291">
        <f t="shared" si="25"/>
        <v>0</v>
      </c>
      <c r="N246" s="1291">
        <f t="shared" si="25"/>
        <v>0</v>
      </c>
      <c r="O246" s="1291">
        <f t="shared" si="25"/>
        <v>0</v>
      </c>
      <c r="P246" s="1291">
        <f t="shared" si="25"/>
        <v>0</v>
      </c>
      <c r="Q246" s="1291">
        <f t="shared" si="25"/>
        <v>0</v>
      </c>
      <c r="R246" s="1291">
        <f t="shared" si="25"/>
        <v>0</v>
      </c>
      <c r="S246" s="1291">
        <f t="shared" si="25"/>
        <v>0</v>
      </c>
      <c r="T246" s="1291">
        <f t="shared" si="25"/>
        <v>0</v>
      </c>
      <c r="U246" s="1291">
        <f t="shared" si="25"/>
        <v>0</v>
      </c>
      <c r="V246" s="1291">
        <f t="shared" si="25"/>
        <v>0</v>
      </c>
      <c r="W246" s="1291">
        <f t="shared" si="25"/>
        <v>0</v>
      </c>
      <c r="X246" s="1291">
        <f t="shared" si="25"/>
        <v>0</v>
      </c>
      <c r="Y246" s="1291">
        <f t="shared" si="25"/>
        <v>0</v>
      </c>
      <c r="Z246" s="1291">
        <f t="shared" si="25"/>
        <v>0</v>
      </c>
      <c r="AA246" s="1291">
        <f t="shared" si="25"/>
        <v>0</v>
      </c>
      <c r="AB246" s="1291">
        <f t="shared" si="25"/>
        <v>0</v>
      </c>
      <c r="AC246" s="1291">
        <f t="shared" si="25"/>
        <v>0</v>
      </c>
      <c r="AD246" s="1291">
        <f t="shared" si="25"/>
        <v>0</v>
      </c>
      <c r="AE246" s="1291">
        <f t="shared" si="25"/>
        <v>0</v>
      </c>
      <c r="AF246" s="1291">
        <f t="shared" si="25"/>
        <v>0</v>
      </c>
      <c r="AG246" s="1291">
        <f t="shared" si="25"/>
        <v>0</v>
      </c>
      <c r="AH246" s="1291"/>
      <c r="AI246" s="1291">
        <f t="shared" ref="AI246" si="26">SUM(AI247:AI313)</f>
        <v>0</v>
      </c>
      <c r="AJ246" s="1291"/>
      <c r="AK246" s="1291">
        <f t="shared" ref="AK246" si="27">SUM(AK247:AK313)</f>
        <v>0</v>
      </c>
      <c r="AL246" s="1470"/>
      <c r="AM246" s="918"/>
      <c r="AN246" s="892"/>
      <c r="AO246" s="892"/>
    </row>
    <row r="247" spans="1:41" ht="54" customHeight="1">
      <c r="A247" s="1473">
        <v>227</v>
      </c>
      <c r="B247" s="1473">
        <v>1</v>
      </c>
      <c r="C247" s="918" t="str">
        <f>'Chấm công KT'!C240</f>
        <v>N. Teo</v>
      </c>
      <c r="D247" s="1685"/>
      <c r="E247" s="1685"/>
      <c r="F247" s="1685"/>
      <c r="G247" s="1685"/>
      <c r="H247" s="1685"/>
      <c r="I247" s="1685"/>
      <c r="J247" s="1685"/>
      <c r="K247" s="1685"/>
      <c r="L247" s="1685"/>
      <c r="M247" s="1685"/>
      <c r="N247" s="1685"/>
      <c r="O247" s="1685"/>
      <c r="P247" s="1686"/>
      <c r="Q247" s="1686"/>
      <c r="R247" s="1686"/>
      <c r="S247" s="1686"/>
      <c r="T247" s="1686"/>
      <c r="U247" s="1686"/>
      <c r="V247" s="1686"/>
      <c r="W247" s="1686"/>
      <c r="X247" s="1686"/>
      <c r="Y247" s="1686"/>
      <c r="Z247" s="1686"/>
      <c r="AA247" s="1686"/>
      <c r="AB247" s="1686"/>
      <c r="AC247" s="1686"/>
      <c r="AD247" s="1686"/>
      <c r="AE247" s="1686"/>
      <c r="AF247" s="1686"/>
      <c r="AG247" s="1686"/>
      <c r="AH247" s="1466"/>
      <c r="AI247" s="919">
        <f>SUM(D247:AH247)</f>
        <v>0</v>
      </c>
      <c r="AJ247" s="1684">
        <v>44.196433134214985</v>
      </c>
      <c r="AK247" s="1117">
        <f t="shared" ref="AK247:AK278" si="28">AI247*AJ247/100</f>
        <v>0</v>
      </c>
      <c r="AL247" s="1689" t="s">
        <v>889</v>
      </c>
      <c r="AM247" s="918"/>
      <c r="AN247" s="892"/>
      <c r="AO247" s="892"/>
    </row>
    <row r="248" spans="1:41" ht="54" customHeight="1">
      <c r="A248" s="1473">
        <v>228</v>
      </c>
      <c r="B248" s="1473">
        <v>2</v>
      </c>
      <c r="C248" s="918" t="str">
        <f>'Chấm công KT'!C241</f>
        <v>T . Thau</v>
      </c>
      <c r="D248" s="1685"/>
      <c r="E248" s="1685"/>
      <c r="F248" s="1685"/>
      <c r="G248" s="1685"/>
      <c r="H248" s="1685"/>
      <c r="I248" s="1685"/>
      <c r="J248" s="1685"/>
      <c r="K248" s="1685"/>
      <c r="L248" s="1685"/>
      <c r="M248" s="1685"/>
      <c r="N248" s="1685"/>
      <c r="O248" s="1685"/>
      <c r="P248" s="1686"/>
      <c r="Q248" s="1686"/>
      <c r="R248" s="1686"/>
      <c r="S248" s="1686"/>
      <c r="T248" s="1686"/>
      <c r="U248" s="1686"/>
      <c r="V248" s="1686"/>
      <c r="W248" s="1686"/>
      <c r="X248" s="1686"/>
      <c r="Y248" s="1686"/>
      <c r="Z248" s="1686"/>
      <c r="AA248" s="1686"/>
      <c r="AB248" s="1686"/>
      <c r="AC248" s="1686"/>
      <c r="AD248" s="1686"/>
      <c r="AE248" s="1686"/>
      <c r="AF248" s="1686"/>
      <c r="AG248" s="1686"/>
      <c r="AH248" s="1466"/>
      <c r="AI248" s="919">
        <f t="shared" ref="AI248:AI311" si="29">SUM(D248:AH248)</f>
        <v>0</v>
      </c>
      <c r="AJ248" s="1684">
        <v>44.196433134214985</v>
      </c>
      <c r="AK248" s="1117">
        <f t="shared" si="28"/>
        <v>0</v>
      </c>
      <c r="AL248" s="1689" t="s">
        <v>79</v>
      </c>
      <c r="AM248" s="918"/>
      <c r="AN248" s="892"/>
      <c r="AO248" s="892"/>
    </row>
    <row r="249" spans="1:41" ht="54" customHeight="1">
      <c r="A249" s="1704">
        <v>229</v>
      </c>
      <c r="B249" s="1704">
        <v>3</v>
      </c>
      <c r="C249" s="918" t="str">
        <f>'Chấm công KT'!C242</f>
        <v>T . Vi</v>
      </c>
      <c r="D249" s="1685"/>
      <c r="E249" s="1685"/>
      <c r="F249" s="1685"/>
      <c r="G249" s="1685"/>
      <c r="H249" s="1685"/>
      <c r="I249" s="1685"/>
      <c r="J249" s="1685"/>
      <c r="K249" s="1685"/>
      <c r="L249" s="1685"/>
      <c r="M249" s="1685"/>
      <c r="N249" s="1685"/>
      <c r="O249" s="1685"/>
      <c r="P249" s="1686"/>
      <c r="Q249" s="1686"/>
      <c r="R249" s="1686"/>
      <c r="S249" s="1686"/>
      <c r="T249" s="1686"/>
      <c r="U249" s="1686"/>
      <c r="V249" s="1686"/>
      <c r="W249" s="1686"/>
      <c r="X249" s="1686"/>
      <c r="Y249" s="1686"/>
      <c r="Z249" s="1686"/>
      <c r="AA249" s="1686"/>
      <c r="AB249" s="1686"/>
      <c r="AC249" s="1686"/>
      <c r="AD249" s="1686"/>
      <c r="AE249" s="1686"/>
      <c r="AF249" s="1686"/>
      <c r="AG249" s="1686"/>
      <c r="AH249" s="1466"/>
      <c r="AI249" s="919">
        <f t="shared" si="29"/>
        <v>0</v>
      </c>
      <c r="AJ249" s="1684">
        <v>44.196433134214985</v>
      </c>
      <c r="AK249" s="1117">
        <f t="shared" si="28"/>
        <v>0</v>
      </c>
      <c r="AL249" s="1689" t="s">
        <v>889</v>
      </c>
      <c r="AM249" s="918"/>
      <c r="AN249" s="892"/>
      <c r="AO249" s="892"/>
    </row>
    <row r="250" spans="1:41" ht="54" customHeight="1">
      <c r="A250" s="1704">
        <v>230</v>
      </c>
      <c r="B250" s="1704">
        <v>4</v>
      </c>
      <c r="C250" s="918" t="str">
        <f>'Chấm công KT'!C243</f>
        <v>Khâm Đi</v>
      </c>
      <c r="D250" s="1685"/>
      <c r="E250" s="1685"/>
      <c r="F250" s="1685"/>
      <c r="G250" s="1685"/>
      <c r="H250" s="1685"/>
      <c r="I250" s="1685"/>
      <c r="J250" s="1685"/>
      <c r="K250" s="1685"/>
      <c r="L250" s="1685"/>
      <c r="M250" s="1685"/>
      <c r="N250" s="1685"/>
      <c r="O250" s="1685"/>
      <c r="P250" s="1686"/>
      <c r="Q250" s="1686"/>
      <c r="R250" s="1686"/>
      <c r="S250" s="1686"/>
      <c r="T250" s="1686"/>
      <c r="U250" s="1686"/>
      <c r="V250" s="1686"/>
      <c r="W250" s="1686"/>
      <c r="X250" s="1686"/>
      <c r="Y250" s="1686"/>
      <c r="Z250" s="1686"/>
      <c r="AA250" s="1686"/>
      <c r="AB250" s="1686"/>
      <c r="AC250" s="1686"/>
      <c r="AD250" s="1686"/>
      <c r="AE250" s="1686"/>
      <c r="AF250" s="1686"/>
      <c r="AG250" s="1686"/>
      <c r="AH250" s="1466"/>
      <c r="AI250" s="919">
        <f t="shared" si="29"/>
        <v>0</v>
      </c>
      <c r="AJ250" s="1684">
        <v>44.196433134214985</v>
      </c>
      <c r="AK250" s="1117">
        <f t="shared" si="28"/>
        <v>0</v>
      </c>
      <c r="AL250" s="1689" t="s">
        <v>889</v>
      </c>
      <c r="AM250" s="918"/>
      <c r="AN250" s="892"/>
      <c r="AO250" s="892"/>
    </row>
    <row r="251" spans="1:41" ht="54" customHeight="1">
      <c r="A251" s="1704">
        <v>231</v>
      </c>
      <c r="B251" s="1704">
        <v>5</v>
      </c>
      <c r="C251" s="918" t="str">
        <f>'Chấm công KT'!C244</f>
        <v>T. Ve</v>
      </c>
      <c r="D251" s="1685"/>
      <c r="E251" s="1685"/>
      <c r="F251" s="1685"/>
      <c r="G251" s="1685"/>
      <c r="H251" s="1685"/>
      <c r="I251" s="1685"/>
      <c r="J251" s="1685"/>
      <c r="K251" s="1685"/>
      <c r="L251" s="1685"/>
      <c r="M251" s="1685"/>
      <c r="N251" s="1685"/>
      <c r="O251" s="1685"/>
      <c r="P251" s="1686"/>
      <c r="Q251" s="1686"/>
      <c r="R251" s="1686"/>
      <c r="S251" s="1686"/>
      <c r="T251" s="1686"/>
      <c r="U251" s="1686"/>
      <c r="V251" s="1686"/>
      <c r="W251" s="1686"/>
      <c r="X251" s="1686"/>
      <c r="Y251" s="1686"/>
      <c r="Z251" s="1686"/>
      <c r="AA251" s="1686"/>
      <c r="AB251" s="1686"/>
      <c r="AC251" s="1686"/>
      <c r="AD251" s="1686"/>
      <c r="AE251" s="1686"/>
      <c r="AF251" s="1686"/>
      <c r="AG251" s="1686"/>
      <c r="AH251" s="1466"/>
      <c r="AI251" s="919">
        <f t="shared" si="29"/>
        <v>0</v>
      </c>
      <c r="AJ251" s="1684">
        <v>44.196433134214985</v>
      </c>
      <c r="AK251" s="1117">
        <f t="shared" si="28"/>
        <v>0</v>
      </c>
      <c r="AL251" s="1689" t="s">
        <v>79</v>
      </c>
      <c r="AM251" s="918"/>
      <c r="AN251" s="892"/>
      <c r="AO251" s="892"/>
    </row>
    <row r="252" spans="1:41" ht="54" customHeight="1">
      <c r="A252" s="1704">
        <v>232</v>
      </c>
      <c r="B252" s="1704">
        <v>6</v>
      </c>
      <c r="C252" s="918" t="str">
        <f>'Chấm công KT'!C245</f>
        <v>T. Thèo</v>
      </c>
      <c r="D252" s="1685"/>
      <c r="E252" s="1685"/>
      <c r="F252" s="1685"/>
      <c r="G252" s="1685"/>
      <c r="H252" s="1685"/>
      <c r="I252" s="1685"/>
      <c r="J252" s="1685"/>
      <c r="K252" s="1685"/>
      <c r="L252" s="1685"/>
      <c r="M252" s="1685"/>
      <c r="N252" s="1685"/>
      <c r="O252" s="1685"/>
      <c r="P252" s="1686"/>
      <c r="Q252" s="1686"/>
      <c r="R252" s="1686"/>
      <c r="S252" s="1686"/>
      <c r="T252" s="1686"/>
      <c r="U252" s="1686"/>
      <c r="V252" s="1686"/>
      <c r="W252" s="1686"/>
      <c r="X252" s="1686"/>
      <c r="Y252" s="1686"/>
      <c r="Z252" s="1686"/>
      <c r="AA252" s="1686"/>
      <c r="AB252" s="1686"/>
      <c r="AC252" s="1686"/>
      <c r="AD252" s="1686"/>
      <c r="AE252" s="1686"/>
      <c r="AF252" s="1686"/>
      <c r="AG252" s="1686"/>
      <c r="AH252" s="1466"/>
      <c r="AI252" s="919">
        <f t="shared" si="29"/>
        <v>0</v>
      </c>
      <c r="AJ252" s="1684">
        <v>44.196433134214985</v>
      </c>
      <c r="AK252" s="1117">
        <f t="shared" si="28"/>
        <v>0</v>
      </c>
      <c r="AL252" s="1689" t="s">
        <v>889</v>
      </c>
      <c r="AM252" s="918"/>
      <c r="AN252" s="892"/>
      <c r="AO252" s="892"/>
    </row>
    <row r="253" spans="1:41" ht="54" customHeight="1">
      <c r="A253" s="1704">
        <v>233</v>
      </c>
      <c r="B253" s="1704">
        <v>7</v>
      </c>
      <c r="C253" s="918" t="str">
        <f>'Chấm công KT'!C246</f>
        <v>Kèo Xột</v>
      </c>
      <c r="D253" s="1685"/>
      <c r="E253" s="1685"/>
      <c r="F253" s="1685"/>
      <c r="G253" s="1685"/>
      <c r="H253" s="1685"/>
      <c r="I253" s="1685"/>
      <c r="J253" s="1685"/>
      <c r="K253" s="1685"/>
      <c r="L253" s="1685"/>
      <c r="M253" s="1685"/>
      <c r="N253" s="1685"/>
      <c r="O253" s="1685"/>
      <c r="P253" s="1686"/>
      <c r="Q253" s="1686"/>
      <c r="R253" s="1686"/>
      <c r="S253" s="1686"/>
      <c r="T253" s="1686"/>
      <c r="U253" s="1686"/>
      <c r="V253" s="1686"/>
      <c r="W253" s="1686"/>
      <c r="X253" s="1686"/>
      <c r="Y253" s="1686"/>
      <c r="Z253" s="1686"/>
      <c r="AA253" s="1686"/>
      <c r="AB253" s="1686"/>
      <c r="AC253" s="1686"/>
      <c r="AD253" s="1686"/>
      <c r="AE253" s="1686"/>
      <c r="AF253" s="1686"/>
      <c r="AG253" s="1686"/>
      <c r="AH253" s="1466"/>
      <c r="AI253" s="919">
        <f t="shared" si="29"/>
        <v>0</v>
      </c>
      <c r="AJ253" s="1684">
        <v>44.196433134214985</v>
      </c>
      <c r="AK253" s="1117">
        <f t="shared" si="28"/>
        <v>0</v>
      </c>
      <c r="AL253" s="1689" t="s">
        <v>889</v>
      </c>
      <c r="AM253" s="918"/>
      <c r="AN253" s="892"/>
      <c r="AO253" s="892"/>
    </row>
    <row r="254" spans="1:41" ht="54" customHeight="1">
      <c r="A254" s="1704">
        <v>234</v>
      </c>
      <c r="B254" s="1704">
        <v>8</v>
      </c>
      <c r="C254" s="918" t="str">
        <f>'Chấm công KT'!C247</f>
        <v>N. Chít</v>
      </c>
      <c r="D254" s="1685"/>
      <c r="E254" s="1685"/>
      <c r="F254" s="1685"/>
      <c r="G254" s="1685"/>
      <c r="H254" s="1685"/>
      <c r="I254" s="1685"/>
      <c r="J254" s="1685"/>
      <c r="K254" s="1685"/>
      <c r="L254" s="1685"/>
      <c r="M254" s="1685"/>
      <c r="N254" s="1685"/>
      <c r="O254" s="1685"/>
      <c r="P254" s="1686"/>
      <c r="Q254" s="1686"/>
      <c r="R254" s="1686"/>
      <c r="S254" s="1686"/>
      <c r="T254" s="1686"/>
      <c r="U254" s="1686"/>
      <c r="V254" s="1686"/>
      <c r="W254" s="1686"/>
      <c r="X254" s="1686"/>
      <c r="Y254" s="1686"/>
      <c r="Z254" s="1686"/>
      <c r="AA254" s="1686"/>
      <c r="AB254" s="1686"/>
      <c r="AC254" s="1686"/>
      <c r="AD254" s="1686"/>
      <c r="AE254" s="1686"/>
      <c r="AF254" s="1686"/>
      <c r="AG254" s="1686"/>
      <c r="AH254" s="1466"/>
      <c r="AI254" s="919">
        <f t="shared" si="29"/>
        <v>0</v>
      </c>
      <c r="AJ254" s="1684">
        <v>44.196433134214985</v>
      </c>
      <c r="AK254" s="1117">
        <f t="shared" si="28"/>
        <v>0</v>
      </c>
      <c r="AL254" s="1689" t="s">
        <v>889</v>
      </c>
      <c r="AM254" s="918"/>
      <c r="AN254" s="892"/>
      <c r="AO254" s="892"/>
    </row>
    <row r="255" spans="1:41" ht="54" customHeight="1">
      <c r="A255" s="1704">
        <v>235</v>
      </c>
      <c r="B255" s="1704">
        <v>9</v>
      </c>
      <c r="C255" s="918" t="str">
        <f>'Chấm công KT'!C248</f>
        <v>N. Căn Da</v>
      </c>
      <c r="D255" s="1685"/>
      <c r="E255" s="1685"/>
      <c r="F255" s="1685"/>
      <c r="G255" s="1685"/>
      <c r="H255" s="1685"/>
      <c r="I255" s="1685"/>
      <c r="J255" s="1685"/>
      <c r="K255" s="1685"/>
      <c r="L255" s="1685"/>
      <c r="M255" s="1685"/>
      <c r="N255" s="1685"/>
      <c r="O255" s="1685"/>
      <c r="P255" s="1686"/>
      <c r="Q255" s="1686"/>
      <c r="R255" s="1686"/>
      <c r="S255" s="1686"/>
      <c r="T255" s="1686"/>
      <c r="U255" s="1686"/>
      <c r="V255" s="1686"/>
      <c r="W255" s="1686"/>
      <c r="X255" s="1686"/>
      <c r="Y255" s="1686"/>
      <c r="Z255" s="1686"/>
      <c r="AA255" s="1686"/>
      <c r="AB255" s="1686"/>
      <c r="AC255" s="1686"/>
      <c r="AD255" s="1686"/>
      <c r="AE255" s="1686"/>
      <c r="AF255" s="1686"/>
      <c r="AG255" s="1686"/>
      <c r="AH255" s="1466"/>
      <c r="AI255" s="919">
        <f t="shared" si="29"/>
        <v>0</v>
      </c>
      <c r="AJ255" s="1684">
        <v>44.196433134214985</v>
      </c>
      <c r="AK255" s="1117">
        <f t="shared" si="28"/>
        <v>0</v>
      </c>
      <c r="AL255" s="1689" t="s">
        <v>79</v>
      </c>
      <c r="AM255" s="918"/>
      <c r="AN255" s="892"/>
      <c r="AO255" s="892"/>
    </row>
    <row r="256" spans="1:41" ht="54" customHeight="1">
      <c r="A256" s="1704">
        <v>236</v>
      </c>
      <c r="B256" s="1704">
        <v>10</v>
      </c>
      <c r="C256" s="918" t="str">
        <f>'Chấm công KT'!C249</f>
        <v>T. Phim</v>
      </c>
      <c r="D256" s="1685"/>
      <c r="E256" s="1685"/>
      <c r="F256" s="1685"/>
      <c r="G256" s="1685"/>
      <c r="H256" s="1685"/>
      <c r="I256" s="1685"/>
      <c r="J256" s="1685"/>
      <c r="K256" s="1685"/>
      <c r="L256" s="1685"/>
      <c r="M256" s="1685"/>
      <c r="N256" s="1685"/>
      <c r="O256" s="1685"/>
      <c r="P256" s="1686"/>
      <c r="Q256" s="1686"/>
      <c r="R256" s="1686"/>
      <c r="S256" s="1686"/>
      <c r="T256" s="1686"/>
      <c r="U256" s="1686"/>
      <c r="V256" s="1686"/>
      <c r="W256" s="1686"/>
      <c r="X256" s="1686"/>
      <c r="Y256" s="1686"/>
      <c r="Z256" s="1686"/>
      <c r="AA256" s="1686"/>
      <c r="AB256" s="1686"/>
      <c r="AC256" s="1686"/>
      <c r="AD256" s="1686"/>
      <c r="AE256" s="1686"/>
      <c r="AF256" s="1686"/>
      <c r="AG256" s="1686"/>
      <c r="AH256" s="1466"/>
      <c r="AI256" s="919">
        <f t="shared" si="29"/>
        <v>0</v>
      </c>
      <c r="AJ256" s="1684">
        <v>44.196433134214985</v>
      </c>
      <c r="AK256" s="1117">
        <f t="shared" si="28"/>
        <v>0</v>
      </c>
      <c r="AL256" s="1689" t="s">
        <v>79</v>
      </c>
      <c r="AM256" s="918"/>
      <c r="AN256" s="892"/>
      <c r="AO256" s="892"/>
    </row>
    <row r="257" spans="1:41" ht="54" customHeight="1">
      <c r="A257" s="1704">
        <v>237</v>
      </c>
      <c r="B257" s="1704">
        <v>11</v>
      </c>
      <c r="C257" s="918" t="str">
        <f>'Chấm công KT'!C250</f>
        <v>T Chăn Thi</v>
      </c>
      <c r="D257" s="1685"/>
      <c r="E257" s="1685"/>
      <c r="F257" s="1685"/>
      <c r="G257" s="1685"/>
      <c r="H257" s="1685"/>
      <c r="I257" s="1685"/>
      <c r="J257" s="1685"/>
      <c r="K257" s="1685"/>
      <c r="L257" s="1685"/>
      <c r="M257" s="1685"/>
      <c r="N257" s="1685"/>
      <c r="O257" s="1685"/>
      <c r="P257" s="1686"/>
      <c r="Q257" s="1686"/>
      <c r="R257" s="1686"/>
      <c r="S257" s="1686"/>
      <c r="T257" s="1686"/>
      <c r="U257" s="1686"/>
      <c r="V257" s="1686"/>
      <c r="W257" s="1686"/>
      <c r="X257" s="1686"/>
      <c r="Y257" s="1686"/>
      <c r="Z257" s="1686"/>
      <c r="AA257" s="1686"/>
      <c r="AB257" s="1686"/>
      <c r="AC257" s="1686"/>
      <c r="AD257" s="1686"/>
      <c r="AE257" s="1686"/>
      <c r="AF257" s="1686"/>
      <c r="AG257" s="1686"/>
      <c r="AH257" s="1466"/>
      <c r="AI257" s="919">
        <f t="shared" si="29"/>
        <v>0</v>
      </c>
      <c r="AJ257" s="1684">
        <v>44.196433134214985</v>
      </c>
      <c r="AK257" s="1117">
        <f t="shared" si="28"/>
        <v>0</v>
      </c>
      <c r="AL257" s="1689" t="s">
        <v>889</v>
      </c>
      <c r="AM257" s="918"/>
      <c r="AN257" s="892"/>
      <c r="AO257" s="892"/>
    </row>
    <row r="258" spans="1:41" ht="54" customHeight="1">
      <c r="A258" s="1704">
        <v>238</v>
      </c>
      <c r="B258" s="1704">
        <v>12</v>
      </c>
      <c r="C258" s="918" t="str">
        <f>'Chấm công KT'!C251</f>
        <v>N. Văn Thong</v>
      </c>
      <c r="D258" s="1685"/>
      <c r="E258" s="1685"/>
      <c r="F258" s="1685"/>
      <c r="G258" s="1685"/>
      <c r="H258" s="1685"/>
      <c r="I258" s="1685"/>
      <c r="J258" s="1685"/>
      <c r="K258" s="1685"/>
      <c r="L258" s="1685"/>
      <c r="M258" s="1685"/>
      <c r="N258" s="1685"/>
      <c r="O258" s="1685"/>
      <c r="P258" s="1686"/>
      <c r="Q258" s="1686"/>
      <c r="R258" s="1686"/>
      <c r="S258" s="1686"/>
      <c r="T258" s="1686"/>
      <c r="U258" s="1686"/>
      <c r="V258" s="1686"/>
      <c r="W258" s="1686"/>
      <c r="X258" s="1686"/>
      <c r="Y258" s="1686"/>
      <c r="Z258" s="1686"/>
      <c r="AA258" s="1686"/>
      <c r="AB258" s="1686"/>
      <c r="AC258" s="1686"/>
      <c r="AD258" s="1686"/>
      <c r="AE258" s="1686"/>
      <c r="AF258" s="1686"/>
      <c r="AG258" s="1686"/>
      <c r="AH258" s="1466"/>
      <c r="AI258" s="919">
        <f t="shared" si="29"/>
        <v>0</v>
      </c>
      <c r="AJ258" s="1684">
        <v>44.196433134214985</v>
      </c>
      <c r="AK258" s="1117">
        <f t="shared" si="28"/>
        <v>0</v>
      </c>
      <c r="AL258" s="1689" t="s">
        <v>79</v>
      </c>
      <c r="AM258" s="918"/>
      <c r="AN258" s="892"/>
      <c r="AO258" s="892"/>
    </row>
    <row r="259" spans="1:41" ht="54" customHeight="1">
      <c r="A259" s="1704">
        <v>239</v>
      </c>
      <c r="B259" s="1704">
        <v>13</v>
      </c>
      <c r="C259" s="918" t="str">
        <f>'Chấm công KT'!C252</f>
        <v>Cong Khăm</v>
      </c>
      <c r="D259" s="1685"/>
      <c r="E259" s="1685"/>
      <c r="F259" s="1685"/>
      <c r="G259" s="1685"/>
      <c r="H259" s="1685"/>
      <c r="I259" s="1685"/>
      <c r="J259" s="1685"/>
      <c r="K259" s="1685"/>
      <c r="L259" s="1685"/>
      <c r="M259" s="1685"/>
      <c r="N259" s="1685"/>
      <c r="O259" s="1685"/>
      <c r="P259" s="1686"/>
      <c r="Q259" s="1686"/>
      <c r="R259" s="1686"/>
      <c r="S259" s="1686"/>
      <c r="T259" s="1686"/>
      <c r="U259" s="1686"/>
      <c r="V259" s="1686"/>
      <c r="W259" s="1686"/>
      <c r="X259" s="1686"/>
      <c r="Y259" s="1686"/>
      <c r="Z259" s="1686"/>
      <c r="AA259" s="1686"/>
      <c r="AB259" s="1686"/>
      <c r="AC259" s="1686"/>
      <c r="AD259" s="1686"/>
      <c r="AE259" s="1686"/>
      <c r="AF259" s="1686"/>
      <c r="AG259" s="1686"/>
      <c r="AH259" s="1466"/>
      <c r="AI259" s="919">
        <f t="shared" si="29"/>
        <v>0</v>
      </c>
      <c r="AJ259" s="1684">
        <v>44.196433134214985</v>
      </c>
      <c r="AK259" s="1117">
        <f t="shared" si="28"/>
        <v>0</v>
      </c>
      <c r="AL259" s="1689" t="s">
        <v>54</v>
      </c>
      <c r="AM259" s="918"/>
      <c r="AN259" s="892"/>
      <c r="AO259" s="892"/>
    </row>
    <row r="260" spans="1:41" ht="54" customHeight="1">
      <c r="A260" s="1704">
        <v>240</v>
      </c>
      <c r="B260" s="1704">
        <v>14</v>
      </c>
      <c r="C260" s="918" t="str">
        <f>'Chấm công KT'!C253</f>
        <v>T. Dở</v>
      </c>
      <c r="D260" s="1685"/>
      <c r="E260" s="1685"/>
      <c r="F260" s="1685"/>
      <c r="G260" s="1685"/>
      <c r="H260" s="1685"/>
      <c r="I260" s="1685"/>
      <c r="J260" s="1685"/>
      <c r="K260" s="1685"/>
      <c r="L260" s="1685"/>
      <c r="M260" s="1685"/>
      <c r="N260" s="1685"/>
      <c r="O260" s="1685"/>
      <c r="P260" s="1686"/>
      <c r="Q260" s="1686"/>
      <c r="R260" s="1686"/>
      <c r="S260" s="1686"/>
      <c r="T260" s="1686"/>
      <c r="U260" s="1686"/>
      <c r="V260" s="1686"/>
      <c r="W260" s="1686"/>
      <c r="X260" s="1686"/>
      <c r="Y260" s="1686"/>
      <c r="Z260" s="1686"/>
      <c r="AA260" s="1686"/>
      <c r="AB260" s="1686"/>
      <c r="AC260" s="1686"/>
      <c r="AD260" s="1686"/>
      <c r="AE260" s="1686"/>
      <c r="AF260" s="1686"/>
      <c r="AG260" s="1686"/>
      <c r="AH260" s="1466"/>
      <c r="AI260" s="919">
        <f t="shared" si="29"/>
        <v>0</v>
      </c>
      <c r="AJ260" s="1684">
        <v>44.196433134214985</v>
      </c>
      <c r="AK260" s="1117">
        <f t="shared" si="28"/>
        <v>0</v>
      </c>
      <c r="AL260" s="1689" t="s">
        <v>79</v>
      </c>
      <c r="AM260" s="918"/>
      <c r="AN260" s="892"/>
      <c r="AO260" s="892"/>
    </row>
    <row r="261" spans="1:41" ht="54" customHeight="1">
      <c r="A261" s="1704">
        <v>241</v>
      </c>
      <c r="B261" s="1704">
        <v>15</v>
      </c>
      <c r="C261" s="918" t="str">
        <f>'Chấm công KT'!C254</f>
        <v>N. Sủm</v>
      </c>
      <c r="D261" s="1685"/>
      <c r="E261" s="1685"/>
      <c r="F261" s="1685"/>
      <c r="G261" s="1685"/>
      <c r="H261" s="1685"/>
      <c r="I261" s="1685"/>
      <c r="J261" s="1685"/>
      <c r="K261" s="1685"/>
      <c r="L261" s="1685"/>
      <c r="M261" s="1685"/>
      <c r="N261" s="1685"/>
      <c r="O261" s="1685"/>
      <c r="P261" s="1686"/>
      <c r="Q261" s="1686"/>
      <c r="R261" s="1686"/>
      <c r="S261" s="1686"/>
      <c r="T261" s="1686"/>
      <c r="U261" s="1686"/>
      <c r="V261" s="1686"/>
      <c r="W261" s="1686"/>
      <c r="X261" s="1686"/>
      <c r="Y261" s="1686"/>
      <c r="Z261" s="1686"/>
      <c r="AA261" s="1686"/>
      <c r="AB261" s="1686"/>
      <c r="AC261" s="1686"/>
      <c r="AD261" s="1686"/>
      <c r="AE261" s="1686"/>
      <c r="AF261" s="1686"/>
      <c r="AG261" s="1686"/>
      <c r="AH261" s="1466"/>
      <c r="AI261" s="919">
        <f t="shared" si="29"/>
        <v>0</v>
      </c>
      <c r="AJ261" s="1684">
        <v>44.196433134214985</v>
      </c>
      <c r="AK261" s="1117">
        <f t="shared" si="28"/>
        <v>0</v>
      </c>
      <c r="AL261" s="1689" t="s">
        <v>889</v>
      </c>
      <c r="AM261" s="918"/>
      <c r="AN261" s="892"/>
      <c r="AO261" s="892"/>
    </row>
    <row r="262" spans="1:41" ht="54" customHeight="1">
      <c r="A262" s="1704">
        <v>242</v>
      </c>
      <c r="B262" s="1704">
        <v>16</v>
      </c>
      <c r="C262" s="918" t="str">
        <f>'Chấm công KT'!C255</f>
        <v>T. Tắt</v>
      </c>
      <c r="D262" s="1685"/>
      <c r="E262" s="1685"/>
      <c r="F262" s="1685"/>
      <c r="G262" s="1685"/>
      <c r="H262" s="1685"/>
      <c r="I262" s="1685"/>
      <c r="J262" s="1685"/>
      <c r="K262" s="1685"/>
      <c r="L262" s="1685"/>
      <c r="M262" s="1685"/>
      <c r="N262" s="1685"/>
      <c r="O262" s="1685"/>
      <c r="P262" s="1686"/>
      <c r="Q262" s="1686"/>
      <c r="R262" s="1686"/>
      <c r="S262" s="1686"/>
      <c r="T262" s="1686"/>
      <c r="U262" s="1686"/>
      <c r="V262" s="1686"/>
      <c r="W262" s="1686"/>
      <c r="X262" s="1686"/>
      <c r="Y262" s="1686"/>
      <c r="Z262" s="1686"/>
      <c r="AA262" s="1686"/>
      <c r="AB262" s="1686"/>
      <c r="AC262" s="1686"/>
      <c r="AD262" s="1686"/>
      <c r="AE262" s="1686"/>
      <c r="AF262" s="1686"/>
      <c r="AG262" s="1686"/>
      <c r="AH262" s="1466"/>
      <c r="AI262" s="919">
        <f t="shared" si="29"/>
        <v>0</v>
      </c>
      <c r="AJ262" s="1684">
        <v>44.196433134214985</v>
      </c>
      <c r="AK262" s="1117">
        <f t="shared" si="28"/>
        <v>0</v>
      </c>
      <c r="AL262" s="1689" t="s">
        <v>79</v>
      </c>
      <c r="AM262" s="918"/>
      <c r="AN262" s="892"/>
      <c r="AO262" s="892"/>
    </row>
    <row r="263" spans="1:41" ht="54" customHeight="1">
      <c r="A263" s="1704">
        <v>243</v>
      </c>
      <c r="B263" s="1704">
        <v>17</v>
      </c>
      <c r="C263" s="918" t="str">
        <f>'Chấm công KT'!C256</f>
        <v>T Viêng</v>
      </c>
      <c r="D263" s="1685"/>
      <c r="E263" s="1685"/>
      <c r="F263" s="1685"/>
      <c r="G263" s="1685"/>
      <c r="H263" s="1685"/>
      <c r="I263" s="1685"/>
      <c r="J263" s="1685"/>
      <c r="K263" s="1685"/>
      <c r="L263" s="1685"/>
      <c r="M263" s="1685"/>
      <c r="N263" s="1685"/>
      <c r="O263" s="1685"/>
      <c r="P263" s="1686"/>
      <c r="Q263" s="1686"/>
      <c r="R263" s="1686"/>
      <c r="S263" s="1686"/>
      <c r="T263" s="1686"/>
      <c r="U263" s="1686"/>
      <c r="V263" s="1686"/>
      <c r="W263" s="1686"/>
      <c r="X263" s="1686"/>
      <c r="Y263" s="1686"/>
      <c r="Z263" s="1686"/>
      <c r="AA263" s="1686"/>
      <c r="AB263" s="1686"/>
      <c r="AC263" s="1686"/>
      <c r="AD263" s="1686"/>
      <c r="AE263" s="1686"/>
      <c r="AF263" s="1686"/>
      <c r="AG263" s="1686"/>
      <c r="AH263" s="1466"/>
      <c r="AI263" s="919">
        <f t="shared" si="29"/>
        <v>0</v>
      </c>
      <c r="AJ263" s="1684">
        <v>44.196433134214985</v>
      </c>
      <c r="AK263" s="1117">
        <f t="shared" si="28"/>
        <v>0</v>
      </c>
      <c r="AL263" s="1689" t="s">
        <v>79</v>
      </c>
      <c r="AM263" s="918"/>
      <c r="AN263" s="892"/>
      <c r="AO263" s="892"/>
    </row>
    <row r="264" spans="1:41" ht="54" customHeight="1">
      <c r="A264" s="1704">
        <v>244</v>
      </c>
      <c r="B264" s="1704">
        <v>18</v>
      </c>
      <c r="C264" s="918" t="str">
        <f>'Chấm công KT'!C257</f>
        <v>T.Xê</v>
      </c>
      <c r="D264" s="1685"/>
      <c r="E264" s="1685"/>
      <c r="F264" s="1685"/>
      <c r="G264" s="1685"/>
      <c r="H264" s="1685"/>
      <c r="I264" s="1685"/>
      <c r="J264" s="1685"/>
      <c r="K264" s="1685"/>
      <c r="L264" s="1685"/>
      <c r="M264" s="1685"/>
      <c r="N264" s="1685"/>
      <c r="O264" s="1685"/>
      <c r="P264" s="1686"/>
      <c r="Q264" s="1686"/>
      <c r="R264" s="1686"/>
      <c r="S264" s="1686"/>
      <c r="T264" s="1686"/>
      <c r="U264" s="1686"/>
      <c r="V264" s="1686"/>
      <c r="W264" s="1686"/>
      <c r="X264" s="1686"/>
      <c r="Y264" s="1686"/>
      <c r="Z264" s="1686"/>
      <c r="AA264" s="1686"/>
      <c r="AB264" s="1686"/>
      <c r="AC264" s="1686"/>
      <c r="AD264" s="1686"/>
      <c r="AE264" s="1686"/>
      <c r="AF264" s="1686"/>
      <c r="AG264" s="1686"/>
      <c r="AH264" s="1466"/>
      <c r="AI264" s="919">
        <f t="shared" si="29"/>
        <v>0</v>
      </c>
      <c r="AJ264" s="1684">
        <v>44.196433134214985</v>
      </c>
      <c r="AK264" s="1117">
        <f t="shared" si="28"/>
        <v>0</v>
      </c>
      <c r="AL264" s="1689" t="s">
        <v>79</v>
      </c>
      <c r="AM264" s="918"/>
      <c r="AN264" s="892"/>
      <c r="AO264" s="892"/>
    </row>
    <row r="265" spans="1:41" ht="54" customHeight="1">
      <c r="A265" s="1704">
        <v>245</v>
      </c>
      <c r="B265" s="1704">
        <v>19</v>
      </c>
      <c r="C265" s="918" t="str">
        <f>'Chấm công KT'!C258</f>
        <v>T. Hách</v>
      </c>
      <c r="D265" s="1685"/>
      <c r="E265" s="1685"/>
      <c r="F265" s="1685"/>
      <c r="G265" s="1685"/>
      <c r="H265" s="1685"/>
      <c r="I265" s="1685"/>
      <c r="J265" s="1685"/>
      <c r="K265" s="1685"/>
      <c r="L265" s="1685"/>
      <c r="M265" s="1685"/>
      <c r="N265" s="1685"/>
      <c r="O265" s="1685"/>
      <c r="P265" s="1686"/>
      <c r="Q265" s="1686"/>
      <c r="R265" s="1686"/>
      <c r="S265" s="1686"/>
      <c r="T265" s="1686"/>
      <c r="U265" s="1686"/>
      <c r="V265" s="1686"/>
      <c r="W265" s="1686"/>
      <c r="X265" s="1686"/>
      <c r="Y265" s="1686"/>
      <c r="Z265" s="1686"/>
      <c r="AA265" s="1686"/>
      <c r="AB265" s="1686"/>
      <c r="AC265" s="1686"/>
      <c r="AD265" s="1686"/>
      <c r="AE265" s="1686"/>
      <c r="AF265" s="1686"/>
      <c r="AG265" s="1686"/>
      <c r="AH265" s="1466"/>
      <c r="AI265" s="919">
        <f t="shared" si="29"/>
        <v>0</v>
      </c>
      <c r="AJ265" s="1684">
        <v>44.196433134214985</v>
      </c>
      <c r="AK265" s="1117">
        <f t="shared" si="28"/>
        <v>0</v>
      </c>
      <c r="AL265" s="1689" t="s">
        <v>79</v>
      </c>
      <c r="AM265" s="918"/>
      <c r="AN265" s="892"/>
      <c r="AO265" s="892"/>
    </row>
    <row r="266" spans="1:41" ht="54" customHeight="1">
      <c r="A266" s="1704">
        <v>246</v>
      </c>
      <c r="B266" s="1704">
        <v>20</v>
      </c>
      <c r="C266" s="918" t="str">
        <f>'Chấm công KT'!C259</f>
        <v>Khay Khăm</v>
      </c>
      <c r="D266" s="1685"/>
      <c r="E266" s="1685"/>
      <c r="F266" s="1685"/>
      <c r="G266" s="1685"/>
      <c r="H266" s="1685"/>
      <c r="I266" s="1685"/>
      <c r="J266" s="1685"/>
      <c r="K266" s="1685"/>
      <c r="L266" s="1685"/>
      <c r="M266" s="1685"/>
      <c r="N266" s="1685"/>
      <c r="O266" s="1685"/>
      <c r="P266" s="1686"/>
      <c r="Q266" s="1686"/>
      <c r="R266" s="1686"/>
      <c r="S266" s="1686"/>
      <c r="T266" s="1686"/>
      <c r="U266" s="1686"/>
      <c r="V266" s="1686"/>
      <c r="W266" s="1686"/>
      <c r="X266" s="1686"/>
      <c r="Y266" s="1686"/>
      <c r="Z266" s="1686"/>
      <c r="AA266" s="1686"/>
      <c r="AB266" s="1686"/>
      <c r="AC266" s="1686"/>
      <c r="AD266" s="1686"/>
      <c r="AE266" s="1686"/>
      <c r="AF266" s="1686"/>
      <c r="AG266" s="1686"/>
      <c r="AH266" s="1466"/>
      <c r="AI266" s="919">
        <f t="shared" si="29"/>
        <v>0</v>
      </c>
      <c r="AJ266" s="1684">
        <v>44.196433134214985</v>
      </c>
      <c r="AK266" s="1117">
        <f t="shared" si="28"/>
        <v>0</v>
      </c>
      <c r="AL266" s="1689" t="s">
        <v>889</v>
      </c>
      <c r="AM266" s="918"/>
      <c r="AN266" s="892"/>
      <c r="AO266" s="892"/>
    </row>
    <row r="267" spans="1:41" ht="54" customHeight="1">
      <c r="A267" s="1704">
        <v>247</v>
      </c>
      <c r="B267" s="1704">
        <v>21</v>
      </c>
      <c r="C267" s="918" t="str">
        <f>'Chấm công KT'!C260</f>
        <v>N. Kẻ</v>
      </c>
      <c r="D267" s="1685"/>
      <c r="E267" s="1685"/>
      <c r="F267" s="1685"/>
      <c r="G267" s="1685"/>
      <c r="H267" s="1685"/>
      <c r="I267" s="1685"/>
      <c r="J267" s="1685"/>
      <c r="K267" s="1685"/>
      <c r="L267" s="1685"/>
      <c r="M267" s="1685"/>
      <c r="N267" s="1685"/>
      <c r="O267" s="1685"/>
      <c r="P267" s="1686"/>
      <c r="Q267" s="1686"/>
      <c r="R267" s="1686"/>
      <c r="S267" s="1686"/>
      <c r="T267" s="1686"/>
      <c r="U267" s="1686"/>
      <c r="V267" s="1686"/>
      <c r="W267" s="1686"/>
      <c r="X267" s="1686"/>
      <c r="Y267" s="1686"/>
      <c r="Z267" s="1686"/>
      <c r="AA267" s="1686"/>
      <c r="AB267" s="1686"/>
      <c r="AC267" s="1686"/>
      <c r="AD267" s="1686"/>
      <c r="AE267" s="1686"/>
      <c r="AF267" s="1686"/>
      <c r="AG267" s="1686"/>
      <c r="AH267" s="1466"/>
      <c r="AI267" s="919">
        <f t="shared" si="29"/>
        <v>0</v>
      </c>
      <c r="AJ267" s="1684">
        <v>44.196433134214985</v>
      </c>
      <c r="AK267" s="1117">
        <f t="shared" si="28"/>
        <v>0</v>
      </c>
      <c r="AL267" s="1689" t="s">
        <v>889</v>
      </c>
      <c r="AM267" s="918"/>
      <c r="AN267" s="892"/>
      <c r="AO267" s="892"/>
    </row>
    <row r="268" spans="1:41" ht="54" customHeight="1">
      <c r="A268" s="1704">
        <v>248</v>
      </c>
      <c r="B268" s="1704">
        <v>22</v>
      </c>
      <c r="C268" s="918" t="str">
        <f>'Chấm công KT'!C261</f>
        <v>T. Chăn (4)</v>
      </c>
      <c r="D268" s="1685"/>
      <c r="E268" s="1685"/>
      <c r="F268" s="1685"/>
      <c r="G268" s="1685"/>
      <c r="H268" s="1685"/>
      <c r="I268" s="1685"/>
      <c r="J268" s="1685"/>
      <c r="K268" s="1685"/>
      <c r="L268" s="1685"/>
      <c r="M268" s="1685"/>
      <c r="N268" s="1685"/>
      <c r="O268" s="1685"/>
      <c r="P268" s="1686"/>
      <c r="Q268" s="1686"/>
      <c r="R268" s="1686"/>
      <c r="S268" s="1686"/>
      <c r="T268" s="1686"/>
      <c r="U268" s="1686"/>
      <c r="V268" s="1686"/>
      <c r="W268" s="1686"/>
      <c r="X268" s="1686"/>
      <c r="Y268" s="1686"/>
      <c r="Z268" s="1686"/>
      <c r="AA268" s="1686"/>
      <c r="AB268" s="1686"/>
      <c r="AC268" s="1686"/>
      <c r="AD268" s="1686"/>
      <c r="AE268" s="1686"/>
      <c r="AF268" s="1686"/>
      <c r="AG268" s="1686"/>
      <c r="AH268" s="1466"/>
      <c r="AI268" s="919">
        <f t="shared" si="29"/>
        <v>0</v>
      </c>
      <c r="AJ268" s="1684">
        <v>44.196433134214985</v>
      </c>
      <c r="AK268" s="1117">
        <f t="shared" si="28"/>
        <v>0</v>
      </c>
      <c r="AL268" s="1689" t="s">
        <v>79</v>
      </c>
      <c r="AM268" s="918"/>
      <c r="AN268" s="892"/>
      <c r="AO268" s="892"/>
    </row>
    <row r="269" spans="1:41" ht="54" customHeight="1">
      <c r="A269" s="1704">
        <v>249</v>
      </c>
      <c r="B269" s="1704">
        <v>23</v>
      </c>
      <c r="C269" s="918" t="str">
        <f>'Chấm công KT'!C262</f>
        <v>T.Mon</v>
      </c>
      <c r="D269" s="1685"/>
      <c r="E269" s="1685"/>
      <c r="F269" s="1685"/>
      <c r="G269" s="1685"/>
      <c r="H269" s="1685"/>
      <c r="I269" s="1685"/>
      <c r="J269" s="1685"/>
      <c r="K269" s="1685"/>
      <c r="L269" s="1685"/>
      <c r="M269" s="1685"/>
      <c r="N269" s="1685"/>
      <c r="O269" s="1685"/>
      <c r="P269" s="1686"/>
      <c r="Q269" s="1686"/>
      <c r="R269" s="1686"/>
      <c r="S269" s="1686"/>
      <c r="T269" s="1686"/>
      <c r="U269" s="1686"/>
      <c r="V269" s="1686"/>
      <c r="W269" s="1686"/>
      <c r="X269" s="1686"/>
      <c r="Y269" s="1686"/>
      <c r="Z269" s="1686"/>
      <c r="AA269" s="1686"/>
      <c r="AB269" s="1686"/>
      <c r="AC269" s="1686"/>
      <c r="AD269" s="1686"/>
      <c r="AE269" s="1686"/>
      <c r="AF269" s="1686"/>
      <c r="AG269" s="1686"/>
      <c r="AH269" s="1466"/>
      <c r="AI269" s="919">
        <f t="shared" si="29"/>
        <v>0</v>
      </c>
      <c r="AJ269" s="1684">
        <v>44.196433134214985</v>
      </c>
      <c r="AK269" s="1117">
        <f t="shared" si="28"/>
        <v>0</v>
      </c>
      <c r="AL269" s="1689" t="s">
        <v>79</v>
      </c>
      <c r="AM269" s="918"/>
      <c r="AN269" s="892"/>
      <c r="AO269" s="892"/>
    </row>
    <row r="270" spans="1:41" ht="54" customHeight="1">
      <c r="A270" s="1704">
        <v>250</v>
      </c>
      <c r="B270" s="1704">
        <v>24</v>
      </c>
      <c r="C270" s="918" t="str">
        <f>'Chấm công KT'!C263</f>
        <v>N.. Đeng</v>
      </c>
      <c r="D270" s="1685"/>
      <c r="E270" s="1685"/>
      <c r="F270" s="1685"/>
      <c r="G270" s="1685"/>
      <c r="H270" s="1685"/>
      <c r="I270" s="1685"/>
      <c r="J270" s="1685"/>
      <c r="K270" s="1685"/>
      <c r="L270" s="1685"/>
      <c r="M270" s="1685"/>
      <c r="N270" s="1685"/>
      <c r="O270" s="1685"/>
      <c r="P270" s="1686"/>
      <c r="Q270" s="1686"/>
      <c r="R270" s="1686"/>
      <c r="S270" s="1686"/>
      <c r="T270" s="1686"/>
      <c r="U270" s="1686"/>
      <c r="V270" s="1686"/>
      <c r="W270" s="1686"/>
      <c r="X270" s="1686"/>
      <c r="Y270" s="1686"/>
      <c r="Z270" s="1686"/>
      <c r="AA270" s="1686"/>
      <c r="AB270" s="1686"/>
      <c r="AC270" s="1686"/>
      <c r="AD270" s="1686"/>
      <c r="AE270" s="1686"/>
      <c r="AF270" s="1686"/>
      <c r="AG270" s="1686"/>
      <c r="AH270" s="1466"/>
      <c r="AI270" s="919">
        <f t="shared" si="29"/>
        <v>0</v>
      </c>
      <c r="AJ270" s="1684">
        <v>44.196433134214985</v>
      </c>
      <c r="AK270" s="1117">
        <f t="shared" si="28"/>
        <v>0</v>
      </c>
      <c r="AL270" s="1689" t="s">
        <v>79</v>
      </c>
      <c r="AM270" s="918"/>
      <c r="AN270" s="892"/>
      <c r="AO270" s="892"/>
    </row>
    <row r="271" spans="1:41" ht="54" customHeight="1">
      <c r="A271" s="1704">
        <v>251</v>
      </c>
      <c r="B271" s="1704">
        <v>25</v>
      </c>
      <c r="C271" s="918" t="str">
        <f>'Chấm công KT'!C264</f>
        <v>T. Cơ</v>
      </c>
      <c r="D271" s="1685"/>
      <c r="E271" s="1685"/>
      <c r="F271" s="1685"/>
      <c r="G271" s="1685"/>
      <c r="H271" s="1685"/>
      <c r="I271" s="1685"/>
      <c r="J271" s="1685"/>
      <c r="K271" s="1685"/>
      <c r="L271" s="1685"/>
      <c r="M271" s="1685"/>
      <c r="N271" s="1685"/>
      <c r="O271" s="1685"/>
      <c r="P271" s="1686"/>
      <c r="Q271" s="1686"/>
      <c r="R271" s="1686"/>
      <c r="S271" s="1686"/>
      <c r="T271" s="1686"/>
      <c r="U271" s="1686"/>
      <c r="V271" s="1686"/>
      <c r="W271" s="1686"/>
      <c r="X271" s="1686"/>
      <c r="Y271" s="1686"/>
      <c r="Z271" s="1686"/>
      <c r="AA271" s="1686"/>
      <c r="AB271" s="1686"/>
      <c r="AC271" s="1686"/>
      <c r="AD271" s="1686"/>
      <c r="AE271" s="1686"/>
      <c r="AF271" s="1686"/>
      <c r="AG271" s="1686"/>
      <c r="AH271" s="1466"/>
      <c r="AI271" s="919">
        <f t="shared" si="29"/>
        <v>0</v>
      </c>
      <c r="AJ271" s="1684">
        <v>44.196433134214985</v>
      </c>
      <c r="AK271" s="1117">
        <f t="shared" si="28"/>
        <v>0</v>
      </c>
      <c r="AL271" s="1689" t="s">
        <v>889</v>
      </c>
      <c r="AM271" s="918"/>
      <c r="AN271" s="892"/>
      <c r="AO271" s="892"/>
    </row>
    <row r="272" spans="1:41" ht="54" customHeight="1">
      <c r="A272" s="1704">
        <v>252</v>
      </c>
      <c r="B272" s="1704">
        <v>26</v>
      </c>
      <c r="C272" s="918" t="str">
        <f>'Chấm công KT'!C265</f>
        <v>T Phết</v>
      </c>
      <c r="D272" s="1685"/>
      <c r="E272" s="1685"/>
      <c r="F272" s="1685"/>
      <c r="G272" s="1685"/>
      <c r="H272" s="1685"/>
      <c r="I272" s="1685"/>
      <c r="J272" s="1685"/>
      <c r="K272" s="1685"/>
      <c r="L272" s="1685"/>
      <c r="M272" s="1685"/>
      <c r="N272" s="1685"/>
      <c r="O272" s="1685"/>
      <c r="P272" s="1686"/>
      <c r="Q272" s="1686"/>
      <c r="R272" s="1686"/>
      <c r="S272" s="1686"/>
      <c r="T272" s="1686"/>
      <c r="U272" s="1686"/>
      <c r="V272" s="1686"/>
      <c r="W272" s="1686"/>
      <c r="X272" s="1686"/>
      <c r="Y272" s="1686"/>
      <c r="Z272" s="1686"/>
      <c r="AA272" s="1686"/>
      <c r="AB272" s="1686"/>
      <c r="AC272" s="1686"/>
      <c r="AD272" s="1686"/>
      <c r="AE272" s="1686"/>
      <c r="AF272" s="1686"/>
      <c r="AG272" s="1686"/>
      <c r="AH272" s="1466"/>
      <c r="AI272" s="919">
        <f t="shared" si="29"/>
        <v>0</v>
      </c>
      <c r="AJ272" s="1684">
        <v>44.196433134214985</v>
      </c>
      <c r="AK272" s="1117">
        <f t="shared" si="28"/>
        <v>0</v>
      </c>
      <c r="AL272" s="1689" t="s">
        <v>79</v>
      </c>
      <c r="AM272" s="918"/>
      <c r="AN272" s="892"/>
      <c r="AO272" s="892"/>
    </row>
    <row r="273" spans="1:41" ht="54" customHeight="1">
      <c r="A273" s="1704">
        <v>253</v>
      </c>
      <c r="B273" s="1704">
        <v>27</v>
      </c>
      <c r="C273" s="918" t="str">
        <f>'Chấm công KT'!C266</f>
        <v>N. Chay</v>
      </c>
      <c r="D273" s="1685"/>
      <c r="E273" s="1685"/>
      <c r="F273" s="1685"/>
      <c r="G273" s="1685"/>
      <c r="H273" s="1685"/>
      <c r="I273" s="1685"/>
      <c r="J273" s="1685"/>
      <c r="K273" s="1685"/>
      <c r="L273" s="1685"/>
      <c r="M273" s="1685"/>
      <c r="N273" s="1685"/>
      <c r="O273" s="1685"/>
      <c r="P273" s="1686"/>
      <c r="Q273" s="1686"/>
      <c r="R273" s="1686"/>
      <c r="S273" s="1686"/>
      <c r="T273" s="1686"/>
      <c r="U273" s="1686"/>
      <c r="V273" s="1686"/>
      <c r="W273" s="1686"/>
      <c r="X273" s="1686"/>
      <c r="Y273" s="1686"/>
      <c r="Z273" s="1686"/>
      <c r="AA273" s="1686"/>
      <c r="AB273" s="1686"/>
      <c r="AC273" s="1686"/>
      <c r="AD273" s="1686"/>
      <c r="AE273" s="1686"/>
      <c r="AF273" s="1686"/>
      <c r="AG273" s="1686"/>
      <c r="AH273" s="1466"/>
      <c r="AI273" s="919">
        <f t="shared" si="29"/>
        <v>0</v>
      </c>
      <c r="AJ273" s="1684">
        <v>44.196433134214985</v>
      </c>
      <c r="AK273" s="1117">
        <f t="shared" si="28"/>
        <v>0</v>
      </c>
      <c r="AL273" s="1689" t="s">
        <v>79</v>
      </c>
      <c r="AM273" s="918"/>
      <c r="AN273" s="892"/>
      <c r="AO273" s="892"/>
    </row>
    <row r="274" spans="1:41" ht="54" customHeight="1">
      <c r="A274" s="1704">
        <v>254</v>
      </c>
      <c r="B274" s="1704">
        <v>28</v>
      </c>
      <c r="C274" s="918" t="str">
        <f>'Chấm công KT'!C267</f>
        <v>T. Sắc</v>
      </c>
      <c r="D274" s="1685"/>
      <c r="E274" s="1685"/>
      <c r="F274" s="1685"/>
      <c r="G274" s="1685"/>
      <c r="H274" s="1685"/>
      <c r="I274" s="1685"/>
      <c r="J274" s="1685"/>
      <c r="K274" s="1685"/>
      <c r="L274" s="1685"/>
      <c r="M274" s="1685"/>
      <c r="N274" s="1685"/>
      <c r="O274" s="1685"/>
      <c r="P274" s="1686"/>
      <c r="Q274" s="1686"/>
      <c r="R274" s="1686"/>
      <c r="S274" s="1686"/>
      <c r="T274" s="1686"/>
      <c r="U274" s="1686"/>
      <c r="V274" s="1686"/>
      <c r="W274" s="1686"/>
      <c r="X274" s="1686"/>
      <c r="Y274" s="1686"/>
      <c r="Z274" s="1686"/>
      <c r="AA274" s="1686"/>
      <c r="AB274" s="1686"/>
      <c r="AC274" s="1686"/>
      <c r="AD274" s="1686"/>
      <c r="AE274" s="1686"/>
      <c r="AF274" s="1686"/>
      <c r="AG274" s="1686"/>
      <c r="AH274" s="1466"/>
      <c r="AI274" s="919">
        <f t="shared" si="29"/>
        <v>0</v>
      </c>
      <c r="AJ274" s="1684">
        <v>44.196433134214985</v>
      </c>
      <c r="AK274" s="1117">
        <f t="shared" si="28"/>
        <v>0</v>
      </c>
      <c r="AL274" s="1689" t="s">
        <v>889</v>
      </c>
      <c r="AM274" s="918"/>
      <c r="AN274" s="892"/>
      <c r="AO274" s="892"/>
    </row>
    <row r="275" spans="1:41" ht="54" customHeight="1">
      <c r="A275" s="1704">
        <v>255</v>
      </c>
      <c r="B275" s="1704">
        <v>29</v>
      </c>
      <c r="C275" s="918" t="str">
        <f>'Chấm công KT'!C268</f>
        <v>T. Đông</v>
      </c>
      <c r="D275" s="1685"/>
      <c r="E275" s="1685"/>
      <c r="F275" s="1685"/>
      <c r="G275" s="1685"/>
      <c r="H275" s="1685"/>
      <c r="I275" s="1685"/>
      <c r="J275" s="1685"/>
      <c r="K275" s="1685"/>
      <c r="L275" s="1685"/>
      <c r="M275" s="1685"/>
      <c r="N275" s="1685"/>
      <c r="O275" s="1685"/>
      <c r="P275" s="1686"/>
      <c r="Q275" s="1686"/>
      <c r="R275" s="1686"/>
      <c r="S275" s="1686"/>
      <c r="T275" s="1686"/>
      <c r="U275" s="1686"/>
      <c r="V275" s="1686"/>
      <c r="W275" s="1686"/>
      <c r="X275" s="1686"/>
      <c r="Y275" s="1686"/>
      <c r="Z275" s="1686"/>
      <c r="AA275" s="1686"/>
      <c r="AB275" s="1686"/>
      <c r="AC275" s="1686"/>
      <c r="AD275" s="1686"/>
      <c r="AE275" s="1686"/>
      <c r="AF275" s="1686"/>
      <c r="AG275" s="1686"/>
      <c r="AH275" s="1466"/>
      <c r="AI275" s="919">
        <f t="shared" si="29"/>
        <v>0</v>
      </c>
      <c r="AJ275" s="1684">
        <v>44.196433134214985</v>
      </c>
      <c r="AK275" s="1117">
        <f t="shared" si="28"/>
        <v>0</v>
      </c>
      <c r="AL275" s="1689" t="s">
        <v>889</v>
      </c>
      <c r="AM275" s="918"/>
      <c r="AN275" s="892"/>
      <c r="AO275" s="892"/>
    </row>
    <row r="276" spans="1:41" ht="54" customHeight="1">
      <c r="A276" s="1704">
        <v>256</v>
      </c>
      <c r="B276" s="1704">
        <v>30</v>
      </c>
      <c r="C276" s="918" t="str">
        <f>'Chấm công KT'!C269</f>
        <v>N. Lao</v>
      </c>
      <c r="D276" s="1685"/>
      <c r="E276" s="1685"/>
      <c r="F276" s="1685"/>
      <c r="G276" s="1685"/>
      <c r="H276" s="1685"/>
      <c r="I276" s="1685"/>
      <c r="J276" s="1685"/>
      <c r="K276" s="1685"/>
      <c r="L276" s="1685"/>
      <c r="M276" s="1685"/>
      <c r="N276" s="1685"/>
      <c r="O276" s="1685"/>
      <c r="P276" s="1686"/>
      <c r="Q276" s="1686"/>
      <c r="R276" s="1686"/>
      <c r="S276" s="1686"/>
      <c r="T276" s="1686"/>
      <c r="U276" s="1686"/>
      <c r="V276" s="1686"/>
      <c r="W276" s="1686"/>
      <c r="X276" s="1686"/>
      <c r="Y276" s="1686"/>
      <c r="Z276" s="1686"/>
      <c r="AA276" s="1686"/>
      <c r="AB276" s="1686"/>
      <c r="AC276" s="1686"/>
      <c r="AD276" s="1686"/>
      <c r="AE276" s="1686"/>
      <c r="AF276" s="1686"/>
      <c r="AG276" s="1686"/>
      <c r="AH276" s="1466"/>
      <c r="AI276" s="919">
        <f t="shared" si="29"/>
        <v>0</v>
      </c>
      <c r="AJ276" s="1684">
        <v>44.196433134214985</v>
      </c>
      <c r="AK276" s="1117">
        <f t="shared" si="28"/>
        <v>0</v>
      </c>
      <c r="AL276" s="1689" t="s">
        <v>79</v>
      </c>
      <c r="AM276" s="918"/>
      <c r="AN276" s="892"/>
      <c r="AO276" s="892"/>
    </row>
    <row r="277" spans="1:41" ht="54" customHeight="1">
      <c r="A277" s="1704">
        <v>257</v>
      </c>
      <c r="B277" s="1704">
        <v>31</v>
      </c>
      <c r="C277" s="918" t="str">
        <f>'Chấm công KT'!C270</f>
        <v>N. Xum Xi</v>
      </c>
      <c r="D277" s="1685"/>
      <c r="E277" s="1685"/>
      <c r="F277" s="1685"/>
      <c r="G277" s="1685"/>
      <c r="H277" s="1685"/>
      <c r="I277" s="1685"/>
      <c r="J277" s="1685"/>
      <c r="K277" s="1685"/>
      <c r="L277" s="1685"/>
      <c r="M277" s="1685"/>
      <c r="N277" s="1685"/>
      <c r="O277" s="1685"/>
      <c r="P277" s="1686"/>
      <c r="Q277" s="1686"/>
      <c r="R277" s="1686"/>
      <c r="S277" s="1686"/>
      <c r="T277" s="1686"/>
      <c r="U277" s="1686"/>
      <c r="V277" s="1686"/>
      <c r="W277" s="1686"/>
      <c r="X277" s="1686"/>
      <c r="Y277" s="1686"/>
      <c r="Z277" s="1686"/>
      <c r="AA277" s="1686"/>
      <c r="AB277" s="1686"/>
      <c r="AC277" s="1686"/>
      <c r="AD277" s="1686"/>
      <c r="AE277" s="1686"/>
      <c r="AF277" s="1686"/>
      <c r="AG277" s="1686"/>
      <c r="AH277" s="1466"/>
      <c r="AI277" s="919">
        <f t="shared" si="29"/>
        <v>0</v>
      </c>
      <c r="AJ277" s="1684">
        <v>44.196433134214985</v>
      </c>
      <c r="AK277" s="1117">
        <f t="shared" si="28"/>
        <v>0</v>
      </c>
      <c r="AL277" s="1689" t="s">
        <v>79</v>
      </c>
      <c r="AM277" s="918"/>
      <c r="AN277" s="892"/>
      <c r="AO277" s="892"/>
    </row>
    <row r="278" spans="1:41" ht="54" customHeight="1">
      <c r="A278" s="1704">
        <v>258</v>
      </c>
      <c r="B278" s="1704">
        <v>32</v>
      </c>
      <c r="C278" s="918" t="str">
        <f>'Chấm công KT'!C271</f>
        <v xml:space="preserve">T. Xi </v>
      </c>
      <c r="D278" s="1685"/>
      <c r="E278" s="1685"/>
      <c r="F278" s="1685"/>
      <c r="G278" s="1685"/>
      <c r="H278" s="1685"/>
      <c r="I278" s="1685"/>
      <c r="J278" s="1685"/>
      <c r="K278" s="1685"/>
      <c r="L278" s="1685"/>
      <c r="M278" s="1685"/>
      <c r="N278" s="1685"/>
      <c r="O278" s="1685"/>
      <c r="P278" s="1686"/>
      <c r="Q278" s="1686"/>
      <c r="R278" s="1686"/>
      <c r="S278" s="1686"/>
      <c r="T278" s="1686"/>
      <c r="U278" s="1686"/>
      <c r="V278" s="1686"/>
      <c r="W278" s="1686"/>
      <c r="X278" s="1686"/>
      <c r="Y278" s="1686"/>
      <c r="Z278" s="1686"/>
      <c r="AA278" s="1686"/>
      <c r="AB278" s="1686"/>
      <c r="AC278" s="1686"/>
      <c r="AD278" s="1686"/>
      <c r="AE278" s="1686"/>
      <c r="AF278" s="1686"/>
      <c r="AG278" s="1686"/>
      <c r="AH278" s="1466"/>
      <c r="AI278" s="919">
        <f t="shared" si="29"/>
        <v>0</v>
      </c>
      <c r="AJ278" s="1684">
        <v>44.196433134214985</v>
      </c>
      <c r="AK278" s="1117">
        <f t="shared" si="28"/>
        <v>0</v>
      </c>
      <c r="AL278" s="1689" t="s">
        <v>79</v>
      </c>
      <c r="AM278" s="918"/>
      <c r="AN278" s="892"/>
      <c r="AO278" s="892"/>
    </row>
    <row r="279" spans="1:41" ht="54" customHeight="1">
      <c r="A279" s="1704">
        <v>259</v>
      </c>
      <c r="B279" s="1704">
        <v>33</v>
      </c>
      <c r="C279" s="918" t="str">
        <f>'Chấm công KT'!C272</f>
        <v>T Pết</v>
      </c>
      <c r="D279" s="1685"/>
      <c r="E279" s="1685"/>
      <c r="F279" s="1685"/>
      <c r="G279" s="1685"/>
      <c r="H279" s="1685"/>
      <c r="I279" s="1685"/>
      <c r="J279" s="1685"/>
      <c r="K279" s="1685"/>
      <c r="L279" s="1685"/>
      <c r="M279" s="1685"/>
      <c r="N279" s="1685"/>
      <c r="O279" s="1685"/>
      <c r="P279" s="1686"/>
      <c r="Q279" s="1686"/>
      <c r="R279" s="1686"/>
      <c r="S279" s="1686"/>
      <c r="T279" s="1686"/>
      <c r="U279" s="1686"/>
      <c r="V279" s="1686"/>
      <c r="W279" s="1686"/>
      <c r="X279" s="1686"/>
      <c r="Y279" s="1686"/>
      <c r="Z279" s="1686"/>
      <c r="AA279" s="1686"/>
      <c r="AB279" s="1686"/>
      <c r="AC279" s="1686"/>
      <c r="AD279" s="1686"/>
      <c r="AE279" s="1686"/>
      <c r="AF279" s="1686"/>
      <c r="AG279" s="1686"/>
      <c r="AH279" s="1466"/>
      <c r="AI279" s="919">
        <f t="shared" si="29"/>
        <v>0</v>
      </c>
      <c r="AJ279" s="1684">
        <v>44.196433134214985</v>
      </c>
      <c r="AK279" s="1117">
        <f t="shared" ref="AK279:AK310" si="30">AI279*AJ279/100</f>
        <v>0</v>
      </c>
      <c r="AL279" s="1689" t="s">
        <v>79</v>
      </c>
      <c r="AM279" s="918"/>
      <c r="AN279" s="892"/>
      <c r="AO279" s="892"/>
    </row>
    <row r="280" spans="1:41" ht="54" customHeight="1">
      <c r="A280" s="1704">
        <v>260</v>
      </c>
      <c r="B280" s="1704">
        <v>34</v>
      </c>
      <c r="C280" s="918" t="str">
        <f>'Chấm công KT'!C273</f>
        <v>T. Von</v>
      </c>
      <c r="D280" s="1685"/>
      <c r="E280" s="1685"/>
      <c r="F280" s="1685"/>
      <c r="G280" s="1685"/>
      <c r="H280" s="1685"/>
      <c r="I280" s="1685"/>
      <c r="J280" s="1685"/>
      <c r="K280" s="1685"/>
      <c r="L280" s="1685"/>
      <c r="M280" s="1685"/>
      <c r="N280" s="1685"/>
      <c r="O280" s="1685"/>
      <c r="P280" s="1686"/>
      <c r="Q280" s="1686"/>
      <c r="R280" s="1686"/>
      <c r="S280" s="1686"/>
      <c r="T280" s="1686"/>
      <c r="U280" s="1686"/>
      <c r="V280" s="1686"/>
      <c r="W280" s="1686"/>
      <c r="X280" s="1686"/>
      <c r="Y280" s="1686"/>
      <c r="Z280" s="1686"/>
      <c r="AA280" s="1686"/>
      <c r="AB280" s="1686"/>
      <c r="AC280" s="1686"/>
      <c r="AD280" s="1686"/>
      <c r="AE280" s="1686"/>
      <c r="AF280" s="1686"/>
      <c r="AG280" s="1686"/>
      <c r="AH280" s="1466"/>
      <c r="AI280" s="919">
        <f t="shared" si="29"/>
        <v>0</v>
      </c>
      <c r="AJ280" s="1684">
        <v>44.196433134214985</v>
      </c>
      <c r="AK280" s="1117">
        <f t="shared" si="30"/>
        <v>0</v>
      </c>
      <c r="AL280" s="1689" t="s">
        <v>79</v>
      </c>
      <c r="AM280" s="918"/>
      <c r="AN280" s="892"/>
      <c r="AO280" s="892"/>
    </row>
    <row r="281" spans="1:41" ht="54" customHeight="1">
      <c r="A281" s="1704">
        <v>261</v>
      </c>
      <c r="B281" s="1704">
        <v>35</v>
      </c>
      <c r="C281" s="918" t="str">
        <f>'Chấm công KT'!C274</f>
        <v>Khăm Xúc</v>
      </c>
      <c r="D281" s="1685"/>
      <c r="E281" s="1685"/>
      <c r="F281" s="1685"/>
      <c r="G281" s="1685"/>
      <c r="H281" s="1685"/>
      <c r="I281" s="1685"/>
      <c r="J281" s="1685"/>
      <c r="K281" s="1685"/>
      <c r="L281" s="1685"/>
      <c r="M281" s="1685"/>
      <c r="N281" s="1685"/>
      <c r="O281" s="1685"/>
      <c r="P281" s="1686"/>
      <c r="Q281" s="1686"/>
      <c r="R281" s="1686"/>
      <c r="S281" s="1686"/>
      <c r="T281" s="1686"/>
      <c r="U281" s="1686"/>
      <c r="V281" s="1686"/>
      <c r="W281" s="1686"/>
      <c r="X281" s="1686"/>
      <c r="Y281" s="1686"/>
      <c r="Z281" s="1686"/>
      <c r="AA281" s="1686"/>
      <c r="AB281" s="1686"/>
      <c r="AC281" s="1686"/>
      <c r="AD281" s="1686"/>
      <c r="AE281" s="1686"/>
      <c r="AF281" s="1686"/>
      <c r="AG281" s="1686"/>
      <c r="AH281" s="1466"/>
      <c r="AI281" s="919">
        <f t="shared" si="29"/>
        <v>0</v>
      </c>
      <c r="AJ281" s="1684">
        <v>44.196433134214985</v>
      </c>
      <c r="AK281" s="1117">
        <f t="shared" si="30"/>
        <v>0</v>
      </c>
      <c r="AL281" s="1689" t="s">
        <v>79</v>
      </c>
      <c r="AM281" s="918"/>
      <c r="AN281" s="892"/>
      <c r="AO281" s="892"/>
    </row>
    <row r="282" spans="1:41" ht="54" customHeight="1">
      <c r="A282" s="1704">
        <v>262</v>
      </c>
      <c r="B282" s="1704">
        <v>36</v>
      </c>
      <c r="C282" s="918" t="str">
        <f>'Chấm công KT'!C275</f>
        <v>T. Phút</v>
      </c>
      <c r="D282" s="1685"/>
      <c r="E282" s="1685"/>
      <c r="F282" s="1685"/>
      <c r="G282" s="1685"/>
      <c r="H282" s="1685"/>
      <c r="I282" s="1685"/>
      <c r="J282" s="1685"/>
      <c r="K282" s="1685"/>
      <c r="L282" s="1685"/>
      <c r="M282" s="1685"/>
      <c r="N282" s="1685"/>
      <c r="O282" s="1685"/>
      <c r="P282" s="1686"/>
      <c r="Q282" s="1686"/>
      <c r="R282" s="1686"/>
      <c r="S282" s="1686"/>
      <c r="T282" s="1686"/>
      <c r="U282" s="1686"/>
      <c r="V282" s="1686"/>
      <c r="W282" s="1686"/>
      <c r="X282" s="1686"/>
      <c r="Y282" s="1686"/>
      <c r="Z282" s="1686"/>
      <c r="AA282" s="1686"/>
      <c r="AB282" s="1686"/>
      <c r="AC282" s="1686"/>
      <c r="AD282" s="1686"/>
      <c r="AE282" s="1686"/>
      <c r="AF282" s="1686"/>
      <c r="AG282" s="1686"/>
      <c r="AH282" s="1466"/>
      <c r="AI282" s="919">
        <f t="shared" si="29"/>
        <v>0</v>
      </c>
      <c r="AJ282" s="1684">
        <v>44.196433134214985</v>
      </c>
      <c r="AK282" s="1117">
        <f t="shared" si="30"/>
        <v>0</v>
      </c>
      <c r="AL282" s="1689" t="s">
        <v>79</v>
      </c>
      <c r="AM282" s="918"/>
      <c r="AN282" s="892"/>
      <c r="AO282" s="892"/>
    </row>
    <row r="283" spans="1:41" ht="54" customHeight="1">
      <c r="A283" s="1704">
        <v>263</v>
      </c>
      <c r="B283" s="1704">
        <v>37</v>
      </c>
      <c r="C283" s="918" t="str">
        <f>'Chấm công KT'!C276</f>
        <v>T. Be</v>
      </c>
      <c r="D283" s="1685"/>
      <c r="E283" s="1685"/>
      <c r="F283" s="1685"/>
      <c r="G283" s="1685"/>
      <c r="H283" s="1685"/>
      <c r="I283" s="1685"/>
      <c r="J283" s="1685"/>
      <c r="K283" s="1685"/>
      <c r="L283" s="1685"/>
      <c r="M283" s="1685"/>
      <c r="N283" s="1685"/>
      <c r="O283" s="1685"/>
      <c r="P283" s="1686"/>
      <c r="Q283" s="1686"/>
      <c r="R283" s="1686"/>
      <c r="S283" s="1686"/>
      <c r="T283" s="1686"/>
      <c r="U283" s="1686"/>
      <c r="V283" s="1686"/>
      <c r="W283" s="1686"/>
      <c r="X283" s="1686"/>
      <c r="Y283" s="1686"/>
      <c r="Z283" s="1686"/>
      <c r="AA283" s="1686"/>
      <c r="AB283" s="1686"/>
      <c r="AC283" s="1686"/>
      <c r="AD283" s="1686"/>
      <c r="AE283" s="1686"/>
      <c r="AF283" s="1686"/>
      <c r="AG283" s="1686"/>
      <c r="AH283" s="1466"/>
      <c r="AI283" s="919">
        <f t="shared" si="29"/>
        <v>0</v>
      </c>
      <c r="AJ283" s="1684">
        <v>44.196433134214985</v>
      </c>
      <c r="AK283" s="1117">
        <f t="shared" si="30"/>
        <v>0</v>
      </c>
      <c r="AL283" s="1689" t="s">
        <v>889</v>
      </c>
      <c r="AM283" s="918"/>
      <c r="AN283" s="892"/>
      <c r="AO283" s="892"/>
    </row>
    <row r="284" spans="1:41" ht="54" customHeight="1">
      <c r="A284" s="1704">
        <v>264</v>
      </c>
      <c r="B284" s="1704">
        <v>38</v>
      </c>
      <c r="C284" s="918" t="str">
        <f>'Chấm công KT'!C277</f>
        <v>T . Mưn</v>
      </c>
      <c r="D284" s="1685"/>
      <c r="E284" s="1685"/>
      <c r="F284" s="1685"/>
      <c r="G284" s="1685"/>
      <c r="H284" s="1685"/>
      <c r="I284" s="1685"/>
      <c r="J284" s="1685"/>
      <c r="K284" s="1685"/>
      <c r="L284" s="1685"/>
      <c r="M284" s="1685"/>
      <c r="N284" s="1685"/>
      <c r="O284" s="1685"/>
      <c r="P284" s="1686"/>
      <c r="Q284" s="1686"/>
      <c r="R284" s="1686"/>
      <c r="S284" s="1686"/>
      <c r="T284" s="1686"/>
      <c r="U284" s="1686"/>
      <c r="V284" s="1686"/>
      <c r="W284" s="1686"/>
      <c r="X284" s="1686"/>
      <c r="Y284" s="1686"/>
      <c r="Z284" s="1686"/>
      <c r="AA284" s="1686"/>
      <c r="AB284" s="1686"/>
      <c r="AC284" s="1686"/>
      <c r="AD284" s="1686"/>
      <c r="AE284" s="1686"/>
      <c r="AF284" s="1686"/>
      <c r="AG284" s="1686"/>
      <c r="AH284" s="1466"/>
      <c r="AI284" s="919">
        <f t="shared" si="29"/>
        <v>0</v>
      </c>
      <c r="AJ284" s="1684">
        <v>44.196433134214985</v>
      </c>
      <c r="AK284" s="1117">
        <f t="shared" si="30"/>
        <v>0</v>
      </c>
      <c r="AL284" s="1689" t="s">
        <v>79</v>
      </c>
      <c r="AM284" s="918"/>
      <c r="AN284" s="892"/>
      <c r="AO284" s="892"/>
    </row>
    <row r="285" spans="1:41" ht="54" customHeight="1">
      <c r="A285" s="1704">
        <v>265</v>
      </c>
      <c r="B285" s="1704">
        <v>39</v>
      </c>
      <c r="C285" s="918" t="str">
        <f>'Chấm công KT'!C278</f>
        <v>T. Ô</v>
      </c>
      <c r="D285" s="1685"/>
      <c r="E285" s="1685"/>
      <c r="F285" s="1685"/>
      <c r="G285" s="1685"/>
      <c r="H285" s="1685"/>
      <c r="I285" s="1685"/>
      <c r="J285" s="1685"/>
      <c r="K285" s="1685"/>
      <c r="L285" s="1685"/>
      <c r="M285" s="1685"/>
      <c r="N285" s="1685"/>
      <c r="O285" s="1685"/>
      <c r="P285" s="1686"/>
      <c r="Q285" s="1686"/>
      <c r="R285" s="1686"/>
      <c r="S285" s="1686"/>
      <c r="T285" s="1686"/>
      <c r="U285" s="1686"/>
      <c r="V285" s="1686"/>
      <c r="W285" s="1686"/>
      <c r="X285" s="1686"/>
      <c r="Y285" s="1686"/>
      <c r="Z285" s="1686"/>
      <c r="AA285" s="1686"/>
      <c r="AB285" s="1686"/>
      <c r="AC285" s="1686"/>
      <c r="AD285" s="1686"/>
      <c r="AE285" s="1686"/>
      <c r="AF285" s="1686"/>
      <c r="AG285" s="1686"/>
      <c r="AH285" s="1466"/>
      <c r="AI285" s="919">
        <f t="shared" si="29"/>
        <v>0</v>
      </c>
      <c r="AJ285" s="1684">
        <v>44.196433134214985</v>
      </c>
      <c r="AK285" s="1117">
        <f t="shared" si="30"/>
        <v>0</v>
      </c>
      <c r="AL285" s="1689" t="s">
        <v>79</v>
      </c>
      <c r="AM285" s="918"/>
      <c r="AN285" s="892"/>
      <c r="AO285" s="892"/>
    </row>
    <row r="286" spans="1:41" ht="54" customHeight="1">
      <c r="A286" s="1704">
        <v>266</v>
      </c>
      <c r="B286" s="1704">
        <v>40</v>
      </c>
      <c r="C286" s="918" t="str">
        <f>'Chấm công KT'!C279</f>
        <v>N. Lem</v>
      </c>
      <c r="D286" s="1685"/>
      <c r="E286" s="1685"/>
      <c r="F286" s="1685"/>
      <c r="G286" s="1685"/>
      <c r="H286" s="1685"/>
      <c r="I286" s="1685"/>
      <c r="J286" s="1685"/>
      <c r="K286" s="1685"/>
      <c r="L286" s="1685"/>
      <c r="M286" s="1685"/>
      <c r="N286" s="1685"/>
      <c r="O286" s="1685"/>
      <c r="P286" s="1686"/>
      <c r="Q286" s="1686"/>
      <c r="R286" s="1686"/>
      <c r="S286" s="1686"/>
      <c r="T286" s="1686"/>
      <c r="U286" s="1686"/>
      <c r="V286" s="1686"/>
      <c r="W286" s="1686"/>
      <c r="X286" s="1686"/>
      <c r="Y286" s="1686"/>
      <c r="Z286" s="1686"/>
      <c r="AA286" s="1686"/>
      <c r="AB286" s="1686"/>
      <c r="AC286" s="1686"/>
      <c r="AD286" s="1686"/>
      <c r="AE286" s="1686"/>
      <c r="AF286" s="1686"/>
      <c r="AG286" s="1686"/>
      <c r="AH286" s="1466"/>
      <c r="AI286" s="919">
        <f t="shared" si="29"/>
        <v>0</v>
      </c>
      <c r="AJ286" s="1684">
        <v>44.196433134214985</v>
      </c>
      <c r="AK286" s="1117">
        <f t="shared" si="30"/>
        <v>0</v>
      </c>
      <c r="AL286" s="1689" t="s">
        <v>889</v>
      </c>
      <c r="AM286" s="918"/>
      <c r="AN286" s="892"/>
      <c r="AO286" s="892"/>
    </row>
    <row r="287" spans="1:41" ht="54" customHeight="1">
      <c r="A287" s="1704">
        <v>267</v>
      </c>
      <c r="B287" s="1704">
        <v>41</v>
      </c>
      <c r="C287" s="918" t="str">
        <f>'Chấm công KT'!C280</f>
        <v>T. Nọi (4)</v>
      </c>
      <c r="D287" s="1685"/>
      <c r="E287" s="1685"/>
      <c r="F287" s="1685"/>
      <c r="G287" s="1685"/>
      <c r="H287" s="1685"/>
      <c r="I287" s="1685"/>
      <c r="J287" s="1685"/>
      <c r="K287" s="1685"/>
      <c r="L287" s="1685"/>
      <c r="M287" s="1685"/>
      <c r="N287" s="1685"/>
      <c r="O287" s="1685"/>
      <c r="P287" s="1686"/>
      <c r="Q287" s="1686"/>
      <c r="R287" s="1686"/>
      <c r="S287" s="1686"/>
      <c r="T287" s="1686"/>
      <c r="U287" s="1686"/>
      <c r="V287" s="1686"/>
      <c r="W287" s="1686"/>
      <c r="X287" s="1686"/>
      <c r="Y287" s="1686"/>
      <c r="Z287" s="1686"/>
      <c r="AA287" s="1686"/>
      <c r="AB287" s="1686"/>
      <c r="AC287" s="1686"/>
      <c r="AD287" s="1686"/>
      <c r="AE287" s="1686"/>
      <c r="AF287" s="1686"/>
      <c r="AG287" s="1686"/>
      <c r="AH287" s="1466"/>
      <c r="AI287" s="919">
        <f t="shared" si="29"/>
        <v>0</v>
      </c>
      <c r="AJ287" s="1684">
        <v>44.196433134214985</v>
      </c>
      <c r="AK287" s="1117">
        <f t="shared" si="30"/>
        <v>0</v>
      </c>
      <c r="AL287" s="1689" t="s">
        <v>79</v>
      </c>
      <c r="AM287" s="918"/>
      <c r="AN287" s="892"/>
      <c r="AO287" s="892"/>
    </row>
    <row r="288" spans="1:41" ht="54" customHeight="1">
      <c r="A288" s="1704">
        <v>268</v>
      </c>
      <c r="B288" s="1704">
        <v>42</v>
      </c>
      <c r="C288" s="918" t="str">
        <f>'Chấm công KT'!C281</f>
        <v>T. Mi</v>
      </c>
      <c r="D288" s="1685"/>
      <c r="E288" s="1685"/>
      <c r="F288" s="1685"/>
      <c r="G288" s="1685"/>
      <c r="H288" s="1685"/>
      <c r="I288" s="1685"/>
      <c r="J288" s="1685"/>
      <c r="K288" s="1685"/>
      <c r="L288" s="1685"/>
      <c r="M288" s="1685"/>
      <c r="N288" s="1685"/>
      <c r="O288" s="1685"/>
      <c r="P288" s="1686"/>
      <c r="Q288" s="1686"/>
      <c r="R288" s="1686"/>
      <c r="S288" s="1686"/>
      <c r="T288" s="1686"/>
      <c r="U288" s="1686"/>
      <c r="V288" s="1686"/>
      <c r="W288" s="1686"/>
      <c r="X288" s="1686"/>
      <c r="Y288" s="1686"/>
      <c r="Z288" s="1686"/>
      <c r="AA288" s="1686"/>
      <c r="AB288" s="1686"/>
      <c r="AC288" s="1686"/>
      <c r="AD288" s="1686"/>
      <c r="AE288" s="1686"/>
      <c r="AF288" s="1686"/>
      <c r="AG288" s="1686"/>
      <c r="AH288" s="1466"/>
      <c r="AI288" s="919">
        <f t="shared" si="29"/>
        <v>0</v>
      </c>
      <c r="AJ288" s="1684">
        <v>44.196433134214985</v>
      </c>
      <c r="AK288" s="1117">
        <f t="shared" si="30"/>
        <v>0</v>
      </c>
      <c r="AL288" s="1689" t="s">
        <v>79</v>
      </c>
      <c r="AM288" s="918"/>
      <c r="AN288" s="892"/>
      <c r="AO288" s="892"/>
    </row>
    <row r="289" spans="1:41" ht="54" customHeight="1">
      <c r="A289" s="1704">
        <v>269</v>
      </c>
      <c r="B289" s="1704">
        <v>43</v>
      </c>
      <c r="C289" s="918" t="str">
        <f>'Chấm công KT'!C282</f>
        <v>T. Lẹ</v>
      </c>
      <c r="D289" s="1685"/>
      <c r="E289" s="1685"/>
      <c r="F289" s="1685"/>
      <c r="G289" s="1685"/>
      <c r="H289" s="1685"/>
      <c r="I289" s="1685"/>
      <c r="J289" s="1685"/>
      <c r="K289" s="1685"/>
      <c r="L289" s="1685"/>
      <c r="M289" s="1685"/>
      <c r="N289" s="1685"/>
      <c r="O289" s="1685"/>
      <c r="P289" s="1686"/>
      <c r="Q289" s="1686"/>
      <c r="R289" s="1686"/>
      <c r="S289" s="1686"/>
      <c r="T289" s="1686"/>
      <c r="U289" s="1686"/>
      <c r="V289" s="1686"/>
      <c r="W289" s="1686"/>
      <c r="X289" s="1686"/>
      <c r="Y289" s="1686"/>
      <c r="Z289" s="1686"/>
      <c r="AA289" s="1686"/>
      <c r="AB289" s="1686"/>
      <c r="AC289" s="1686"/>
      <c r="AD289" s="1686"/>
      <c r="AE289" s="1686"/>
      <c r="AF289" s="1686"/>
      <c r="AG289" s="1686"/>
      <c r="AH289" s="1466"/>
      <c r="AI289" s="919">
        <f t="shared" si="29"/>
        <v>0</v>
      </c>
      <c r="AJ289" s="1684">
        <v>44.196433134214985</v>
      </c>
      <c r="AK289" s="1117">
        <f t="shared" si="30"/>
        <v>0</v>
      </c>
      <c r="AL289" s="1689" t="s">
        <v>79</v>
      </c>
      <c r="AM289" s="918"/>
      <c r="AN289" s="892"/>
      <c r="AO289" s="892"/>
    </row>
    <row r="290" spans="1:41" ht="54" customHeight="1">
      <c r="A290" s="1704">
        <v>270</v>
      </c>
      <c r="B290" s="1704">
        <v>44</v>
      </c>
      <c r="C290" s="918" t="str">
        <f>'Chấm công KT'!C283</f>
        <v>N. Sum Kang</v>
      </c>
      <c r="D290" s="1685"/>
      <c r="E290" s="1685"/>
      <c r="F290" s="1685"/>
      <c r="G290" s="1685"/>
      <c r="H290" s="1685"/>
      <c r="I290" s="1685"/>
      <c r="J290" s="1685"/>
      <c r="K290" s="1685"/>
      <c r="L290" s="1685"/>
      <c r="M290" s="1685"/>
      <c r="N290" s="1685"/>
      <c r="O290" s="1685"/>
      <c r="P290" s="1686"/>
      <c r="Q290" s="1686"/>
      <c r="R290" s="1686"/>
      <c r="S290" s="1686"/>
      <c r="T290" s="1686"/>
      <c r="U290" s="1686"/>
      <c r="V290" s="1686"/>
      <c r="W290" s="1686"/>
      <c r="X290" s="1686"/>
      <c r="Y290" s="1686"/>
      <c r="Z290" s="1686"/>
      <c r="AA290" s="1686"/>
      <c r="AB290" s="1686"/>
      <c r="AC290" s="1686"/>
      <c r="AD290" s="1686"/>
      <c r="AE290" s="1686"/>
      <c r="AF290" s="1686"/>
      <c r="AG290" s="1686"/>
      <c r="AH290" s="1466"/>
      <c r="AI290" s="919">
        <f t="shared" si="29"/>
        <v>0</v>
      </c>
      <c r="AJ290" s="1684">
        <v>44.196433134214985</v>
      </c>
      <c r="AK290" s="1117">
        <f t="shared" si="30"/>
        <v>0</v>
      </c>
      <c r="AL290" s="1689" t="s">
        <v>889</v>
      </c>
      <c r="AM290" s="918"/>
      <c r="AN290" s="892"/>
      <c r="AO290" s="892"/>
    </row>
    <row r="291" spans="1:41" ht="54" customHeight="1">
      <c r="A291" s="1704">
        <v>271</v>
      </c>
      <c r="B291" s="1704">
        <v>45</v>
      </c>
      <c r="C291" s="918" t="str">
        <f>'Chấm công KT'!C284</f>
        <v xml:space="preserve">N. Khăm </v>
      </c>
      <c r="D291" s="1685"/>
      <c r="E291" s="1685"/>
      <c r="F291" s="1685"/>
      <c r="G291" s="1685"/>
      <c r="H291" s="1685"/>
      <c r="I291" s="1685"/>
      <c r="J291" s="1685"/>
      <c r="K291" s="1685"/>
      <c r="L291" s="1685"/>
      <c r="M291" s="1685"/>
      <c r="N291" s="1685"/>
      <c r="O291" s="1685"/>
      <c r="P291" s="1686"/>
      <c r="Q291" s="1686"/>
      <c r="R291" s="1686"/>
      <c r="S291" s="1686"/>
      <c r="T291" s="1686"/>
      <c r="U291" s="1686"/>
      <c r="V291" s="1686"/>
      <c r="W291" s="1686"/>
      <c r="X291" s="1686"/>
      <c r="Y291" s="1686"/>
      <c r="Z291" s="1686"/>
      <c r="AA291" s="1686"/>
      <c r="AB291" s="1686"/>
      <c r="AC291" s="1686"/>
      <c r="AD291" s="1686"/>
      <c r="AE291" s="1686"/>
      <c r="AF291" s="1686"/>
      <c r="AG291" s="1686"/>
      <c r="AH291" s="1466"/>
      <c r="AI291" s="919">
        <f t="shared" si="29"/>
        <v>0</v>
      </c>
      <c r="AJ291" s="1684">
        <v>44.196433134214985</v>
      </c>
      <c r="AK291" s="1117">
        <f t="shared" si="30"/>
        <v>0</v>
      </c>
      <c r="AL291" s="1689" t="s">
        <v>79</v>
      </c>
      <c r="AM291" s="918"/>
      <c r="AN291" s="892"/>
      <c r="AO291" s="892"/>
    </row>
    <row r="292" spans="1:41" ht="54" customHeight="1">
      <c r="A292" s="1704">
        <v>272</v>
      </c>
      <c r="B292" s="1704">
        <v>46</v>
      </c>
      <c r="C292" s="918" t="str">
        <f>'Chấm công KT'!C285</f>
        <v>T. Xủm</v>
      </c>
      <c r="D292" s="1685"/>
      <c r="E292" s="1685"/>
      <c r="F292" s="1685"/>
      <c r="G292" s="1685"/>
      <c r="H292" s="1685"/>
      <c r="I292" s="1685"/>
      <c r="J292" s="1685"/>
      <c r="K292" s="1685"/>
      <c r="L292" s="1685"/>
      <c r="M292" s="1685"/>
      <c r="N292" s="1685"/>
      <c r="O292" s="1685"/>
      <c r="P292" s="1686"/>
      <c r="Q292" s="1686"/>
      <c r="R292" s="1686"/>
      <c r="S292" s="1686"/>
      <c r="T292" s="1686"/>
      <c r="U292" s="1686"/>
      <c r="V292" s="1686"/>
      <c r="W292" s="1686"/>
      <c r="X292" s="1686"/>
      <c r="Y292" s="1686"/>
      <c r="Z292" s="1686"/>
      <c r="AA292" s="1686"/>
      <c r="AB292" s="1686"/>
      <c r="AC292" s="1686"/>
      <c r="AD292" s="1686"/>
      <c r="AE292" s="1686"/>
      <c r="AF292" s="1686"/>
      <c r="AG292" s="1686"/>
      <c r="AH292" s="1466"/>
      <c r="AI292" s="919">
        <f t="shared" si="29"/>
        <v>0</v>
      </c>
      <c r="AJ292" s="1684">
        <v>44.196433134214985</v>
      </c>
      <c r="AK292" s="1117">
        <f t="shared" si="30"/>
        <v>0</v>
      </c>
      <c r="AL292" s="1689" t="s">
        <v>79</v>
      </c>
      <c r="AM292" s="918"/>
      <c r="AN292" s="892"/>
      <c r="AO292" s="892"/>
    </row>
    <row r="293" spans="1:41" ht="54" customHeight="1">
      <c r="A293" s="1704">
        <v>273</v>
      </c>
      <c r="B293" s="1704">
        <v>47</v>
      </c>
      <c r="C293" s="918" t="str">
        <f>'Chấm công KT'!C286</f>
        <v>N. Keo Khăm</v>
      </c>
      <c r="D293" s="1685"/>
      <c r="E293" s="1685"/>
      <c r="F293" s="1685"/>
      <c r="G293" s="1685"/>
      <c r="H293" s="1685"/>
      <c r="I293" s="1685"/>
      <c r="J293" s="1685"/>
      <c r="K293" s="1685"/>
      <c r="L293" s="1685"/>
      <c r="M293" s="1685"/>
      <c r="N293" s="1685"/>
      <c r="O293" s="1685"/>
      <c r="P293" s="1686"/>
      <c r="Q293" s="1686"/>
      <c r="R293" s="1686"/>
      <c r="S293" s="1686"/>
      <c r="T293" s="1686"/>
      <c r="U293" s="1686"/>
      <c r="V293" s="1686"/>
      <c r="W293" s="1686"/>
      <c r="X293" s="1686"/>
      <c r="Y293" s="1686"/>
      <c r="Z293" s="1686"/>
      <c r="AA293" s="1686"/>
      <c r="AB293" s="1686"/>
      <c r="AC293" s="1686"/>
      <c r="AD293" s="1686"/>
      <c r="AE293" s="1686"/>
      <c r="AF293" s="1686"/>
      <c r="AG293" s="1686"/>
      <c r="AH293" s="1466"/>
      <c r="AI293" s="919">
        <f t="shared" si="29"/>
        <v>0</v>
      </c>
      <c r="AJ293" s="1684">
        <v>44.196433134214985</v>
      </c>
      <c r="AK293" s="1117">
        <f t="shared" si="30"/>
        <v>0</v>
      </c>
      <c r="AL293" s="1689" t="s">
        <v>79</v>
      </c>
      <c r="AM293" s="918"/>
      <c r="AN293" s="892"/>
      <c r="AO293" s="892"/>
    </row>
    <row r="294" spans="1:41" ht="54" customHeight="1">
      <c r="A294" s="1704">
        <v>274</v>
      </c>
      <c r="B294" s="1704">
        <v>48</v>
      </c>
      <c r="C294" s="918" t="str">
        <f>'Chấm công KT'!C287</f>
        <v>T. Choi</v>
      </c>
      <c r="D294" s="1685"/>
      <c r="E294" s="1685"/>
      <c r="F294" s="1685"/>
      <c r="G294" s="1685"/>
      <c r="H294" s="1685"/>
      <c r="I294" s="1685"/>
      <c r="J294" s="1685"/>
      <c r="K294" s="1685"/>
      <c r="L294" s="1685"/>
      <c r="M294" s="1685"/>
      <c r="N294" s="1685"/>
      <c r="O294" s="1685"/>
      <c r="P294" s="1686"/>
      <c r="Q294" s="1686"/>
      <c r="R294" s="1686"/>
      <c r="S294" s="1686"/>
      <c r="T294" s="1686"/>
      <c r="U294" s="1686"/>
      <c r="V294" s="1686"/>
      <c r="W294" s="1686"/>
      <c r="X294" s="1686"/>
      <c r="Y294" s="1686"/>
      <c r="Z294" s="1686"/>
      <c r="AA294" s="1686"/>
      <c r="AB294" s="1686"/>
      <c r="AC294" s="1686"/>
      <c r="AD294" s="1686"/>
      <c r="AE294" s="1686"/>
      <c r="AF294" s="1686"/>
      <c r="AG294" s="1686"/>
      <c r="AH294" s="1466"/>
      <c r="AI294" s="919">
        <f t="shared" si="29"/>
        <v>0</v>
      </c>
      <c r="AJ294" s="1684">
        <v>44.196433134214985</v>
      </c>
      <c r="AK294" s="1117">
        <f t="shared" si="30"/>
        <v>0</v>
      </c>
      <c r="AL294" s="1689" t="s">
        <v>54</v>
      </c>
      <c r="AM294" s="918"/>
      <c r="AN294" s="892"/>
      <c r="AO294" s="892"/>
    </row>
    <row r="295" spans="1:41" ht="54" customHeight="1">
      <c r="A295" s="1704">
        <v>275</v>
      </c>
      <c r="B295" s="1704">
        <v>49</v>
      </c>
      <c r="C295" s="918" t="str">
        <f>'Chấm công KT'!C288</f>
        <v>N. Phút</v>
      </c>
      <c r="D295" s="1685"/>
      <c r="E295" s="1685"/>
      <c r="F295" s="1685"/>
      <c r="G295" s="1685"/>
      <c r="H295" s="1685"/>
      <c r="I295" s="1685"/>
      <c r="J295" s="1685"/>
      <c r="K295" s="1685"/>
      <c r="L295" s="1685"/>
      <c r="M295" s="1685"/>
      <c r="N295" s="1685"/>
      <c r="O295" s="1685"/>
      <c r="P295" s="1686"/>
      <c r="Q295" s="1686"/>
      <c r="R295" s="1686"/>
      <c r="S295" s="1686"/>
      <c r="T295" s="1686"/>
      <c r="U295" s="1686"/>
      <c r="V295" s="1686"/>
      <c r="W295" s="1686"/>
      <c r="X295" s="1686"/>
      <c r="Y295" s="1686"/>
      <c r="Z295" s="1686"/>
      <c r="AA295" s="1686"/>
      <c r="AB295" s="1686"/>
      <c r="AC295" s="1686"/>
      <c r="AD295" s="1686"/>
      <c r="AE295" s="1686"/>
      <c r="AF295" s="1686"/>
      <c r="AG295" s="1686"/>
      <c r="AH295" s="1466"/>
      <c r="AI295" s="919">
        <f t="shared" si="29"/>
        <v>0</v>
      </c>
      <c r="AJ295" s="1684">
        <v>44.196433134214985</v>
      </c>
      <c r="AK295" s="1117">
        <f t="shared" si="30"/>
        <v>0</v>
      </c>
      <c r="AL295" s="1689" t="s">
        <v>54</v>
      </c>
      <c r="AM295" s="918"/>
      <c r="AN295" s="892"/>
      <c r="AO295" s="892"/>
    </row>
    <row r="296" spans="1:41" ht="54" customHeight="1">
      <c r="A296" s="1704">
        <v>276</v>
      </c>
      <c r="B296" s="1704">
        <v>50</v>
      </c>
      <c r="C296" s="918" t="str">
        <f>'Chấm công KT'!C289</f>
        <v>Vông Chăn</v>
      </c>
      <c r="D296" s="1685"/>
      <c r="E296" s="1685"/>
      <c r="F296" s="1685"/>
      <c r="G296" s="1685"/>
      <c r="H296" s="1685"/>
      <c r="I296" s="1685"/>
      <c r="J296" s="1685"/>
      <c r="K296" s="1685"/>
      <c r="L296" s="1685"/>
      <c r="M296" s="1685"/>
      <c r="N296" s="1685"/>
      <c r="O296" s="1685"/>
      <c r="P296" s="1686"/>
      <c r="Q296" s="1686"/>
      <c r="R296" s="1686"/>
      <c r="S296" s="1686"/>
      <c r="T296" s="1686"/>
      <c r="U296" s="1686"/>
      <c r="V296" s="1686"/>
      <c r="W296" s="1686"/>
      <c r="X296" s="1686"/>
      <c r="Y296" s="1686"/>
      <c r="Z296" s="1686"/>
      <c r="AA296" s="1686"/>
      <c r="AB296" s="1686"/>
      <c r="AC296" s="1686"/>
      <c r="AD296" s="1686"/>
      <c r="AE296" s="1686"/>
      <c r="AF296" s="1686"/>
      <c r="AG296" s="1686"/>
      <c r="AH296" s="1466"/>
      <c r="AI296" s="919">
        <f t="shared" si="29"/>
        <v>0</v>
      </c>
      <c r="AJ296" s="1684">
        <v>44.196433134214985</v>
      </c>
      <c r="AK296" s="1117">
        <f t="shared" si="30"/>
        <v>0</v>
      </c>
      <c r="AL296" s="1689" t="s">
        <v>79</v>
      </c>
      <c r="AM296" s="918"/>
      <c r="AN296" s="892"/>
      <c r="AO296" s="892"/>
    </row>
    <row r="297" spans="1:41" ht="54" customHeight="1">
      <c r="A297" s="1704">
        <v>277</v>
      </c>
      <c r="B297" s="1704">
        <v>51</v>
      </c>
      <c r="C297" s="918" t="str">
        <f>'Chấm công KT'!C290</f>
        <v>T. Mựt</v>
      </c>
      <c r="D297" s="1685"/>
      <c r="E297" s="1685"/>
      <c r="F297" s="1685"/>
      <c r="G297" s="1685"/>
      <c r="H297" s="1685"/>
      <c r="I297" s="1685"/>
      <c r="J297" s="1685"/>
      <c r="K297" s="1685"/>
      <c r="L297" s="1685"/>
      <c r="M297" s="1685"/>
      <c r="N297" s="1685"/>
      <c r="O297" s="1685"/>
      <c r="P297" s="1686"/>
      <c r="Q297" s="1686"/>
      <c r="R297" s="1686"/>
      <c r="S297" s="1686"/>
      <c r="T297" s="1686"/>
      <c r="U297" s="1686"/>
      <c r="V297" s="1686"/>
      <c r="W297" s="1686"/>
      <c r="X297" s="1686"/>
      <c r="Y297" s="1686"/>
      <c r="Z297" s="1686"/>
      <c r="AA297" s="1686"/>
      <c r="AB297" s="1686"/>
      <c r="AC297" s="1686"/>
      <c r="AD297" s="1686"/>
      <c r="AE297" s="1686"/>
      <c r="AF297" s="1686"/>
      <c r="AG297" s="1686"/>
      <c r="AH297" s="1466"/>
      <c r="AI297" s="919">
        <f t="shared" si="29"/>
        <v>0</v>
      </c>
      <c r="AJ297" s="1684">
        <v>44.196433134214985</v>
      </c>
      <c r="AK297" s="1117">
        <f t="shared" si="30"/>
        <v>0</v>
      </c>
      <c r="AL297" s="1690" t="s">
        <v>79</v>
      </c>
      <c r="AM297" s="918"/>
      <c r="AN297" s="892"/>
      <c r="AO297" s="892"/>
    </row>
    <row r="298" spans="1:41" ht="54" customHeight="1">
      <c r="A298" s="1704">
        <v>278</v>
      </c>
      <c r="B298" s="1704">
        <v>52</v>
      </c>
      <c r="C298" s="918" t="str">
        <f>'Chấm công KT'!C291</f>
        <v>Bun Lôm</v>
      </c>
      <c r="D298" s="1685"/>
      <c r="E298" s="1685"/>
      <c r="F298" s="1685"/>
      <c r="G298" s="1685"/>
      <c r="H298" s="1685"/>
      <c r="I298" s="1685"/>
      <c r="J298" s="1685"/>
      <c r="K298" s="1685"/>
      <c r="L298" s="1685"/>
      <c r="M298" s="1685"/>
      <c r="N298" s="1685"/>
      <c r="O298" s="1685"/>
      <c r="P298" s="1686"/>
      <c r="Q298" s="1686"/>
      <c r="R298" s="1686"/>
      <c r="S298" s="1686"/>
      <c r="T298" s="1686"/>
      <c r="U298" s="1686"/>
      <c r="V298" s="1686"/>
      <c r="W298" s="1686"/>
      <c r="X298" s="1686"/>
      <c r="Y298" s="1686"/>
      <c r="Z298" s="1686"/>
      <c r="AA298" s="1686"/>
      <c r="AB298" s="1686"/>
      <c r="AC298" s="1686"/>
      <c r="AD298" s="1686"/>
      <c r="AE298" s="1686"/>
      <c r="AF298" s="1686"/>
      <c r="AG298" s="1686"/>
      <c r="AH298" s="1466"/>
      <c r="AI298" s="919">
        <f t="shared" si="29"/>
        <v>0</v>
      </c>
      <c r="AJ298" s="1684">
        <v>44.196433134214985</v>
      </c>
      <c r="AK298" s="1117">
        <f t="shared" si="30"/>
        <v>0</v>
      </c>
      <c r="AL298" s="1679" t="s">
        <v>889</v>
      </c>
      <c r="AM298" s="918"/>
      <c r="AN298" s="892"/>
      <c r="AO298" s="892"/>
    </row>
    <row r="299" spans="1:41" ht="54" customHeight="1">
      <c r="A299" s="1704">
        <v>279</v>
      </c>
      <c r="B299" s="1704">
        <v>53</v>
      </c>
      <c r="C299" s="918" t="str">
        <f>'Chấm công KT'!C292</f>
        <v>T. Nhã</v>
      </c>
      <c r="D299" s="1685"/>
      <c r="E299" s="1685"/>
      <c r="F299" s="1685"/>
      <c r="G299" s="1685"/>
      <c r="H299" s="1685"/>
      <c r="I299" s="1685"/>
      <c r="J299" s="1685"/>
      <c r="K299" s="1685"/>
      <c r="L299" s="1685"/>
      <c r="M299" s="1685"/>
      <c r="N299" s="1685"/>
      <c r="O299" s="1685"/>
      <c r="P299" s="1686"/>
      <c r="Q299" s="1686"/>
      <c r="R299" s="1686"/>
      <c r="S299" s="1686"/>
      <c r="T299" s="1686"/>
      <c r="U299" s="1686"/>
      <c r="V299" s="1686"/>
      <c r="W299" s="1686"/>
      <c r="X299" s="1686"/>
      <c r="Y299" s="1686"/>
      <c r="Z299" s="1686"/>
      <c r="AA299" s="1686"/>
      <c r="AB299" s="1686"/>
      <c r="AC299" s="1686"/>
      <c r="AD299" s="1686"/>
      <c r="AE299" s="1686"/>
      <c r="AF299" s="1686"/>
      <c r="AG299" s="1686"/>
      <c r="AH299" s="1466"/>
      <c r="AI299" s="919">
        <f t="shared" si="29"/>
        <v>0</v>
      </c>
      <c r="AJ299" s="1684">
        <v>44.196433134214985</v>
      </c>
      <c r="AK299" s="1117">
        <f t="shared" si="30"/>
        <v>0</v>
      </c>
      <c r="AL299" s="1679" t="s">
        <v>889</v>
      </c>
      <c r="AM299" s="918"/>
      <c r="AN299" s="892"/>
      <c r="AO299" s="892"/>
    </row>
    <row r="300" spans="1:41" ht="54" customHeight="1">
      <c r="A300" s="1704">
        <v>280</v>
      </c>
      <c r="B300" s="1704">
        <v>54</v>
      </c>
      <c r="C300" s="918" t="str">
        <f>'Chấm công KT'!C293</f>
        <v>Thảo Ỉa</v>
      </c>
      <c r="D300" s="1685"/>
      <c r="E300" s="1685"/>
      <c r="F300" s="1685"/>
      <c r="G300" s="1685"/>
      <c r="H300" s="1685"/>
      <c r="I300" s="1685"/>
      <c r="J300" s="1685"/>
      <c r="K300" s="1685"/>
      <c r="L300" s="1685"/>
      <c r="M300" s="1685"/>
      <c r="N300" s="1685"/>
      <c r="O300" s="1685"/>
      <c r="P300" s="1686"/>
      <c r="Q300" s="1686"/>
      <c r="R300" s="1686"/>
      <c r="S300" s="1686"/>
      <c r="T300" s="1686"/>
      <c r="U300" s="1686"/>
      <c r="V300" s="1686"/>
      <c r="W300" s="1686"/>
      <c r="X300" s="1686"/>
      <c r="Y300" s="1686"/>
      <c r="Z300" s="1686"/>
      <c r="AA300" s="1686"/>
      <c r="AB300" s="1686"/>
      <c r="AC300" s="1686"/>
      <c r="AD300" s="1686"/>
      <c r="AE300" s="1686"/>
      <c r="AF300" s="1686"/>
      <c r="AG300" s="1686"/>
      <c r="AH300" s="1466"/>
      <c r="AI300" s="919">
        <f t="shared" si="29"/>
        <v>0</v>
      </c>
      <c r="AJ300" s="1684">
        <v>44.196433134214985</v>
      </c>
      <c r="AK300" s="1117">
        <f t="shared" si="30"/>
        <v>0</v>
      </c>
      <c r="AL300" s="1101" t="s">
        <v>802</v>
      </c>
      <c r="AM300" s="918"/>
      <c r="AN300" s="892"/>
      <c r="AO300" s="892"/>
    </row>
    <row r="301" spans="1:41" ht="54" customHeight="1">
      <c r="A301" s="1704">
        <v>281</v>
      </c>
      <c r="B301" s="1704">
        <v>55</v>
      </c>
      <c r="C301" s="918" t="str">
        <f>'Chấm công KT'!C294</f>
        <v>Thảo Khăm</v>
      </c>
      <c r="D301" s="1685"/>
      <c r="E301" s="1685"/>
      <c r="F301" s="1685"/>
      <c r="G301" s="1685"/>
      <c r="H301" s="1685"/>
      <c r="I301" s="1685"/>
      <c r="J301" s="1685"/>
      <c r="K301" s="1685"/>
      <c r="L301" s="1685"/>
      <c r="M301" s="1685"/>
      <c r="N301" s="1685"/>
      <c r="O301" s="1685"/>
      <c r="P301" s="1686"/>
      <c r="Q301" s="1686"/>
      <c r="R301" s="1686"/>
      <c r="S301" s="1686"/>
      <c r="T301" s="1686"/>
      <c r="U301" s="1686"/>
      <c r="V301" s="1686"/>
      <c r="W301" s="1686"/>
      <c r="X301" s="1686"/>
      <c r="Y301" s="1686"/>
      <c r="Z301" s="1686"/>
      <c r="AA301" s="1686"/>
      <c r="AB301" s="1686"/>
      <c r="AC301" s="1686"/>
      <c r="AD301" s="1686"/>
      <c r="AE301" s="1686"/>
      <c r="AF301" s="1686"/>
      <c r="AG301" s="1686"/>
      <c r="AH301" s="1466"/>
      <c r="AI301" s="919">
        <f t="shared" si="29"/>
        <v>0</v>
      </c>
      <c r="AJ301" s="1684">
        <v>44.196433134214985</v>
      </c>
      <c r="AK301" s="1117">
        <f t="shared" si="30"/>
        <v>0</v>
      </c>
      <c r="AL301" s="1101" t="s">
        <v>802</v>
      </c>
      <c r="AM301" s="918"/>
      <c r="AN301" s="892"/>
      <c r="AO301" s="892"/>
    </row>
    <row r="302" spans="1:41" ht="54" customHeight="1">
      <c r="A302" s="1704">
        <v>282</v>
      </c>
      <c r="B302" s="1704">
        <v>56</v>
      </c>
      <c r="C302" s="918" t="str">
        <f>'Chấm công KT'!C295</f>
        <v>Nàng Muôn</v>
      </c>
      <c r="D302" s="1685"/>
      <c r="E302" s="1685"/>
      <c r="F302" s="1685"/>
      <c r="G302" s="1685"/>
      <c r="H302" s="1685"/>
      <c r="I302" s="1685"/>
      <c r="J302" s="1685"/>
      <c r="K302" s="1685"/>
      <c r="L302" s="1685"/>
      <c r="M302" s="1685"/>
      <c r="N302" s="1685"/>
      <c r="O302" s="1685"/>
      <c r="P302" s="1686"/>
      <c r="Q302" s="1686"/>
      <c r="R302" s="1686"/>
      <c r="S302" s="1686"/>
      <c r="T302" s="1686"/>
      <c r="U302" s="1686"/>
      <c r="V302" s="1686"/>
      <c r="W302" s="1686"/>
      <c r="X302" s="1686"/>
      <c r="Y302" s="1686"/>
      <c r="Z302" s="1686"/>
      <c r="AA302" s="1686"/>
      <c r="AB302" s="1686"/>
      <c r="AC302" s="1686"/>
      <c r="AD302" s="1686"/>
      <c r="AE302" s="1686"/>
      <c r="AF302" s="1686"/>
      <c r="AG302" s="1686"/>
      <c r="AH302" s="1466"/>
      <c r="AI302" s="919">
        <f t="shared" si="29"/>
        <v>0</v>
      </c>
      <c r="AJ302" s="1684">
        <v>44.196433134214985</v>
      </c>
      <c r="AK302" s="1117">
        <f t="shared" si="30"/>
        <v>0</v>
      </c>
      <c r="AL302" s="1101" t="s">
        <v>802</v>
      </c>
      <c r="AM302" s="918"/>
      <c r="AN302" s="892"/>
      <c r="AO302" s="892"/>
    </row>
    <row r="303" spans="1:41" ht="54" customHeight="1">
      <c r="A303" s="1704">
        <v>283</v>
      </c>
      <c r="B303" s="1704">
        <v>57</v>
      </c>
      <c r="C303" s="918" t="str">
        <f>'Chấm công KT'!C296</f>
        <v>Thảo Phu</v>
      </c>
      <c r="D303" s="1685"/>
      <c r="E303" s="1685"/>
      <c r="F303" s="1685"/>
      <c r="G303" s="1685"/>
      <c r="H303" s="1685"/>
      <c r="I303" s="1685"/>
      <c r="J303" s="1685"/>
      <c r="K303" s="1685"/>
      <c r="L303" s="1685"/>
      <c r="M303" s="1685"/>
      <c r="N303" s="1685"/>
      <c r="O303" s="1685"/>
      <c r="P303" s="1686"/>
      <c r="Q303" s="1686"/>
      <c r="R303" s="1686"/>
      <c r="S303" s="1686"/>
      <c r="T303" s="1686"/>
      <c r="U303" s="1686"/>
      <c r="V303" s="1686"/>
      <c r="W303" s="1686"/>
      <c r="X303" s="1686"/>
      <c r="Y303" s="1686"/>
      <c r="Z303" s="1686"/>
      <c r="AA303" s="1686"/>
      <c r="AB303" s="1686"/>
      <c r="AC303" s="1686"/>
      <c r="AD303" s="1686"/>
      <c r="AE303" s="1686"/>
      <c r="AF303" s="1686"/>
      <c r="AG303" s="1686"/>
      <c r="AH303" s="1466"/>
      <c r="AI303" s="919">
        <f t="shared" si="29"/>
        <v>0</v>
      </c>
      <c r="AJ303" s="1684">
        <v>44.196433134214985</v>
      </c>
      <c r="AK303" s="1117">
        <f t="shared" si="30"/>
        <v>0</v>
      </c>
      <c r="AL303" s="1101" t="s">
        <v>802</v>
      </c>
      <c r="AM303" s="918"/>
      <c r="AN303" s="892"/>
      <c r="AO303" s="892"/>
    </row>
    <row r="304" spans="1:41" ht="54" customHeight="1">
      <c r="A304" s="1704">
        <v>284</v>
      </c>
      <c r="B304" s="1704">
        <v>58</v>
      </c>
      <c r="C304" s="918" t="str">
        <f>'Chấm công KT'!C297</f>
        <v>Thảo Xi</v>
      </c>
      <c r="D304" s="1685"/>
      <c r="E304" s="1685"/>
      <c r="F304" s="1685"/>
      <c r="G304" s="1685"/>
      <c r="H304" s="1685"/>
      <c r="I304" s="1685"/>
      <c r="J304" s="1685"/>
      <c r="K304" s="1685"/>
      <c r="L304" s="1685"/>
      <c r="M304" s="1685"/>
      <c r="N304" s="1685"/>
      <c r="O304" s="1685"/>
      <c r="P304" s="1686"/>
      <c r="Q304" s="1686"/>
      <c r="R304" s="1686"/>
      <c r="S304" s="1686"/>
      <c r="T304" s="1686"/>
      <c r="U304" s="1686"/>
      <c r="V304" s="1686"/>
      <c r="W304" s="1686"/>
      <c r="X304" s="1686"/>
      <c r="Y304" s="1686"/>
      <c r="Z304" s="1686"/>
      <c r="AA304" s="1686"/>
      <c r="AB304" s="1686"/>
      <c r="AC304" s="1686"/>
      <c r="AD304" s="1686"/>
      <c r="AE304" s="1686"/>
      <c r="AF304" s="1686"/>
      <c r="AG304" s="1686"/>
      <c r="AH304" s="1466"/>
      <c r="AI304" s="919">
        <f t="shared" si="29"/>
        <v>0</v>
      </c>
      <c r="AJ304" s="1684">
        <v>44.196433134214985</v>
      </c>
      <c r="AK304" s="1117">
        <f t="shared" si="30"/>
        <v>0</v>
      </c>
      <c r="AL304" s="1101" t="s">
        <v>802</v>
      </c>
      <c r="AM304" s="918"/>
      <c r="AN304" s="892"/>
      <c r="AO304" s="892"/>
    </row>
    <row r="305" spans="1:41" ht="54" customHeight="1">
      <c r="A305" s="1704">
        <v>285</v>
      </c>
      <c r="B305" s="1704">
        <v>59</v>
      </c>
      <c r="C305" s="918" t="str">
        <f>'Chấm công KT'!C298</f>
        <v>Thảo KaLy</v>
      </c>
      <c r="D305" s="1685"/>
      <c r="E305" s="1685"/>
      <c r="F305" s="1685"/>
      <c r="G305" s="1685"/>
      <c r="H305" s="1685"/>
      <c r="I305" s="1685"/>
      <c r="J305" s="1685"/>
      <c r="K305" s="1685"/>
      <c r="L305" s="1685"/>
      <c r="M305" s="1685"/>
      <c r="N305" s="1685"/>
      <c r="O305" s="1685"/>
      <c r="P305" s="1686"/>
      <c r="Q305" s="1686"/>
      <c r="R305" s="1686"/>
      <c r="S305" s="1686"/>
      <c r="T305" s="1686"/>
      <c r="U305" s="1686"/>
      <c r="V305" s="1686"/>
      <c r="W305" s="1686"/>
      <c r="X305" s="1686"/>
      <c r="Y305" s="1686"/>
      <c r="Z305" s="1686"/>
      <c r="AA305" s="1686"/>
      <c r="AB305" s="1686"/>
      <c r="AC305" s="1686"/>
      <c r="AD305" s="1686"/>
      <c r="AE305" s="1686"/>
      <c r="AF305" s="1686"/>
      <c r="AG305" s="1686"/>
      <c r="AH305" s="1466"/>
      <c r="AI305" s="919">
        <f t="shared" si="29"/>
        <v>0</v>
      </c>
      <c r="AJ305" s="1684">
        <v>44.196433134214985</v>
      </c>
      <c r="AK305" s="1117">
        <f t="shared" si="30"/>
        <v>0</v>
      </c>
      <c r="AL305" s="1101" t="s">
        <v>802</v>
      </c>
      <c r="AM305" s="918"/>
      <c r="AN305" s="892"/>
      <c r="AO305" s="892"/>
    </row>
    <row r="306" spans="1:41" ht="54" customHeight="1">
      <c r="A306" s="1704">
        <v>286</v>
      </c>
      <c r="B306" s="1704">
        <v>60</v>
      </c>
      <c r="C306" s="918" t="str">
        <f>'Chấm công KT'!C299</f>
        <v>Thảo Lơn</v>
      </c>
      <c r="D306" s="1685"/>
      <c r="E306" s="1685"/>
      <c r="F306" s="1685"/>
      <c r="G306" s="1685"/>
      <c r="H306" s="1685"/>
      <c r="I306" s="1685"/>
      <c r="J306" s="1685"/>
      <c r="K306" s="1685"/>
      <c r="L306" s="1685"/>
      <c r="M306" s="1685"/>
      <c r="N306" s="1685"/>
      <c r="O306" s="1685"/>
      <c r="P306" s="1686"/>
      <c r="Q306" s="1686"/>
      <c r="R306" s="1686"/>
      <c r="S306" s="1686"/>
      <c r="T306" s="1686"/>
      <c r="U306" s="1686"/>
      <c r="V306" s="1686"/>
      <c r="W306" s="1686"/>
      <c r="X306" s="1686"/>
      <c r="Y306" s="1686"/>
      <c r="Z306" s="1686"/>
      <c r="AA306" s="1686"/>
      <c r="AB306" s="1686"/>
      <c r="AC306" s="1686"/>
      <c r="AD306" s="1686"/>
      <c r="AE306" s="1686"/>
      <c r="AF306" s="1686"/>
      <c r="AG306" s="1686"/>
      <c r="AH306" s="1466"/>
      <c r="AI306" s="919">
        <f t="shared" si="29"/>
        <v>0</v>
      </c>
      <c r="AJ306" s="1684">
        <v>44.196433134214985</v>
      </c>
      <c r="AK306" s="1117">
        <f t="shared" si="30"/>
        <v>0</v>
      </c>
      <c r="AL306" s="1101" t="s">
        <v>802</v>
      </c>
      <c r="AM306" s="918"/>
      <c r="AN306" s="892"/>
      <c r="AO306" s="892"/>
    </row>
    <row r="307" spans="1:41" ht="54" customHeight="1">
      <c r="A307" s="1704">
        <v>287</v>
      </c>
      <c r="B307" s="1704">
        <v>61</v>
      </c>
      <c r="C307" s="918" t="str">
        <f>'Chấm công KT'!C300</f>
        <v>Thảo Hung</v>
      </c>
      <c r="D307" s="1685"/>
      <c r="E307" s="1685"/>
      <c r="F307" s="1685"/>
      <c r="G307" s="1685"/>
      <c r="H307" s="1685"/>
      <c r="I307" s="1685"/>
      <c r="J307" s="1685"/>
      <c r="K307" s="1685"/>
      <c r="L307" s="1685"/>
      <c r="M307" s="1685"/>
      <c r="N307" s="1685"/>
      <c r="O307" s="1685"/>
      <c r="P307" s="1686"/>
      <c r="Q307" s="1686"/>
      <c r="R307" s="1686"/>
      <c r="S307" s="1686"/>
      <c r="T307" s="1686"/>
      <c r="U307" s="1686"/>
      <c r="V307" s="1686"/>
      <c r="W307" s="1686"/>
      <c r="X307" s="1686"/>
      <c r="Y307" s="1686"/>
      <c r="Z307" s="1686"/>
      <c r="AA307" s="1686"/>
      <c r="AB307" s="1686"/>
      <c r="AC307" s="1686"/>
      <c r="AD307" s="1686"/>
      <c r="AE307" s="1686"/>
      <c r="AF307" s="1686"/>
      <c r="AG307" s="1686"/>
      <c r="AH307" s="1466"/>
      <c r="AI307" s="919">
        <f t="shared" si="29"/>
        <v>0</v>
      </c>
      <c r="AJ307" s="1684">
        <v>44.196433134214985</v>
      </c>
      <c r="AK307" s="1117">
        <f t="shared" si="30"/>
        <v>0</v>
      </c>
      <c r="AL307" s="1101" t="s">
        <v>802</v>
      </c>
      <c r="AM307" s="918"/>
      <c r="AN307" s="892"/>
      <c r="AO307" s="892"/>
    </row>
    <row r="308" spans="1:41" ht="54" customHeight="1">
      <c r="A308" s="1704">
        <v>288</v>
      </c>
      <c r="B308" s="1704">
        <v>62</v>
      </c>
      <c r="C308" s="918" t="str">
        <f>'Chấm công KT'!C301</f>
        <v>Thảo Khẹt</v>
      </c>
      <c r="D308" s="1465"/>
      <c r="E308" s="1466"/>
      <c r="F308" s="1466"/>
      <c r="G308" s="1466"/>
      <c r="H308" s="1466"/>
      <c r="I308" s="1466"/>
      <c r="J308" s="1466"/>
      <c r="K308" s="1466"/>
      <c r="L308" s="1466"/>
      <c r="M308" s="1466"/>
      <c r="N308" s="1466"/>
      <c r="O308" s="1466"/>
      <c r="P308" s="1466"/>
      <c r="Q308" s="1466"/>
      <c r="R308" s="1466"/>
      <c r="S308" s="1466"/>
      <c r="T308" s="1466"/>
      <c r="U308" s="1466"/>
      <c r="V308" s="1466"/>
      <c r="W308" s="1466"/>
      <c r="X308" s="1466"/>
      <c r="Y308" s="1466"/>
      <c r="Z308" s="1466"/>
      <c r="AA308" s="1466"/>
      <c r="AB308" s="1466"/>
      <c r="AC308" s="1466"/>
      <c r="AD308" s="1466"/>
      <c r="AE308" s="1466"/>
      <c r="AF308" s="1466"/>
      <c r="AG308" s="1465"/>
      <c r="AH308" s="1466"/>
      <c r="AI308" s="919">
        <f t="shared" si="29"/>
        <v>0</v>
      </c>
      <c r="AJ308" s="1684">
        <v>44.196433134214985</v>
      </c>
      <c r="AK308" s="1117">
        <f t="shared" si="30"/>
        <v>0</v>
      </c>
      <c r="AL308" s="1101" t="s">
        <v>802</v>
      </c>
      <c r="AM308" s="918"/>
      <c r="AN308" s="892"/>
      <c r="AO308" s="892"/>
    </row>
    <row r="309" spans="1:41" ht="54" customHeight="1">
      <c r="A309" s="1704">
        <v>289</v>
      </c>
      <c r="B309" s="1704">
        <v>63</v>
      </c>
      <c r="C309" s="918" t="str">
        <f>'Chấm công KT'!C302</f>
        <v>Thảo Dung</v>
      </c>
      <c r="D309" s="1465"/>
      <c r="E309" s="1466"/>
      <c r="F309" s="1466"/>
      <c r="G309" s="1466"/>
      <c r="H309" s="1466"/>
      <c r="I309" s="1466"/>
      <c r="J309" s="1466"/>
      <c r="K309" s="1466"/>
      <c r="L309" s="1466"/>
      <c r="M309" s="1466"/>
      <c r="N309" s="1466"/>
      <c r="O309" s="1466"/>
      <c r="P309" s="1466"/>
      <c r="Q309" s="1466"/>
      <c r="R309" s="1466"/>
      <c r="S309" s="1466"/>
      <c r="T309" s="1466"/>
      <c r="U309" s="1466"/>
      <c r="V309" s="1466"/>
      <c r="W309" s="1466"/>
      <c r="X309" s="1466"/>
      <c r="Y309" s="1466"/>
      <c r="Z309" s="1466"/>
      <c r="AA309" s="1466"/>
      <c r="AB309" s="1466"/>
      <c r="AC309" s="1466"/>
      <c r="AD309" s="1466"/>
      <c r="AE309" s="1466"/>
      <c r="AF309" s="1466"/>
      <c r="AG309" s="1465"/>
      <c r="AH309" s="1466"/>
      <c r="AI309" s="919">
        <f t="shared" si="29"/>
        <v>0</v>
      </c>
      <c r="AJ309" s="1684">
        <v>44.196433134214985</v>
      </c>
      <c r="AK309" s="1117">
        <f t="shared" si="30"/>
        <v>0</v>
      </c>
      <c r="AL309" s="1101" t="s">
        <v>802</v>
      </c>
      <c r="AM309" s="918"/>
      <c r="AN309" s="892"/>
      <c r="AO309" s="892"/>
    </row>
    <row r="310" spans="1:41" ht="54" customHeight="1">
      <c r="A310" s="1704">
        <v>290</v>
      </c>
      <c r="B310" s="1704">
        <v>64</v>
      </c>
      <c r="C310" s="918" t="str">
        <f>'Chấm công KT'!C303</f>
        <v>Thảo Kính</v>
      </c>
      <c r="D310" s="1465"/>
      <c r="E310" s="1466"/>
      <c r="F310" s="1466"/>
      <c r="G310" s="1466"/>
      <c r="H310" s="1466"/>
      <c r="I310" s="1466"/>
      <c r="J310" s="1466"/>
      <c r="K310" s="1466"/>
      <c r="L310" s="1466"/>
      <c r="M310" s="1466"/>
      <c r="N310" s="1466"/>
      <c r="O310" s="1466"/>
      <c r="P310" s="1466"/>
      <c r="Q310" s="1466"/>
      <c r="R310" s="1466"/>
      <c r="S310" s="1466"/>
      <c r="T310" s="1466"/>
      <c r="U310" s="1466"/>
      <c r="V310" s="1466"/>
      <c r="W310" s="1466"/>
      <c r="X310" s="1466"/>
      <c r="Y310" s="1466"/>
      <c r="Z310" s="1466"/>
      <c r="AA310" s="1466"/>
      <c r="AB310" s="1466"/>
      <c r="AC310" s="1466"/>
      <c r="AD310" s="1466"/>
      <c r="AE310" s="1466"/>
      <c r="AF310" s="1466"/>
      <c r="AG310" s="1465"/>
      <c r="AH310" s="1466"/>
      <c r="AI310" s="919">
        <f t="shared" si="29"/>
        <v>0</v>
      </c>
      <c r="AJ310" s="1684">
        <v>44.196433134214985</v>
      </c>
      <c r="AK310" s="1117">
        <f t="shared" si="30"/>
        <v>0</v>
      </c>
      <c r="AL310" s="1101" t="s">
        <v>802</v>
      </c>
      <c r="AM310" s="918"/>
      <c r="AN310" s="892"/>
      <c r="AO310" s="892"/>
    </row>
    <row r="311" spans="1:41" ht="54" customHeight="1">
      <c r="A311" s="1704">
        <v>291</v>
      </c>
      <c r="B311" s="1704">
        <v>65</v>
      </c>
      <c r="C311" s="918" t="str">
        <f>'Chấm công KT'!C304</f>
        <v>Thảo Ly</v>
      </c>
      <c r="D311" s="1465"/>
      <c r="E311" s="1466"/>
      <c r="F311" s="1466"/>
      <c r="G311" s="1466"/>
      <c r="H311" s="1466"/>
      <c r="I311" s="1466"/>
      <c r="J311" s="1466"/>
      <c r="K311" s="1466"/>
      <c r="L311" s="1466"/>
      <c r="M311" s="1466"/>
      <c r="N311" s="1466"/>
      <c r="O311" s="1466"/>
      <c r="P311" s="1466"/>
      <c r="Q311" s="1466"/>
      <c r="R311" s="1466"/>
      <c r="S311" s="1466"/>
      <c r="T311" s="1466"/>
      <c r="U311" s="1466"/>
      <c r="V311" s="1466"/>
      <c r="W311" s="1466"/>
      <c r="X311" s="1466"/>
      <c r="Y311" s="1466"/>
      <c r="Z311" s="1466"/>
      <c r="AA311" s="1466"/>
      <c r="AB311" s="1466"/>
      <c r="AC311" s="1466"/>
      <c r="AD311" s="1466"/>
      <c r="AE311" s="1466"/>
      <c r="AF311" s="1466"/>
      <c r="AG311" s="1465"/>
      <c r="AH311" s="1466"/>
      <c r="AI311" s="919">
        <f t="shared" si="29"/>
        <v>0</v>
      </c>
      <c r="AJ311" s="1684">
        <v>44.196433134214985</v>
      </c>
      <c r="AK311" s="1117">
        <f t="shared" ref="AK311:AK313" si="31">AI311*AJ311/100</f>
        <v>0</v>
      </c>
      <c r="AL311" s="1101" t="s">
        <v>802</v>
      </c>
      <c r="AM311" s="918"/>
      <c r="AN311" s="892"/>
      <c r="AO311" s="892"/>
    </row>
    <row r="312" spans="1:41" ht="54" customHeight="1">
      <c r="A312" s="1704">
        <v>292</v>
      </c>
      <c r="B312" s="1704">
        <v>66</v>
      </c>
      <c r="C312" s="918" t="str">
        <f>'Chấm công KT'!C305</f>
        <v>Thảo Linh</v>
      </c>
      <c r="D312" s="1465"/>
      <c r="E312" s="1466"/>
      <c r="F312" s="1466"/>
      <c r="G312" s="1466"/>
      <c r="H312" s="1466"/>
      <c r="I312" s="1466"/>
      <c r="J312" s="1466"/>
      <c r="K312" s="1466"/>
      <c r="L312" s="1466"/>
      <c r="M312" s="1466"/>
      <c r="N312" s="1466"/>
      <c r="O312" s="1466"/>
      <c r="P312" s="1466"/>
      <c r="Q312" s="1466"/>
      <c r="R312" s="1466"/>
      <c r="S312" s="1466"/>
      <c r="T312" s="1466"/>
      <c r="U312" s="1466"/>
      <c r="V312" s="1466"/>
      <c r="W312" s="1466"/>
      <c r="X312" s="1466"/>
      <c r="Y312" s="1466"/>
      <c r="Z312" s="1466"/>
      <c r="AA312" s="1466"/>
      <c r="AB312" s="1466"/>
      <c r="AC312" s="1466"/>
      <c r="AD312" s="1466"/>
      <c r="AE312" s="1466"/>
      <c r="AF312" s="1466"/>
      <c r="AG312" s="1465"/>
      <c r="AH312" s="1466"/>
      <c r="AI312" s="919">
        <f t="shared" ref="AI312:AI313" si="32">SUM(D312:AH312)</f>
        <v>0</v>
      </c>
      <c r="AJ312" s="1684">
        <v>44.196433134214985</v>
      </c>
      <c r="AK312" s="1117">
        <f t="shared" si="31"/>
        <v>0</v>
      </c>
      <c r="AL312" s="1101" t="s">
        <v>802</v>
      </c>
      <c r="AM312" s="918"/>
      <c r="AN312" s="892"/>
      <c r="AO312" s="892"/>
    </row>
    <row r="313" spans="1:41" ht="54" customHeight="1">
      <c r="A313" s="1704">
        <v>293</v>
      </c>
      <c r="B313" s="1704">
        <v>67</v>
      </c>
      <c r="C313" s="918" t="s">
        <v>1014</v>
      </c>
      <c r="D313" s="1465"/>
      <c r="E313" s="1466"/>
      <c r="F313" s="1466"/>
      <c r="G313" s="1466"/>
      <c r="H313" s="1466"/>
      <c r="I313" s="1466"/>
      <c r="J313" s="1466"/>
      <c r="K313" s="1466"/>
      <c r="L313" s="1466"/>
      <c r="M313" s="1466"/>
      <c r="N313" s="1466"/>
      <c r="O313" s="1466"/>
      <c r="P313" s="1466"/>
      <c r="Q313" s="1466"/>
      <c r="R313" s="1466"/>
      <c r="S313" s="1466"/>
      <c r="T313" s="1466"/>
      <c r="U313" s="1466"/>
      <c r="V313" s="1466"/>
      <c r="W313" s="1466"/>
      <c r="X313" s="1466"/>
      <c r="Y313" s="1466"/>
      <c r="Z313" s="1466"/>
      <c r="AA313" s="1466"/>
      <c r="AB313" s="1466"/>
      <c r="AC313" s="1466"/>
      <c r="AD313" s="1466"/>
      <c r="AE313" s="1466"/>
      <c r="AF313" s="1466"/>
      <c r="AG313" s="1465"/>
      <c r="AH313" s="1466"/>
      <c r="AI313" s="919">
        <f t="shared" si="32"/>
        <v>0</v>
      </c>
      <c r="AJ313" s="1684">
        <v>44.196433134214985</v>
      </c>
      <c r="AK313" s="1117">
        <f t="shared" si="31"/>
        <v>0</v>
      </c>
      <c r="AL313" s="1101" t="s">
        <v>802</v>
      </c>
      <c r="AM313" s="918"/>
      <c r="AN313" s="892"/>
      <c r="AO313" s="892"/>
    </row>
    <row r="314" spans="1:41" ht="54" customHeight="1">
      <c r="A314" s="1925" t="s">
        <v>256</v>
      </c>
      <c r="B314" s="1925"/>
      <c r="C314" s="1925"/>
      <c r="D314" s="920">
        <f t="shared" ref="D314:AI314" si="33">D14+D96+D182+D246</f>
        <v>0</v>
      </c>
      <c r="E314" s="920">
        <f t="shared" si="33"/>
        <v>0</v>
      </c>
      <c r="F314" s="920">
        <f t="shared" si="33"/>
        <v>0</v>
      </c>
      <c r="G314" s="920">
        <f t="shared" si="33"/>
        <v>0</v>
      </c>
      <c r="H314" s="920">
        <f t="shared" si="33"/>
        <v>0</v>
      </c>
      <c r="I314" s="920">
        <f t="shared" si="33"/>
        <v>0</v>
      </c>
      <c r="J314" s="920">
        <f t="shared" si="33"/>
        <v>0</v>
      </c>
      <c r="K314" s="920">
        <f t="shared" si="33"/>
        <v>0</v>
      </c>
      <c r="L314" s="920">
        <f t="shared" si="33"/>
        <v>0</v>
      </c>
      <c r="M314" s="920">
        <f t="shared" si="33"/>
        <v>0</v>
      </c>
      <c r="N314" s="920">
        <f t="shared" si="33"/>
        <v>0</v>
      </c>
      <c r="O314" s="920">
        <f t="shared" si="33"/>
        <v>0</v>
      </c>
      <c r="P314" s="920">
        <f t="shared" si="33"/>
        <v>0</v>
      </c>
      <c r="Q314" s="920">
        <f t="shared" si="33"/>
        <v>0</v>
      </c>
      <c r="R314" s="920">
        <f t="shared" si="33"/>
        <v>0</v>
      </c>
      <c r="S314" s="920">
        <f t="shared" si="33"/>
        <v>0</v>
      </c>
      <c r="T314" s="920">
        <f t="shared" si="33"/>
        <v>0</v>
      </c>
      <c r="U314" s="920">
        <f t="shared" si="33"/>
        <v>0</v>
      </c>
      <c r="V314" s="920">
        <f t="shared" si="33"/>
        <v>0</v>
      </c>
      <c r="W314" s="920">
        <f t="shared" si="33"/>
        <v>0</v>
      </c>
      <c r="X314" s="920">
        <f t="shared" si="33"/>
        <v>0</v>
      </c>
      <c r="Y314" s="920">
        <f t="shared" si="33"/>
        <v>0</v>
      </c>
      <c r="Z314" s="920">
        <f t="shared" si="33"/>
        <v>0</v>
      </c>
      <c r="AA314" s="920">
        <f t="shared" si="33"/>
        <v>0</v>
      </c>
      <c r="AB314" s="920">
        <f t="shared" si="33"/>
        <v>0</v>
      </c>
      <c r="AC314" s="920">
        <f t="shared" si="33"/>
        <v>0</v>
      </c>
      <c r="AD314" s="920">
        <f t="shared" si="33"/>
        <v>0</v>
      </c>
      <c r="AE314" s="920">
        <f t="shared" si="33"/>
        <v>0</v>
      </c>
      <c r="AF314" s="920">
        <f t="shared" si="33"/>
        <v>0</v>
      </c>
      <c r="AG314" s="920">
        <f t="shared" si="33"/>
        <v>0</v>
      </c>
      <c r="AH314" s="920">
        <f t="shared" si="33"/>
        <v>0</v>
      </c>
      <c r="AI314" s="920">
        <f t="shared" si="33"/>
        <v>0</v>
      </c>
      <c r="AJ314" s="920"/>
      <c r="AK314" s="920">
        <f>AK14+AK96+AK182+AK246</f>
        <v>0</v>
      </c>
      <c r="AL314" s="918"/>
      <c r="AM314" s="896"/>
      <c r="AN314" s="892"/>
      <c r="AO314" s="924">
        <f>SUM(AI300:AI305)</f>
        <v>0</v>
      </c>
    </row>
    <row r="315" spans="1:41" ht="41.25" customHeight="1">
      <c r="A315" s="921"/>
      <c r="B315" s="922"/>
      <c r="C315" s="922"/>
      <c r="D315" s="922"/>
      <c r="E315" s="922"/>
      <c r="F315" s="922"/>
      <c r="G315" s="922"/>
      <c r="H315" s="922"/>
      <c r="I315" s="922"/>
      <c r="J315" s="922"/>
      <c r="K315" s="922"/>
      <c r="L315" s="922"/>
      <c r="M315" s="922"/>
      <c r="N315" s="922"/>
      <c r="O315" s="922"/>
      <c r="P315" s="922"/>
      <c r="Q315" s="922"/>
      <c r="R315" s="922"/>
      <c r="S315" s="922"/>
      <c r="T315" s="922"/>
      <c r="U315" s="922"/>
      <c r="V315" s="922"/>
      <c r="W315" s="922"/>
      <c r="X315" s="922"/>
      <c r="Y315" s="921"/>
      <c r="Z315" s="921"/>
      <c r="AA315" s="921"/>
      <c r="AB315" s="921"/>
      <c r="AC315" s="921"/>
      <c r="AD315" s="921"/>
      <c r="AE315" s="921"/>
      <c r="AF315" s="921"/>
      <c r="AG315" s="921"/>
      <c r="AH315" s="921"/>
      <c r="AI315" s="921"/>
      <c r="AJ315" s="921"/>
      <c r="AK315" s="921"/>
      <c r="AL315" s="921"/>
      <c r="AM315" s="892"/>
      <c r="AN315" s="892"/>
      <c r="AO315" s="892"/>
    </row>
    <row r="316" spans="1:41" ht="41.25" customHeight="1">
      <c r="A316" s="1924" t="s">
        <v>11</v>
      </c>
      <c r="B316" s="1924"/>
      <c r="C316" s="1924"/>
      <c r="D316" s="1933" t="s">
        <v>790</v>
      </c>
      <c r="E316" s="1931"/>
      <c r="F316" s="1932"/>
      <c r="G316" s="1924" t="s">
        <v>792</v>
      </c>
      <c r="H316" s="1924"/>
      <c r="I316" s="1924"/>
      <c r="J316" s="1924"/>
      <c r="K316" s="1933" t="s">
        <v>798</v>
      </c>
      <c r="L316" s="1931"/>
      <c r="M316" s="1931"/>
      <c r="N316" s="1931"/>
      <c r="O316" s="1932"/>
      <c r="P316" s="1933" t="s">
        <v>799</v>
      </c>
      <c r="Q316" s="1931"/>
      <c r="R316" s="1931"/>
      <c r="S316" s="1931"/>
      <c r="T316" s="1932"/>
      <c r="U316" s="1944" t="s">
        <v>925</v>
      </c>
      <c r="V316" s="1945"/>
      <c r="W316" s="1945"/>
      <c r="X316" s="1945"/>
      <c r="Y316" s="1945"/>
      <c r="Z316" s="1945"/>
      <c r="AA316" s="1945"/>
      <c r="AB316" s="1946"/>
      <c r="AC316" s="1944" t="s">
        <v>926</v>
      </c>
      <c r="AD316" s="1945"/>
      <c r="AE316" s="1946"/>
      <c r="AF316" s="904"/>
      <c r="AG316" s="904"/>
      <c r="AH316" s="904"/>
      <c r="AI316" s="904"/>
      <c r="AJ316" s="1953"/>
      <c r="AK316" s="1953"/>
      <c r="AL316" s="921"/>
      <c r="AM316" s="892"/>
      <c r="AN316" s="892"/>
      <c r="AO316" s="924">
        <f>SUM(AO11:AO314)</f>
        <v>0</v>
      </c>
    </row>
    <row r="317" spans="1:41" ht="41.25" customHeight="1">
      <c r="A317" s="1489" t="s">
        <v>800</v>
      </c>
      <c r="B317" s="1490"/>
      <c r="C317" s="1490"/>
      <c r="D317" s="1931">
        <f>SUM(D318:F321)</f>
        <v>257</v>
      </c>
      <c r="E317" s="1931"/>
      <c r="F317" s="1932"/>
      <c r="G317" s="1933"/>
      <c r="H317" s="1931"/>
      <c r="I317" s="1931"/>
      <c r="J317" s="1932"/>
      <c r="K317" s="1938">
        <f>SUM(K318:O321)</f>
        <v>0</v>
      </c>
      <c r="L317" s="1939"/>
      <c r="M317" s="1939"/>
      <c r="N317" s="1939"/>
      <c r="O317" s="1940"/>
      <c r="P317" s="1938">
        <f>SUM(P318:T321)</f>
        <v>0</v>
      </c>
      <c r="Q317" s="1939"/>
      <c r="R317" s="1939"/>
      <c r="S317" s="1939"/>
      <c r="T317" s="1940"/>
      <c r="U317" s="1947" t="e">
        <f>SUM(U318:AB320)</f>
        <v>#DIV/0!</v>
      </c>
      <c r="V317" s="1948"/>
      <c r="W317" s="1948"/>
      <c r="X317" s="1948"/>
      <c r="Y317" s="1948"/>
      <c r="Z317" s="1948"/>
      <c r="AA317" s="1948"/>
      <c r="AB317" s="1948"/>
      <c r="AC317" s="1913"/>
      <c r="AD317" s="1914"/>
      <c r="AE317" s="1915"/>
      <c r="AF317" s="904"/>
      <c r="AG317" s="904"/>
      <c r="AH317" s="904"/>
      <c r="AI317" s="904"/>
      <c r="AJ317" s="904"/>
      <c r="AK317" s="904"/>
      <c r="AL317" s="921"/>
      <c r="AM317" s="892"/>
      <c r="AN317" s="892"/>
      <c r="AO317" s="892"/>
    </row>
    <row r="318" spans="1:41" ht="41.25" customHeight="1">
      <c r="A318" s="1923">
        <v>1</v>
      </c>
      <c r="B318" s="1923"/>
      <c r="C318" s="1923"/>
      <c r="D318" s="1923">
        <f>SUM(COUNTIF(AL14:AL305,"A"))</f>
        <v>144</v>
      </c>
      <c r="E318" s="1923"/>
      <c r="F318" s="1923"/>
      <c r="G318" s="1923" t="s">
        <v>54</v>
      </c>
      <c r="H318" s="1923"/>
      <c r="I318" s="1923"/>
      <c r="J318" s="1923"/>
      <c r="K318" s="1941">
        <f>SUMIF($AL$13:$AL$312,"A",$AI$13:$AI$312)</f>
        <v>0</v>
      </c>
      <c r="L318" s="1942"/>
      <c r="M318" s="1942"/>
      <c r="N318" s="1942"/>
      <c r="O318" s="1943"/>
      <c r="P318" s="1922">
        <f>SUMIF($AL$13:$AL$312,"A",$AK$13:$AK$312)</f>
        <v>0</v>
      </c>
      <c r="Q318" s="1922"/>
      <c r="R318" s="1922"/>
      <c r="S318" s="1922"/>
      <c r="T318" s="1922"/>
      <c r="U318" s="1954" t="e">
        <f>P318/P324*100</f>
        <v>#DIV/0!</v>
      </c>
      <c r="V318" s="1954"/>
      <c r="W318" s="1954"/>
      <c r="X318" s="1954"/>
      <c r="Y318" s="1954"/>
      <c r="Z318" s="1954"/>
      <c r="AA318" s="1954"/>
      <c r="AB318" s="1954"/>
      <c r="AC318" s="1913"/>
      <c r="AD318" s="1914"/>
      <c r="AE318" s="1915"/>
      <c r="AF318" s="904"/>
      <c r="AG318" s="904"/>
      <c r="AH318" s="904"/>
      <c r="AI318" s="904"/>
      <c r="AJ318" s="904"/>
      <c r="AK318" s="904"/>
      <c r="AL318" s="921"/>
      <c r="AM318" s="892"/>
      <c r="AN318" s="892"/>
      <c r="AO318" s="892"/>
    </row>
    <row r="319" spans="1:41" ht="41.25" customHeight="1">
      <c r="A319" s="1923">
        <v>2</v>
      </c>
      <c r="B319" s="1923"/>
      <c r="C319" s="1923"/>
      <c r="D319" s="1923">
        <f>SUM(COUNTIF(AL14:AL305,"B"))</f>
        <v>87</v>
      </c>
      <c r="E319" s="1923"/>
      <c r="F319" s="1923"/>
      <c r="G319" s="1923" t="s">
        <v>79</v>
      </c>
      <c r="H319" s="1923"/>
      <c r="I319" s="1923"/>
      <c r="J319" s="1923"/>
      <c r="K319" s="1922">
        <f>SUMIF($AL$13:$AL$312,"B",$AI$13:$AI$312)</f>
        <v>0</v>
      </c>
      <c r="L319" s="1922"/>
      <c r="M319" s="1922"/>
      <c r="N319" s="1922"/>
      <c r="O319" s="1922"/>
      <c r="P319" s="1922">
        <f>SUMIF($AL$13:$AL$312,"B",$AK$13:$AK$312)</f>
        <v>0</v>
      </c>
      <c r="Q319" s="1922"/>
      <c r="R319" s="1922"/>
      <c r="S319" s="1922"/>
      <c r="T319" s="1922"/>
      <c r="U319" s="1954" t="e">
        <f>P319/P324*100</f>
        <v>#DIV/0!</v>
      </c>
      <c r="V319" s="1954"/>
      <c r="W319" s="1954"/>
      <c r="X319" s="1954"/>
      <c r="Y319" s="1954"/>
      <c r="Z319" s="1954"/>
      <c r="AA319" s="1954"/>
      <c r="AB319" s="1954"/>
      <c r="AC319" s="1913"/>
      <c r="AD319" s="1914"/>
      <c r="AE319" s="1915"/>
      <c r="AF319" s="904"/>
      <c r="AG319" s="904"/>
      <c r="AH319" s="904"/>
      <c r="AI319" s="904"/>
      <c r="AJ319" s="904"/>
      <c r="AK319" s="1068">
        <f>AK314+'BTH mủ Sỉum'!AJ21</f>
        <v>0</v>
      </c>
      <c r="AL319" s="921"/>
      <c r="AM319" s="892"/>
      <c r="AN319" s="892"/>
      <c r="AO319" s="892"/>
    </row>
    <row r="320" spans="1:41" ht="41.25" customHeight="1">
      <c r="A320" s="1923">
        <v>3</v>
      </c>
      <c r="B320" s="1923"/>
      <c r="C320" s="1923"/>
      <c r="D320" s="1923">
        <f>SUM(COUNTIF(AL14:AL305,"C"))</f>
        <v>25</v>
      </c>
      <c r="E320" s="1923"/>
      <c r="F320" s="1923"/>
      <c r="G320" s="1923" t="s">
        <v>791</v>
      </c>
      <c r="H320" s="1923"/>
      <c r="I320" s="1923"/>
      <c r="J320" s="1923"/>
      <c r="K320" s="1922">
        <f>SUMIF($AL$13:$AL$312,"C",$AI$13:$AI$312)</f>
        <v>0</v>
      </c>
      <c r="L320" s="1922"/>
      <c r="M320" s="1922"/>
      <c r="N320" s="1922"/>
      <c r="O320" s="1922"/>
      <c r="P320" s="1922">
        <f>SUMIF($AL$13:$AL$312,"C",$AK$13:$AK$312)</f>
        <v>0</v>
      </c>
      <c r="Q320" s="1922"/>
      <c r="R320" s="1922"/>
      <c r="S320" s="1922"/>
      <c r="T320" s="1922"/>
      <c r="U320" s="1954" t="e">
        <f>P320/P324*100</f>
        <v>#DIV/0!</v>
      </c>
      <c r="V320" s="1954"/>
      <c r="W320" s="1954"/>
      <c r="X320" s="1954"/>
      <c r="Y320" s="1954"/>
      <c r="Z320" s="1954"/>
      <c r="AA320" s="1954"/>
      <c r="AB320" s="1954"/>
      <c r="AC320" s="1913"/>
      <c r="AD320" s="1914"/>
      <c r="AE320" s="1915"/>
      <c r="AF320" s="904"/>
      <c r="AG320" s="904"/>
      <c r="AH320" s="904"/>
      <c r="AI320" s="904"/>
      <c r="AJ320" s="904"/>
      <c r="AK320" s="904"/>
      <c r="AL320" s="921"/>
      <c r="AM320" s="892"/>
      <c r="AN320" s="892"/>
      <c r="AO320" s="892"/>
    </row>
    <row r="321" spans="1:41" ht="41.25" customHeight="1">
      <c r="A321" s="1923">
        <v>4</v>
      </c>
      <c r="B321" s="1923"/>
      <c r="C321" s="1923"/>
      <c r="D321" s="1923">
        <f>SUM(COUNTIF(AL14:AL305,"D"))</f>
        <v>1</v>
      </c>
      <c r="E321" s="1923"/>
      <c r="F321" s="1923"/>
      <c r="G321" s="1923" t="s">
        <v>80</v>
      </c>
      <c r="H321" s="1923"/>
      <c r="I321" s="1923"/>
      <c r="J321" s="1923"/>
      <c r="K321" s="1922">
        <f>SUMIF($AL$13:$AL$305,"D",$AI$13:$AI$305)</f>
        <v>0</v>
      </c>
      <c r="L321" s="1922"/>
      <c r="M321" s="1922"/>
      <c r="N321" s="1922"/>
      <c r="O321" s="1922"/>
      <c r="P321" s="1922">
        <f>SUMIF($AL$13:$AL$305,"D",$AK$13:$AK$305)</f>
        <v>0</v>
      </c>
      <c r="Q321" s="1922"/>
      <c r="R321" s="1922"/>
      <c r="S321" s="1922"/>
      <c r="T321" s="1922"/>
      <c r="U321" s="1954" t="e">
        <f>P321/P324*100</f>
        <v>#DIV/0!</v>
      </c>
      <c r="V321" s="1954"/>
      <c r="W321" s="1954"/>
      <c r="X321" s="1954"/>
      <c r="Y321" s="1954"/>
      <c r="Z321" s="1954"/>
      <c r="AA321" s="1954"/>
      <c r="AB321" s="1954"/>
      <c r="AC321" s="1913"/>
      <c r="AD321" s="1914"/>
      <c r="AE321" s="1915"/>
      <c r="AF321" s="904"/>
      <c r="AG321" s="904"/>
      <c r="AH321" s="904"/>
      <c r="AI321" s="904"/>
      <c r="AJ321" s="904"/>
      <c r="AK321" s="904"/>
      <c r="AL321" s="921"/>
      <c r="AM321" s="892"/>
      <c r="AN321" s="892"/>
      <c r="AO321" s="892"/>
    </row>
    <row r="322" spans="1:41" s="931" customFormat="1" ht="41.25" customHeight="1">
      <c r="A322" s="1489" t="s">
        <v>801</v>
      </c>
      <c r="B322" s="1490"/>
      <c r="C322" s="1490"/>
      <c r="D322" s="1931">
        <f>D323</f>
        <v>36</v>
      </c>
      <c r="E322" s="1931"/>
      <c r="F322" s="1932"/>
      <c r="G322" s="1933"/>
      <c r="H322" s="1931"/>
      <c r="I322" s="1931"/>
      <c r="J322" s="1932"/>
      <c r="K322" s="1938">
        <f>K323</f>
        <v>0</v>
      </c>
      <c r="L322" s="1939"/>
      <c r="M322" s="1939"/>
      <c r="N322" s="1939"/>
      <c r="O322" s="1940"/>
      <c r="P322" s="1938">
        <f>P323</f>
        <v>0</v>
      </c>
      <c r="Q322" s="1939"/>
      <c r="R322" s="1939"/>
      <c r="S322" s="1939"/>
      <c r="T322" s="1940"/>
      <c r="U322" s="1916" t="e">
        <f>U323</f>
        <v>#DIV/0!</v>
      </c>
      <c r="V322" s="1917"/>
      <c r="W322" s="1917"/>
      <c r="X322" s="1917"/>
      <c r="Y322" s="1917"/>
      <c r="Z322" s="1917"/>
      <c r="AA322" s="1917"/>
      <c r="AB322" s="1918"/>
      <c r="AC322" s="1913"/>
      <c r="AD322" s="1914"/>
      <c r="AE322" s="1915"/>
      <c r="AF322" s="929"/>
      <c r="AG322" s="929"/>
      <c r="AH322" s="929"/>
      <c r="AI322" s="929"/>
      <c r="AJ322" s="929"/>
      <c r="AK322" s="929"/>
      <c r="AL322" s="930"/>
    </row>
    <row r="323" spans="1:41" ht="41.25" customHeight="1">
      <c r="A323" s="1928">
        <v>1</v>
      </c>
      <c r="B323" s="1929"/>
      <c r="C323" s="1930"/>
      <c r="D323" s="1923">
        <f>SUM(COUNTIF(AL17:AL316,"C."))</f>
        <v>36</v>
      </c>
      <c r="E323" s="1923"/>
      <c r="F323" s="1923"/>
      <c r="G323" s="1928" t="s">
        <v>802</v>
      </c>
      <c r="H323" s="1929"/>
      <c r="I323" s="1929"/>
      <c r="J323" s="1930"/>
      <c r="K323" s="1922">
        <f>SUMIF($AL$13:$AL$313,"C.",$AI$13:$AI$313)</f>
        <v>0</v>
      </c>
      <c r="L323" s="1922"/>
      <c r="M323" s="1922"/>
      <c r="N323" s="1922"/>
      <c r="O323" s="1922"/>
      <c r="P323" s="1922">
        <f>SUMIF($AL$13:$AL$313,"C.",$AK$13:$AK$313)</f>
        <v>0</v>
      </c>
      <c r="Q323" s="1922"/>
      <c r="R323" s="1922"/>
      <c r="S323" s="1922"/>
      <c r="T323" s="1922"/>
      <c r="U323" s="1954" t="e">
        <f>P323/P324*100</f>
        <v>#DIV/0!</v>
      </c>
      <c r="V323" s="1954"/>
      <c r="W323" s="1954"/>
      <c r="X323" s="1954"/>
      <c r="Y323" s="1954"/>
      <c r="Z323" s="1954"/>
      <c r="AA323" s="1954"/>
      <c r="AB323" s="1954"/>
      <c r="AC323" s="1913"/>
      <c r="AD323" s="1914"/>
      <c r="AE323" s="1915"/>
      <c r="AF323" s="904"/>
      <c r="AG323" s="904"/>
      <c r="AH323" s="904"/>
      <c r="AI323" s="904"/>
      <c r="AJ323" s="904"/>
      <c r="AK323" s="904"/>
      <c r="AL323" s="921"/>
      <c r="AM323" s="892"/>
      <c r="AN323" s="892"/>
      <c r="AO323" s="892"/>
    </row>
    <row r="324" spans="1:41" ht="41.25" customHeight="1">
      <c r="A324" s="1924" t="s">
        <v>256</v>
      </c>
      <c r="B324" s="1924"/>
      <c r="C324" s="1924"/>
      <c r="D324" s="1924">
        <f>D317+D322</f>
        <v>293</v>
      </c>
      <c r="E324" s="1924"/>
      <c r="F324" s="1924"/>
      <c r="G324" s="1933"/>
      <c r="H324" s="1931"/>
      <c r="I324" s="1931"/>
      <c r="J324" s="1932"/>
      <c r="K324" s="1935">
        <f>K317+K322</f>
        <v>0</v>
      </c>
      <c r="L324" s="1936"/>
      <c r="M324" s="1936"/>
      <c r="N324" s="1936"/>
      <c r="O324" s="1937"/>
      <c r="P324" s="1935">
        <f>P317+P322</f>
        <v>0</v>
      </c>
      <c r="Q324" s="1936"/>
      <c r="R324" s="1936"/>
      <c r="S324" s="1936"/>
      <c r="T324" s="1937"/>
      <c r="U324" s="1955" t="e">
        <f>U317+U322</f>
        <v>#DIV/0!</v>
      </c>
      <c r="V324" s="1955"/>
      <c r="W324" s="1955"/>
      <c r="X324" s="1955"/>
      <c r="Y324" s="1955"/>
      <c r="Z324" s="1955"/>
      <c r="AA324" s="1955"/>
      <c r="AB324" s="1955"/>
      <c r="AC324" s="1956"/>
      <c r="AD324" s="1957"/>
      <c r="AE324" s="1958"/>
      <c r="AF324" s="904"/>
      <c r="AG324" s="904"/>
      <c r="AH324" s="904"/>
      <c r="AI324" s="904"/>
      <c r="AJ324" s="904"/>
      <c r="AK324" s="904"/>
      <c r="AL324" s="921"/>
      <c r="AM324" s="892"/>
      <c r="AN324" s="892"/>
      <c r="AO324" s="892"/>
    </row>
    <row r="325" spans="1:41" ht="79.5" customHeight="1">
      <c r="A325" s="921"/>
      <c r="B325" s="922"/>
      <c r="C325" s="935"/>
      <c r="D325" s="935"/>
      <c r="E325" s="935"/>
      <c r="F325" s="935"/>
      <c r="G325" s="935"/>
      <c r="H325" s="935"/>
      <c r="I325" s="935"/>
      <c r="J325" s="935"/>
      <c r="K325" s="935"/>
      <c r="L325" s="935"/>
      <c r="M325" s="935"/>
      <c r="N325" s="935"/>
      <c r="O325" s="935"/>
      <c r="P325" s="935"/>
      <c r="Q325" s="935"/>
      <c r="R325" s="935"/>
      <c r="S325" s="935"/>
      <c r="T325" s="935"/>
      <c r="U325" s="935"/>
      <c r="V325" s="935"/>
      <c r="W325" s="935"/>
      <c r="X325" s="935"/>
      <c r="Y325" s="1919" t="s">
        <v>1119</v>
      </c>
      <c r="Z325" s="1919"/>
      <c r="AA325" s="1919"/>
      <c r="AB325" s="1919"/>
      <c r="AC325" s="1919"/>
      <c r="AD325" s="1919"/>
      <c r="AE325" s="1919"/>
      <c r="AF325" s="1919"/>
      <c r="AG325" s="1919"/>
      <c r="AH325" s="1919"/>
      <c r="AI325" s="1919"/>
      <c r="AJ325" s="1919"/>
      <c r="AK325" s="1919"/>
      <c r="AL325" s="1919"/>
      <c r="AM325" s="892"/>
      <c r="AN325" s="892"/>
      <c r="AO325" s="892"/>
    </row>
    <row r="326" spans="1:41" ht="106.5" customHeight="1">
      <c r="A326" s="921"/>
      <c r="B326" s="922"/>
      <c r="C326" s="1926" t="s">
        <v>47</v>
      </c>
      <c r="D326" s="1926"/>
      <c r="E326" s="1926"/>
      <c r="F326" s="1926"/>
      <c r="G326" s="936"/>
      <c r="H326" s="936"/>
      <c r="I326" s="937"/>
      <c r="J326" s="938"/>
      <c r="K326" s="936" t="s">
        <v>508</v>
      </c>
      <c r="L326" s="938"/>
      <c r="M326" s="936"/>
      <c r="N326" s="937"/>
      <c r="O326" s="938"/>
      <c r="P326" s="938"/>
      <c r="R326" s="938"/>
      <c r="S326" s="938" t="s">
        <v>197</v>
      </c>
      <c r="T326" s="938"/>
      <c r="U326" s="938"/>
      <c r="V326" s="937"/>
      <c r="W326" s="937"/>
      <c r="X326" s="936"/>
      <c r="Z326" s="936"/>
      <c r="AA326" s="936" t="s">
        <v>789</v>
      </c>
      <c r="AB326" s="936"/>
      <c r="AC326" s="936"/>
      <c r="AD326" s="938"/>
      <c r="AF326" s="938"/>
      <c r="AH326" s="938"/>
      <c r="AI326" s="1926" t="s">
        <v>826</v>
      </c>
      <c r="AJ326" s="1926"/>
      <c r="AK326" s="1926"/>
      <c r="AL326" s="1926"/>
      <c r="AM326" s="938"/>
      <c r="AN326" s="892"/>
      <c r="AO326" s="892"/>
    </row>
    <row r="327" spans="1:41" ht="28.5" customHeight="1">
      <c r="A327" s="921"/>
      <c r="B327" s="922"/>
      <c r="C327" s="935"/>
      <c r="D327" s="935"/>
      <c r="E327" s="935"/>
      <c r="F327" s="935"/>
      <c r="G327" s="935"/>
      <c r="H327" s="935"/>
      <c r="I327" s="935"/>
      <c r="J327" s="935"/>
      <c r="K327" s="935"/>
      <c r="L327" s="935"/>
      <c r="M327" s="935"/>
      <c r="N327" s="935"/>
      <c r="O327" s="935"/>
      <c r="P327" s="935"/>
      <c r="Q327" s="935"/>
      <c r="R327" s="935"/>
      <c r="S327" s="935"/>
      <c r="T327" s="935"/>
      <c r="U327" s="935"/>
      <c r="V327" s="935"/>
      <c r="W327" s="935"/>
      <c r="X327" s="935"/>
      <c r="Y327" s="1471"/>
      <c r="Z327" s="1471"/>
      <c r="AA327" s="1471"/>
      <c r="AB327" s="1471"/>
      <c r="AC327" s="1471"/>
      <c r="AD327" s="1471"/>
      <c r="AE327" s="1471"/>
      <c r="AF327" s="1471"/>
      <c r="AG327" s="1471"/>
      <c r="AH327" s="1471"/>
      <c r="AI327" s="1471"/>
      <c r="AJ327" s="1471"/>
      <c r="AK327" s="1471"/>
      <c r="AL327" s="937"/>
      <c r="AM327" s="892"/>
      <c r="AN327" s="892"/>
      <c r="AO327" s="892"/>
    </row>
    <row r="328" spans="1:41" ht="28.5" customHeight="1">
      <c r="A328" s="921"/>
      <c r="B328" s="922"/>
      <c r="C328" s="935"/>
      <c r="D328" s="935"/>
      <c r="E328" s="935"/>
      <c r="F328" s="935"/>
      <c r="G328" s="935"/>
      <c r="H328" s="935"/>
      <c r="I328" s="935"/>
      <c r="J328" s="935"/>
      <c r="K328" s="935"/>
      <c r="L328" s="935"/>
      <c r="M328" s="935"/>
      <c r="N328" s="935"/>
      <c r="O328" s="935"/>
      <c r="P328" s="935"/>
      <c r="Q328" s="935"/>
      <c r="R328" s="935"/>
      <c r="S328" s="935"/>
      <c r="T328" s="935"/>
      <c r="U328" s="935"/>
      <c r="V328" s="935"/>
      <c r="W328" s="935"/>
      <c r="X328" s="935"/>
      <c r="Y328" s="1471"/>
      <c r="Z328" s="1471"/>
      <c r="AA328" s="1471"/>
      <c r="AB328" s="1471"/>
      <c r="AC328" s="1471"/>
      <c r="AD328" s="1471"/>
      <c r="AE328" s="1471"/>
      <c r="AF328" s="1471"/>
      <c r="AG328" s="1471"/>
      <c r="AH328" s="1471"/>
      <c r="AI328" s="1471"/>
      <c r="AJ328" s="1471"/>
      <c r="AK328" s="1471"/>
      <c r="AL328" s="937"/>
      <c r="AM328" s="892"/>
      <c r="AN328" s="892"/>
      <c r="AO328" s="892"/>
    </row>
    <row r="329" spans="1:41" ht="28.5" customHeight="1">
      <c r="A329" s="921"/>
      <c r="B329" s="922"/>
      <c r="C329" s="935"/>
      <c r="D329" s="935"/>
      <c r="E329" s="935"/>
      <c r="F329" s="935"/>
      <c r="G329" s="935"/>
      <c r="H329" s="935"/>
      <c r="I329" s="935"/>
      <c r="J329" s="935"/>
      <c r="K329" s="935"/>
      <c r="L329" s="935"/>
      <c r="M329" s="935"/>
      <c r="N329" s="935"/>
      <c r="O329" s="935"/>
      <c r="P329" s="935"/>
      <c r="Q329" s="935"/>
      <c r="R329" s="935"/>
      <c r="S329" s="935"/>
      <c r="T329" s="935"/>
      <c r="U329" s="935"/>
      <c r="V329" s="935"/>
      <c r="W329" s="935"/>
      <c r="X329" s="935"/>
      <c r="Y329" s="1471"/>
      <c r="Z329" s="1471"/>
      <c r="AA329" s="1471"/>
      <c r="AB329" s="1471"/>
      <c r="AC329" s="1471"/>
      <c r="AD329" s="1471"/>
      <c r="AE329" s="1471"/>
      <c r="AF329" s="1471"/>
      <c r="AG329" s="1471"/>
      <c r="AH329" s="1471"/>
      <c r="AI329" s="1471"/>
      <c r="AJ329" s="1471"/>
      <c r="AK329" s="1471"/>
      <c r="AL329" s="937"/>
      <c r="AM329" s="892"/>
      <c r="AN329" s="892"/>
      <c r="AO329" s="892"/>
    </row>
    <row r="330" spans="1:41" ht="28.5" customHeight="1">
      <c r="A330" s="921"/>
      <c r="B330" s="922"/>
      <c r="C330" s="935"/>
      <c r="D330" s="935"/>
      <c r="E330" s="935"/>
      <c r="F330" s="935"/>
      <c r="G330" s="935"/>
      <c r="H330" s="935"/>
      <c r="I330" s="935"/>
      <c r="J330" s="935"/>
      <c r="K330" s="935"/>
      <c r="L330" s="935"/>
      <c r="M330" s="935"/>
      <c r="N330" s="935"/>
      <c r="O330" s="935"/>
      <c r="P330" s="935"/>
      <c r="Q330" s="935"/>
      <c r="R330" s="935"/>
      <c r="S330" s="935"/>
      <c r="T330" s="935"/>
      <c r="U330" s="935"/>
      <c r="V330" s="935"/>
      <c r="W330" s="935"/>
      <c r="X330" s="935"/>
      <c r="Y330" s="1471"/>
      <c r="Z330" s="1471"/>
      <c r="AA330" s="1471"/>
      <c r="AB330" s="1471"/>
      <c r="AC330" s="1471"/>
      <c r="AD330" s="1471"/>
      <c r="AE330" s="1471"/>
      <c r="AF330" s="1471"/>
      <c r="AG330" s="1471"/>
      <c r="AH330" s="1471"/>
      <c r="AI330" s="1471"/>
      <c r="AJ330" s="1471"/>
      <c r="AK330" s="1471"/>
      <c r="AL330" s="937"/>
      <c r="AM330" s="892"/>
      <c r="AN330" s="892"/>
      <c r="AO330" s="892"/>
    </row>
    <row r="331" spans="1:41" ht="28.5" customHeight="1">
      <c r="A331" s="921"/>
      <c r="B331" s="922"/>
      <c r="C331" s="935"/>
      <c r="D331" s="935"/>
      <c r="E331" s="935"/>
      <c r="F331" s="935"/>
      <c r="G331" s="935"/>
      <c r="H331" s="935"/>
      <c r="I331" s="935"/>
      <c r="J331" s="935"/>
      <c r="K331" s="935"/>
      <c r="L331" s="935"/>
      <c r="M331" s="935"/>
      <c r="N331" s="935"/>
      <c r="O331" s="935"/>
      <c r="P331" s="935"/>
      <c r="Q331" s="935"/>
      <c r="R331" s="935"/>
      <c r="S331" s="935"/>
      <c r="T331" s="935"/>
      <c r="U331" s="935"/>
      <c r="V331" s="935"/>
      <c r="W331" s="935"/>
      <c r="X331" s="935"/>
      <c r="Y331" s="1471"/>
      <c r="Z331" s="1471"/>
      <c r="AA331" s="1471"/>
      <c r="AB331" s="1471"/>
      <c r="AC331" s="1471"/>
      <c r="AD331" s="1471"/>
      <c r="AE331" s="1471"/>
      <c r="AF331" s="1471"/>
      <c r="AG331" s="1471"/>
      <c r="AH331" s="1471"/>
      <c r="AI331" s="1471"/>
      <c r="AJ331" s="1471"/>
      <c r="AK331" s="1471"/>
      <c r="AL331" s="937"/>
      <c r="AM331" s="892"/>
      <c r="AN331" s="892"/>
      <c r="AO331" s="892"/>
    </row>
    <row r="332" spans="1:41" ht="28.5" customHeight="1">
      <c r="A332" s="921"/>
      <c r="B332" s="922"/>
      <c r="C332" s="935"/>
      <c r="D332" s="935"/>
      <c r="E332" s="935"/>
      <c r="F332" s="935"/>
      <c r="G332" s="935"/>
      <c r="H332" s="935"/>
      <c r="I332" s="935"/>
      <c r="J332" s="935"/>
      <c r="K332" s="935"/>
      <c r="L332" s="935"/>
      <c r="M332" s="935"/>
      <c r="N332" s="935"/>
      <c r="O332" s="935"/>
      <c r="P332" s="935"/>
      <c r="Q332" s="935"/>
      <c r="R332" s="935"/>
      <c r="S332" s="935"/>
      <c r="T332" s="935"/>
      <c r="U332" s="935"/>
      <c r="V332" s="935"/>
      <c r="W332" s="935"/>
      <c r="X332" s="935"/>
      <c r="Y332" s="1471"/>
      <c r="Z332" s="1471"/>
      <c r="AA332" s="1471"/>
      <c r="AB332" s="1471"/>
      <c r="AC332" s="1471"/>
      <c r="AD332" s="1471"/>
      <c r="AE332" s="1471"/>
      <c r="AF332" s="1471"/>
      <c r="AG332" s="1471"/>
      <c r="AH332" s="1471"/>
      <c r="AI332" s="1471"/>
      <c r="AJ332" s="1471"/>
      <c r="AK332" s="1471"/>
      <c r="AL332" s="937"/>
      <c r="AM332" s="892"/>
      <c r="AN332" s="892"/>
      <c r="AO332" s="892"/>
    </row>
    <row r="333" spans="1:41" ht="28.5" customHeight="1">
      <c r="A333" s="921"/>
      <c r="B333" s="922"/>
      <c r="C333" s="935"/>
      <c r="D333" s="935"/>
      <c r="E333" s="935"/>
      <c r="F333" s="935"/>
      <c r="G333" s="935"/>
      <c r="H333" s="935"/>
      <c r="I333" s="935"/>
      <c r="J333" s="935"/>
      <c r="K333" s="935"/>
      <c r="L333" s="935"/>
      <c r="M333" s="935"/>
      <c r="N333" s="935"/>
      <c r="O333" s="935"/>
      <c r="P333" s="935"/>
      <c r="Q333" s="935"/>
      <c r="R333" s="935"/>
      <c r="S333" s="935"/>
      <c r="T333" s="935"/>
      <c r="U333" s="935"/>
      <c r="V333" s="935"/>
      <c r="W333" s="935"/>
      <c r="X333" s="935"/>
      <c r="Y333" s="1471"/>
      <c r="Z333" s="1471"/>
      <c r="AA333" s="1471"/>
      <c r="AB333" s="1471"/>
      <c r="AC333" s="1471"/>
      <c r="AD333" s="1471"/>
      <c r="AE333" s="1471"/>
      <c r="AF333" s="1471"/>
      <c r="AG333" s="1471"/>
      <c r="AH333" s="1471"/>
      <c r="AI333" s="1471"/>
      <c r="AJ333" s="1471"/>
      <c r="AK333" s="1471"/>
      <c r="AL333" s="937"/>
      <c r="AM333" s="892"/>
      <c r="AN333" s="892"/>
      <c r="AO333" s="892"/>
    </row>
    <row r="334" spans="1:41" ht="85.5" customHeight="1">
      <c r="A334" s="921"/>
      <c r="B334" s="922"/>
      <c r="C334" s="935"/>
      <c r="D334" s="935"/>
      <c r="E334" s="935"/>
      <c r="F334" s="935"/>
      <c r="G334" s="935"/>
      <c r="H334" s="935"/>
      <c r="I334" s="935"/>
      <c r="J334" s="935"/>
      <c r="K334" s="935"/>
      <c r="L334" s="935"/>
      <c r="M334" s="935"/>
      <c r="N334" s="935"/>
      <c r="O334" s="935"/>
      <c r="P334" s="935"/>
      <c r="Q334" s="935"/>
      <c r="R334" s="935"/>
      <c r="S334" s="935"/>
      <c r="T334" s="935"/>
      <c r="U334" s="935"/>
      <c r="V334" s="935"/>
      <c r="W334" s="935"/>
      <c r="X334" s="935"/>
      <c r="Y334" s="1471"/>
      <c r="Z334" s="1471"/>
      <c r="AA334" s="1471"/>
      <c r="AB334" s="1471"/>
      <c r="AC334" s="1471"/>
      <c r="AD334" s="1471"/>
      <c r="AF334" s="937"/>
      <c r="AH334" s="937"/>
      <c r="AI334" s="1952" t="s">
        <v>76</v>
      </c>
      <c r="AJ334" s="1952"/>
      <c r="AK334" s="1952"/>
      <c r="AL334" s="1952"/>
      <c r="AM334" s="892"/>
      <c r="AN334" s="892"/>
      <c r="AO334" s="892"/>
    </row>
    <row r="335" spans="1:41" ht="28.5" customHeight="1">
      <c r="A335" s="921"/>
      <c r="B335" s="922"/>
      <c r="C335" s="935"/>
      <c r="D335" s="935"/>
      <c r="E335" s="935"/>
      <c r="F335" s="935"/>
      <c r="G335" s="935"/>
      <c r="H335" s="935"/>
      <c r="I335" s="935"/>
      <c r="J335" s="935"/>
      <c r="K335" s="935"/>
      <c r="L335" s="935"/>
      <c r="M335" s="935"/>
      <c r="N335" s="935"/>
      <c r="O335" s="935"/>
      <c r="P335" s="935"/>
      <c r="Q335" s="935"/>
      <c r="R335" s="935"/>
      <c r="S335" s="935"/>
      <c r="T335" s="935"/>
      <c r="U335" s="935"/>
      <c r="V335" s="935"/>
      <c r="W335" s="935"/>
      <c r="X335" s="935"/>
      <c r="Y335" s="1471"/>
      <c r="Z335" s="1471"/>
      <c r="AA335" s="1471"/>
      <c r="AB335" s="1471"/>
      <c r="AC335" s="1471"/>
      <c r="AD335" s="1471"/>
      <c r="AE335" s="1471"/>
      <c r="AF335" s="1471"/>
      <c r="AG335" s="1471"/>
      <c r="AH335" s="1471"/>
      <c r="AI335" s="1471"/>
      <c r="AJ335" s="1471"/>
      <c r="AK335" s="1471"/>
      <c r="AL335" s="937"/>
      <c r="AM335" s="892"/>
      <c r="AN335" s="892"/>
      <c r="AO335" s="892"/>
    </row>
    <row r="336" spans="1:41" ht="28.5" customHeight="1">
      <c r="A336" s="899"/>
      <c r="B336" s="900"/>
      <c r="C336" s="935"/>
      <c r="D336" s="935"/>
      <c r="E336" s="935"/>
      <c r="F336" s="935"/>
      <c r="G336" s="935"/>
      <c r="H336" s="935"/>
      <c r="I336" s="935"/>
      <c r="J336" s="935"/>
      <c r="K336" s="935"/>
      <c r="L336" s="935"/>
      <c r="M336" s="935"/>
      <c r="N336" s="935"/>
      <c r="O336" s="935"/>
      <c r="P336" s="935"/>
      <c r="Q336" s="935"/>
      <c r="R336" s="935"/>
      <c r="S336" s="935"/>
      <c r="T336" s="935"/>
      <c r="U336" s="935"/>
      <c r="V336" s="935"/>
      <c r="W336" s="935"/>
      <c r="X336" s="935"/>
      <c r="Y336" s="1471"/>
      <c r="Z336" s="1471"/>
      <c r="AA336" s="1471"/>
      <c r="AB336" s="1471"/>
      <c r="AC336" s="1471"/>
      <c r="AD336" s="1471"/>
      <c r="AE336" s="1471"/>
      <c r="AF336" s="1471"/>
      <c r="AG336" s="1471"/>
      <c r="AH336" s="1471"/>
      <c r="AI336" s="1471"/>
      <c r="AJ336" s="1471"/>
      <c r="AK336" s="1471"/>
      <c r="AL336" s="937"/>
      <c r="AM336" s="892"/>
      <c r="AN336" s="892"/>
      <c r="AO336" s="892"/>
    </row>
    <row r="337" spans="1:41" ht="28.5" customHeight="1">
      <c r="A337" s="899"/>
      <c r="B337" s="900"/>
      <c r="C337" s="935"/>
      <c r="D337" s="935"/>
      <c r="E337" s="935"/>
      <c r="F337" s="935"/>
      <c r="G337" s="935"/>
      <c r="H337" s="935"/>
      <c r="I337" s="935"/>
      <c r="J337" s="935"/>
      <c r="K337" s="935"/>
      <c r="L337" s="935"/>
      <c r="M337" s="935"/>
      <c r="N337" s="935"/>
      <c r="O337" s="935"/>
      <c r="P337" s="935"/>
      <c r="Q337" s="935"/>
      <c r="R337" s="935"/>
      <c r="S337" s="935"/>
      <c r="T337" s="935"/>
      <c r="U337" s="935"/>
      <c r="V337" s="935"/>
      <c r="W337" s="935"/>
      <c r="X337" s="935"/>
      <c r="Y337" s="1471"/>
      <c r="Z337" s="1471"/>
      <c r="AA337" s="1471"/>
      <c r="AB337" s="1471"/>
      <c r="AC337" s="1919"/>
      <c r="AD337" s="1919"/>
      <c r="AE337" s="1471"/>
      <c r="AF337" s="1471"/>
      <c r="AG337" s="1471"/>
      <c r="AH337" s="1471"/>
      <c r="AI337" s="1471"/>
      <c r="AJ337" s="1471"/>
      <c r="AK337" s="1471"/>
      <c r="AL337" s="937"/>
      <c r="AM337" s="892"/>
      <c r="AN337" s="892"/>
      <c r="AO337" s="892"/>
    </row>
    <row r="338" spans="1:41" ht="28.5" customHeight="1">
      <c r="A338" s="899"/>
      <c r="B338" s="900"/>
      <c r="C338" s="935"/>
      <c r="D338" s="935"/>
      <c r="E338" s="935"/>
      <c r="F338" s="935"/>
      <c r="G338" s="935"/>
      <c r="H338" s="935"/>
      <c r="I338" s="935"/>
      <c r="J338" s="935"/>
      <c r="K338" s="935"/>
      <c r="L338" s="935"/>
      <c r="M338" s="935"/>
      <c r="N338" s="935"/>
      <c r="O338" s="935"/>
      <c r="P338" s="935"/>
      <c r="Q338" s="935"/>
      <c r="R338" s="935"/>
      <c r="S338" s="935"/>
      <c r="T338" s="935"/>
      <c r="U338" s="935"/>
      <c r="V338" s="935"/>
      <c r="W338" s="935"/>
      <c r="X338" s="935"/>
      <c r="Y338" s="1471"/>
      <c r="Z338" s="1471"/>
      <c r="AA338" s="1471"/>
      <c r="AB338" s="1471"/>
      <c r="AC338" s="1471"/>
      <c r="AD338" s="1471"/>
      <c r="AE338" s="1471"/>
      <c r="AF338" s="1471"/>
      <c r="AG338" s="1471"/>
      <c r="AH338" s="1471"/>
      <c r="AI338" s="1471"/>
      <c r="AJ338" s="1471"/>
      <c r="AK338" s="1471"/>
      <c r="AL338" s="937"/>
      <c r="AM338" s="892"/>
      <c r="AN338" s="892"/>
      <c r="AO338" s="892"/>
    </row>
    <row r="339" spans="1:41" ht="28.5" customHeight="1">
      <c r="A339" s="899"/>
      <c r="B339" s="900"/>
      <c r="C339" s="900"/>
      <c r="D339" s="900"/>
      <c r="E339" s="900"/>
      <c r="F339" s="900"/>
      <c r="G339" s="900"/>
      <c r="H339" s="900"/>
      <c r="I339" s="900"/>
      <c r="J339" s="900"/>
      <c r="K339" s="900"/>
      <c r="L339" s="900"/>
      <c r="M339" s="900"/>
      <c r="N339" s="900"/>
      <c r="O339" s="900"/>
      <c r="P339" s="900"/>
      <c r="Q339" s="900"/>
      <c r="R339" s="900"/>
      <c r="S339" s="900"/>
      <c r="T339" s="900"/>
      <c r="U339" s="900"/>
      <c r="V339" s="900"/>
      <c r="W339" s="900"/>
      <c r="X339" s="900"/>
      <c r="Y339" s="1040"/>
      <c r="Z339" s="1040"/>
      <c r="AA339" s="1040"/>
      <c r="AB339" s="1040"/>
      <c r="AC339" s="1040"/>
      <c r="AD339" s="1040"/>
      <c r="AE339" s="1040"/>
      <c r="AF339" s="1040"/>
      <c r="AG339" s="1040"/>
      <c r="AH339" s="1040"/>
      <c r="AI339" s="1040"/>
      <c r="AJ339" s="1040"/>
      <c r="AK339" s="1040"/>
      <c r="AL339" s="899"/>
      <c r="AM339" s="892"/>
      <c r="AN339" s="892"/>
      <c r="AO339" s="892"/>
    </row>
    <row r="340" spans="1:41" ht="28.5" customHeight="1">
      <c r="A340" s="899"/>
      <c r="B340" s="900"/>
      <c r="C340" s="900"/>
      <c r="D340" s="900"/>
      <c r="E340" s="900"/>
      <c r="F340" s="900"/>
      <c r="G340" s="900"/>
      <c r="H340" s="900"/>
      <c r="I340" s="900"/>
      <c r="J340" s="900"/>
      <c r="K340" s="900"/>
      <c r="L340" s="900"/>
      <c r="M340" s="900"/>
      <c r="N340" s="900"/>
      <c r="O340" s="900"/>
      <c r="P340" s="900"/>
      <c r="Q340" s="900"/>
      <c r="R340" s="900"/>
      <c r="S340" s="900"/>
      <c r="T340" s="900"/>
      <c r="U340" s="900"/>
      <c r="V340" s="900"/>
      <c r="W340" s="900"/>
      <c r="X340" s="900"/>
      <c r="Y340" s="1040"/>
      <c r="Z340" s="1040"/>
      <c r="AA340" s="1040"/>
      <c r="AB340" s="1040"/>
      <c r="AC340" s="1040"/>
      <c r="AD340" s="1040"/>
      <c r="AE340" s="1040"/>
      <c r="AF340" s="1040"/>
      <c r="AG340" s="1040"/>
      <c r="AH340" s="1040"/>
      <c r="AI340" s="1040"/>
      <c r="AJ340" s="1040"/>
      <c r="AK340" s="1040"/>
      <c r="AL340" s="899"/>
      <c r="AM340" s="892"/>
      <c r="AN340" s="892"/>
      <c r="AO340" s="892"/>
    </row>
    <row r="341" spans="1:41" ht="28.5" customHeight="1">
      <c r="A341" s="899"/>
      <c r="B341" s="900"/>
      <c r="C341" s="900"/>
      <c r="D341" s="900"/>
      <c r="E341" s="900"/>
      <c r="F341" s="900"/>
      <c r="G341" s="900"/>
      <c r="H341" s="900"/>
      <c r="I341" s="900"/>
      <c r="J341" s="900"/>
      <c r="K341" s="900"/>
      <c r="L341" s="900"/>
      <c r="M341" s="900"/>
      <c r="N341" s="900"/>
      <c r="O341" s="900"/>
      <c r="P341" s="900"/>
      <c r="Q341" s="900"/>
      <c r="R341" s="900"/>
      <c r="S341" s="900"/>
      <c r="T341" s="900"/>
      <c r="U341" s="900"/>
      <c r="V341" s="900"/>
      <c r="W341" s="900"/>
      <c r="X341" s="900"/>
      <c r="Y341" s="1040"/>
      <c r="Z341" s="1040"/>
      <c r="AA341" s="1040"/>
      <c r="AB341" s="1040"/>
      <c r="AC341" s="1040"/>
      <c r="AD341" s="1040"/>
      <c r="AE341" s="1040"/>
      <c r="AF341" s="1040"/>
      <c r="AG341" s="1040"/>
      <c r="AH341" s="1040"/>
      <c r="AI341" s="1040"/>
      <c r="AJ341" s="1040"/>
      <c r="AK341" s="1040"/>
      <c r="AL341" s="899"/>
      <c r="AM341" s="892"/>
      <c r="AN341" s="892"/>
      <c r="AO341" s="892"/>
    </row>
    <row r="342" spans="1:41" ht="28.5" customHeight="1">
      <c r="A342" s="899"/>
      <c r="B342" s="900"/>
      <c r="C342" s="900"/>
      <c r="D342" s="900"/>
      <c r="E342" s="900"/>
      <c r="F342" s="900"/>
      <c r="G342" s="900"/>
      <c r="H342" s="900"/>
      <c r="I342" s="900"/>
      <c r="J342" s="900"/>
      <c r="K342" s="900"/>
      <c r="L342" s="900"/>
      <c r="M342" s="900"/>
      <c r="N342" s="900"/>
      <c r="O342" s="900"/>
      <c r="P342" s="900"/>
      <c r="Q342" s="900"/>
      <c r="R342" s="900"/>
      <c r="S342" s="900"/>
      <c r="T342" s="900"/>
      <c r="U342" s="900"/>
      <c r="V342" s="900"/>
      <c r="W342" s="900"/>
      <c r="X342" s="900"/>
      <c r="Y342" s="1040"/>
      <c r="Z342" s="1040"/>
      <c r="AA342" s="1040"/>
      <c r="AB342" s="1040"/>
      <c r="AC342" s="1040"/>
      <c r="AD342" s="1040"/>
      <c r="AE342" s="1040"/>
      <c r="AF342" s="1040"/>
      <c r="AG342" s="1040"/>
      <c r="AH342" s="1040"/>
      <c r="AI342" s="1040"/>
      <c r="AJ342" s="1040"/>
      <c r="AK342" s="1040"/>
      <c r="AL342" s="899"/>
      <c r="AM342" s="892"/>
      <c r="AN342" s="892"/>
      <c r="AO342" s="892"/>
    </row>
    <row r="343" spans="1:41" ht="28.5" customHeight="1">
      <c r="A343" s="899"/>
      <c r="B343" s="900"/>
      <c r="C343" s="900"/>
      <c r="D343" s="900"/>
      <c r="E343" s="900"/>
      <c r="F343" s="900"/>
      <c r="G343" s="900"/>
      <c r="H343" s="900"/>
      <c r="I343" s="900"/>
      <c r="J343" s="900"/>
      <c r="K343" s="900"/>
      <c r="L343" s="900"/>
      <c r="M343" s="900"/>
      <c r="N343" s="900"/>
      <c r="O343" s="900"/>
      <c r="P343" s="900"/>
      <c r="Q343" s="900"/>
      <c r="R343" s="900"/>
      <c r="S343" s="900"/>
      <c r="T343" s="900"/>
      <c r="U343" s="900"/>
      <c r="V343" s="900"/>
      <c r="W343" s="900"/>
      <c r="X343" s="900"/>
      <c r="Y343" s="1040"/>
      <c r="Z343" s="1040"/>
      <c r="AA343" s="1040"/>
      <c r="AB343" s="1040"/>
      <c r="AC343" s="1040"/>
      <c r="AD343" s="1040"/>
      <c r="AE343" s="1040"/>
      <c r="AF343" s="1040"/>
      <c r="AG343" s="1040"/>
      <c r="AH343" s="1040"/>
      <c r="AI343" s="1040"/>
      <c r="AJ343" s="1040"/>
      <c r="AK343" s="1040"/>
      <c r="AL343" s="899"/>
      <c r="AM343" s="892"/>
      <c r="AN343" s="892"/>
      <c r="AO343" s="892"/>
    </row>
    <row r="344" spans="1:41" ht="28.5" customHeight="1">
      <c r="A344" s="899"/>
      <c r="B344" s="900"/>
      <c r="C344" s="900"/>
      <c r="D344" s="900"/>
      <c r="E344" s="900"/>
      <c r="F344" s="900"/>
      <c r="G344" s="900"/>
      <c r="H344" s="900"/>
      <c r="I344" s="900"/>
      <c r="J344" s="900"/>
      <c r="K344" s="900"/>
      <c r="L344" s="900"/>
      <c r="M344" s="900"/>
      <c r="N344" s="900"/>
      <c r="O344" s="900"/>
      <c r="P344" s="900"/>
      <c r="Q344" s="900"/>
      <c r="R344" s="900"/>
      <c r="S344" s="900"/>
      <c r="T344" s="900"/>
      <c r="U344" s="900"/>
      <c r="V344" s="900"/>
      <c r="W344" s="900"/>
      <c r="X344" s="900"/>
      <c r="Y344" s="1040"/>
      <c r="Z344" s="1040"/>
      <c r="AA344" s="1040"/>
      <c r="AB344" s="1040"/>
      <c r="AC344" s="1040"/>
      <c r="AD344" s="1040"/>
      <c r="AE344" s="1040"/>
      <c r="AF344" s="1040"/>
      <c r="AG344" s="1040"/>
      <c r="AH344" s="1040"/>
      <c r="AI344" s="1040"/>
      <c r="AJ344" s="1040"/>
      <c r="AK344" s="1040"/>
      <c r="AL344" s="899"/>
      <c r="AM344" s="892"/>
      <c r="AN344" s="892"/>
      <c r="AO344" s="892"/>
    </row>
    <row r="345" spans="1:41" ht="28.5" customHeight="1">
      <c r="A345" s="899"/>
      <c r="B345" s="900"/>
      <c r="C345" s="900"/>
      <c r="D345" s="900"/>
      <c r="E345" s="900"/>
      <c r="F345" s="900"/>
      <c r="G345" s="900"/>
      <c r="H345" s="900"/>
      <c r="I345" s="900"/>
      <c r="J345" s="900"/>
      <c r="K345" s="900"/>
      <c r="L345" s="900"/>
      <c r="M345" s="900"/>
      <c r="N345" s="900"/>
      <c r="O345" s="900"/>
      <c r="P345" s="900"/>
      <c r="Q345" s="900"/>
      <c r="R345" s="900"/>
      <c r="S345" s="900"/>
      <c r="T345" s="900"/>
      <c r="U345" s="900"/>
      <c r="V345" s="900"/>
      <c r="W345" s="900"/>
      <c r="X345" s="900"/>
      <c r="Y345" s="1040"/>
      <c r="Z345" s="1040"/>
      <c r="AA345" s="1040"/>
      <c r="AB345" s="1040"/>
      <c r="AC345" s="1040"/>
      <c r="AD345" s="1040"/>
      <c r="AE345" s="1040"/>
      <c r="AF345" s="1040"/>
      <c r="AG345" s="1040"/>
      <c r="AH345" s="1040"/>
      <c r="AI345" s="1040"/>
      <c r="AJ345" s="1040"/>
      <c r="AK345" s="1040"/>
      <c r="AL345" s="899"/>
      <c r="AM345" s="892"/>
      <c r="AN345" s="892"/>
      <c r="AO345" s="892"/>
    </row>
    <row r="346" spans="1:41" ht="28.5" customHeight="1">
      <c r="A346" s="899"/>
      <c r="B346" s="900"/>
      <c r="C346" s="900"/>
      <c r="D346" s="900"/>
      <c r="E346" s="900"/>
      <c r="F346" s="900"/>
      <c r="G346" s="900"/>
      <c r="H346" s="900"/>
      <c r="I346" s="900"/>
      <c r="J346" s="900"/>
      <c r="K346" s="900"/>
      <c r="L346" s="900"/>
      <c r="M346" s="900"/>
      <c r="N346" s="900"/>
      <c r="O346" s="900"/>
      <c r="P346" s="900"/>
      <c r="Q346" s="900"/>
      <c r="R346" s="900"/>
      <c r="S346" s="900"/>
      <c r="T346" s="900"/>
      <c r="U346" s="900"/>
      <c r="V346" s="900"/>
      <c r="W346" s="900"/>
      <c r="X346" s="900"/>
      <c r="Y346" s="1040"/>
      <c r="Z346" s="1040"/>
      <c r="AA346" s="1040"/>
      <c r="AB346" s="1040"/>
      <c r="AC346" s="1040"/>
      <c r="AD346" s="1040"/>
      <c r="AE346" s="1040"/>
      <c r="AF346" s="1040"/>
      <c r="AG346" s="1040"/>
      <c r="AH346" s="1040"/>
      <c r="AI346" s="1040"/>
      <c r="AJ346" s="1040"/>
      <c r="AK346" s="1040"/>
      <c r="AL346" s="899"/>
      <c r="AM346" s="892"/>
      <c r="AN346" s="892"/>
      <c r="AO346" s="892"/>
    </row>
    <row r="347" spans="1:41" ht="28.5" customHeight="1">
      <c r="A347" s="899"/>
      <c r="B347" s="900"/>
      <c r="C347" s="900"/>
      <c r="D347" s="900"/>
      <c r="E347" s="900"/>
      <c r="F347" s="900"/>
      <c r="G347" s="900"/>
      <c r="H347" s="900"/>
      <c r="I347" s="900"/>
      <c r="J347" s="900"/>
      <c r="K347" s="900"/>
      <c r="L347" s="900"/>
      <c r="M347" s="900"/>
      <c r="N347" s="900"/>
      <c r="O347" s="900"/>
      <c r="P347" s="900"/>
      <c r="Q347" s="900"/>
      <c r="R347" s="900"/>
      <c r="S347" s="900"/>
      <c r="T347" s="900"/>
      <c r="U347" s="900"/>
      <c r="V347" s="900"/>
      <c r="W347" s="900"/>
      <c r="X347" s="900"/>
      <c r="Y347" s="1040"/>
      <c r="Z347" s="1040"/>
      <c r="AA347" s="1040"/>
      <c r="AB347" s="1040"/>
      <c r="AC347" s="1040"/>
      <c r="AD347" s="1040"/>
      <c r="AE347" s="1040"/>
      <c r="AF347" s="1040"/>
      <c r="AG347" s="1040"/>
      <c r="AH347" s="1040"/>
      <c r="AI347" s="1040"/>
      <c r="AJ347" s="1040"/>
      <c r="AK347" s="1040"/>
      <c r="AL347" s="899"/>
      <c r="AM347" s="892"/>
      <c r="AN347" s="892"/>
      <c r="AO347" s="892"/>
    </row>
    <row r="348" spans="1:41" ht="28.5" customHeight="1">
      <c r="A348" s="899"/>
      <c r="B348" s="900"/>
      <c r="C348" s="900"/>
      <c r="D348" s="900"/>
      <c r="E348" s="900"/>
      <c r="F348" s="900"/>
      <c r="G348" s="900"/>
      <c r="H348" s="900"/>
      <c r="I348" s="900"/>
      <c r="J348" s="900"/>
      <c r="K348" s="900"/>
      <c r="L348" s="900"/>
      <c r="M348" s="900"/>
      <c r="N348" s="900"/>
      <c r="O348" s="900"/>
      <c r="P348" s="900"/>
      <c r="Q348" s="900"/>
      <c r="R348" s="900"/>
      <c r="S348" s="900"/>
      <c r="T348" s="900"/>
      <c r="U348" s="900"/>
      <c r="V348" s="900"/>
      <c r="W348" s="900"/>
      <c r="X348" s="900"/>
      <c r="Y348" s="1040"/>
      <c r="Z348" s="1040"/>
      <c r="AA348" s="1040"/>
      <c r="AB348" s="1040"/>
      <c r="AC348" s="1040"/>
      <c r="AD348" s="1040"/>
      <c r="AE348" s="1040"/>
      <c r="AF348" s="1040"/>
      <c r="AG348" s="1040"/>
      <c r="AH348" s="1040"/>
      <c r="AI348" s="1040"/>
      <c r="AJ348" s="1040"/>
      <c r="AK348" s="1040"/>
      <c r="AL348" s="899"/>
      <c r="AM348" s="892"/>
      <c r="AN348" s="892"/>
      <c r="AO348" s="892"/>
    </row>
    <row r="349" spans="1:41" ht="28.5" customHeight="1">
      <c r="A349" s="899"/>
      <c r="B349" s="900"/>
      <c r="C349" s="900"/>
      <c r="D349" s="900"/>
      <c r="E349" s="900"/>
      <c r="F349" s="900"/>
      <c r="G349" s="900"/>
      <c r="H349" s="900"/>
      <c r="I349" s="900"/>
      <c r="J349" s="900"/>
      <c r="K349" s="900"/>
      <c r="L349" s="900"/>
      <c r="M349" s="900"/>
      <c r="N349" s="900"/>
      <c r="O349" s="900"/>
      <c r="P349" s="900"/>
      <c r="Q349" s="900"/>
      <c r="R349" s="900"/>
      <c r="S349" s="900"/>
      <c r="T349" s="900"/>
      <c r="U349" s="900"/>
      <c r="V349" s="900"/>
      <c r="W349" s="900"/>
      <c r="X349" s="900"/>
      <c r="Y349" s="1040"/>
      <c r="Z349" s="1040"/>
      <c r="AA349" s="1040"/>
      <c r="AB349" s="1040"/>
      <c r="AC349" s="1040"/>
      <c r="AD349" s="1040"/>
      <c r="AE349" s="1040"/>
      <c r="AF349" s="1040"/>
      <c r="AG349" s="1040"/>
      <c r="AH349" s="1040"/>
      <c r="AI349" s="1040"/>
      <c r="AJ349" s="1040"/>
      <c r="AK349" s="1040"/>
      <c r="AL349" s="899"/>
      <c r="AM349" s="892"/>
      <c r="AN349" s="892"/>
      <c r="AO349" s="892"/>
    </row>
    <row r="350" spans="1:41">
      <c r="AM350" s="892"/>
      <c r="AN350" s="892"/>
      <c r="AO350" s="892"/>
    </row>
    <row r="351" spans="1:41" ht="16.5">
      <c r="A351" s="899"/>
      <c r="B351" s="1472"/>
      <c r="C351" s="1472"/>
      <c r="D351" s="899"/>
      <c r="E351" s="899"/>
      <c r="F351" s="899"/>
      <c r="G351" s="899"/>
      <c r="H351" s="899"/>
      <c r="I351" s="899"/>
      <c r="J351" s="899"/>
      <c r="K351" s="899"/>
      <c r="L351" s="899"/>
      <c r="M351" s="899"/>
      <c r="N351" s="899"/>
      <c r="O351" s="899"/>
      <c r="P351" s="899"/>
      <c r="Q351" s="899"/>
      <c r="R351" s="899"/>
      <c r="S351" s="899"/>
      <c r="T351" s="899"/>
      <c r="U351" s="899"/>
      <c r="V351" s="899"/>
      <c r="W351" s="899"/>
      <c r="X351" s="899"/>
      <c r="Y351" s="899"/>
      <c r="Z351" s="899"/>
      <c r="AA351" s="899"/>
      <c r="AB351" s="899"/>
      <c r="AC351" s="899"/>
      <c r="AD351" s="899"/>
      <c r="AE351" s="899"/>
      <c r="AF351" s="899"/>
      <c r="AG351" s="899"/>
      <c r="AH351" s="899"/>
      <c r="AI351" s="899"/>
      <c r="AJ351" s="899"/>
      <c r="AK351" s="899"/>
      <c r="AL351" s="899"/>
      <c r="AM351" s="892"/>
      <c r="AN351" s="892"/>
      <c r="AO351" s="892"/>
    </row>
    <row r="352" spans="1:41" ht="16.5">
      <c r="A352" s="899"/>
      <c r="B352" s="1472"/>
      <c r="C352" s="1472"/>
      <c r="D352" s="899"/>
      <c r="E352" s="899"/>
      <c r="F352" s="899"/>
      <c r="G352" s="899"/>
      <c r="H352" s="899"/>
      <c r="I352" s="899"/>
      <c r="J352" s="899"/>
      <c r="K352" s="899"/>
      <c r="L352" s="899"/>
      <c r="M352" s="899"/>
      <c r="N352" s="899"/>
      <c r="O352" s="899"/>
      <c r="P352" s="899"/>
      <c r="Q352" s="899"/>
      <c r="R352" s="899"/>
      <c r="S352" s="899"/>
      <c r="T352" s="899"/>
      <c r="U352" s="899"/>
      <c r="V352" s="899"/>
      <c r="W352" s="899"/>
      <c r="X352" s="899"/>
      <c r="Y352" s="899"/>
      <c r="Z352" s="899"/>
      <c r="AA352" s="899"/>
      <c r="AB352" s="899"/>
      <c r="AC352" s="899"/>
      <c r="AD352" s="899"/>
      <c r="AE352" s="899"/>
      <c r="AF352" s="899"/>
      <c r="AG352" s="899"/>
      <c r="AH352" s="899"/>
      <c r="AI352" s="899"/>
      <c r="AJ352" s="899"/>
      <c r="AK352" s="899"/>
      <c r="AL352" s="899"/>
      <c r="AM352" s="892"/>
      <c r="AN352" s="892"/>
      <c r="AO352" s="892"/>
    </row>
    <row r="353" spans="1:41" ht="16.5">
      <c r="A353" s="899"/>
      <c r="B353" s="1472"/>
      <c r="C353" s="1472"/>
      <c r="D353" s="899"/>
      <c r="E353" s="899"/>
      <c r="F353" s="899"/>
      <c r="G353" s="899"/>
      <c r="H353" s="899"/>
      <c r="I353" s="899"/>
      <c r="J353" s="899"/>
      <c r="K353" s="899"/>
      <c r="L353" s="899"/>
      <c r="M353" s="899"/>
      <c r="N353" s="899"/>
      <c r="O353" s="899"/>
      <c r="P353" s="899"/>
      <c r="Q353" s="899"/>
      <c r="R353" s="899"/>
      <c r="S353" s="899"/>
      <c r="T353" s="899"/>
      <c r="U353" s="899"/>
      <c r="V353" s="899"/>
      <c r="W353" s="899"/>
      <c r="X353" s="899"/>
      <c r="Y353" s="899"/>
      <c r="Z353" s="899"/>
      <c r="AA353" s="899"/>
      <c r="AB353" s="899"/>
      <c r="AC353" s="899"/>
      <c r="AD353" s="899"/>
      <c r="AE353" s="899"/>
      <c r="AF353" s="899"/>
      <c r="AG353" s="899"/>
      <c r="AH353" s="899"/>
      <c r="AI353" s="899"/>
      <c r="AJ353" s="899"/>
      <c r="AK353" s="899"/>
      <c r="AL353" s="899"/>
      <c r="AM353" s="892"/>
      <c r="AN353" s="892"/>
      <c r="AO353" s="892"/>
    </row>
    <row r="354" spans="1:41" ht="16.5">
      <c r="A354" s="899"/>
      <c r="B354" s="899"/>
      <c r="C354" s="899"/>
      <c r="D354" s="899"/>
      <c r="E354" s="899"/>
      <c r="F354" s="899"/>
      <c r="G354" s="899"/>
      <c r="H354" s="899"/>
      <c r="I354" s="899"/>
      <c r="J354" s="899"/>
      <c r="K354" s="899"/>
      <c r="L354" s="899"/>
      <c r="M354" s="899"/>
      <c r="N354" s="899"/>
      <c r="O354" s="899"/>
      <c r="P354" s="899"/>
      <c r="Q354" s="899"/>
      <c r="R354" s="899"/>
      <c r="S354" s="899"/>
      <c r="T354" s="899"/>
      <c r="U354" s="899"/>
      <c r="V354" s="899"/>
      <c r="W354" s="899"/>
      <c r="X354" s="899"/>
      <c r="Y354" s="899"/>
      <c r="Z354" s="899"/>
      <c r="AA354" s="899"/>
      <c r="AB354" s="899"/>
      <c r="AC354" s="899"/>
      <c r="AD354" s="899"/>
      <c r="AE354" s="899"/>
      <c r="AF354" s="899"/>
      <c r="AG354" s="899"/>
      <c r="AH354" s="899"/>
      <c r="AI354" s="899"/>
      <c r="AJ354" s="899"/>
      <c r="AK354" s="899"/>
      <c r="AL354" s="899"/>
      <c r="AM354" s="892"/>
      <c r="AN354" s="892"/>
      <c r="AO354" s="892"/>
    </row>
    <row r="355" spans="1:41" ht="15.75" customHeight="1">
      <c r="A355" s="899"/>
      <c r="B355" s="899"/>
      <c r="C355" s="899"/>
      <c r="D355" s="899"/>
      <c r="E355" s="899"/>
      <c r="F355" s="899"/>
      <c r="G355" s="899"/>
      <c r="H355" s="899"/>
      <c r="I355" s="899"/>
      <c r="J355" s="899"/>
      <c r="K355" s="899"/>
      <c r="L355" s="899"/>
      <c r="M355" s="899"/>
      <c r="N355" s="899"/>
      <c r="O355" s="899"/>
      <c r="P355" s="899"/>
      <c r="Q355" s="899"/>
      <c r="R355" s="899"/>
      <c r="S355" s="899"/>
      <c r="T355" s="899"/>
      <c r="U355" s="899"/>
      <c r="V355" s="899"/>
      <c r="W355" s="899"/>
      <c r="X355" s="899"/>
      <c r="Y355" s="899"/>
      <c r="Z355" s="899"/>
      <c r="AA355" s="899"/>
      <c r="AB355" s="899"/>
      <c r="AC355" s="899"/>
      <c r="AD355" s="899"/>
      <c r="AE355" s="899"/>
      <c r="AF355" s="899"/>
      <c r="AG355" s="899"/>
      <c r="AH355" s="899"/>
      <c r="AI355" s="899"/>
      <c r="AJ355" s="899"/>
      <c r="AK355" s="899"/>
      <c r="AL355" s="899"/>
      <c r="AM355" s="892"/>
      <c r="AN355" s="892"/>
      <c r="AO355" s="892"/>
    </row>
    <row r="356" spans="1:41" ht="16.5">
      <c r="A356" s="899"/>
      <c r="B356" s="899"/>
      <c r="C356" s="899"/>
      <c r="D356" s="899"/>
      <c r="E356" s="899"/>
      <c r="F356" s="899"/>
      <c r="G356" s="899"/>
      <c r="H356" s="899"/>
      <c r="I356" s="899"/>
      <c r="J356" s="899"/>
      <c r="K356" s="899"/>
      <c r="L356" s="899"/>
      <c r="M356" s="899"/>
      <c r="N356" s="899"/>
      <c r="O356" s="899"/>
      <c r="P356" s="899"/>
      <c r="Q356" s="899"/>
      <c r="R356" s="899"/>
      <c r="S356" s="899"/>
      <c r="T356" s="899"/>
      <c r="U356" s="899"/>
      <c r="V356" s="899"/>
      <c r="W356" s="899"/>
      <c r="X356" s="899"/>
      <c r="Y356" s="899"/>
      <c r="Z356" s="899"/>
      <c r="AA356" s="899"/>
      <c r="AB356" s="899"/>
      <c r="AC356" s="899"/>
      <c r="AD356" s="899"/>
      <c r="AE356" s="899"/>
      <c r="AF356" s="899"/>
      <c r="AG356" s="899"/>
      <c r="AH356" s="899"/>
      <c r="AI356" s="899"/>
      <c r="AJ356" s="899"/>
      <c r="AK356" s="899"/>
      <c r="AL356" s="899"/>
      <c r="AM356" s="892"/>
      <c r="AN356" s="892"/>
      <c r="AO356" s="892"/>
    </row>
    <row r="357" spans="1:41" ht="16.5">
      <c r="A357" s="899"/>
      <c r="B357" s="899"/>
      <c r="C357" s="899"/>
      <c r="D357" s="899"/>
      <c r="E357" s="1949"/>
      <c r="F357" s="1949"/>
      <c r="G357" s="1949"/>
      <c r="H357" s="1949"/>
      <c r="I357" s="1949"/>
      <c r="J357" s="899"/>
      <c r="K357" s="899"/>
      <c r="L357" s="899"/>
      <c r="M357" s="899"/>
      <c r="N357" s="1949"/>
      <c r="O357" s="1949"/>
      <c r="P357" s="1949"/>
      <c r="Q357" s="1949"/>
      <c r="R357" s="1949"/>
      <c r="S357" s="1949"/>
      <c r="T357" s="1949"/>
      <c r="U357" s="899"/>
      <c r="V357" s="1949"/>
      <c r="W357" s="1949"/>
      <c r="X357" s="1949"/>
      <c r="Y357" s="1949"/>
      <c r="Z357" s="1949"/>
      <c r="AA357" s="1949"/>
      <c r="AB357" s="1949"/>
      <c r="AC357" s="1949"/>
      <c r="AD357" s="899"/>
      <c r="AL357" s="899"/>
      <c r="AM357" s="892"/>
      <c r="AN357" s="892"/>
      <c r="AO357" s="892"/>
    </row>
    <row r="358" spans="1:41">
      <c r="M358" s="898"/>
      <c r="N358" s="898"/>
      <c r="O358" s="898"/>
      <c r="P358" s="898"/>
      <c r="Q358" s="898"/>
      <c r="AM358" s="892"/>
      <c r="AN358" s="892"/>
      <c r="AO358" s="892"/>
    </row>
    <row r="362" spans="1:41">
      <c r="B362" s="1951"/>
      <c r="C362" s="1951"/>
      <c r="D362" s="1951"/>
      <c r="AM362" s="892"/>
      <c r="AN362" s="892"/>
      <c r="AO362" s="892"/>
    </row>
    <row r="363" spans="1:41">
      <c r="B363" s="895"/>
      <c r="C363" s="897"/>
      <c r="D363" s="1951"/>
      <c r="E363" s="1951"/>
      <c r="F363" s="1951"/>
      <c r="G363" s="1951"/>
      <c r="H363" s="1951"/>
      <c r="I363" s="1951"/>
      <c r="AM363" s="892"/>
      <c r="AN363" s="892"/>
      <c r="AO363" s="892"/>
    </row>
    <row r="364" spans="1:41">
      <c r="B364" s="894"/>
      <c r="C364" s="898"/>
      <c r="D364" s="1950"/>
      <c r="E364" s="1950"/>
      <c r="F364" s="1950"/>
      <c r="G364" s="1950"/>
      <c r="H364" s="1950"/>
      <c r="I364" s="1950"/>
      <c r="AM364" s="892"/>
      <c r="AN364" s="892"/>
      <c r="AO364" s="892"/>
    </row>
    <row r="365" spans="1:41">
      <c r="B365" s="894"/>
      <c r="C365" s="898"/>
      <c r="D365" s="1950"/>
      <c r="E365" s="1950"/>
      <c r="F365" s="1950"/>
      <c r="G365" s="1950"/>
      <c r="H365" s="1950"/>
      <c r="I365" s="1950"/>
      <c r="AM365" s="892"/>
      <c r="AN365" s="892"/>
      <c r="AO365" s="892"/>
    </row>
    <row r="366" spans="1:41">
      <c r="B366" s="894"/>
      <c r="C366" s="898"/>
      <c r="D366" s="1950"/>
      <c r="E366" s="1950"/>
      <c r="F366" s="1950"/>
      <c r="G366" s="1950"/>
      <c r="H366" s="1950"/>
      <c r="I366" s="1950"/>
      <c r="AM366" s="892"/>
      <c r="AN366" s="892"/>
      <c r="AO366" s="892"/>
    </row>
    <row r="367" spans="1:41">
      <c r="B367" s="893"/>
      <c r="D367" s="1950"/>
      <c r="E367" s="1950"/>
      <c r="F367" s="1950"/>
      <c r="G367" s="1950"/>
      <c r="H367" s="1950"/>
      <c r="I367" s="1950"/>
      <c r="AM367" s="892"/>
      <c r="AN367" s="892"/>
      <c r="AO367" s="892"/>
    </row>
    <row r="368" spans="1:41">
      <c r="B368" s="893"/>
      <c r="D368" s="1950"/>
      <c r="E368" s="1950"/>
      <c r="F368" s="1950"/>
      <c r="G368" s="1950"/>
      <c r="H368" s="1950"/>
      <c r="I368" s="1950"/>
      <c r="AM368" s="892"/>
      <c r="AN368" s="892"/>
      <c r="AO368" s="892"/>
    </row>
    <row r="369" spans="2:41">
      <c r="B369" s="893"/>
      <c r="D369" s="1950"/>
      <c r="E369" s="1950"/>
      <c r="F369" s="1950"/>
      <c r="G369" s="1950"/>
      <c r="H369" s="1950"/>
      <c r="I369" s="1950"/>
      <c r="AM369" s="892"/>
      <c r="AN369" s="892"/>
      <c r="AO369" s="892"/>
    </row>
    <row r="370" spans="2:41">
      <c r="B370" s="893"/>
      <c r="D370" s="1950"/>
      <c r="E370" s="1950"/>
      <c r="F370" s="1950"/>
      <c r="G370" s="1950"/>
      <c r="H370" s="1950"/>
      <c r="I370" s="1950"/>
      <c r="AM370" s="892"/>
      <c r="AN370" s="892"/>
      <c r="AO370" s="892"/>
    </row>
  </sheetData>
  <mergeCells count="106">
    <mergeCell ref="AI334:AL334"/>
    <mergeCell ref="AM11:AM12"/>
    <mergeCell ref="P317:T317"/>
    <mergeCell ref="P316:T316"/>
    <mergeCell ref="Y325:AL325"/>
    <mergeCell ref="P324:T324"/>
    <mergeCell ref="P322:T322"/>
    <mergeCell ref="AJ316:AK316"/>
    <mergeCell ref="AL11:AL12"/>
    <mergeCell ref="AC317:AE317"/>
    <mergeCell ref="U318:AB318"/>
    <mergeCell ref="AC318:AE318"/>
    <mergeCell ref="U319:AB319"/>
    <mergeCell ref="AC319:AE319"/>
    <mergeCell ref="U323:AB323"/>
    <mergeCell ref="AC323:AE323"/>
    <mergeCell ref="U324:AB324"/>
    <mergeCell ref="AC324:AE324"/>
    <mergeCell ref="AJ11:AJ12"/>
    <mergeCell ref="U320:AB320"/>
    <mergeCell ref="AC320:AE320"/>
    <mergeCell ref="U321:AB321"/>
    <mergeCell ref="B181:AJ181"/>
    <mergeCell ref="B245:AJ245"/>
    <mergeCell ref="N357:T357"/>
    <mergeCell ref="V357:AC357"/>
    <mergeCell ref="D368:I368"/>
    <mergeCell ref="D369:I369"/>
    <mergeCell ref="D370:I370"/>
    <mergeCell ref="B362:D362"/>
    <mergeCell ref="D363:I363"/>
    <mergeCell ref="D364:I364"/>
    <mergeCell ref="D365:I365"/>
    <mergeCell ref="D366:I366"/>
    <mergeCell ref="D367:I367"/>
    <mergeCell ref="E357:I357"/>
    <mergeCell ref="B8:AK8"/>
    <mergeCell ref="AI10:AJ10"/>
    <mergeCell ref="G324:J324"/>
    <mergeCell ref="K321:O321"/>
    <mergeCell ref="G322:J322"/>
    <mergeCell ref="G323:J323"/>
    <mergeCell ref="K324:O324"/>
    <mergeCell ref="K322:O322"/>
    <mergeCell ref="K323:O323"/>
    <mergeCell ref="K319:O319"/>
    <mergeCell ref="K320:O320"/>
    <mergeCell ref="A14:C14"/>
    <mergeCell ref="AI11:AI12"/>
    <mergeCell ref="AK11:AK12"/>
    <mergeCell ref="K316:O316"/>
    <mergeCell ref="K318:O318"/>
    <mergeCell ref="K317:O317"/>
    <mergeCell ref="G317:J317"/>
    <mergeCell ref="U316:AB316"/>
    <mergeCell ref="AC316:AE316"/>
    <mergeCell ref="U317:AB317"/>
    <mergeCell ref="A316:C316"/>
    <mergeCell ref="A318:C318"/>
    <mergeCell ref="A319:C319"/>
    <mergeCell ref="B9:AK9"/>
    <mergeCell ref="B13:AK13"/>
    <mergeCell ref="AI326:AL326"/>
    <mergeCell ref="C11:C12"/>
    <mergeCell ref="D11:AH11"/>
    <mergeCell ref="A96:C96"/>
    <mergeCell ref="A182:C182"/>
    <mergeCell ref="A246:C246"/>
    <mergeCell ref="A11:A12"/>
    <mergeCell ref="C326:F326"/>
    <mergeCell ref="A320:C320"/>
    <mergeCell ref="A321:C321"/>
    <mergeCell ref="A324:C324"/>
    <mergeCell ref="D320:F320"/>
    <mergeCell ref="A323:C323"/>
    <mergeCell ref="D323:F323"/>
    <mergeCell ref="D322:F322"/>
    <mergeCell ref="D316:F316"/>
    <mergeCell ref="D317:F317"/>
    <mergeCell ref="D318:F318"/>
    <mergeCell ref="D319:F319"/>
    <mergeCell ref="P323:T323"/>
    <mergeCell ref="AO12:AO13"/>
    <mergeCell ref="B11:B12"/>
    <mergeCell ref="B95:AJ95"/>
    <mergeCell ref="AC321:AE321"/>
    <mergeCell ref="U322:AB322"/>
    <mergeCell ref="AC322:AE322"/>
    <mergeCell ref="AC337:AD337"/>
    <mergeCell ref="A2:AL2"/>
    <mergeCell ref="A3:AL3"/>
    <mergeCell ref="A4:AL4"/>
    <mergeCell ref="P318:T318"/>
    <mergeCell ref="P319:T319"/>
    <mergeCell ref="P320:T320"/>
    <mergeCell ref="P321:T321"/>
    <mergeCell ref="D321:F321"/>
    <mergeCell ref="D324:F324"/>
    <mergeCell ref="G316:J316"/>
    <mergeCell ref="G318:J318"/>
    <mergeCell ref="G319:J319"/>
    <mergeCell ref="G320:J320"/>
    <mergeCell ref="G321:J321"/>
    <mergeCell ref="B6:P6"/>
    <mergeCell ref="B7:P7"/>
    <mergeCell ref="A314:C314"/>
  </mergeCells>
  <conditionalFormatting sqref="D89:AG94">
    <cfRule type="containsBlanks" dxfId="5035" priority="5097">
      <formula>LEN(TRIM(D89))=0</formula>
    </cfRule>
    <cfRule type="containsBlanks" dxfId="5034" priority="5098">
      <formula>LEN(TRIM(D89))=0</formula>
    </cfRule>
  </conditionalFormatting>
  <conditionalFormatting sqref="AH88 H89:Q94 S89:Z94">
    <cfRule type="expression" dxfId="5033" priority="5079">
      <formula>#REF!="x"</formula>
    </cfRule>
  </conditionalFormatting>
  <conditionalFormatting sqref="D170:AH180 AH97:AH169">
    <cfRule type="containsBlanks" dxfId="5032" priority="5064">
      <formula>LEN(TRIM(D97))=0</formula>
    </cfRule>
    <cfRule type="containsBlanks" dxfId="5031" priority="5065">
      <formula>LEN(TRIM(D97))=0</formula>
    </cfRule>
  </conditionalFormatting>
  <conditionalFormatting sqref="T175:AG175 U180:AG180 U170:V171 T172:V174 U176:V179 T176:T180 AE170:AF172 AG170:AG174 AG176:AG179 AD170:AD171">
    <cfRule type="containsBlanks" dxfId="5030" priority="5063">
      <formula>LEN(TRIM(T170))=0</formula>
    </cfRule>
  </conditionalFormatting>
  <conditionalFormatting sqref="U170:V171 T172:V174 T175:AG175 T176:V180 W180:AG180 AE170:AF172 AG170:AG174 AG176:AG179 AD170:AD171">
    <cfRule type="containsBlanks" dxfId="5029" priority="5062">
      <formula>LEN(TRIM(T170))=0</formula>
    </cfRule>
  </conditionalFormatting>
  <conditionalFormatting sqref="AB170:AC170">
    <cfRule type="containsBlanks" dxfId="5028" priority="5056">
      <formula>LEN(TRIM(AB170))=0</formula>
    </cfRule>
    <cfRule type="containsBlanks" dxfId="5027" priority="5057">
      <formula>LEN(TRIM(AB170))=0</formula>
    </cfRule>
    <cfRule type="containsBlanks" dxfId="5026" priority="5058">
      <formula>LEN(TRIM(AB170))=0</formula>
    </cfRule>
    <cfRule type="containsBlanks" dxfId="5025" priority="5059">
      <formula>LEN(TRIM(AB170))=0</formula>
    </cfRule>
    <cfRule type="containsBlanks" dxfId="5024" priority="5060">
      <formula>LEN(TRIM(AB170))=0</formula>
    </cfRule>
    <cfRule type="containsBlanks" dxfId="5023" priority="5061">
      <formula>LEN(TRIM(AB170))=0</formula>
    </cfRule>
  </conditionalFormatting>
  <conditionalFormatting sqref="AC170:AD170 AF170:AF172">
    <cfRule type="containsBlanks" dxfId="5022" priority="5052">
      <formula>LEN(TRIM(AC170))=0</formula>
    </cfRule>
    <cfRule type="containsBlanks" dxfId="5021" priority="5053">
      <formula>LEN(TRIM(AC170))=0</formula>
    </cfRule>
    <cfRule type="containsBlanks" dxfId="5020" priority="5054">
      <formula>LEN(TRIM(AC170))=0</formula>
    </cfRule>
    <cfRule type="containsBlanks" dxfId="5019" priority="5055">
      <formula>LEN(TRIM(AC170))=0</formula>
    </cfRule>
  </conditionalFormatting>
  <conditionalFormatting sqref="AD170">
    <cfRule type="containsBlanks" dxfId="5018" priority="5036">
      <formula>LEN(TRIM(AD170))=0</formula>
    </cfRule>
    <cfRule type="containsBlanks" dxfId="5017" priority="5037">
      <formula>LEN(TRIM(AD170))=0</formula>
    </cfRule>
    <cfRule type="containsBlanks" dxfId="5016" priority="5038">
      <formula>LEN(TRIM(AD170))=0</formula>
    </cfRule>
    <cfRule type="containsBlanks" dxfId="5015" priority="5039">
      <formula>LEN(TRIM(AD170))=0</formula>
    </cfRule>
    <cfRule type="containsBlanks" dxfId="5014" priority="5040">
      <formula>LEN(TRIM(AD170))=0</formula>
    </cfRule>
    <cfRule type="containsBlanks" dxfId="5013" priority="5041">
      <formula>LEN(TRIM(AD170))=0</formula>
    </cfRule>
    <cfRule type="containsBlanks" dxfId="5012" priority="5042">
      <formula>LEN(TRIM(AD170))=0</formula>
    </cfRule>
    <cfRule type="containsBlanks" dxfId="5011" priority="5043">
      <formula>LEN(TRIM(AD170))=0</formula>
    </cfRule>
    <cfRule type="containsBlanks" dxfId="5010" priority="5044">
      <formula>LEN(TRIM(AD170))=0</formula>
    </cfRule>
    <cfRule type="containsBlanks" dxfId="5009" priority="5045">
      <formula>LEN(TRIM(AD170))=0</formula>
    </cfRule>
    <cfRule type="containsBlanks" dxfId="5008" priority="5046">
      <formula>LEN(TRIM(AD170))=0</formula>
    </cfRule>
    <cfRule type="containsBlanks" dxfId="5007" priority="5047">
      <formula>LEN(TRIM(AD170))=0</formula>
    </cfRule>
    <cfRule type="containsBlanks" dxfId="5006" priority="5048">
      <formula>LEN(TRIM(AD170))=0</formula>
    </cfRule>
    <cfRule type="containsBlanks" dxfId="5005" priority="5049">
      <formula>LEN(TRIM(AD170))=0</formula>
    </cfRule>
    <cfRule type="containsBlanks" dxfId="5004" priority="5050">
      <formula>LEN(TRIM(AD170))=0</formula>
    </cfRule>
    <cfRule type="containsBlanks" dxfId="5003" priority="5051">
      <formula>LEN(TRIM(AD170))=0</formula>
    </cfRule>
  </conditionalFormatting>
  <conditionalFormatting sqref="AD170:AD171">
    <cfRule type="containsBlanks" dxfId="5002" priority="5028">
      <formula>LEN(TRIM(AD170))=0</formula>
    </cfRule>
    <cfRule type="containsBlanks" dxfId="5001" priority="5029">
      <formula>LEN(TRIM(AD170))=0</formula>
    </cfRule>
    <cfRule type="containsBlanks" dxfId="5000" priority="5030">
      <formula>LEN(TRIM(AD170))=0</formula>
    </cfRule>
    <cfRule type="containsBlanks" dxfId="4999" priority="5031">
      <formula>LEN(TRIM(AD170))=0</formula>
    </cfRule>
    <cfRule type="containsBlanks" dxfId="4998" priority="5032">
      <formula>LEN(TRIM(AD170))=0</formula>
    </cfRule>
    <cfRule type="containsBlanks" dxfId="4997" priority="5033">
      <formula>LEN(TRIM(AD170))=0</formula>
    </cfRule>
    <cfRule type="containsBlanks" dxfId="4996" priority="5034">
      <formula>LEN(TRIM(AD170))=0</formula>
    </cfRule>
    <cfRule type="containsBlanks" dxfId="4995" priority="5035">
      <formula>LEN(TRIM(AD170))=0</formula>
    </cfRule>
  </conditionalFormatting>
  <conditionalFormatting sqref="AE170 AF170:AF171">
    <cfRule type="containsBlanks" dxfId="4994" priority="4956">
      <formula>LEN(TRIM(AE170))=0</formula>
    </cfRule>
    <cfRule type="containsBlanks" dxfId="4993" priority="4957">
      <formula>LEN(TRIM(AE170))=0</formula>
    </cfRule>
    <cfRule type="containsBlanks" dxfId="4992" priority="4958">
      <formula>LEN(TRIM(AE170))=0</formula>
    </cfRule>
    <cfRule type="containsBlanks" dxfId="4991" priority="4959">
      <formula>LEN(TRIM(AE170))=0</formula>
    </cfRule>
    <cfRule type="containsBlanks" dxfId="4990" priority="4960">
      <formula>LEN(TRIM(AE170))=0</formula>
    </cfRule>
    <cfRule type="containsBlanks" dxfId="4989" priority="4961">
      <formula>LEN(TRIM(AE170))=0</formula>
    </cfRule>
    <cfRule type="containsBlanks" dxfId="4988" priority="4962">
      <formula>LEN(TRIM(AE170))=0</formula>
    </cfRule>
    <cfRule type="containsBlanks" dxfId="4987" priority="4963">
      <formula>LEN(TRIM(AE170))=0</formula>
    </cfRule>
    <cfRule type="containsBlanks" dxfId="4986" priority="4964">
      <formula>LEN(TRIM(AE170))=0</formula>
    </cfRule>
    <cfRule type="containsBlanks" dxfId="4985" priority="4965">
      <formula>LEN(TRIM(AE170))=0</formula>
    </cfRule>
    <cfRule type="containsBlanks" dxfId="4984" priority="4966">
      <formula>LEN(TRIM(AE170))=0</formula>
    </cfRule>
    <cfRule type="containsBlanks" dxfId="4983" priority="4967">
      <formula>LEN(TRIM(AE170))=0</formula>
    </cfRule>
    <cfRule type="containsBlanks" dxfId="4982" priority="4968">
      <formula>LEN(TRIM(AE170))=0</formula>
    </cfRule>
    <cfRule type="containsBlanks" dxfId="4981" priority="4969">
      <formula>LEN(TRIM(AE170))=0</formula>
    </cfRule>
    <cfRule type="containsBlanks" dxfId="4980" priority="4970">
      <formula>LEN(TRIM(AE170))=0</formula>
    </cfRule>
    <cfRule type="containsBlanks" dxfId="4979" priority="4971">
      <formula>LEN(TRIM(AE170))=0</formula>
    </cfRule>
    <cfRule type="containsBlanks" dxfId="4978" priority="4972">
      <formula>LEN(TRIM(AE170))=0</formula>
    </cfRule>
    <cfRule type="containsBlanks" dxfId="4977" priority="4973">
      <formula>LEN(TRIM(AE170))=0</formula>
    </cfRule>
    <cfRule type="containsBlanks" dxfId="4976" priority="4974">
      <formula>LEN(TRIM(AE170))=0</formula>
    </cfRule>
    <cfRule type="containsBlanks" dxfId="4975" priority="4975">
      <formula>LEN(TRIM(AE170))=0</formula>
    </cfRule>
    <cfRule type="containsBlanks" dxfId="4974" priority="4976">
      <formula>LEN(TRIM(AE170))=0</formula>
    </cfRule>
    <cfRule type="containsBlanks" dxfId="4973" priority="4977">
      <formula>LEN(TRIM(AE170))=0</formula>
    </cfRule>
    <cfRule type="containsBlanks" dxfId="4972" priority="4978">
      <formula>LEN(TRIM(AE170))=0</formula>
    </cfRule>
    <cfRule type="containsBlanks" dxfId="4971" priority="4979">
      <formula>LEN(TRIM(AE170))=0</formula>
    </cfRule>
    <cfRule type="containsBlanks" dxfId="4970" priority="4980">
      <formula>LEN(TRIM(AE170))=0</formula>
    </cfRule>
    <cfRule type="containsBlanks" dxfId="4969" priority="4981">
      <formula>LEN(TRIM(AE170))=0</formula>
    </cfRule>
    <cfRule type="containsBlanks" dxfId="4968" priority="4982">
      <formula>LEN(TRIM(AE170))=0</formula>
    </cfRule>
    <cfRule type="containsBlanks" dxfId="4967" priority="4983">
      <formula>LEN(TRIM(AE170))=0</formula>
    </cfRule>
    <cfRule type="containsBlanks" dxfId="4966" priority="4984">
      <formula>LEN(TRIM(AE170))=0</formula>
    </cfRule>
    <cfRule type="containsBlanks" dxfId="4965" priority="4985">
      <formula>LEN(TRIM(AE170))=0</formula>
    </cfRule>
    <cfRule type="containsBlanks" dxfId="4964" priority="4986">
      <formula>LEN(TRIM(AE170))=0</formula>
    </cfRule>
    <cfRule type="containsBlanks" dxfId="4963" priority="4987">
      <formula>LEN(TRIM(AE170))=0</formula>
    </cfRule>
    <cfRule type="containsBlanks" dxfId="4962" priority="4988">
      <formula>LEN(TRIM(AE170))=0</formula>
    </cfRule>
    <cfRule type="containsBlanks" dxfId="4961" priority="4989">
      <formula>LEN(TRIM(AE170))=0</formula>
    </cfRule>
    <cfRule type="containsBlanks" dxfId="4960" priority="4990">
      <formula>LEN(TRIM(AE170))=0</formula>
    </cfRule>
    <cfRule type="containsBlanks" dxfId="4959" priority="4991">
      <formula>LEN(TRIM(AE170))=0</formula>
    </cfRule>
    <cfRule type="containsBlanks" dxfId="4958" priority="4992">
      <formula>LEN(TRIM(AE170))=0</formula>
    </cfRule>
    <cfRule type="containsBlanks" dxfId="4957" priority="4993">
      <formula>LEN(TRIM(AE170))=0</formula>
    </cfRule>
    <cfRule type="containsBlanks" dxfId="4956" priority="4994">
      <formula>LEN(TRIM(AE170))=0</formula>
    </cfRule>
    <cfRule type="containsBlanks" dxfId="4955" priority="4995">
      <formula>LEN(TRIM(AE170))=0</formula>
    </cfRule>
  </conditionalFormatting>
  <conditionalFormatting sqref="AE170:AE171">
    <cfRule type="containsBlanks" dxfId="4954" priority="4936">
      <formula>LEN(TRIM(AE170))=0</formula>
    </cfRule>
    <cfRule type="containsBlanks" dxfId="4953" priority="4937">
      <formula>LEN(TRIM(AE170))=0</formula>
    </cfRule>
    <cfRule type="containsBlanks" dxfId="4952" priority="4938">
      <formula>LEN(TRIM(AE170))=0</formula>
    </cfRule>
    <cfRule type="containsBlanks" dxfId="4951" priority="4939">
      <formula>LEN(TRIM(AE170))=0</formula>
    </cfRule>
    <cfRule type="containsBlanks" dxfId="4950" priority="4940">
      <formula>LEN(TRIM(AE170))=0</formula>
    </cfRule>
    <cfRule type="containsBlanks" dxfId="4949" priority="4941">
      <formula>LEN(TRIM(AE170))=0</formula>
    </cfRule>
    <cfRule type="containsBlanks" dxfId="4948" priority="4942">
      <formula>LEN(TRIM(AE170))=0</formula>
    </cfRule>
    <cfRule type="containsBlanks" dxfId="4947" priority="4943">
      <formula>LEN(TRIM(AE170))=0</formula>
    </cfRule>
    <cfRule type="containsBlanks" dxfId="4946" priority="4944">
      <formula>LEN(TRIM(AE170))=0</formula>
    </cfRule>
    <cfRule type="containsBlanks" dxfId="4945" priority="4945">
      <formula>LEN(TRIM(AE170))=0</formula>
    </cfRule>
    <cfRule type="containsBlanks" dxfId="4944" priority="4946">
      <formula>LEN(TRIM(AE170))=0</formula>
    </cfRule>
    <cfRule type="containsBlanks" dxfId="4943" priority="4947">
      <formula>LEN(TRIM(AE170))=0</formula>
    </cfRule>
    <cfRule type="containsBlanks" dxfId="4942" priority="4948">
      <formula>LEN(TRIM(AE170))=0</formula>
    </cfRule>
    <cfRule type="containsBlanks" dxfId="4941" priority="4949">
      <formula>LEN(TRIM(AE170))=0</formula>
    </cfRule>
    <cfRule type="containsBlanks" dxfId="4940" priority="4950">
      <formula>LEN(TRIM(AE170))=0</formula>
    </cfRule>
    <cfRule type="containsBlanks" dxfId="4939" priority="4951">
      <formula>LEN(TRIM(AE170))=0</formula>
    </cfRule>
    <cfRule type="containsBlanks" dxfId="4938" priority="4952">
      <formula>LEN(TRIM(AE170))=0</formula>
    </cfRule>
    <cfRule type="containsBlanks" dxfId="4937" priority="4953">
      <formula>LEN(TRIM(AE170))=0</formula>
    </cfRule>
    <cfRule type="containsBlanks" dxfId="4936" priority="4954">
      <formula>LEN(TRIM(AE170))=0</formula>
    </cfRule>
    <cfRule type="containsBlanks" dxfId="4935" priority="4955">
      <formula>LEN(TRIM(AE170))=0</formula>
    </cfRule>
  </conditionalFormatting>
  <conditionalFormatting sqref="AE170:AE172">
    <cfRule type="containsBlanks" dxfId="4934" priority="4922">
      <formula>LEN(TRIM(AE170))=0</formula>
    </cfRule>
    <cfRule type="containsBlanks" dxfId="4933" priority="4923">
      <formula>LEN(TRIM(AE170))=0</formula>
    </cfRule>
    <cfRule type="containsBlanks" dxfId="4932" priority="4924">
      <formula>LEN(TRIM(AE170))=0</formula>
    </cfRule>
    <cfRule type="containsBlanks" dxfId="4931" priority="4925">
      <formula>LEN(TRIM(AE170))=0</formula>
    </cfRule>
    <cfRule type="containsBlanks" dxfId="4930" priority="4926">
      <formula>LEN(TRIM(AE170))=0</formula>
    </cfRule>
    <cfRule type="containsBlanks" dxfId="4929" priority="4927">
      <formula>LEN(TRIM(AE170))=0</formula>
    </cfRule>
    <cfRule type="containsBlanks" dxfId="4928" priority="4928">
      <formula>LEN(TRIM(AE170))=0</formula>
    </cfRule>
    <cfRule type="containsBlanks" dxfId="4927" priority="4929">
      <formula>LEN(TRIM(AE170))=0</formula>
    </cfRule>
    <cfRule type="containsBlanks" dxfId="4926" priority="4930">
      <formula>LEN(TRIM(AE170))=0</formula>
    </cfRule>
    <cfRule type="containsBlanks" dxfId="4925" priority="4931">
      <formula>LEN(TRIM(AE170))=0</formula>
    </cfRule>
    <cfRule type="containsBlanks" dxfId="4924" priority="4932">
      <formula>LEN(TRIM(AE170))=0</formula>
    </cfRule>
    <cfRule type="containsBlanks" dxfId="4923" priority="4933">
      <formula>LEN(TRIM(AE170))=0</formula>
    </cfRule>
    <cfRule type="containsBlanks" dxfId="4922" priority="4934">
      <formula>LEN(TRIM(AE170))=0</formula>
    </cfRule>
    <cfRule type="containsBlanks" dxfId="4921" priority="4935">
      <formula>LEN(TRIM(AE170))=0</formula>
    </cfRule>
  </conditionalFormatting>
  <conditionalFormatting sqref="AF170">
    <cfRule type="containsBlanks" dxfId="4920" priority="4888">
      <formula>LEN(TRIM(AF170))=0</formula>
    </cfRule>
    <cfRule type="containsBlanks" dxfId="4919" priority="4889">
      <formula>LEN(TRIM(AF170))=0</formula>
    </cfRule>
    <cfRule type="containsBlanks" dxfId="4918" priority="4890">
      <formula>LEN(TRIM(AF170))=0</formula>
    </cfRule>
    <cfRule type="containsBlanks" dxfId="4917" priority="4891">
      <formula>LEN(TRIM(AF170))=0</formula>
    </cfRule>
    <cfRule type="containsBlanks" dxfId="4916" priority="4892">
      <formula>LEN(TRIM(AF170))=0</formula>
    </cfRule>
    <cfRule type="containsBlanks" dxfId="4915" priority="4893">
      <formula>LEN(TRIM(AF170))=0</formula>
    </cfRule>
    <cfRule type="containsBlanks" dxfId="4914" priority="4894">
      <formula>LEN(TRIM(AF170))=0</formula>
    </cfRule>
    <cfRule type="containsBlanks" dxfId="4913" priority="4895">
      <formula>LEN(TRIM(AF170))=0</formula>
    </cfRule>
    <cfRule type="containsBlanks" dxfId="4912" priority="4896">
      <formula>LEN(TRIM(AF170))=0</formula>
    </cfRule>
    <cfRule type="containsBlanks" dxfId="4911" priority="4897">
      <formula>LEN(TRIM(AF170))=0</formula>
    </cfRule>
    <cfRule type="containsBlanks" dxfId="4910" priority="4898">
      <formula>LEN(TRIM(AF170))=0</formula>
    </cfRule>
    <cfRule type="containsBlanks" dxfId="4909" priority="4899">
      <formula>LEN(TRIM(AF170))=0</formula>
    </cfRule>
    <cfRule type="containsBlanks" dxfId="4908" priority="4900">
      <formula>LEN(TRIM(AF170))=0</formula>
    </cfRule>
    <cfRule type="containsBlanks" dxfId="4907" priority="4901">
      <formula>LEN(TRIM(AF170))=0</formula>
    </cfRule>
    <cfRule type="containsBlanks" dxfId="4906" priority="4902">
      <formula>LEN(TRIM(AF170))=0</formula>
    </cfRule>
    <cfRule type="containsBlanks" dxfId="4905" priority="4903">
      <formula>LEN(TRIM(AF170))=0</formula>
    </cfRule>
    <cfRule type="containsBlanks" dxfId="4904" priority="4904">
      <formula>LEN(TRIM(AF170))=0</formula>
    </cfRule>
    <cfRule type="containsBlanks" dxfId="4903" priority="4905">
      <formula>LEN(TRIM(AF170))=0</formula>
    </cfRule>
    <cfRule type="containsBlanks" dxfId="4902" priority="4906">
      <formula>LEN(TRIM(AF170))=0</formula>
    </cfRule>
    <cfRule type="containsBlanks" dxfId="4901" priority="4907">
      <formula>LEN(TRIM(AF170))=0</formula>
    </cfRule>
    <cfRule type="containsBlanks" dxfId="4900" priority="4908">
      <formula>LEN(TRIM(AF170))=0</formula>
    </cfRule>
    <cfRule type="containsBlanks" dxfId="4899" priority="4909">
      <formula>LEN(TRIM(AF170))=0</formula>
    </cfRule>
    <cfRule type="containsBlanks" dxfId="4898" priority="4910">
      <formula>LEN(TRIM(AF170))=0</formula>
    </cfRule>
    <cfRule type="containsBlanks" dxfId="4897" priority="4911">
      <formula>LEN(TRIM(AF170))=0</formula>
    </cfRule>
    <cfRule type="containsBlanks" dxfId="4896" priority="4912">
      <formula>LEN(TRIM(AF170))=0</formula>
    </cfRule>
    <cfRule type="containsBlanks" dxfId="4895" priority="4913">
      <formula>LEN(TRIM(AF170))=0</formula>
    </cfRule>
    <cfRule type="containsBlanks" dxfId="4894" priority="4914">
      <formula>LEN(TRIM(AF170))=0</formula>
    </cfRule>
    <cfRule type="containsBlanks" dxfId="4893" priority="4915">
      <formula>LEN(TRIM(AF170))=0</formula>
    </cfRule>
    <cfRule type="containsBlanks" dxfId="4892" priority="4916">
      <formula>LEN(TRIM(AF170))=0</formula>
    </cfRule>
    <cfRule type="containsBlanks" dxfId="4891" priority="4917">
      <formula>LEN(TRIM(AF170))=0</formula>
    </cfRule>
    <cfRule type="containsBlanks" dxfId="4890" priority="4918">
      <formula>LEN(TRIM(AF170))=0</formula>
    </cfRule>
    <cfRule type="containsBlanks" dxfId="4889" priority="4919">
      <formula>LEN(TRIM(AF170))=0</formula>
    </cfRule>
    <cfRule type="containsBlanks" dxfId="4888" priority="4920">
      <formula>LEN(TRIM(AF170))=0</formula>
    </cfRule>
    <cfRule type="containsBlanks" dxfId="4887" priority="4921">
      <formula>LEN(TRIM(AF170))=0</formula>
    </cfRule>
  </conditionalFormatting>
  <conditionalFormatting sqref="AF170">
    <cfRule type="containsBlanks" dxfId="4886" priority="4858">
      <formula>LEN(TRIM(AF170))=0</formula>
    </cfRule>
    <cfRule type="containsBlanks" dxfId="4885" priority="4859">
      <formula>LEN(TRIM(AF170))=0</formula>
    </cfRule>
    <cfRule type="containsBlanks" dxfId="4884" priority="4860">
      <formula>LEN(TRIM(AF170))=0</formula>
    </cfRule>
    <cfRule type="containsBlanks" dxfId="4883" priority="4861">
      <formula>LEN(TRIM(AF170))=0</formula>
    </cfRule>
    <cfRule type="containsBlanks" dxfId="4882" priority="4862">
      <formula>LEN(TRIM(AF170))=0</formula>
    </cfRule>
    <cfRule type="containsBlanks" dxfId="4881" priority="4863">
      <formula>LEN(TRIM(AF170))=0</formula>
    </cfRule>
    <cfRule type="containsBlanks" dxfId="4880" priority="4864">
      <formula>LEN(TRIM(AF170))=0</formula>
    </cfRule>
    <cfRule type="containsBlanks" dxfId="4879" priority="4865">
      <formula>LEN(TRIM(AF170))=0</formula>
    </cfRule>
    <cfRule type="containsBlanks" dxfId="4878" priority="4866">
      <formula>LEN(TRIM(AF170))=0</formula>
    </cfRule>
    <cfRule type="containsBlanks" dxfId="4877" priority="4867">
      <formula>LEN(TRIM(AF170))=0</formula>
    </cfRule>
    <cfRule type="containsBlanks" dxfId="4876" priority="4868">
      <formula>LEN(TRIM(AF170))=0</formula>
    </cfRule>
    <cfRule type="containsBlanks" dxfId="4875" priority="4869">
      <formula>LEN(TRIM(AF170))=0</formula>
    </cfRule>
    <cfRule type="containsBlanks" dxfId="4874" priority="4870">
      <formula>LEN(TRIM(AF170))=0</formula>
    </cfRule>
    <cfRule type="containsBlanks" dxfId="4873" priority="4871">
      <formula>LEN(TRIM(AF170))=0</formula>
    </cfRule>
    <cfRule type="containsBlanks" dxfId="4872" priority="4872">
      <formula>LEN(TRIM(AF170))=0</formula>
    </cfRule>
    <cfRule type="containsBlanks" dxfId="4871" priority="4873">
      <formula>LEN(TRIM(AF170))=0</formula>
    </cfRule>
    <cfRule type="containsBlanks" dxfId="4870" priority="4874">
      <formula>LEN(TRIM(AF170))=0</formula>
    </cfRule>
    <cfRule type="containsBlanks" dxfId="4869" priority="4875">
      <formula>LEN(TRIM(AF170))=0</formula>
    </cfRule>
    <cfRule type="containsBlanks" dxfId="4868" priority="4876">
      <formula>LEN(TRIM(AF170))=0</formula>
    </cfRule>
    <cfRule type="containsBlanks" dxfId="4867" priority="4877">
      <formula>LEN(TRIM(AF170))=0</formula>
    </cfRule>
    <cfRule type="containsBlanks" dxfId="4866" priority="4878">
      <formula>LEN(TRIM(AF170))=0</formula>
    </cfRule>
    <cfRule type="containsBlanks" dxfId="4865" priority="4879">
      <formula>LEN(TRIM(AF170))=0</formula>
    </cfRule>
    <cfRule type="containsBlanks" dxfId="4864" priority="4880">
      <formula>LEN(TRIM(AF170))=0</formula>
    </cfRule>
    <cfRule type="containsBlanks" dxfId="4863" priority="4881">
      <formula>LEN(TRIM(AF170))=0</formula>
    </cfRule>
    <cfRule type="containsBlanks" dxfId="4862" priority="4882">
      <formula>LEN(TRIM(AF170))=0</formula>
    </cfRule>
    <cfRule type="containsBlanks" dxfId="4861" priority="4883">
      <formula>LEN(TRIM(AF170))=0</formula>
    </cfRule>
    <cfRule type="containsBlanks" dxfId="4860" priority="4884">
      <formula>LEN(TRIM(AF170))=0</formula>
    </cfRule>
    <cfRule type="containsBlanks" dxfId="4859" priority="4885">
      <formula>LEN(TRIM(AF170))=0</formula>
    </cfRule>
    <cfRule type="containsBlanks" dxfId="4858" priority="4886">
      <formula>LEN(TRIM(AF170))=0</formula>
    </cfRule>
    <cfRule type="containsBlanks" dxfId="4857" priority="4887">
      <formula>LEN(TRIM(AF170))=0</formula>
    </cfRule>
  </conditionalFormatting>
  <conditionalFormatting sqref="AG170">
    <cfRule type="containsBlanks" dxfId="4856" priority="4792">
      <formula>LEN(TRIM(AG170))=0</formula>
    </cfRule>
    <cfRule type="containsBlanks" dxfId="4855" priority="4793">
      <formula>LEN(TRIM(AG170))=0</formula>
    </cfRule>
    <cfRule type="containsBlanks" dxfId="4854" priority="4794">
      <formula>LEN(TRIM(AG170))=0</formula>
    </cfRule>
    <cfRule type="containsBlanks" dxfId="4853" priority="4795">
      <formula>LEN(TRIM(AG170))=0</formula>
    </cfRule>
    <cfRule type="containsBlanks" dxfId="4852" priority="4796">
      <formula>LEN(TRIM(AG170))=0</formula>
    </cfRule>
    <cfRule type="containsBlanks" dxfId="4851" priority="4797">
      <formula>LEN(TRIM(AG170))=0</formula>
    </cfRule>
    <cfRule type="containsBlanks" dxfId="4850" priority="4798">
      <formula>LEN(TRIM(AG170))=0</formula>
    </cfRule>
    <cfRule type="containsBlanks" dxfId="4849" priority="4799">
      <formula>LEN(TRIM(AG170))=0</formula>
    </cfRule>
    <cfRule type="containsBlanks" dxfId="4848" priority="4800">
      <formula>LEN(TRIM(AG170))=0</formula>
    </cfRule>
    <cfRule type="containsBlanks" dxfId="4847" priority="4801">
      <formula>LEN(TRIM(AG170))=0</formula>
    </cfRule>
    <cfRule type="containsBlanks" dxfId="4846" priority="4802">
      <formula>LEN(TRIM(AG170))=0</formula>
    </cfRule>
    <cfRule type="containsBlanks" dxfId="4845" priority="4803">
      <formula>LEN(TRIM(AG170))=0</formula>
    </cfRule>
    <cfRule type="containsBlanks" dxfId="4844" priority="4804">
      <formula>LEN(TRIM(AG170))=0</formula>
    </cfRule>
    <cfRule type="containsBlanks" dxfId="4843" priority="4805">
      <formula>LEN(TRIM(AG170))=0</formula>
    </cfRule>
    <cfRule type="containsBlanks" dxfId="4842" priority="4806">
      <formula>LEN(TRIM(AG170))=0</formula>
    </cfRule>
    <cfRule type="containsBlanks" dxfId="4841" priority="4807">
      <formula>LEN(TRIM(AG170))=0</formula>
    </cfRule>
    <cfRule type="containsBlanks" dxfId="4840" priority="4808">
      <formula>LEN(TRIM(AG170))=0</formula>
    </cfRule>
    <cfRule type="containsBlanks" dxfId="4839" priority="4809">
      <formula>LEN(TRIM(AG170))=0</formula>
    </cfRule>
    <cfRule type="containsBlanks" dxfId="4838" priority="4810">
      <formula>LEN(TRIM(AG170))=0</formula>
    </cfRule>
    <cfRule type="containsBlanks" dxfId="4837" priority="4811">
      <formula>LEN(TRIM(AG170))=0</formula>
    </cfRule>
    <cfRule type="containsBlanks" dxfId="4836" priority="4812">
      <formula>LEN(TRIM(AG170))=0</formula>
    </cfRule>
    <cfRule type="containsBlanks" dxfId="4835" priority="4813">
      <formula>LEN(TRIM(AG170))=0</formula>
    </cfRule>
    <cfRule type="containsBlanks" dxfId="4834" priority="4814">
      <formula>LEN(TRIM(AG170))=0</formula>
    </cfRule>
    <cfRule type="containsBlanks" dxfId="4833" priority="4815">
      <formula>LEN(TRIM(AG170))=0</formula>
    </cfRule>
    <cfRule type="containsBlanks" dxfId="4832" priority="4816">
      <formula>LEN(TRIM(AG170))=0</formula>
    </cfRule>
    <cfRule type="containsBlanks" dxfId="4831" priority="4817">
      <formula>LEN(TRIM(AG170))=0</formula>
    </cfRule>
    <cfRule type="containsBlanks" dxfId="4830" priority="4818">
      <formula>LEN(TRIM(AG170))=0</formula>
    </cfRule>
    <cfRule type="containsBlanks" dxfId="4829" priority="4819">
      <formula>LEN(TRIM(AG170))=0</formula>
    </cfRule>
    <cfRule type="containsBlanks" dxfId="4828" priority="4820">
      <formula>LEN(TRIM(AG170))=0</formula>
    </cfRule>
    <cfRule type="containsBlanks" dxfId="4827" priority="4821">
      <formula>LEN(TRIM(AG170))=0</formula>
    </cfRule>
    <cfRule type="containsBlanks" dxfId="4826" priority="4822">
      <formula>LEN(TRIM(AG170))=0</formula>
    </cfRule>
    <cfRule type="containsBlanks" dxfId="4825" priority="4823">
      <formula>LEN(TRIM(AG170))=0</formula>
    </cfRule>
    <cfRule type="containsBlanks" dxfId="4824" priority="4824">
      <formula>LEN(TRIM(AG170))=0</formula>
    </cfRule>
    <cfRule type="containsBlanks" dxfId="4823" priority="4825">
      <formula>LEN(TRIM(AG170))=0</formula>
    </cfRule>
    <cfRule type="containsBlanks" dxfId="4822" priority="4826">
      <formula>LEN(TRIM(AG170))=0</formula>
    </cfRule>
    <cfRule type="containsBlanks" dxfId="4821" priority="4827">
      <formula>LEN(TRIM(AG170))=0</formula>
    </cfRule>
    <cfRule type="containsBlanks" dxfId="4820" priority="4828">
      <formula>LEN(TRIM(AG170))=0</formula>
    </cfRule>
    <cfRule type="containsBlanks" dxfId="4819" priority="4829">
      <formula>LEN(TRIM(AG170))=0</formula>
    </cfRule>
    <cfRule type="containsBlanks" dxfId="4818" priority="4830">
      <formula>LEN(TRIM(AG170))=0</formula>
    </cfRule>
    <cfRule type="containsBlanks" dxfId="4817" priority="4831">
      <formula>LEN(TRIM(AG170))=0</formula>
    </cfRule>
    <cfRule type="containsBlanks" dxfId="4816" priority="4832">
      <formula>LEN(TRIM(AG170))=0</formula>
    </cfRule>
    <cfRule type="containsBlanks" dxfId="4815" priority="4833">
      <formula>LEN(TRIM(AG170))=0</formula>
    </cfRule>
    <cfRule type="containsBlanks" dxfId="4814" priority="4834">
      <formula>LEN(TRIM(AG170))=0</formula>
    </cfRule>
    <cfRule type="containsBlanks" dxfId="4813" priority="4835">
      <formula>LEN(TRIM(AG170))=0</formula>
    </cfRule>
    <cfRule type="containsBlanks" dxfId="4812" priority="4836">
      <formula>LEN(TRIM(AG170))=0</formula>
    </cfRule>
    <cfRule type="containsBlanks" dxfId="4811" priority="4837">
      <formula>LEN(TRIM(AG170))=0</formula>
    </cfRule>
    <cfRule type="containsBlanks" dxfId="4810" priority="4838">
      <formula>LEN(TRIM(AG170))=0</formula>
    </cfRule>
    <cfRule type="containsBlanks" dxfId="4809" priority="4839">
      <formula>LEN(TRIM(AG170))=0</formula>
    </cfRule>
    <cfRule type="containsBlanks" dxfId="4808" priority="4840">
      <formula>LEN(TRIM(AG170))=0</formula>
    </cfRule>
    <cfRule type="containsBlanks" dxfId="4807" priority="4841">
      <formula>LEN(TRIM(AG170))=0</formula>
    </cfRule>
    <cfRule type="containsBlanks" dxfId="4806" priority="4842">
      <formula>LEN(TRIM(AG170))=0</formula>
    </cfRule>
    <cfRule type="containsBlanks" dxfId="4805" priority="4843">
      <formula>LEN(TRIM(AG170))=0</formula>
    </cfRule>
    <cfRule type="containsBlanks" dxfId="4804" priority="4844">
      <formula>LEN(TRIM(AG170))=0</formula>
    </cfRule>
    <cfRule type="containsBlanks" dxfId="4803" priority="4845">
      <formula>LEN(TRIM(AG170))=0</formula>
    </cfRule>
    <cfRule type="containsBlanks" dxfId="4802" priority="4846">
      <formula>LEN(TRIM(AG170))=0</formula>
    </cfRule>
    <cfRule type="containsBlanks" dxfId="4801" priority="4847">
      <formula>LEN(TRIM(AG170))=0</formula>
    </cfRule>
    <cfRule type="containsBlanks" dxfId="4800" priority="4848">
      <formula>LEN(TRIM(AG170))=0</formula>
    </cfRule>
    <cfRule type="containsBlanks" dxfId="4799" priority="4849">
      <formula>LEN(TRIM(AG170))=0</formula>
    </cfRule>
    <cfRule type="containsBlanks" dxfId="4798" priority="4850">
      <formula>LEN(TRIM(AG170))=0</formula>
    </cfRule>
    <cfRule type="containsBlanks" dxfId="4797" priority="4851">
      <formula>LEN(TRIM(AG170))=0</formula>
    </cfRule>
    <cfRule type="containsBlanks" dxfId="4796" priority="4852">
      <formula>LEN(TRIM(AG170))=0</formula>
    </cfRule>
    <cfRule type="containsBlanks" dxfId="4795" priority="4853">
      <formula>LEN(TRIM(AG170))=0</formula>
    </cfRule>
    <cfRule type="containsBlanks" dxfId="4794" priority="4854">
      <formula>LEN(TRIM(AG170))=0</formula>
    </cfRule>
    <cfRule type="containsBlanks" dxfId="4793" priority="4855">
      <formula>LEN(TRIM(AG170))=0</formula>
    </cfRule>
    <cfRule type="containsBlanks" dxfId="4792" priority="4856">
      <formula>LEN(TRIM(AG170))=0</formula>
    </cfRule>
    <cfRule type="containsBlanks" dxfId="4791" priority="4857">
      <formula>LEN(TRIM(AG170))=0</formula>
    </cfRule>
  </conditionalFormatting>
  <conditionalFormatting sqref="AG170:AG171">
    <cfRule type="containsBlanks" dxfId="4790" priority="4737">
      <formula>LEN(TRIM(AG170))=0</formula>
    </cfRule>
    <cfRule type="containsBlanks" dxfId="4789" priority="4738">
      <formula>LEN(TRIM(AG170))=0</formula>
    </cfRule>
    <cfRule type="containsBlanks" dxfId="4788" priority="4739">
      <formula>LEN(TRIM(AG170))=0</formula>
    </cfRule>
    <cfRule type="containsBlanks" dxfId="4787" priority="4740">
      <formula>LEN(TRIM(AG170))=0</formula>
    </cfRule>
    <cfRule type="containsBlanks" dxfId="4786" priority="4741">
      <formula>LEN(TRIM(AG170))=0</formula>
    </cfRule>
    <cfRule type="containsBlanks" dxfId="4785" priority="4742">
      <formula>LEN(TRIM(AG170))=0</formula>
    </cfRule>
    <cfRule type="containsBlanks" dxfId="4784" priority="4743">
      <formula>LEN(TRIM(AG170))=0</formula>
    </cfRule>
    <cfRule type="containsBlanks" dxfId="4783" priority="4744">
      <formula>LEN(TRIM(AG170))=0</formula>
    </cfRule>
    <cfRule type="containsBlanks" dxfId="4782" priority="4745">
      <formula>LEN(TRIM(AG170))=0</formula>
    </cfRule>
    <cfRule type="containsBlanks" dxfId="4781" priority="4746">
      <formula>LEN(TRIM(AG170))=0</formula>
    </cfRule>
    <cfRule type="containsBlanks" dxfId="4780" priority="4747">
      <formula>LEN(TRIM(AG170))=0</formula>
    </cfRule>
    <cfRule type="containsBlanks" dxfId="4779" priority="4748">
      <formula>LEN(TRIM(AG170))=0</formula>
    </cfRule>
    <cfRule type="containsBlanks" dxfId="4778" priority="4749">
      <formula>LEN(TRIM(AG170))=0</formula>
    </cfRule>
    <cfRule type="containsBlanks" dxfId="4777" priority="4750">
      <formula>LEN(TRIM(AG170))=0</formula>
    </cfRule>
    <cfRule type="containsBlanks" dxfId="4776" priority="4751">
      <formula>LEN(TRIM(AG170))=0</formula>
    </cfRule>
    <cfRule type="containsBlanks" dxfId="4775" priority="4752">
      <formula>LEN(TRIM(AG170))=0</formula>
    </cfRule>
    <cfRule type="containsBlanks" dxfId="4774" priority="4753">
      <formula>LEN(TRIM(AG170))=0</formula>
    </cfRule>
    <cfRule type="containsBlanks" dxfId="4773" priority="4754">
      <formula>LEN(TRIM(AG170))=0</formula>
    </cfRule>
    <cfRule type="containsBlanks" dxfId="4772" priority="4755">
      <formula>LEN(TRIM(AG170))=0</formula>
    </cfRule>
    <cfRule type="containsBlanks" dxfId="4771" priority="4756">
      <formula>LEN(TRIM(AG170))=0</formula>
    </cfRule>
    <cfRule type="containsBlanks" dxfId="4770" priority="4757">
      <formula>LEN(TRIM(AG170))=0</formula>
    </cfRule>
    <cfRule type="containsBlanks" dxfId="4769" priority="4758">
      <formula>LEN(TRIM(AG170))=0</formula>
    </cfRule>
    <cfRule type="containsBlanks" dxfId="4768" priority="4759">
      <formula>LEN(TRIM(AG170))=0</formula>
    </cfRule>
    <cfRule type="containsBlanks" dxfId="4767" priority="4760">
      <formula>LEN(TRIM(AG170))=0</formula>
    </cfRule>
    <cfRule type="containsBlanks" dxfId="4766" priority="4761">
      <formula>LEN(TRIM(AG170))=0</formula>
    </cfRule>
    <cfRule type="containsBlanks" dxfId="4765" priority="4762">
      <formula>LEN(TRIM(AG170))=0</formula>
    </cfRule>
    <cfRule type="containsBlanks" dxfId="4764" priority="4763">
      <formula>LEN(TRIM(AG170))=0</formula>
    </cfRule>
    <cfRule type="containsBlanks" dxfId="4763" priority="4764">
      <formula>LEN(TRIM(AG170))=0</formula>
    </cfRule>
    <cfRule type="containsBlanks" dxfId="4762" priority="4765">
      <formula>LEN(TRIM(AG170))=0</formula>
    </cfRule>
    <cfRule type="containsBlanks" dxfId="4761" priority="4766">
      <formula>LEN(TRIM(AG170))=0</formula>
    </cfRule>
    <cfRule type="containsBlanks" dxfId="4760" priority="4767">
      <formula>LEN(TRIM(AG170))=0</formula>
    </cfRule>
    <cfRule type="containsBlanks" dxfId="4759" priority="4768">
      <formula>LEN(TRIM(AG170))=0</formula>
    </cfRule>
    <cfRule type="containsBlanks" dxfId="4758" priority="4769">
      <formula>LEN(TRIM(AG170))=0</formula>
    </cfRule>
    <cfRule type="containsBlanks" dxfId="4757" priority="4770">
      <formula>LEN(TRIM(AG170))=0</formula>
    </cfRule>
    <cfRule type="containsBlanks" dxfId="4756" priority="4771">
      <formula>LEN(TRIM(AG170))=0</formula>
    </cfRule>
    <cfRule type="containsBlanks" dxfId="4755" priority="4772">
      <formula>LEN(TRIM(AG170))=0</formula>
    </cfRule>
    <cfRule type="containsBlanks" dxfId="4754" priority="4773">
      <formula>LEN(TRIM(AG170))=0</formula>
    </cfRule>
    <cfRule type="containsBlanks" dxfId="4753" priority="4774">
      <formula>LEN(TRIM(AG170))=0</formula>
    </cfRule>
    <cfRule type="containsBlanks" dxfId="4752" priority="4775">
      <formula>LEN(TRIM(AG170))=0</formula>
    </cfRule>
    <cfRule type="containsBlanks" dxfId="4751" priority="4776">
      <formula>LEN(TRIM(AG170))=0</formula>
    </cfRule>
    <cfRule type="containsBlanks" dxfId="4750" priority="4777">
      <formula>LEN(TRIM(AG170))=0</formula>
    </cfRule>
    <cfRule type="containsBlanks" dxfId="4749" priority="4778">
      <formula>LEN(TRIM(AG170))=0</formula>
    </cfRule>
    <cfRule type="containsBlanks" dxfId="4748" priority="4779">
      <formula>LEN(TRIM(AG170))=0</formula>
    </cfRule>
    <cfRule type="containsBlanks" dxfId="4747" priority="4780">
      <formula>LEN(TRIM(AG170))=0</formula>
    </cfRule>
    <cfRule type="containsBlanks" dxfId="4746" priority="4781">
      <formula>LEN(TRIM(AG170))=0</formula>
    </cfRule>
    <cfRule type="containsBlanks" dxfId="4745" priority="4782">
      <formula>LEN(TRIM(AG170))=0</formula>
    </cfRule>
    <cfRule type="containsBlanks" dxfId="4744" priority="4783">
      <formula>LEN(TRIM(AG170))=0</formula>
    </cfRule>
    <cfRule type="containsBlanks" dxfId="4743" priority="4784">
      <formula>LEN(TRIM(AG170))=0</formula>
    </cfRule>
    <cfRule type="containsBlanks" dxfId="4742" priority="4785">
      <formula>LEN(TRIM(AG170))=0</formula>
    </cfRule>
    <cfRule type="containsBlanks" dxfId="4741" priority="4786">
      <formula>LEN(TRIM(AG170))=0</formula>
    </cfRule>
    <cfRule type="containsBlanks" dxfId="4740" priority="4787">
      <formula>LEN(TRIM(AG170))=0</formula>
    </cfRule>
    <cfRule type="containsBlanks" dxfId="4739" priority="4788">
      <formula>LEN(TRIM(AG170))=0</formula>
    </cfRule>
    <cfRule type="containsBlanks" dxfId="4738" priority="4789">
      <formula>LEN(TRIM(AG170))=0</formula>
    </cfRule>
    <cfRule type="containsBlanks" dxfId="4737" priority="4790">
      <formula>LEN(TRIM(AG170))=0</formula>
    </cfRule>
    <cfRule type="containsBlanks" dxfId="4736" priority="4791">
      <formula>LEN(TRIM(AG170))=0</formula>
    </cfRule>
  </conditionalFormatting>
  <conditionalFormatting sqref="AG170:AG180">
    <cfRule type="containsBlanks" dxfId="4735" priority="4653">
      <formula>LEN(TRIM(AG170))=0</formula>
    </cfRule>
    <cfRule type="containsBlanks" dxfId="4734" priority="4654">
      <formula>LEN(TRIM(AG170))=0</formula>
    </cfRule>
    <cfRule type="containsBlanks" dxfId="4733" priority="4655">
      <formula>LEN(TRIM(AG170))=0</formula>
    </cfRule>
    <cfRule type="containsBlanks" dxfId="4732" priority="4656">
      <formula>LEN(TRIM(AG170))=0</formula>
    </cfRule>
    <cfRule type="containsBlanks" dxfId="4731" priority="4657">
      <formula>LEN(TRIM(AG170))=0</formula>
    </cfRule>
    <cfRule type="containsBlanks" dxfId="4730" priority="4658">
      <formula>LEN(TRIM(AG170))=0</formula>
    </cfRule>
    <cfRule type="containsBlanks" dxfId="4729" priority="4659">
      <formula>LEN(TRIM(AG170))=0</formula>
    </cfRule>
    <cfRule type="containsBlanks" dxfId="4728" priority="4660">
      <formula>LEN(TRIM(AG170))=0</formula>
    </cfRule>
    <cfRule type="containsBlanks" dxfId="4727" priority="4661">
      <formula>LEN(TRIM(AG170))=0</formula>
    </cfRule>
    <cfRule type="containsBlanks" dxfId="4726" priority="4662">
      <formula>LEN(TRIM(AG170))=0</formula>
    </cfRule>
    <cfRule type="containsBlanks" dxfId="4725" priority="4663">
      <formula>LEN(TRIM(AG170))=0</formula>
    </cfRule>
    <cfRule type="containsBlanks" dxfId="4724" priority="4664">
      <formula>LEN(TRIM(AG170))=0</formula>
    </cfRule>
    <cfRule type="containsBlanks" dxfId="4723" priority="4665">
      <formula>LEN(TRIM(AG170))=0</formula>
    </cfRule>
    <cfRule type="containsBlanks" dxfId="4722" priority="4666">
      <formula>LEN(TRIM(AG170))=0</formula>
    </cfRule>
    <cfRule type="containsBlanks" dxfId="4721" priority="4667">
      <formula>LEN(TRIM(AG170))=0</formula>
    </cfRule>
    <cfRule type="containsBlanks" dxfId="4720" priority="4668">
      <formula>LEN(TRIM(AG170))=0</formula>
    </cfRule>
    <cfRule type="containsBlanks" dxfId="4719" priority="4669">
      <formula>LEN(TRIM(AG170))=0</formula>
    </cfRule>
    <cfRule type="containsBlanks" dxfId="4718" priority="4670">
      <formula>LEN(TRIM(AG170))=0</formula>
    </cfRule>
    <cfRule type="containsBlanks" dxfId="4717" priority="4671">
      <formula>LEN(TRIM(AG170))=0</formula>
    </cfRule>
    <cfRule type="containsBlanks" dxfId="4716" priority="4672">
      <formula>LEN(TRIM(AG170))=0</formula>
    </cfRule>
    <cfRule type="containsBlanks" dxfId="4715" priority="4673">
      <formula>LEN(TRIM(AG170))=0</formula>
    </cfRule>
    <cfRule type="containsBlanks" dxfId="4714" priority="4674">
      <formula>LEN(TRIM(AG170))=0</formula>
    </cfRule>
    <cfRule type="containsBlanks" dxfId="4713" priority="4675">
      <formula>LEN(TRIM(AG170))=0</formula>
    </cfRule>
    <cfRule type="containsBlanks" dxfId="4712" priority="4676">
      <formula>LEN(TRIM(AG170))=0</formula>
    </cfRule>
    <cfRule type="containsBlanks" dxfId="4711" priority="4677">
      <formula>LEN(TRIM(AG170))=0</formula>
    </cfRule>
    <cfRule type="containsBlanks" dxfId="4710" priority="4678">
      <formula>LEN(TRIM(AG170))=0</formula>
    </cfRule>
    <cfRule type="containsBlanks" dxfId="4709" priority="4679">
      <formula>LEN(TRIM(AG170))=0</formula>
    </cfRule>
    <cfRule type="containsBlanks" dxfId="4708" priority="4680">
      <formula>LEN(TRIM(AG170))=0</formula>
    </cfRule>
    <cfRule type="containsBlanks" dxfId="4707" priority="4681">
      <formula>LEN(TRIM(AG170))=0</formula>
    </cfRule>
    <cfRule type="containsBlanks" dxfId="4706" priority="4682">
      <formula>LEN(TRIM(AG170))=0</formula>
    </cfRule>
    <cfRule type="containsBlanks" dxfId="4705" priority="4683">
      <formula>LEN(TRIM(AG170))=0</formula>
    </cfRule>
    <cfRule type="containsBlanks" dxfId="4704" priority="4684">
      <formula>LEN(TRIM(AG170))=0</formula>
    </cfRule>
    <cfRule type="containsBlanks" dxfId="4703" priority="4685">
      <formula>LEN(TRIM(AG170))=0</formula>
    </cfRule>
    <cfRule type="containsBlanks" dxfId="4702" priority="4686">
      <formula>LEN(TRIM(AG170))=0</formula>
    </cfRule>
    <cfRule type="containsBlanks" dxfId="4701" priority="4687">
      <formula>LEN(TRIM(AG170))=0</formula>
    </cfRule>
    <cfRule type="containsBlanks" dxfId="4700" priority="4688">
      <formula>LEN(TRIM(AG170))=0</formula>
    </cfRule>
    <cfRule type="containsBlanks" dxfId="4699" priority="4689">
      <formula>LEN(TRIM(AG170))=0</formula>
    </cfRule>
    <cfRule type="containsBlanks" dxfId="4698" priority="4690">
      <formula>LEN(TRIM(AG170))=0</formula>
    </cfRule>
    <cfRule type="containsBlanks" dxfId="4697" priority="4691">
      <formula>LEN(TRIM(AG170))=0</formula>
    </cfRule>
    <cfRule type="containsBlanks" dxfId="4696" priority="4692">
      <formula>LEN(TRIM(AG170))=0</formula>
    </cfRule>
    <cfRule type="containsBlanks" dxfId="4695" priority="4693">
      <formula>LEN(TRIM(AG170))=0</formula>
    </cfRule>
    <cfRule type="containsBlanks" dxfId="4694" priority="4694">
      <formula>LEN(TRIM(AG170))=0</formula>
    </cfRule>
    <cfRule type="containsBlanks" dxfId="4693" priority="4695">
      <formula>LEN(TRIM(AG170))=0</formula>
    </cfRule>
    <cfRule type="containsBlanks" dxfId="4692" priority="4696">
      <formula>LEN(TRIM(AG170))=0</formula>
    </cfRule>
    <cfRule type="containsBlanks" dxfId="4691" priority="4697">
      <formula>LEN(TRIM(AG170))=0</formula>
    </cfRule>
    <cfRule type="containsBlanks" dxfId="4690" priority="4698">
      <formula>LEN(TRIM(AG170))=0</formula>
    </cfRule>
    <cfRule type="containsBlanks" dxfId="4689" priority="4699">
      <formula>LEN(TRIM(AG170))=0</formula>
    </cfRule>
    <cfRule type="containsBlanks" dxfId="4688" priority="4700">
      <formula>LEN(TRIM(AG170))=0</formula>
    </cfRule>
    <cfRule type="containsBlanks" dxfId="4687" priority="4701">
      <formula>LEN(TRIM(AG170))=0</formula>
    </cfRule>
    <cfRule type="containsBlanks" dxfId="4686" priority="4702">
      <formula>LEN(TRIM(AG170))=0</formula>
    </cfRule>
    <cfRule type="containsBlanks" dxfId="4685" priority="4703">
      <formula>LEN(TRIM(AG170))=0</formula>
    </cfRule>
    <cfRule type="containsBlanks" dxfId="4684" priority="4704">
      <formula>LEN(TRIM(AG170))=0</formula>
    </cfRule>
    <cfRule type="containsBlanks" dxfId="4683" priority="4705">
      <formula>LEN(TRIM(AG170))=0</formula>
    </cfRule>
    <cfRule type="containsBlanks" dxfId="4682" priority="4706">
      <formula>LEN(TRIM(AG170))=0</formula>
    </cfRule>
    <cfRule type="containsBlanks" dxfId="4681" priority="4707">
      <formula>LEN(TRIM(AG170))=0</formula>
    </cfRule>
    <cfRule type="containsBlanks" dxfId="4680" priority="4708">
      <formula>LEN(TRIM(AG170))=0</formula>
    </cfRule>
    <cfRule type="containsBlanks" dxfId="4679" priority="4709">
      <formula>LEN(TRIM(AG170))=0</formula>
    </cfRule>
    <cfRule type="containsBlanks" dxfId="4678" priority="4710">
      <formula>LEN(TRIM(AG170))=0</formula>
    </cfRule>
    <cfRule type="containsBlanks" dxfId="4677" priority="4711">
      <formula>LEN(TRIM(AG170))=0</formula>
    </cfRule>
    <cfRule type="containsBlanks" dxfId="4676" priority="4712">
      <formula>LEN(TRIM(AG170))=0</formula>
    </cfRule>
    <cfRule type="containsBlanks" dxfId="4675" priority="4713">
      <formula>LEN(TRIM(AG170))=0</formula>
    </cfRule>
    <cfRule type="containsBlanks" dxfId="4674" priority="4714">
      <formula>LEN(TRIM(AG170))=0</formula>
    </cfRule>
    <cfRule type="containsBlanks" dxfId="4673" priority="4715">
      <formula>LEN(TRIM(AG170))=0</formula>
    </cfRule>
    <cfRule type="containsBlanks" dxfId="4672" priority="4716">
      <formula>LEN(TRIM(AG170))=0</formula>
    </cfRule>
    <cfRule type="containsBlanks" dxfId="4671" priority="4717">
      <formula>LEN(TRIM(AG170))=0</formula>
    </cfRule>
    <cfRule type="containsBlanks" dxfId="4670" priority="4718">
      <formula>LEN(TRIM(AG170))=0</formula>
    </cfRule>
    <cfRule type="containsBlanks" dxfId="4669" priority="4719">
      <formula>LEN(TRIM(AG170))=0</formula>
    </cfRule>
    <cfRule type="containsBlanks" dxfId="4668" priority="4720">
      <formula>LEN(TRIM(AG170))=0</formula>
    </cfRule>
    <cfRule type="containsBlanks" dxfId="4667" priority="4721">
      <formula>LEN(TRIM(AG170))=0</formula>
    </cfRule>
    <cfRule type="containsBlanks" dxfId="4666" priority="4722">
      <formula>LEN(TRIM(AG170))=0</formula>
    </cfRule>
    <cfRule type="containsBlanks" dxfId="4665" priority="4723">
      <formula>LEN(TRIM(AG170))=0</formula>
    </cfRule>
    <cfRule type="containsBlanks" dxfId="4664" priority="4724">
      <formula>LEN(TRIM(AG170))=0</formula>
    </cfRule>
    <cfRule type="containsBlanks" dxfId="4663" priority="4725">
      <formula>LEN(TRIM(AG170))=0</formula>
    </cfRule>
    <cfRule type="containsBlanks" dxfId="4662" priority="4726">
      <formula>LEN(TRIM(AG170))=0</formula>
    </cfRule>
    <cfRule type="containsBlanks" dxfId="4661" priority="4727">
      <formula>LEN(TRIM(AG170))=0</formula>
    </cfRule>
    <cfRule type="containsBlanks" dxfId="4660" priority="4728">
      <formula>LEN(TRIM(AG170))=0</formula>
    </cfRule>
    <cfRule type="containsBlanks" dxfId="4659" priority="4729">
      <formula>LEN(TRIM(AG170))=0</formula>
    </cfRule>
    <cfRule type="containsBlanks" dxfId="4658" priority="4730">
      <formula>LEN(TRIM(AG170))=0</formula>
    </cfRule>
    <cfRule type="containsBlanks" dxfId="4657" priority="4731">
      <formula>LEN(TRIM(AG170))=0</formula>
    </cfRule>
    <cfRule type="containsBlanks" dxfId="4656" priority="4732">
      <formula>LEN(TRIM(AG170))=0</formula>
    </cfRule>
    <cfRule type="containsBlanks" dxfId="4655" priority="4733">
      <formula>LEN(TRIM(AG170))=0</formula>
    </cfRule>
    <cfRule type="containsBlanks" dxfId="4654" priority="4734">
      <formula>LEN(TRIM(AG170))=0</formula>
    </cfRule>
    <cfRule type="containsBlanks" dxfId="4653" priority="4735">
      <formula>LEN(TRIM(AG170))=0</formula>
    </cfRule>
    <cfRule type="containsBlanks" dxfId="4652" priority="4736">
      <formula>LEN(TRIM(AG170))=0</formula>
    </cfRule>
  </conditionalFormatting>
  <conditionalFormatting sqref="AH97:AH170">
    <cfRule type="containsBlanks" dxfId="4651" priority="4403">
      <formula>LEN(TRIM(AH97))=0</formula>
    </cfRule>
    <cfRule type="containsBlanks" dxfId="4650" priority="4404">
      <formula>LEN(TRIM(AH97))=0</formula>
    </cfRule>
    <cfRule type="containsBlanks" dxfId="4649" priority="4405">
      <formula>LEN(TRIM(AH97))=0</formula>
    </cfRule>
    <cfRule type="containsBlanks" dxfId="4648" priority="4406">
      <formula>LEN(TRIM(AH97))=0</formula>
    </cfRule>
    <cfRule type="containsBlanks" dxfId="4647" priority="4407">
      <formula>LEN(TRIM(AH97))=0</formula>
    </cfRule>
    <cfRule type="containsBlanks" dxfId="4646" priority="4408">
      <formula>LEN(TRIM(AH97))=0</formula>
    </cfRule>
    <cfRule type="containsBlanks" dxfId="4645" priority="4409">
      <formula>LEN(TRIM(AH97))=0</formula>
    </cfRule>
    <cfRule type="containsBlanks" dxfId="4644" priority="4410">
      <formula>LEN(TRIM(AH97))=0</formula>
    </cfRule>
    <cfRule type="containsBlanks" dxfId="4643" priority="4411">
      <formula>LEN(TRIM(AH97))=0</formula>
    </cfRule>
    <cfRule type="containsBlanks" dxfId="4642" priority="4412">
      <formula>LEN(TRIM(AH97))=0</formula>
    </cfRule>
    <cfRule type="containsBlanks" dxfId="4641" priority="4413">
      <formula>LEN(TRIM(AH97))=0</formula>
    </cfRule>
    <cfRule type="containsBlanks" dxfId="4640" priority="4414">
      <formula>LEN(TRIM(AH97))=0</formula>
    </cfRule>
    <cfRule type="containsBlanks" dxfId="4639" priority="4415">
      <formula>LEN(TRIM(AH97))=0</formula>
    </cfRule>
    <cfRule type="containsBlanks" dxfId="4638" priority="4416">
      <formula>LEN(TRIM(AH97))=0</formula>
    </cfRule>
    <cfRule type="containsBlanks" dxfId="4637" priority="4417">
      <formula>LEN(TRIM(AH97))=0</formula>
    </cfRule>
    <cfRule type="containsBlanks" dxfId="4636" priority="4418">
      <formula>LEN(TRIM(AH97))=0</formula>
    </cfRule>
    <cfRule type="containsBlanks" dxfId="4635" priority="4419">
      <formula>LEN(TRIM(AH97))=0</formula>
    </cfRule>
    <cfRule type="containsBlanks" dxfId="4634" priority="4420">
      <formula>LEN(TRIM(AH97))=0</formula>
    </cfRule>
    <cfRule type="containsBlanks" dxfId="4633" priority="4421">
      <formula>LEN(TRIM(AH97))=0</formula>
    </cfRule>
    <cfRule type="containsBlanks" dxfId="4632" priority="4422">
      <formula>LEN(TRIM(AH97))=0</formula>
    </cfRule>
    <cfRule type="containsBlanks" dxfId="4631" priority="4423">
      <formula>LEN(TRIM(AH97))=0</formula>
    </cfRule>
    <cfRule type="containsBlanks" dxfId="4630" priority="4424">
      <formula>LEN(TRIM(AH97))=0</formula>
    </cfRule>
    <cfRule type="containsBlanks" dxfId="4629" priority="4425">
      <formula>LEN(TRIM(AH97))=0</formula>
    </cfRule>
    <cfRule type="containsBlanks" dxfId="4628" priority="4426">
      <formula>LEN(TRIM(AH97))=0</formula>
    </cfRule>
    <cfRule type="containsBlanks" dxfId="4627" priority="4427">
      <formula>LEN(TRIM(AH97))=0</formula>
    </cfRule>
    <cfRule type="containsBlanks" dxfId="4626" priority="4428">
      <formula>LEN(TRIM(AH97))=0</formula>
    </cfRule>
    <cfRule type="containsBlanks" dxfId="4625" priority="4429">
      <formula>LEN(TRIM(AH97))=0</formula>
    </cfRule>
    <cfRule type="containsBlanks" dxfId="4624" priority="4430">
      <formula>LEN(TRIM(AH97))=0</formula>
    </cfRule>
    <cfRule type="containsBlanks" dxfId="4623" priority="4431">
      <formula>LEN(TRIM(AH97))=0</formula>
    </cfRule>
    <cfRule type="containsBlanks" dxfId="4622" priority="4432">
      <formula>LEN(TRIM(AH97))=0</formula>
    </cfRule>
    <cfRule type="containsBlanks" dxfId="4621" priority="4433">
      <formula>LEN(TRIM(AH97))=0</formula>
    </cfRule>
    <cfRule type="containsBlanks" dxfId="4620" priority="4434">
      <formula>LEN(TRIM(AH97))=0</formula>
    </cfRule>
    <cfRule type="containsBlanks" dxfId="4619" priority="4435">
      <formula>LEN(TRIM(AH97))=0</formula>
    </cfRule>
    <cfRule type="containsBlanks" dxfId="4618" priority="4436">
      <formula>LEN(TRIM(AH97))=0</formula>
    </cfRule>
    <cfRule type="containsBlanks" dxfId="4617" priority="4437">
      <formula>LEN(TRIM(AH97))=0</formula>
    </cfRule>
    <cfRule type="containsBlanks" dxfId="4616" priority="4438">
      <formula>LEN(TRIM(AH97))=0</formula>
    </cfRule>
    <cfRule type="containsBlanks" dxfId="4615" priority="4439">
      <formula>LEN(TRIM(AH97))=0</formula>
    </cfRule>
    <cfRule type="containsBlanks" dxfId="4614" priority="4440">
      <formula>LEN(TRIM(AH97))=0</formula>
    </cfRule>
    <cfRule type="containsBlanks" dxfId="4613" priority="4441">
      <formula>LEN(TRIM(AH97))=0</formula>
    </cfRule>
    <cfRule type="containsBlanks" dxfId="4612" priority="4442">
      <formula>LEN(TRIM(AH97))=0</formula>
    </cfRule>
    <cfRule type="containsBlanks" dxfId="4611" priority="4443">
      <formula>LEN(TRIM(AH97))=0</formula>
    </cfRule>
    <cfRule type="containsBlanks" dxfId="4610" priority="4444">
      <formula>LEN(TRIM(AH97))=0</formula>
    </cfRule>
    <cfRule type="containsBlanks" dxfId="4609" priority="4445">
      <formula>LEN(TRIM(AH97))=0</formula>
    </cfRule>
    <cfRule type="containsBlanks" dxfId="4608" priority="4446">
      <formula>LEN(TRIM(AH97))=0</formula>
    </cfRule>
    <cfRule type="containsBlanks" dxfId="4607" priority="4447">
      <formula>LEN(TRIM(AH97))=0</formula>
    </cfRule>
    <cfRule type="containsBlanks" dxfId="4606" priority="4448">
      <formula>LEN(TRIM(AH97))=0</formula>
    </cfRule>
    <cfRule type="containsBlanks" dxfId="4605" priority="4449">
      <formula>LEN(TRIM(AH97))=0</formula>
    </cfRule>
    <cfRule type="containsBlanks" dxfId="4604" priority="4450">
      <formula>LEN(TRIM(AH97))=0</formula>
    </cfRule>
    <cfRule type="containsBlanks" dxfId="4603" priority="4451">
      <formula>LEN(TRIM(AH97))=0</formula>
    </cfRule>
    <cfRule type="containsBlanks" dxfId="4602" priority="4452">
      <formula>LEN(TRIM(AH97))=0</formula>
    </cfRule>
    <cfRule type="containsBlanks" dxfId="4601" priority="4453">
      <formula>LEN(TRIM(AH97))=0</formula>
    </cfRule>
    <cfRule type="containsBlanks" dxfId="4600" priority="4454">
      <formula>LEN(TRIM(AH97))=0</formula>
    </cfRule>
    <cfRule type="containsBlanks" dxfId="4599" priority="4455">
      <formula>LEN(TRIM(AH97))=0</formula>
    </cfRule>
    <cfRule type="containsBlanks" dxfId="4598" priority="4456">
      <formula>LEN(TRIM(AH97))=0</formula>
    </cfRule>
    <cfRule type="containsBlanks" dxfId="4597" priority="4457">
      <formula>LEN(TRIM(AH97))=0</formula>
    </cfRule>
    <cfRule type="containsBlanks" dxfId="4596" priority="4458">
      <formula>LEN(TRIM(AH97))=0</formula>
    </cfRule>
    <cfRule type="containsBlanks" dxfId="4595" priority="4459">
      <formula>LEN(TRIM(AH97))=0</formula>
    </cfRule>
    <cfRule type="containsBlanks" dxfId="4594" priority="4460">
      <formula>LEN(TRIM(AH97))=0</formula>
    </cfRule>
    <cfRule type="containsBlanks" dxfId="4593" priority="4461">
      <formula>LEN(TRIM(AH97))=0</formula>
    </cfRule>
    <cfRule type="containsBlanks" dxfId="4592" priority="4462">
      <formula>LEN(TRIM(AH97))=0</formula>
    </cfRule>
    <cfRule type="containsBlanks" dxfId="4591" priority="4463">
      <formula>LEN(TRIM(AH97))=0</formula>
    </cfRule>
    <cfRule type="containsBlanks" dxfId="4590" priority="4464">
      <formula>LEN(TRIM(AH97))=0</formula>
    </cfRule>
    <cfRule type="containsBlanks" dxfId="4589" priority="4465">
      <formula>LEN(TRIM(AH97))=0</formula>
    </cfRule>
    <cfRule type="containsBlanks" dxfId="4588" priority="4466">
      <formula>LEN(TRIM(AH97))=0</formula>
    </cfRule>
    <cfRule type="containsBlanks" dxfId="4587" priority="4467">
      <formula>LEN(TRIM(AH97))=0</formula>
    </cfRule>
    <cfRule type="containsBlanks" dxfId="4586" priority="4468">
      <formula>LEN(TRIM(AH97))=0</formula>
    </cfRule>
    <cfRule type="containsBlanks" dxfId="4585" priority="4469">
      <formula>LEN(TRIM(AH97))=0</formula>
    </cfRule>
    <cfRule type="containsBlanks" dxfId="4584" priority="4470">
      <formula>LEN(TRIM(AH97))=0</formula>
    </cfRule>
    <cfRule type="containsBlanks" dxfId="4583" priority="4471">
      <formula>LEN(TRIM(AH97))=0</formula>
    </cfRule>
    <cfRule type="containsBlanks" dxfId="4582" priority="4472">
      <formula>LEN(TRIM(AH97))=0</formula>
    </cfRule>
    <cfRule type="containsBlanks" dxfId="4581" priority="4473">
      <formula>LEN(TRIM(AH97))=0</formula>
    </cfRule>
    <cfRule type="containsBlanks" dxfId="4580" priority="4474">
      <formula>LEN(TRIM(AH97))=0</formula>
    </cfRule>
    <cfRule type="containsBlanks" dxfId="4579" priority="4475">
      <formula>LEN(TRIM(AH97))=0</formula>
    </cfRule>
    <cfRule type="containsBlanks" dxfId="4578" priority="4476">
      <formula>LEN(TRIM(AH97))=0</formula>
    </cfRule>
    <cfRule type="containsBlanks" dxfId="4577" priority="4477">
      <formula>LEN(TRIM(AH97))=0</formula>
    </cfRule>
    <cfRule type="containsBlanks" dxfId="4576" priority="4478">
      <formula>LEN(TRIM(AH97))=0</formula>
    </cfRule>
    <cfRule type="containsBlanks" dxfId="4575" priority="4479">
      <formula>LEN(TRIM(AH97))=0</formula>
    </cfRule>
    <cfRule type="containsBlanks" dxfId="4574" priority="4480">
      <formula>LEN(TRIM(AH97))=0</formula>
    </cfRule>
    <cfRule type="containsBlanks" dxfId="4573" priority="4481">
      <formula>LEN(TRIM(AH97))=0</formula>
    </cfRule>
    <cfRule type="containsBlanks" dxfId="4572" priority="4482">
      <formula>LEN(TRIM(AH97))=0</formula>
    </cfRule>
    <cfRule type="containsBlanks" dxfId="4571" priority="4483">
      <formula>LEN(TRIM(AH97))=0</formula>
    </cfRule>
    <cfRule type="containsBlanks" dxfId="4570" priority="4484">
      <formula>LEN(TRIM(AH97))=0</formula>
    </cfRule>
    <cfRule type="containsBlanks" dxfId="4569" priority="4485">
      <formula>LEN(TRIM(AH97))=0</formula>
    </cfRule>
    <cfRule type="containsBlanks" dxfId="4568" priority="4486">
      <formula>LEN(TRIM(AH97))=0</formula>
    </cfRule>
    <cfRule type="containsBlanks" dxfId="4567" priority="4487">
      <formula>LEN(TRIM(AH97))=0</formula>
    </cfRule>
    <cfRule type="containsBlanks" dxfId="4566" priority="4488">
      <formula>LEN(TRIM(AH97))=0</formula>
    </cfRule>
    <cfRule type="containsBlanks" dxfId="4565" priority="4489">
      <formula>LEN(TRIM(AH97))=0</formula>
    </cfRule>
    <cfRule type="containsBlanks" dxfId="4564" priority="4490">
      <formula>LEN(TRIM(AH97))=0</formula>
    </cfRule>
    <cfRule type="containsBlanks" dxfId="4563" priority="4491">
      <formula>LEN(TRIM(AH97))=0</formula>
    </cfRule>
    <cfRule type="containsBlanks" dxfId="4562" priority="4492">
      <formula>LEN(TRIM(AH97))=0</formula>
    </cfRule>
    <cfRule type="containsBlanks" dxfId="4561" priority="4493">
      <formula>LEN(TRIM(AH97))=0</formula>
    </cfRule>
    <cfRule type="containsBlanks" dxfId="4560" priority="4494">
      <formula>LEN(TRIM(AH97))=0</formula>
    </cfRule>
    <cfRule type="containsBlanks" dxfId="4559" priority="4495">
      <formula>LEN(TRIM(AH97))=0</formula>
    </cfRule>
    <cfRule type="containsBlanks" dxfId="4558" priority="4496">
      <formula>LEN(TRIM(AH97))=0</formula>
    </cfRule>
    <cfRule type="containsBlanks" dxfId="4557" priority="4497">
      <formula>LEN(TRIM(AH97))=0</formula>
    </cfRule>
    <cfRule type="containsBlanks" dxfId="4556" priority="4498">
      <formula>LEN(TRIM(AH97))=0</formula>
    </cfRule>
    <cfRule type="containsBlanks" dxfId="4555" priority="4499">
      <formula>LEN(TRIM(AH97))=0</formula>
    </cfRule>
    <cfRule type="containsBlanks" dxfId="4554" priority="4500">
      <formula>LEN(TRIM(AH97))=0</formula>
    </cfRule>
    <cfRule type="containsBlanks" dxfId="4553" priority="4501">
      <formula>LEN(TRIM(AH97))=0</formula>
    </cfRule>
    <cfRule type="containsBlanks" dxfId="4552" priority="4502">
      <formula>LEN(TRIM(AH97))=0</formula>
    </cfRule>
    <cfRule type="containsBlanks" dxfId="4551" priority="4503">
      <formula>LEN(TRIM(AH97))=0</formula>
    </cfRule>
    <cfRule type="containsBlanks" dxfId="4550" priority="4504">
      <formula>LEN(TRIM(AH97))=0</formula>
    </cfRule>
    <cfRule type="containsBlanks" dxfId="4549" priority="4505">
      <formula>LEN(TRIM(AH97))=0</formula>
    </cfRule>
    <cfRule type="containsBlanks" dxfId="4548" priority="4506">
      <formula>LEN(TRIM(AH97))=0</formula>
    </cfRule>
    <cfRule type="containsBlanks" dxfId="4547" priority="4507">
      <formula>LEN(TRIM(AH97))=0</formula>
    </cfRule>
    <cfRule type="containsBlanks" dxfId="4546" priority="4508">
      <formula>LEN(TRIM(AH97))=0</formula>
    </cfRule>
    <cfRule type="containsBlanks" dxfId="4545" priority="4509">
      <formula>LEN(TRIM(AH97))=0</formula>
    </cfRule>
    <cfRule type="containsBlanks" dxfId="4544" priority="4510">
      <formula>LEN(TRIM(AH97))=0</formula>
    </cfRule>
    <cfRule type="containsBlanks" dxfId="4543" priority="4511">
      <formula>LEN(TRIM(AH97))=0</formula>
    </cfRule>
    <cfRule type="containsBlanks" dxfId="4542" priority="4512">
      <formula>LEN(TRIM(AH97))=0</formula>
    </cfRule>
    <cfRule type="containsBlanks" dxfId="4541" priority="4513">
      <formula>LEN(TRIM(AH97))=0</formula>
    </cfRule>
    <cfRule type="containsBlanks" dxfId="4540" priority="4514">
      <formula>LEN(TRIM(AH97))=0</formula>
    </cfRule>
    <cfRule type="containsBlanks" dxfId="4539" priority="4515">
      <formula>LEN(TRIM(AH97))=0</formula>
    </cfRule>
    <cfRule type="containsBlanks" dxfId="4538" priority="4516">
      <formula>LEN(TRIM(AH97))=0</formula>
    </cfRule>
    <cfRule type="containsBlanks" dxfId="4537" priority="4517">
      <formula>LEN(TRIM(AH97))=0</formula>
    </cfRule>
    <cfRule type="containsBlanks" dxfId="4536" priority="4518">
      <formula>LEN(TRIM(AH97))=0</formula>
    </cfRule>
    <cfRule type="containsBlanks" dxfId="4535" priority="4519">
      <formula>LEN(TRIM(AH97))=0</formula>
    </cfRule>
    <cfRule type="containsBlanks" dxfId="4534" priority="4520">
      <formula>LEN(TRIM(AH97))=0</formula>
    </cfRule>
    <cfRule type="containsBlanks" dxfId="4533" priority="4521">
      <formula>LEN(TRIM(AH97))=0</formula>
    </cfRule>
    <cfRule type="containsBlanks" dxfId="4532" priority="4522">
      <formula>LEN(TRIM(AH97))=0</formula>
    </cfRule>
    <cfRule type="containsBlanks" dxfId="4531" priority="4523">
      <formula>LEN(TRIM(AH97))=0</formula>
    </cfRule>
    <cfRule type="containsBlanks" dxfId="4530" priority="4524">
      <formula>LEN(TRIM(AH97))=0</formula>
    </cfRule>
    <cfRule type="containsBlanks" dxfId="4529" priority="4525">
      <formula>LEN(TRIM(AH97))=0</formula>
    </cfRule>
    <cfRule type="containsBlanks" dxfId="4528" priority="4526">
      <formula>LEN(TRIM(AH97))=0</formula>
    </cfRule>
    <cfRule type="containsBlanks" dxfId="4527" priority="4527">
      <formula>LEN(TRIM(AH97))=0</formula>
    </cfRule>
    <cfRule type="containsBlanks" dxfId="4526" priority="4528">
      <formula>LEN(TRIM(AH97))=0</formula>
    </cfRule>
    <cfRule type="containsBlanks" dxfId="4525" priority="4529">
      <formula>LEN(TRIM(AH97))=0</formula>
    </cfRule>
    <cfRule type="containsBlanks" dxfId="4524" priority="4530">
      <formula>LEN(TRIM(AH97))=0</formula>
    </cfRule>
    <cfRule type="containsBlanks" dxfId="4523" priority="4531">
      <formula>LEN(TRIM(AH97))=0</formula>
    </cfRule>
    <cfRule type="containsBlanks" dxfId="4522" priority="4532">
      <formula>LEN(TRIM(AH97))=0</formula>
    </cfRule>
    <cfRule type="containsBlanks" dxfId="4521" priority="4533">
      <formula>LEN(TRIM(AH97))=0</formula>
    </cfRule>
    <cfRule type="containsBlanks" dxfId="4520" priority="4534">
      <formula>LEN(TRIM(AH97))=0</formula>
    </cfRule>
    <cfRule type="containsBlanks" dxfId="4519" priority="4535">
      <formula>LEN(TRIM(AH97))=0</formula>
    </cfRule>
    <cfRule type="containsBlanks" dxfId="4518" priority="4536">
      <formula>LEN(TRIM(AH97))=0</formula>
    </cfRule>
    <cfRule type="containsBlanks" dxfId="4517" priority="4537">
      <formula>LEN(TRIM(AH97))=0</formula>
    </cfRule>
    <cfRule type="containsBlanks" dxfId="4516" priority="4538">
      <formula>LEN(TRIM(AH97))=0</formula>
    </cfRule>
    <cfRule type="containsBlanks" dxfId="4515" priority="4539">
      <formula>LEN(TRIM(AH97))=0</formula>
    </cfRule>
    <cfRule type="containsBlanks" dxfId="4514" priority="4540">
      <formula>LEN(TRIM(AH97))=0</formula>
    </cfRule>
    <cfRule type="containsBlanks" dxfId="4513" priority="4541">
      <formula>LEN(TRIM(AH97))=0</formula>
    </cfRule>
    <cfRule type="containsBlanks" dxfId="4512" priority="4542">
      <formula>LEN(TRIM(AH97))=0</formula>
    </cfRule>
    <cfRule type="containsBlanks" dxfId="4511" priority="4543">
      <formula>LEN(TRIM(AH97))=0</formula>
    </cfRule>
    <cfRule type="containsBlanks" dxfId="4510" priority="4544">
      <formula>LEN(TRIM(AH97))=0</formula>
    </cfRule>
    <cfRule type="containsBlanks" dxfId="4509" priority="4545">
      <formula>LEN(TRIM(AH97))=0</formula>
    </cfRule>
    <cfRule type="containsBlanks" dxfId="4508" priority="4546">
      <formula>LEN(TRIM(AH97))=0</formula>
    </cfRule>
    <cfRule type="containsBlanks" dxfId="4507" priority="4547">
      <formula>LEN(TRIM(AH97))=0</formula>
    </cfRule>
    <cfRule type="containsBlanks" dxfId="4506" priority="4548">
      <formula>LEN(TRIM(AH97))=0</formula>
    </cfRule>
    <cfRule type="containsBlanks" dxfId="4505" priority="4549">
      <formula>LEN(TRIM(AH97))=0</formula>
    </cfRule>
    <cfRule type="containsBlanks" dxfId="4504" priority="4550">
      <formula>LEN(TRIM(AH97))=0</formula>
    </cfRule>
    <cfRule type="containsBlanks" dxfId="4503" priority="4551">
      <formula>LEN(TRIM(AH97))=0</formula>
    </cfRule>
    <cfRule type="containsBlanks" dxfId="4502" priority="4552">
      <formula>LEN(TRIM(AH97))=0</formula>
    </cfRule>
    <cfRule type="containsBlanks" dxfId="4501" priority="4553">
      <formula>LEN(TRIM(AH97))=0</formula>
    </cfRule>
    <cfRule type="containsBlanks" dxfId="4500" priority="4554">
      <formula>LEN(TRIM(AH97))=0</formula>
    </cfRule>
    <cfRule type="containsBlanks" dxfId="4499" priority="4555">
      <formula>LEN(TRIM(AH97))=0</formula>
    </cfRule>
    <cfRule type="containsBlanks" dxfId="4498" priority="4556">
      <formula>LEN(TRIM(AH97))=0</formula>
    </cfRule>
    <cfRule type="containsBlanks" dxfId="4497" priority="4557">
      <formula>LEN(TRIM(AH97))=0</formula>
    </cfRule>
    <cfRule type="containsBlanks" dxfId="4496" priority="4558">
      <formula>LEN(TRIM(AH97))=0</formula>
    </cfRule>
    <cfRule type="containsBlanks" dxfId="4495" priority="4559">
      <formula>LEN(TRIM(AH97))=0</formula>
    </cfRule>
    <cfRule type="containsBlanks" dxfId="4494" priority="4560">
      <formula>LEN(TRIM(AH97))=0</formula>
    </cfRule>
    <cfRule type="containsBlanks" dxfId="4493" priority="4561">
      <formula>LEN(TRIM(AH97))=0</formula>
    </cfRule>
    <cfRule type="containsBlanks" dxfId="4492" priority="4562">
      <formula>LEN(TRIM(AH97))=0</formula>
    </cfRule>
    <cfRule type="containsBlanks" dxfId="4491" priority="4563">
      <formula>LEN(TRIM(AH97))=0</formula>
    </cfRule>
    <cfRule type="containsBlanks" dxfId="4490" priority="4564">
      <formula>LEN(TRIM(AH97))=0</formula>
    </cfRule>
    <cfRule type="containsBlanks" dxfId="4489" priority="4565">
      <formula>LEN(TRIM(AH97))=0</formula>
    </cfRule>
    <cfRule type="containsBlanks" dxfId="4488" priority="4566">
      <formula>LEN(TRIM(AH97))=0</formula>
    </cfRule>
    <cfRule type="containsBlanks" dxfId="4487" priority="4567">
      <formula>LEN(TRIM(AH97))=0</formula>
    </cfRule>
    <cfRule type="containsBlanks" dxfId="4486" priority="4568">
      <formula>LEN(TRIM(AH97))=0</formula>
    </cfRule>
    <cfRule type="containsBlanks" dxfId="4485" priority="4569">
      <formula>LEN(TRIM(AH97))=0</formula>
    </cfRule>
    <cfRule type="containsBlanks" dxfId="4484" priority="4570">
      <formula>LEN(TRIM(AH97))=0</formula>
    </cfRule>
    <cfRule type="containsBlanks" dxfId="4483" priority="4571">
      <formula>LEN(TRIM(AH97))=0</formula>
    </cfRule>
    <cfRule type="containsBlanks" dxfId="4482" priority="4572">
      <formula>LEN(TRIM(AH97))=0</formula>
    </cfRule>
    <cfRule type="containsBlanks" dxfId="4481" priority="4573">
      <formula>LEN(TRIM(AH97))=0</formula>
    </cfRule>
    <cfRule type="containsBlanks" dxfId="4480" priority="4574">
      <formula>LEN(TRIM(AH97))=0</formula>
    </cfRule>
    <cfRule type="containsBlanks" dxfId="4479" priority="4575">
      <formula>LEN(TRIM(AH97))=0</formula>
    </cfRule>
    <cfRule type="containsBlanks" dxfId="4478" priority="4576">
      <formula>LEN(TRIM(AH97))=0</formula>
    </cfRule>
    <cfRule type="containsBlanks" dxfId="4477" priority="4577">
      <formula>LEN(TRIM(AH97))=0</formula>
    </cfRule>
    <cfRule type="containsBlanks" dxfId="4476" priority="4578">
      <formula>LEN(TRIM(AH97))=0</formula>
    </cfRule>
    <cfRule type="containsBlanks" dxfId="4475" priority="4579">
      <formula>LEN(TRIM(AH97))=0</formula>
    </cfRule>
    <cfRule type="containsBlanks" dxfId="4474" priority="4580">
      <formula>LEN(TRIM(AH97))=0</formula>
    </cfRule>
    <cfRule type="containsBlanks" dxfId="4473" priority="4581">
      <formula>LEN(TRIM(AH97))=0</formula>
    </cfRule>
    <cfRule type="containsBlanks" dxfId="4472" priority="4582">
      <formula>LEN(TRIM(AH97))=0</formula>
    </cfRule>
    <cfRule type="containsBlanks" dxfId="4471" priority="4583">
      <formula>LEN(TRIM(AH97))=0</formula>
    </cfRule>
    <cfRule type="containsBlanks" dxfId="4470" priority="4584">
      <formula>LEN(TRIM(AH97))=0</formula>
    </cfRule>
    <cfRule type="containsBlanks" dxfId="4469" priority="4585">
      <formula>LEN(TRIM(AH97))=0</formula>
    </cfRule>
    <cfRule type="containsBlanks" dxfId="4468" priority="4586">
      <formula>LEN(TRIM(AH97))=0</formula>
    </cfRule>
    <cfRule type="containsBlanks" dxfId="4467" priority="4587">
      <formula>LEN(TRIM(AH97))=0</formula>
    </cfRule>
    <cfRule type="containsBlanks" dxfId="4466" priority="4588">
      <formula>LEN(TRIM(AH97))=0</formula>
    </cfRule>
    <cfRule type="containsBlanks" dxfId="4465" priority="4589">
      <formula>LEN(TRIM(AH97))=0</formula>
    </cfRule>
    <cfRule type="containsBlanks" dxfId="4464" priority="4590">
      <formula>LEN(TRIM(AH97))=0</formula>
    </cfRule>
    <cfRule type="containsBlanks" dxfId="4463" priority="4591">
      <formula>LEN(TRIM(AH97))=0</formula>
    </cfRule>
    <cfRule type="containsBlanks" dxfId="4462" priority="4592">
      <formula>LEN(TRIM(AH97))=0</formula>
    </cfRule>
    <cfRule type="containsBlanks" dxfId="4461" priority="4593">
      <formula>LEN(TRIM(AH97))=0</formula>
    </cfRule>
    <cfRule type="containsBlanks" dxfId="4460" priority="4594">
      <formula>LEN(TRIM(AH97))=0</formula>
    </cfRule>
    <cfRule type="containsBlanks" dxfId="4459" priority="4595">
      <formula>LEN(TRIM(AH97))=0</formula>
    </cfRule>
    <cfRule type="containsBlanks" dxfId="4458" priority="4596">
      <formula>LEN(TRIM(AH97))=0</formula>
    </cfRule>
    <cfRule type="containsBlanks" dxfId="4457" priority="4597">
      <formula>LEN(TRIM(AH97))=0</formula>
    </cfRule>
    <cfRule type="containsBlanks" dxfId="4456" priority="4598">
      <formula>LEN(TRIM(AH97))=0</formula>
    </cfRule>
    <cfRule type="containsBlanks" dxfId="4455" priority="4599">
      <formula>LEN(TRIM(AH97))=0</formula>
    </cfRule>
    <cfRule type="containsBlanks" dxfId="4454" priority="4600">
      <formula>LEN(TRIM(AH97))=0</formula>
    </cfRule>
    <cfRule type="containsBlanks" dxfId="4453" priority="4601">
      <formula>LEN(TRIM(AH97))=0</formula>
    </cfRule>
    <cfRule type="containsBlanks" dxfId="4452" priority="4602">
      <formula>LEN(TRIM(AH97))=0</formula>
    </cfRule>
    <cfRule type="containsBlanks" dxfId="4451" priority="4603">
      <formula>LEN(TRIM(AH97))=0</formula>
    </cfRule>
    <cfRule type="containsBlanks" dxfId="4450" priority="4604">
      <formula>LEN(TRIM(AH97))=0</formula>
    </cfRule>
    <cfRule type="containsBlanks" dxfId="4449" priority="4605">
      <formula>LEN(TRIM(AH97))=0</formula>
    </cfRule>
    <cfRule type="containsBlanks" dxfId="4448" priority="4606">
      <formula>LEN(TRIM(AH97))=0</formula>
    </cfRule>
    <cfRule type="containsBlanks" dxfId="4447" priority="4607">
      <formula>LEN(TRIM(AH97))=0</formula>
    </cfRule>
    <cfRule type="containsBlanks" dxfId="4446" priority="4608">
      <formula>LEN(TRIM(AH97))=0</formula>
    </cfRule>
    <cfRule type="containsBlanks" dxfId="4445" priority="4609">
      <formula>LEN(TRIM(AH97))=0</formula>
    </cfRule>
    <cfRule type="containsBlanks" dxfId="4444" priority="4610">
      <formula>LEN(TRIM(AH97))=0</formula>
    </cfRule>
    <cfRule type="containsBlanks" dxfId="4443" priority="4611">
      <formula>LEN(TRIM(AH97))=0</formula>
    </cfRule>
    <cfRule type="containsBlanks" dxfId="4442" priority="4612">
      <formula>LEN(TRIM(AH97))=0</formula>
    </cfRule>
    <cfRule type="containsBlanks" dxfId="4441" priority="4613">
      <formula>LEN(TRIM(AH97))=0</formula>
    </cfRule>
    <cfRule type="containsBlanks" dxfId="4440" priority="4614">
      <formula>LEN(TRIM(AH97))=0</formula>
    </cfRule>
    <cfRule type="containsBlanks" dxfId="4439" priority="4615">
      <formula>LEN(TRIM(AH97))=0</formula>
    </cfRule>
    <cfRule type="containsBlanks" dxfId="4438" priority="4616">
      <formula>LEN(TRIM(AH97))=0</formula>
    </cfRule>
    <cfRule type="containsBlanks" dxfId="4437" priority="4617">
      <formula>LEN(TRIM(AH97))=0</formula>
    </cfRule>
    <cfRule type="containsBlanks" dxfId="4436" priority="4618">
      <formula>LEN(TRIM(AH97))=0</formula>
    </cfRule>
    <cfRule type="containsBlanks" dxfId="4435" priority="4619">
      <formula>LEN(TRIM(AH97))=0</formula>
    </cfRule>
    <cfRule type="containsBlanks" dxfId="4434" priority="4620">
      <formula>LEN(TRIM(AH97))=0</formula>
    </cfRule>
    <cfRule type="containsBlanks" dxfId="4433" priority="4621">
      <formula>LEN(TRIM(AH97))=0</formula>
    </cfRule>
    <cfRule type="containsBlanks" dxfId="4432" priority="4622">
      <formula>LEN(TRIM(AH97))=0</formula>
    </cfRule>
    <cfRule type="containsBlanks" dxfId="4431" priority="4623">
      <formula>LEN(TRIM(AH97))=0</formula>
    </cfRule>
    <cfRule type="containsBlanks" dxfId="4430" priority="4624">
      <formula>LEN(TRIM(AH97))=0</formula>
    </cfRule>
    <cfRule type="containsBlanks" dxfId="4429" priority="4625">
      <formula>LEN(TRIM(AH97))=0</formula>
    </cfRule>
    <cfRule type="containsBlanks" dxfId="4428" priority="4626">
      <formula>LEN(TRIM(AH97))=0</formula>
    </cfRule>
    <cfRule type="containsBlanks" dxfId="4427" priority="4627">
      <formula>LEN(TRIM(AH97))=0</formula>
    </cfRule>
    <cfRule type="containsBlanks" dxfId="4426" priority="4628">
      <formula>LEN(TRIM(AH97))=0</formula>
    </cfRule>
    <cfRule type="containsBlanks" dxfId="4425" priority="4629">
      <formula>LEN(TRIM(AH97))=0</formula>
    </cfRule>
    <cfRule type="containsBlanks" dxfId="4424" priority="4630">
      <formula>LEN(TRIM(AH97))=0</formula>
    </cfRule>
    <cfRule type="containsBlanks" dxfId="4423" priority="4631">
      <formula>LEN(TRIM(AH97))=0</formula>
    </cfRule>
    <cfRule type="containsBlanks" dxfId="4422" priority="4632">
      <formula>LEN(TRIM(AH97))=0</formula>
    </cfRule>
    <cfRule type="containsBlanks" dxfId="4421" priority="4633">
      <formula>LEN(TRIM(AH97))=0</formula>
    </cfRule>
    <cfRule type="containsBlanks" dxfId="4420" priority="4634">
      <formula>LEN(TRIM(AH97))=0</formula>
    </cfRule>
    <cfRule type="containsBlanks" dxfId="4419" priority="4635">
      <formula>LEN(TRIM(AH97))=0</formula>
    </cfRule>
    <cfRule type="containsBlanks" dxfId="4418" priority="4636">
      <formula>LEN(TRIM(AH97))=0</formula>
    </cfRule>
    <cfRule type="containsBlanks" dxfId="4417" priority="4637">
      <formula>LEN(TRIM(AH97))=0</formula>
    </cfRule>
    <cfRule type="containsBlanks" dxfId="4416" priority="4638">
      <formula>LEN(TRIM(AH97))=0</formula>
    </cfRule>
    <cfRule type="containsBlanks" dxfId="4415" priority="4639">
      <formula>LEN(TRIM(AH97))=0</formula>
    </cfRule>
    <cfRule type="containsBlanks" dxfId="4414" priority="4640">
      <formula>LEN(TRIM(AH97))=0</formula>
    </cfRule>
    <cfRule type="containsBlanks" dxfId="4413" priority="4641">
      <formula>LEN(TRIM(AH97))=0</formula>
    </cfRule>
    <cfRule type="containsBlanks" dxfId="4412" priority="4642">
      <formula>LEN(TRIM(AH97))=0</formula>
    </cfRule>
    <cfRule type="containsBlanks" dxfId="4411" priority="4643">
      <formula>LEN(TRIM(AH97))=0</formula>
    </cfRule>
    <cfRule type="containsBlanks" dxfId="4410" priority="4644">
      <formula>LEN(TRIM(AH97))=0</formula>
    </cfRule>
    <cfRule type="containsBlanks" dxfId="4409" priority="4645">
      <formula>LEN(TRIM(AH97))=0</formula>
    </cfRule>
    <cfRule type="containsBlanks" dxfId="4408" priority="4646">
      <formula>LEN(TRIM(AH97))=0</formula>
    </cfRule>
    <cfRule type="containsBlanks" dxfId="4407" priority="4647">
      <formula>LEN(TRIM(AH97))=0</formula>
    </cfRule>
    <cfRule type="containsBlanks" dxfId="4406" priority="4648">
      <formula>LEN(TRIM(AH97))=0</formula>
    </cfRule>
    <cfRule type="containsBlanks" dxfId="4405" priority="4649">
      <formula>LEN(TRIM(AH97))=0</formula>
    </cfRule>
    <cfRule type="containsBlanks" dxfId="4404" priority="4650">
      <formula>LEN(TRIM(AH97))=0</formula>
    </cfRule>
    <cfRule type="containsBlanks" dxfId="4403" priority="4651">
      <formula>LEN(TRIM(AH97))=0</formula>
    </cfRule>
    <cfRule type="containsBlanks" dxfId="4402" priority="4652">
      <formula>LEN(TRIM(AH97))=0</formula>
    </cfRule>
  </conditionalFormatting>
  <conditionalFormatting sqref="AH98">
    <cfRule type="containsBlanks" dxfId="4401" priority="4402">
      <formula>LEN(TRIM(AH98))=0</formula>
    </cfRule>
  </conditionalFormatting>
  <conditionalFormatting sqref="AH98">
    <cfRule type="containsBlanks" dxfId="4400" priority="4401">
      <formula>LEN(TRIM(AH98))=0</formula>
    </cfRule>
  </conditionalFormatting>
  <conditionalFormatting sqref="AH98">
    <cfRule type="containsBlanks" dxfId="4399" priority="4399">
      <formula>LEN(TRIM(AH98))=0</formula>
    </cfRule>
    <cfRule type="containsBlanks" dxfId="4398" priority="4400">
      <formula>LEN(TRIM(AH98))=0</formula>
    </cfRule>
  </conditionalFormatting>
  <conditionalFormatting sqref="AH98">
    <cfRule type="containsBlanks" dxfId="4397" priority="4398">
      <formula>LEN(TRIM(AH98))=0</formula>
    </cfRule>
  </conditionalFormatting>
  <conditionalFormatting sqref="AH98">
    <cfRule type="containsBlanks" dxfId="4396" priority="4397">
      <formula>LEN(TRIM(AH98))=0</formula>
    </cfRule>
  </conditionalFormatting>
  <conditionalFormatting sqref="AH98">
    <cfRule type="containsBlanks" dxfId="4395" priority="4396">
      <formula>LEN(TRIM(AH98))=0</formula>
    </cfRule>
  </conditionalFormatting>
  <conditionalFormatting sqref="AH98">
    <cfRule type="containsBlanks" dxfId="4394" priority="4394">
      <formula>LEN(TRIM(AH98))=0</formula>
    </cfRule>
    <cfRule type="containsBlanks" dxfId="4393" priority="4395">
      <formula>LEN(TRIM(AH98))=0</formula>
    </cfRule>
  </conditionalFormatting>
  <conditionalFormatting sqref="AH98">
    <cfRule type="containsBlanks" dxfId="4392" priority="4392">
      <formula>LEN(TRIM(AH98))=0</formula>
    </cfRule>
    <cfRule type="containsBlanks" dxfId="4391" priority="4393">
      <formula>LEN(TRIM(AH98))=0</formula>
    </cfRule>
  </conditionalFormatting>
  <conditionalFormatting sqref="AH98">
    <cfRule type="containsBlanks" dxfId="4390" priority="4390">
      <formula>LEN(TRIM(AH98))=0</formula>
    </cfRule>
    <cfRule type="containsBlanks" dxfId="4389" priority="4391">
      <formula>LEN(TRIM(AH98))=0</formula>
    </cfRule>
  </conditionalFormatting>
  <conditionalFormatting sqref="AH98">
    <cfRule type="containsBlanks" dxfId="4388" priority="4388">
      <formula>LEN(TRIM(AH98))=0</formula>
    </cfRule>
    <cfRule type="containsBlanks" dxfId="4387" priority="4389">
      <formula>LEN(TRIM(AH98))=0</formula>
    </cfRule>
  </conditionalFormatting>
  <conditionalFormatting sqref="AH98">
    <cfRule type="containsBlanks" dxfId="4386" priority="4322">
      <formula>LEN(TRIM(AH98))=0</formula>
    </cfRule>
    <cfRule type="containsBlanks" dxfId="4385" priority="4323">
      <formula>LEN(TRIM(AH98))=0</formula>
    </cfRule>
    <cfRule type="containsBlanks" dxfId="4384" priority="4324">
      <formula>LEN(TRIM(AH98))=0</formula>
    </cfRule>
    <cfRule type="containsBlanks" dxfId="4383" priority="4325">
      <formula>LEN(TRIM(AH98))=0</formula>
    </cfRule>
    <cfRule type="containsBlanks" dxfId="4382" priority="4326">
      <formula>LEN(TRIM(AH98))=0</formula>
    </cfRule>
    <cfRule type="containsBlanks" dxfId="4381" priority="4327">
      <formula>LEN(TRIM(AH98))=0</formula>
    </cfRule>
    <cfRule type="containsBlanks" dxfId="4380" priority="4328">
      <formula>LEN(TRIM(AH98))=0</formula>
    </cfRule>
    <cfRule type="containsBlanks" dxfId="4379" priority="4329">
      <formula>LEN(TRIM(AH98))=0</formula>
    </cfRule>
    <cfRule type="containsBlanks" dxfId="4378" priority="4330">
      <formula>LEN(TRIM(AH98))=0</formula>
    </cfRule>
    <cfRule type="containsBlanks" dxfId="4377" priority="4331">
      <formula>LEN(TRIM(AH98))=0</formula>
    </cfRule>
    <cfRule type="containsBlanks" dxfId="4376" priority="4332">
      <formula>LEN(TRIM(AH98))=0</formula>
    </cfRule>
    <cfRule type="containsBlanks" dxfId="4375" priority="4333">
      <formula>LEN(TRIM(AH98))=0</formula>
    </cfRule>
    <cfRule type="containsBlanks" dxfId="4374" priority="4334">
      <formula>LEN(TRIM(AH98))=0</formula>
    </cfRule>
    <cfRule type="containsBlanks" dxfId="4373" priority="4335">
      <formula>LEN(TRIM(AH98))=0</formula>
    </cfRule>
    <cfRule type="containsBlanks" dxfId="4372" priority="4336">
      <formula>LEN(TRIM(AH98))=0</formula>
    </cfRule>
    <cfRule type="containsBlanks" dxfId="4371" priority="4337">
      <formula>LEN(TRIM(AH98))=0</formula>
    </cfRule>
    <cfRule type="containsBlanks" dxfId="4370" priority="4338">
      <formula>LEN(TRIM(AH98))=0</formula>
    </cfRule>
    <cfRule type="containsBlanks" dxfId="4369" priority="4339">
      <formula>LEN(TRIM(AH98))=0</formula>
    </cfRule>
    <cfRule type="containsBlanks" dxfId="4368" priority="4340">
      <formula>LEN(TRIM(AH98))=0</formula>
    </cfRule>
    <cfRule type="containsBlanks" dxfId="4367" priority="4341">
      <formula>LEN(TRIM(AH98))=0</formula>
    </cfRule>
    <cfRule type="containsBlanks" dxfId="4366" priority="4342">
      <formula>LEN(TRIM(AH98))=0</formula>
    </cfRule>
    <cfRule type="containsBlanks" dxfId="4365" priority="4343">
      <formula>LEN(TRIM(AH98))=0</formula>
    </cfRule>
    <cfRule type="containsBlanks" dxfId="4364" priority="4344">
      <formula>LEN(TRIM(AH98))=0</formula>
    </cfRule>
    <cfRule type="containsBlanks" dxfId="4363" priority="4345">
      <formula>LEN(TRIM(AH98))=0</formula>
    </cfRule>
    <cfRule type="containsBlanks" dxfId="4362" priority="4346">
      <formula>LEN(TRIM(AH98))=0</formula>
    </cfRule>
    <cfRule type="containsBlanks" dxfId="4361" priority="4347">
      <formula>LEN(TRIM(AH98))=0</formula>
    </cfRule>
    <cfRule type="containsBlanks" dxfId="4360" priority="4348">
      <formula>LEN(TRIM(AH98))=0</formula>
    </cfRule>
    <cfRule type="containsBlanks" dxfId="4359" priority="4349">
      <formula>LEN(TRIM(AH98))=0</formula>
    </cfRule>
    <cfRule type="containsBlanks" dxfId="4358" priority="4350">
      <formula>LEN(TRIM(AH98))=0</formula>
    </cfRule>
    <cfRule type="containsBlanks" dxfId="4357" priority="4351">
      <formula>LEN(TRIM(AH98))=0</formula>
    </cfRule>
    <cfRule type="containsBlanks" dxfId="4356" priority="4352">
      <formula>LEN(TRIM(AH98))=0</formula>
    </cfRule>
    <cfRule type="containsBlanks" dxfId="4355" priority="4353">
      <formula>LEN(TRIM(AH98))=0</formula>
    </cfRule>
    <cfRule type="containsBlanks" dxfId="4354" priority="4354">
      <formula>LEN(TRIM(AH98))=0</formula>
    </cfRule>
    <cfRule type="containsBlanks" dxfId="4353" priority="4355">
      <formula>LEN(TRIM(AH98))=0</formula>
    </cfRule>
    <cfRule type="containsBlanks" dxfId="4352" priority="4356">
      <formula>LEN(TRIM(AH98))=0</formula>
    </cfRule>
    <cfRule type="containsBlanks" dxfId="4351" priority="4357">
      <formula>LEN(TRIM(AH98))=0</formula>
    </cfRule>
    <cfRule type="containsBlanks" dxfId="4350" priority="4358">
      <formula>LEN(TRIM(AH98))=0</formula>
    </cfRule>
    <cfRule type="containsBlanks" dxfId="4349" priority="4359">
      <formula>LEN(TRIM(AH98))=0</formula>
    </cfRule>
    <cfRule type="containsBlanks" dxfId="4348" priority="4360">
      <formula>LEN(TRIM(AH98))=0</formula>
    </cfRule>
    <cfRule type="containsBlanks" dxfId="4347" priority="4361">
      <formula>LEN(TRIM(AH98))=0</formula>
    </cfRule>
    <cfRule type="containsBlanks" dxfId="4346" priority="4362">
      <formula>LEN(TRIM(AH98))=0</formula>
    </cfRule>
    <cfRule type="containsBlanks" dxfId="4345" priority="4363">
      <formula>LEN(TRIM(AH98))=0</formula>
    </cfRule>
    <cfRule type="containsBlanks" dxfId="4344" priority="4364">
      <formula>LEN(TRIM(AH98))=0</formula>
    </cfRule>
    <cfRule type="containsBlanks" dxfId="4343" priority="4365">
      <formula>LEN(TRIM(AH98))=0</formula>
    </cfRule>
    <cfRule type="containsBlanks" dxfId="4342" priority="4366">
      <formula>LEN(TRIM(AH98))=0</formula>
    </cfRule>
    <cfRule type="containsBlanks" dxfId="4341" priority="4367">
      <formula>LEN(TRIM(AH98))=0</formula>
    </cfRule>
    <cfRule type="containsBlanks" dxfId="4340" priority="4368">
      <formula>LEN(TRIM(AH98))=0</formula>
    </cfRule>
    <cfRule type="containsBlanks" dxfId="4339" priority="4369">
      <formula>LEN(TRIM(AH98))=0</formula>
    </cfRule>
    <cfRule type="containsBlanks" dxfId="4338" priority="4370">
      <formula>LEN(TRIM(AH98))=0</formula>
    </cfRule>
    <cfRule type="containsBlanks" dxfId="4337" priority="4371">
      <formula>LEN(TRIM(AH98))=0</formula>
    </cfRule>
    <cfRule type="containsBlanks" dxfId="4336" priority="4372">
      <formula>LEN(TRIM(AH98))=0</formula>
    </cfRule>
    <cfRule type="containsBlanks" dxfId="4335" priority="4373">
      <formula>LEN(TRIM(AH98))=0</formula>
    </cfRule>
    <cfRule type="containsBlanks" dxfId="4334" priority="4374">
      <formula>LEN(TRIM(AH98))=0</formula>
    </cfRule>
    <cfRule type="containsBlanks" dxfId="4333" priority="4375">
      <formula>LEN(TRIM(AH98))=0</formula>
    </cfRule>
    <cfRule type="containsBlanks" dxfId="4332" priority="4376">
      <formula>LEN(TRIM(AH98))=0</formula>
    </cfRule>
    <cfRule type="containsBlanks" dxfId="4331" priority="4377">
      <formula>LEN(TRIM(AH98))=0</formula>
    </cfRule>
    <cfRule type="containsBlanks" dxfId="4330" priority="4378">
      <formula>LEN(TRIM(AH98))=0</formula>
    </cfRule>
    <cfRule type="containsBlanks" dxfId="4329" priority="4379">
      <formula>LEN(TRIM(AH98))=0</formula>
    </cfRule>
    <cfRule type="containsBlanks" dxfId="4328" priority="4380">
      <formula>LEN(TRIM(AH98))=0</formula>
    </cfRule>
    <cfRule type="containsBlanks" dxfId="4327" priority="4381">
      <formula>LEN(TRIM(AH98))=0</formula>
    </cfRule>
    <cfRule type="containsBlanks" dxfId="4326" priority="4382">
      <formula>LEN(TRIM(AH98))=0</formula>
    </cfRule>
    <cfRule type="containsBlanks" dxfId="4325" priority="4383">
      <formula>LEN(TRIM(AH98))=0</formula>
    </cfRule>
    <cfRule type="containsBlanks" dxfId="4324" priority="4384">
      <formula>LEN(TRIM(AH98))=0</formula>
    </cfRule>
    <cfRule type="containsBlanks" dxfId="4323" priority="4385">
      <formula>LEN(TRIM(AH98))=0</formula>
    </cfRule>
    <cfRule type="containsBlanks" dxfId="4322" priority="4386">
      <formula>LEN(TRIM(AH98))=0</formula>
    </cfRule>
    <cfRule type="containsBlanks" dxfId="4321" priority="4387">
      <formula>LEN(TRIM(AH98))=0</formula>
    </cfRule>
  </conditionalFormatting>
  <conditionalFormatting sqref="AH98">
    <cfRule type="containsBlanks" dxfId="4320" priority="4267">
      <formula>LEN(TRIM(AH98))=0</formula>
    </cfRule>
    <cfRule type="containsBlanks" dxfId="4319" priority="4268">
      <formula>LEN(TRIM(AH98))=0</formula>
    </cfRule>
    <cfRule type="containsBlanks" dxfId="4318" priority="4269">
      <formula>LEN(TRIM(AH98))=0</formula>
    </cfRule>
    <cfRule type="containsBlanks" dxfId="4317" priority="4270">
      <formula>LEN(TRIM(AH98))=0</formula>
    </cfRule>
    <cfRule type="containsBlanks" dxfId="4316" priority="4271">
      <formula>LEN(TRIM(AH98))=0</formula>
    </cfRule>
    <cfRule type="containsBlanks" dxfId="4315" priority="4272">
      <formula>LEN(TRIM(AH98))=0</formula>
    </cfRule>
    <cfRule type="containsBlanks" dxfId="4314" priority="4273">
      <formula>LEN(TRIM(AH98))=0</formula>
    </cfRule>
    <cfRule type="containsBlanks" dxfId="4313" priority="4274">
      <formula>LEN(TRIM(AH98))=0</formula>
    </cfRule>
    <cfRule type="containsBlanks" dxfId="4312" priority="4275">
      <formula>LEN(TRIM(AH98))=0</formula>
    </cfRule>
    <cfRule type="containsBlanks" dxfId="4311" priority="4276">
      <formula>LEN(TRIM(AH98))=0</formula>
    </cfRule>
    <cfRule type="containsBlanks" dxfId="4310" priority="4277">
      <formula>LEN(TRIM(AH98))=0</formula>
    </cfRule>
    <cfRule type="containsBlanks" dxfId="4309" priority="4278">
      <formula>LEN(TRIM(AH98))=0</formula>
    </cfRule>
    <cfRule type="containsBlanks" dxfId="4308" priority="4279">
      <formula>LEN(TRIM(AH98))=0</formula>
    </cfRule>
    <cfRule type="containsBlanks" dxfId="4307" priority="4280">
      <formula>LEN(TRIM(AH98))=0</formula>
    </cfRule>
    <cfRule type="containsBlanks" dxfId="4306" priority="4281">
      <formula>LEN(TRIM(AH98))=0</formula>
    </cfRule>
    <cfRule type="containsBlanks" dxfId="4305" priority="4282">
      <formula>LEN(TRIM(AH98))=0</formula>
    </cfRule>
    <cfRule type="containsBlanks" dxfId="4304" priority="4283">
      <formula>LEN(TRIM(AH98))=0</formula>
    </cfRule>
    <cfRule type="containsBlanks" dxfId="4303" priority="4284">
      <formula>LEN(TRIM(AH98))=0</formula>
    </cfRule>
    <cfRule type="containsBlanks" dxfId="4302" priority="4285">
      <formula>LEN(TRIM(AH98))=0</formula>
    </cfRule>
    <cfRule type="containsBlanks" dxfId="4301" priority="4286">
      <formula>LEN(TRIM(AH98))=0</formula>
    </cfRule>
    <cfRule type="containsBlanks" dxfId="4300" priority="4287">
      <formula>LEN(TRIM(AH98))=0</formula>
    </cfRule>
    <cfRule type="containsBlanks" dxfId="4299" priority="4288">
      <formula>LEN(TRIM(AH98))=0</formula>
    </cfRule>
    <cfRule type="containsBlanks" dxfId="4298" priority="4289">
      <formula>LEN(TRIM(AH98))=0</formula>
    </cfRule>
    <cfRule type="containsBlanks" dxfId="4297" priority="4290">
      <formula>LEN(TRIM(AH98))=0</formula>
    </cfRule>
    <cfRule type="containsBlanks" dxfId="4296" priority="4291">
      <formula>LEN(TRIM(AH98))=0</formula>
    </cfRule>
    <cfRule type="containsBlanks" dxfId="4295" priority="4292">
      <formula>LEN(TRIM(AH98))=0</formula>
    </cfRule>
    <cfRule type="containsBlanks" dxfId="4294" priority="4293">
      <formula>LEN(TRIM(AH98))=0</formula>
    </cfRule>
    <cfRule type="containsBlanks" dxfId="4293" priority="4294">
      <formula>LEN(TRIM(AH98))=0</formula>
    </cfRule>
    <cfRule type="containsBlanks" dxfId="4292" priority="4295">
      <formula>LEN(TRIM(AH98))=0</formula>
    </cfRule>
    <cfRule type="containsBlanks" dxfId="4291" priority="4296">
      <formula>LEN(TRIM(AH98))=0</formula>
    </cfRule>
    <cfRule type="containsBlanks" dxfId="4290" priority="4297">
      <formula>LEN(TRIM(AH98))=0</formula>
    </cfRule>
    <cfRule type="containsBlanks" dxfId="4289" priority="4298">
      <formula>LEN(TRIM(AH98))=0</formula>
    </cfRule>
    <cfRule type="containsBlanks" dxfId="4288" priority="4299">
      <formula>LEN(TRIM(AH98))=0</formula>
    </cfRule>
    <cfRule type="containsBlanks" dxfId="4287" priority="4300">
      <formula>LEN(TRIM(AH98))=0</formula>
    </cfRule>
    <cfRule type="containsBlanks" dxfId="4286" priority="4301">
      <formula>LEN(TRIM(AH98))=0</formula>
    </cfRule>
    <cfRule type="containsBlanks" dxfId="4285" priority="4302">
      <formula>LEN(TRIM(AH98))=0</formula>
    </cfRule>
    <cfRule type="containsBlanks" dxfId="4284" priority="4303">
      <formula>LEN(TRIM(AH98))=0</formula>
    </cfRule>
    <cfRule type="containsBlanks" dxfId="4283" priority="4304">
      <formula>LEN(TRIM(AH98))=0</formula>
    </cfRule>
    <cfRule type="containsBlanks" dxfId="4282" priority="4305">
      <formula>LEN(TRIM(AH98))=0</formula>
    </cfRule>
    <cfRule type="containsBlanks" dxfId="4281" priority="4306">
      <formula>LEN(TRIM(AH98))=0</formula>
    </cfRule>
    <cfRule type="containsBlanks" dxfId="4280" priority="4307">
      <formula>LEN(TRIM(AH98))=0</formula>
    </cfRule>
    <cfRule type="containsBlanks" dxfId="4279" priority="4308">
      <formula>LEN(TRIM(AH98))=0</formula>
    </cfRule>
    <cfRule type="containsBlanks" dxfId="4278" priority="4309">
      <formula>LEN(TRIM(AH98))=0</formula>
    </cfRule>
    <cfRule type="containsBlanks" dxfId="4277" priority="4310">
      <formula>LEN(TRIM(AH98))=0</formula>
    </cfRule>
    <cfRule type="containsBlanks" dxfId="4276" priority="4311">
      <formula>LEN(TRIM(AH98))=0</formula>
    </cfRule>
    <cfRule type="containsBlanks" dxfId="4275" priority="4312">
      <formula>LEN(TRIM(AH98))=0</formula>
    </cfRule>
    <cfRule type="containsBlanks" dxfId="4274" priority="4313">
      <formula>LEN(TRIM(AH98))=0</formula>
    </cfRule>
    <cfRule type="containsBlanks" dxfId="4273" priority="4314">
      <formula>LEN(TRIM(AH98))=0</formula>
    </cfRule>
    <cfRule type="containsBlanks" dxfId="4272" priority="4315">
      <formula>LEN(TRIM(AH98))=0</formula>
    </cfRule>
    <cfRule type="containsBlanks" dxfId="4271" priority="4316">
      <formula>LEN(TRIM(AH98))=0</formula>
    </cfRule>
    <cfRule type="containsBlanks" dxfId="4270" priority="4317">
      <formula>LEN(TRIM(AH98))=0</formula>
    </cfRule>
    <cfRule type="containsBlanks" dxfId="4269" priority="4318">
      <formula>LEN(TRIM(AH98))=0</formula>
    </cfRule>
    <cfRule type="containsBlanks" dxfId="4268" priority="4319">
      <formula>LEN(TRIM(AH98))=0</formula>
    </cfRule>
    <cfRule type="containsBlanks" dxfId="4267" priority="4320">
      <formula>LEN(TRIM(AH98))=0</formula>
    </cfRule>
    <cfRule type="containsBlanks" dxfId="4266" priority="4321">
      <formula>LEN(TRIM(AH98))=0</formula>
    </cfRule>
  </conditionalFormatting>
  <conditionalFormatting sqref="AH98">
    <cfRule type="containsBlanks" dxfId="4265" priority="4183">
      <formula>LEN(TRIM(AH98))=0</formula>
    </cfRule>
    <cfRule type="containsBlanks" dxfId="4264" priority="4184">
      <formula>LEN(TRIM(AH98))=0</formula>
    </cfRule>
    <cfRule type="containsBlanks" dxfId="4263" priority="4185">
      <formula>LEN(TRIM(AH98))=0</formula>
    </cfRule>
    <cfRule type="containsBlanks" dxfId="4262" priority="4186">
      <formula>LEN(TRIM(AH98))=0</formula>
    </cfRule>
    <cfRule type="containsBlanks" dxfId="4261" priority="4187">
      <formula>LEN(TRIM(AH98))=0</formula>
    </cfRule>
    <cfRule type="containsBlanks" dxfId="4260" priority="4188">
      <formula>LEN(TRIM(AH98))=0</formula>
    </cfRule>
    <cfRule type="containsBlanks" dxfId="4259" priority="4189">
      <formula>LEN(TRIM(AH98))=0</formula>
    </cfRule>
    <cfRule type="containsBlanks" dxfId="4258" priority="4190">
      <formula>LEN(TRIM(AH98))=0</formula>
    </cfRule>
    <cfRule type="containsBlanks" dxfId="4257" priority="4191">
      <formula>LEN(TRIM(AH98))=0</formula>
    </cfRule>
    <cfRule type="containsBlanks" dxfId="4256" priority="4192">
      <formula>LEN(TRIM(AH98))=0</formula>
    </cfRule>
    <cfRule type="containsBlanks" dxfId="4255" priority="4193">
      <formula>LEN(TRIM(AH98))=0</formula>
    </cfRule>
    <cfRule type="containsBlanks" dxfId="4254" priority="4194">
      <formula>LEN(TRIM(AH98))=0</formula>
    </cfRule>
    <cfRule type="containsBlanks" dxfId="4253" priority="4195">
      <formula>LEN(TRIM(AH98))=0</formula>
    </cfRule>
    <cfRule type="containsBlanks" dxfId="4252" priority="4196">
      <formula>LEN(TRIM(AH98))=0</formula>
    </cfRule>
    <cfRule type="containsBlanks" dxfId="4251" priority="4197">
      <formula>LEN(TRIM(AH98))=0</formula>
    </cfRule>
    <cfRule type="containsBlanks" dxfId="4250" priority="4198">
      <formula>LEN(TRIM(AH98))=0</formula>
    </cfRule>
    <cfRule type="containsBlanks" dxfId="4249" priority="4199">
      <formula>LEN(TRIM(AH98))=0</formula>
    </cfRule>
    <cfRule type="containsBlanks" dxfId="4248" priority="4200">
      <formula>LEN(TRIM(AH98))=0</formula>
    </cfRule>
    <cfRule type="containsBlanks" dxfId="4247" priority="4201">
      <formula>LEN(TRIM(AH98))=0</formula>
    </cfRule>
    <cfRule type="containsBlanks" dxfId="4246" priority="4202">
      <formula>LEN(TRIM(AH98))=0</formula>
    </cfRule>
    <cfRule type="containsBlanks" dxfId="4245" priority="4203">
      <formula>LEN(TRIM(AH98))=0</formula>
    </cfRule>
    <cfRule type="containsBlanks" dxfId="4244" priority="4204">
      <formula>LEN(TRIM(AH98))=0</formula>
    </cfRule>
    <cfRule type="containsBlanks" dxfId="4243" priority="4205">
      <formula>LEN(TRIM(AH98))=0</formula>
    </cfRule>
    <cfRule type="containsBlanks" dxfId="4242" priority="4206">
      <formula>LEN(TRIM(AH98))=0</formula>
    </cfRule>
    <cfRule type="containsBlanks" dxfId="4241" priority="4207">
      <formula>LEN(TRIM(AH98))=0</formula>
    </cfRule>
    <cfRule type="containsBlanks" dxfId="4240" priority="4208">
      <formula>LEN(TRIM(AH98))=0</formula>
    </cfRule>
    <cfRule type="containsBlanks" dxfId="4239" priority="4209">
      <formula>LEN(TRIM(AH98))=0</formula>
    </cfRule>
    <cfRule type="containsBlanks" dxfId="4238" priority="4210">
      <formula>LEN(TRIM(AH98))=0</formula>
    </cfRule>
    <cfRule type="containsBlanks" dxfId="4237" priority="4211">
      <formula>LEN(TRIM(AH98))=0</formula>
    </cfRule>
    <cfRule type="containsBlanks" dxfId="4236" priority="4212">
      <formula>LEN(TRIM(AH98))=0</formula>
    </cfRule>
    <cfRule type="containsBlanks" dxfId="4235" priority="4213">
      <formula>LEN(TRIM(AH98))=0</formula>
    </cfRule>
    <cfRule type="containsBlanks" dxfId="4234" priority="4214">
      <formula>LEN(TRIM(AH98))=0</formula>
    </cfRule>
    <cfRule type="containsBlanks" dxfId="4233" priority="4215">
      <formula>LEN(TRIM(AH98))=0</formula>
    </cfRule>
    <cfRule type="containsBlanks" dxfId="4232" priority="4216">
      <formula>LEN(TRIM(AH98))=0</formula>
    </cfRule>
    <cfRule type="containsBlanks" dxfId="4231" priority="4217">
      <formula>LEN(TRIM(AH98))=0</formula>
    </cfRule>
    <cfRule type="containsBlanks" dxfId="4230" priority="4218">
      <formula>LEN(TRIM(AH98))=0</formula>
    </cfRule>
    <cfRule type="containsBlanks" dxfId="4229" priority="4219">
      <formula>LEN(TRIM(AH98))=0</formula>
    </cfRule>
    <cfRule type="containsBlanks" dxfId="4228" priority="4220">
      <formula>LEN(TRIM(AH98))=0</formula>
    </cfRule>
    <cfRule type="containsBlanks" dxfId="4227" priority="4221">
      <formula>LEN(TRIM(AH98))=0</formula>
    </cfRule>
    <cfRule type="containsBlanks" dxfId="4226" priority="4222">
      <formula>LEN(TRIM(AH98))=0</formula>
    </cfRule>
    <cfRule type="containsBlanks" dxfId="4225" priority="4223">
      <formula>LEN(TRIM(AH98))=0</formula>
    </cfRule>
    <cfRule type="containsBlanks" dxfId="4224" priority="4224">
      <formula>LEN(TRIM(AH98))=0</formula>
    </cfRule>
    <cfRule type="containsBlanks" dxfId="4223" priority="4225">
      <formula>LEN(TRIM(AH98))=0</formula>
    </cfRule>
    <cfRule type="containsBlanks" dxfId="4222" priority="4226">
      <formula>LEN(TRIM(AH98))=0</formula>
    </cfRule>
    <cfRule type="containsBlanks" dxfId="4221" priority="4227">
      <formula>LEN(TRIM(AH98))=0</formula>
    </cfRule>
    <cfRule type="containsBlanks" dxfId="4220" priority="4228">
      <formula>LEN(TRIM(AH98))=0</formula>
    </cfRule>
    <cfRule type="containsBlanks" dxfId="4219" priority="4229">
      <formula>LEN(TRIM(AH98))=0</formula>
    </cfRule>
    <cfRule type="containsBlanks" dxfId="4218" priority="4230">
      <formula>LEN(TRIM(AH98))=0</formula>
    </cfRule>
    <cfRule type="containsBlanks" dxfId="4217" priority="4231">
      <formula>LEN(TRIM(AH98))=0</formula>
    </cfRule>
    <cfRule type="containsBlanks" dxfId="4216" priority="4232">
      <formula>LEN(TRIM(AH98))=0</formula>
    </cfRule>
    <cfRule type="containsBlanks" dxfId="4215" priority="4233">
      <formula>LEN(TRIM(AH98))=0</formula>
    </cfRule>
    <cfRule type="containsBlanks" dxfId="4214" priority="4234">
      <formula>LEN(TRIM(AH98))=0</formula>
    </cfRule>
    <cfRule type="containsBlanks" dxfId="4213" priority="4235">
      <formula>LEN(TRIM(AH98))=0</formula>
    </cfRule>
    <cfRule type="containsBlanks" dxfId="4212" priority="4236">
      <formula>LEN(TRIM(AH98))=0</formula>
    </cfRule>
    <cfRule type="containsBlanks" dxfId="4211" priority="4237">
      <formula>LEN(TRIM(AH98))=0</formula>
    </cfRule>
    <cfRule type="containsBlanks" dxfId="4210" priority="4238">
      <formula>LEN(TRIM(AH98))=0</formula>
    </cfRule>
    <cfRule type="containsBlanks" dxfId="4209" priority="4239">
      <formula>LEN(TRIM(AH98))=0</formula>
    </cfRule>
    <cfRule type="containsBlanks" dxfId="4208" priority="4240">
      <formula>LEN(TRIM(AH98))=0</formula>
    </cfRule>
    <cfRule type="containsBlanks" dxfId="4207" priority="4241">
      <formula>LEN(TRIM(AH98))=0</formula>
    </cfRule>
    <cfRule type="containsBlanks" dxfId="4206" priority="4242">
      <formula>LEN(TRIM(AH98))=0</formula>
    </cfRule>
    <cfRule type="containsBlanks" dxfId="4205" priority="4243">
      <formula>LEN(TRIM(AH98))=0</formula>
    </cfRule>
    <cfRule type="containsBlanks" dxfId="4204" priority="4244">
      <formula>LEN(TRIM(AH98))=0</formula>
    </cfRule>
    <cfRule type="containsBlanks" dxfId="4203" priority="4245">
      <formula>LEN(TRIM(AH98))=0</formula>
    </cfRule>
    <cfRule type="containsBlanks" dxfId="4202" priority="4246">
      <formula>LEN(TRIM(AH98))=0</formula>
    </cfRule>
    <cfRule type="containsBlanks" dxfId="4201" priority="4247">
      <formula>LEN(TRIM(AH98))=0</formula>
    </cfRule>
    <cfRule type="containsBlanks" dxfId="4200" priority="4248">
      <formula>LEN(TRIM(AH98))=0</formula>
    </cfRule>
    <cfRule type="containsBlanks" dxfId="4199" priority="4249">
      <formula>LEN(TRIM(AH98))=0</formula>
    </cfRule>
    <cfRule type="containsBlanks" dxfId="4198" priority="4250">
      <formula>LEN(TRIM(AH98))=0</formula>
    </cfRule>
    <cfRule type="containsBlanks" dxfId="4197" priority="4251">
      <formula>LEN(TRIM(AH98))=0</formula>
    </cfRule>
    <cfRule type="containsBlanks" dxfId="4196" priority="4252">
      <formula>LEN(TRIM(AH98))=0</formula>
    </cfRule>
    <cfRule type="containsBlanks" dxfId="4195" priority="4253">
      <formula>LEN(TRIM(AH98))=0</formula>
    </cfRule>
    <cfRule type="containsBlanks" dxfId="4194" priority="4254">
      <formula>LEN(TRIM(AH98))=0</formula>
    </cfRule>
    <cfRule type="containsBlanks" dxfId="4193" priority="4255">
      <formula>LEN(TRIM(AH98))=0</formula>
    </cfRule>
    <cfRule type="containsBlanks" dxfId="4192" priority="4256">
      <formula>LEN(TRIM(AH98))=0</formula>
    </cfRule>
    <cfRule type="containsBlanks" dxfId="4191" priority="4257">
      <formula>LEN(TRIM(AH98))=0</formula>
    </cfRule>
    <cfRule type="containsBlanks" dxfId="4190" priority="4258">
      <formula>LEN(TRIM(AH98))=0</formula>
    </cfRule>
    <cfRule type="containsBlanks" dxfId="4189" priority="4259">
      <formula>LEN(TRIM(AH98))=0</formula>
    </cfRule>
    <cfRule type="containsBlanks" dxfId="4188" priority="4260">
      <formula>LEN(TRIM(AH98))=0</formula>
    </cfRule>
    <cfRule type="containsBlanks" dxfId="4187" priority="4261">
      <formula>LEN(TRIM(AH98))=0</formula>
    </cfRule>
    <cfRule type="containsBlanks" dxfId="4186" priority="4262">
      <formula>LEN(TRIM(AH98))=0</formula>
    </cfRule>
    <cfRule type="containsBlanks" dxfId="4185" priority="4263">
      <formula>LEN(TRIM(AH98))=0</formula>
    </cfRule>
    <cfRule type="containsBlanks" dxfId="4184" priority="4264">
      <formula>LEN(TRIM(AH98))=0</formula>
    </cfRule>
    <cfRule type="containsBlanks" dxfId="4183" priority="4265">
      <formula>LEN(TRIM(AH98))=0</formula>
    </cfRule>
    <cfRule type="containsBlanks" dxfId="4182" priority="4266">
      <formula>LEN(TRIM(AH98))=0</formula>
    </cfRule>
  </conditionalFormatting>
  <conditionalFormatting sqref="AH99">
    <cfRule type="containsBlanks" dxfId="4181" priority="4182">
      <formula>LEN(TRIM(AH99))=0</formula>
    </cfRule>
  </conditionalFormatting>
  <conditionalFormatting sqref="AH99">
    <cfRule type="containsBlanks" dxfId="4180" priority="4181">
      <formula>LEN(TRIM(AH99))=0</formula>
    </cfRule>
  </conditionalFormatting>
  <conditionalFormatting sqref="AH99">
    <cfRule type="containsBlanks" dxfId="4179" priority="4179">
      <formula>LEN(TRIM(AH99))=0</formula>
    </cfRule>
    <cfRule type="containsBlanks" dxfId="4178" priority="4180">
      <formula>LEN(TRIM(AH99))=0</formula>
    </cfRule>
  </conditionalFormatting>
  <conditionalFormatting sqref="AH99">
    <cfRule type="containsBlanks" dxfId="4177" priority="4178">
      <formula>LEN(TRIM(AH99))=0</formula>
    </cfRule>
  </conditionalFormatting>
  <conditionalFormatting sqref="AH99">
    <cfRule type="containsBlanks" dxfId="4176" priority="4177">
      <formula>LEN(TRIM(AH99))=0</formula>
    </cfRule>
  </conditionalFormatting>
  <conditionalFormatting sqref="AH99">
    <cfRule type="containsBlanks" dxfId="4175" priority="4176">
      <formula>LEN(TRIM(AH99))=0</formula>
    </cfRule>
  </conditionalFormatting>
  <conditionalFormatting sqref="AH99">
    <cfRule type="containsBlanks" dxfId="4174" priority="4174">
      <formula>LEN(TRIM(AH99))=0</formula>
    </cfRule>
    <cfRule type="containsBlanks" dxfId="4173" priority="4175">
      <formula>LEN(TRIM(AH99))=0</formula>
    </cfRule>
  </conditionalFormatting>
  <conditionalFormatting sqref="AH99">
    <cfRule type="containsBlanks" dxfId="4172" priority="4172">
      <formula>LEN(TRIM(AH99))=0</formula>
    </cfRule>
    <cfRule type="containsBlanks" dxfId="4171" priority="4173">
      <formula>LEN(TRIM(AH99))=0</formula>
    </cfRule>
  </conditionalFormatting>
  <conditionalFormatting sqref="AH99">
    <cfRule type="containsBlanks" dxfId="4170" priority="4170">
      <formula>LEN(TRIM(AH99))=0</formula>
    </cfRule>
    <cfRule type="containsBlanks" dxfId="4169" priority="4171">
      <formula>LEN(TRIM(AH99))=0</formula>
    </cfRule>
  </conditionalFormatting>
  <conditionalFormatting sqref="AH99">
    <cfRule type="containsBlanks" dxfId="4168" priority="4168">
      <formula>LEN(TRIM(AH99))=0</formula>
    </cfRule>
    <cfRule type="containsBlanks" dxfId="4167" priority="4169">
      <formula>LEN(TRIM(AH99))=0</formula>
    </cfRule>
  </conditionalFormatting>
  <conditionalFormatting sqref="AH99">
    <cfRule type="containsBlanks" dxfId="4166" priority="4102">
      <formula>LEN(TRIM(AH99))=0</formula>
    </cfRule>
    <cfRule type="containsBlanks" dxfId="4165" priority="4103">
      <formula>LEN(TRIM(AH99))=0</formula>
    </cfRule>
    <cfRule type="containsBlanks" dxfId="4164" priority="4104">
      <formula>LEN(TRIM(AH99))=0</formula>
    </cfRule>
    <cfRule type="containsBlanks" dxfId="4163" priority="4105">
      <formula>LEN(TRIM(AH99))=0</formula>
    </cfRule>
    <cfRule type="containsBlanks" dxfId="4162" priority="4106">
      <formula>LEN(TRIM(AH99))=0</formula>
    </cfRule>
    <cfRule type="containsBlanks" dxfId="4161" priority="4107">
      <formula>LEN(TRIM(AH99))=0</formula>
    </cfRule>
    <cfRule type="containsBlanks" dxfId="4160" priority="4108">
      <formula>LEN(TRIM(AH99))=0</formula>
    </cfRule>
    <cfRule type="containsBlanks" dxfId="4159" priority="4109">
      <formula>LEN(TRIM(AH99))=0</formula>
    </cfRule>
    <cfRule type="containsBlanks" dxfId="4158" priority="4110">
      <formula>LEN(TRIM(AH99))=0</formula>
    </cfRule>
    <cfRule type="containsBlanks" dxfId="4157" priority="4111">
      <formula>LEN(TRIM(AH99))=0</formula>
    </cfRule>
    <cfRule type="containsBlanks" dxfId="4156" priority="4112">
      <formula>LEN(TRIM(AH99))=0</formula>
    </cfRule>
    <cfRule type="containsBlanks" dxfId="4155" priority="4113">
      <formula>LEN(TRIM(AH99))=0</formula>
    </cfRule>
    <cfRule type="containsBlanks" dxfId="4154" priority="4114">
      <formula>LEN(TRIM(AH99))=0</formula>
    </cfRule>
    <cfRule type="containsBlanks" dxfId="4153" priority="4115">
      <formula>LEN(TRIM(AH99))=0</formula>
    </cfRule>
    <cfRule type="containsBlanks" dxfId="4152" priority="4116">
      <formula>LEN(TRIM(AH99))=0</formula>
    </cfRule>
    <cfRule type="containsBlanks" dxfId="4151" priority="4117">
      <formula>LEN(TRIM(AH99))=0</formula>
    </cfRule>
    <cfRule type="containsBlanks" dxfId="4150" priority="4118">
      <formula>LEN(TRIM(AH99))=0</formula>
    </cfRule>
    <cfRule type="containsBlanks" dxfId="4149" priority="4119">
      <formula>LEN(TRIM(AH99))=0</formula>
    </cfRule>
    <cfRule type="containsBlanks" dxfId="4148" priority="4120">
      <formula>LEN(TRIM(AH99))=0</formula>
    </cfRule>
    <cfRule type="containsBlanks" dxfId="4147" priority="4121">
      <formula>LEN(TRIM(AH99))=0</formula>
    </cfRule>
    <cfRule type="containsBlanks" dxfId="4146" priority="4122">
      <formula>LEN(TRIM(AH99))=0</formula>
    </cfRule>
    <cfRule type="containsBlanks" dxfId="4145" priority="4123">
      <formula>LEN(TRIM(AH99))=0</formula>
    </cfRule>
    <cfRule type="containsBlanks" dxfId="4144" priority="4124">
      <formula>LEN(TRIM(AH99))=0</formula>
    </cfRule>
    <cfRule type="containsBlanks" dxfId="4143" priority="4125">
      <formula>LEN(TRIM(AH99))=0</formula>
    </cfRule>
    <cfRule type="containsBlanks" dxfId="4142" priority="4126">
      <formula>LEN(TRIM(AH99))=0</formula>
    </cfRule>
    <cfRule type="containsBlanks" dxfId="4141" priority="4127">
      <formula>LEN(TRIM(AH99))=0</formula>
    </cfRule>
    <cfRule type="containsBlanks" dxfId="4140" priority="4128">
      <formula>LEN(TRIM(AH99))=0</formula>
    </cfRule>
    <cfRule type="containsBlanks" dxfId="4139" priority="4129">
      <formula>LEN(TRIM(AH99))=0</formula>
    </cfRule>
    <cfRule type="containsBlanks" dxfId="4138" priority="4130">
      <formula>LEN(TRIM(AH99))=0</formula>
    </cfRule>
    <cfRule type="containsBlanks" dxfId="4137" priority="4131">
      <formula>LEN(TRIM(AH99))=0</formula>
    </cfRule>
    <cfRule type="containsBlanks" dxfId="4136" priority="4132">
      <formula>LEN(TRIM(AH99))=0</formula>
    </cfRule>
    <cfRule type="containsBlanks" dxfId="4135" priority="4133">
      <formula>LEN(TRIM(AH99))=0</formula>
    </cfRule>
    <cfRule type="containsBlanks" dxfId="4134" priority="4134">
      <formula>LEN(TRIM(AH99))=0</formula>
    </cfRule>
    <cfRule type="containsBlanks" dxfId="4133" priority="4135">
      <formula>LEN(TRIM(AH99))=0</formula>
    </cfRule>
    <cfRule type="containsBlanks" dxfId="4132" priority="4136">
      <formula>LEN(TRIM(AH99))=0</formula>
    </cfRule>
    <cfRule type="containsBlanks" dxfId="4131" priority="4137">
      <formula>LEN(TRIM(AH99))=0</formula>
    </cfRule>
    <cfRule type="containsBlanks" dxfId="4130" priority="4138">
      <formula>LEN(TRIM(AH99))=0</formula>
    </cfRule>
    <cfRule type="containsBlanks" dxfId="4129" priority="4139">
      <formula>LEN(TRIM(AH99))=0</formula>
    </cfRule>
    <cfRule type="containsBlanks" dxfId="4128" priority="4140">
      <formula>LEN(TRIM(AH99))=0</formula>
    </cfRule>
    <cfRule type="containsBlanks" dxfId="4127" priority="4141">
      <formula>LEN(TRIM(AH99))=0</formula>
    </cfRule>
    <cfRule type="containsBlanks" dxfId="4126" priority="4142">
      <formula>LEN(TRIM(AH99))=0</formula>
    </cfRule>
    <cfRule type="containsBlanks" dxfId="4125" priority="4143">
      <formula>LEN(TRIM(AH99))=0</formula>
    </cfRule>
    <cfRule type="containsBlanks" dxfId="4124" priority="4144">
      <formula>LEN(TRIM(AH99))=0</formula>
    </cfRule>
    <cfRule type="containsBlanks" dxfId="4123" priority="4145">
      <formula>LEN(TRIM(AH99))=0</formula>
    </cfRule>
    <cfRule type="containsBlanks" dxfId="4122" priority="4146">
      <formula>LEN(TRIM(AH99))=0</formula>
    </cfRule>
    <cfRule type="containsBlanks" dxfId="4121" priority="4147">
      <formula>LEN(TRIM(AH99))=0</formula>
    </cfRule>
    <cfRule type="containsBlanks" dxfId="4120" priority="4148">
      <formula>LEN(TRIM(AH99))=0</formula>
    </cfRule>
    <cfRule type="containsBlanks" dxfId="4119" priority="4149">
      <formula>LEN(TRIM(AH99))=0</formula>
    </cfRule>
    <cfRule type="containsBlanks" dxfId="4118" priority="4150">
      <formula>LEN(TRIM(AH99))=0</formula>
    </cfRule>
    <cfRule type="containsBlanks" dxfId="4117" priority="4151">
      <formula>LEN(TRIM(AH99))=0</formula>
    </cfRule>
    <cfRule type="containsBlanks" dxfId="4116" priority="4152">
      <formula>LEN(TRIM(AH99))=0</formula>
    </cfRule>
    <cfRule type="containsBlanks" dxfId="4115" priority="4153">
      <formula>LEN(TRIM(AH99))=0</formula>
    </cfRule>
    <cfRule type="containsBlanks" dxfId="4114" priority="4154">
      <formula>LEN(TRIM(AH99))=0</formula>
    </cfRule>
    <cfRule type="containsBlanks" dxfId="4113" priority="4155">
      <formula>LEN(TRIM(AH99))=0</formula>
    </cfRule>
    <cfRule type="containsBlanks" dxfId="4112" priority="4156">
      <formula>LEN(TRIM(AH99))=0</formula>
    </cfRule>
    <cfRule type="containsBlanks" dxfId="4111" priority="4157">
      <formula>LEN(TRIM(AH99))=0</formula>
    </cfRule>
    <cfRule type="containsBlanks" dxfId="4110" priority="4158">
      <formula>LEN(TRIM(AH99))=0</formula>
    </cfRule>
    <cfRule type="containsBlanks" dxfId="4109" priority="4159">
      <formula>LEN(TRIM(AH99))=0</formula>
    </cfRule>
    <cfRule type="containsBlanks" dxfId="4108" priority="4160">
      <formula>LEN(TRIM(AH99))=0</formula>
    </cfRule>
    <cfRule type="containsBlanks" dxfId="4107" priority="4161">
      <formula>LEN(TRIM(AH99))=0</formula>
    </cfRule>
    <cfRule type="containsBlanks" dxfId="4106" priority="4162">
      <formula>LEN(TRIM(AH99))=0</formula>
    </cfRule>
    <cfRule type="containsBlanks" dxfId="4105" priority="4163">
      <formula>LEN(TRIM(AH99))=0</formula>
    </cfRule>
    <cfRule type="containsBlanks" dxfId="4104" priority="4164">
      <formula>LEN(TRIM(AH99))=0</formula>
    </cfRule>
    <cfRule type="containsBlanks" dxfId="4103" priority="4165">
      <formula>LEN(TRIM(AH99))=0</formula>
    </cfRule>
    <cfRule type="containsBlanks" dxfId="4102" priority="4166">
      <formula>LEN(TRIM(AH99))=0</formula>
    </cfRule>
    <cfRule type="containsBlanks" dxfId="4101" priority="4167">
      <formula>LEN(TRIM(AH99))=0</formula>
    </cfRule>
  </conditionalFormatting>
  <conditionalFormatting sqref="AH99">
    <cfRule type="containsBlanks" dxfId="4100" priority="4047">
      <formula>LEN(TRIM(AH99))=0</formula>
    </cfRule>
    <cfRule type="containsBlanks" dxfId="4099" priority="4048">
      <formula>LEN(TRIM(AH99))=0</formula>
    </cfRule>
    <cfRule type="containsBlanks" dxfId="4098" priority="4049">
      <formula>LEN(TRIM(AH99))=0</formula>
    </cfRule>
    <cfRule type="containsBlanks" dxfId="4097" priority="4050">
      <formula>LEN(TRIM(AH99))=0</formula>
    </cfRule>
    <cfRule type="containsBlanks" dxfId="4096" priority="4051">
      <formula>LEN(TRIM(AH99))=0</formula>
    </cfRule>
    <cfRule type="containsBlanks" dxfId="4095" priority="4052">
      <formula>LEN(TRIM(AH99))=0</formula>
    </cfRule>
    <cfRule type="containsBlanks" dxfId="4094" priority="4053">
      <formula>LEN(TRIM(AH99))=0</formula>
    </cfRule>
    <cfRule type="containsBlanks" dxfId="4093" priority="4054">
      <formula>LEN(TRIM(AH99))=0</formula>
    </cfRule>
    <cfRule type="containsBlanks" dxfId="4092" priority="4055">
      <formula>LEN(TRIM(AH99))=0</formula>
    </cfRule>
    <cfRule type="containsBlanks" dxfId="4091" priority="4056">
      <formula>LEN(TRIM(AH99))=0</formula>
    </cfRule>
    <cfRule type="containsBlanks" dxfId="4090" priority="4057">
      <formula>LEN(TRIM(AH99))=0</formula>
    </cfRule>
    <cfRule type="containsBlanks" dxfId="4089" priority="4058">
      <formula>LEN(TRIM(AH99))=0</formula>
    </cfRule>
    <cfRule type="containsBlanks" dxfId="4088" priority="4059">
      <formula>LEN(TRIM(AH99))=0</formula>
    </cfRule>
    <cfRule type="containsBlanks" dxfId="4087" priority="4060">
      <formula>LEN(TRIM(AH99))=0</formula>
    </cfRule>
    <cfRule type="containsBlanks" dxfId="4086" priority="4061">
      <formula>LEN(TRIM(AH99))=0</formula>
    </cfRule>
    <cfRule type="containsBlanks" dxfId="4085" priority="4062">
      <formula>LEN(TRIM(AH99))=0</formula>
    </cfRule>
    <cfRule type="containsBlanks" dxfId="4084" priority="4063">
      <formula>LEN(TRIM(AH99))=0</formula>
    </cfRule>
    <cfRule type="containsBlanks" dxfId="4083" priority="4064">
      <formula>LEN(TRIM(AH99))=0</formula>
    </cfRule>
    <cfRule type="containsBlanks" dxfId="4082" priority="4065">
      <formula>LEN(TRIM(AH99))=0</formula>
    </cfRule>
    <cfRule type="containsBlanks" dxfId="4081" priority="4066">
      <formula>LEN(TRIM(AH99))=0</formula>
    </cfRule>
    <cfRule type="containsBlanks" dxfId="4080" priority="4067">
      <formula>LEN(TRIM(AH99))=0</formula>
    </cfRule>
    <cfRule type="containsBlanks" dxfId="4079" priority="4068">
      <formula>LEN(TRIM(AH99))=0</formula>
    </cfRule>
    <cfRule type="containsBlanks" dxfId="4078" priority="4069">
      <formula>LEN(TRIM(AH99))=0</formula>
    </cfRule>
    <cfRule type="containsBlanks" dxfId="4077" priority="4070">
      <formula>LEN(TRIM(AH99))=0</formula>
    </cfRule>
    <cfRule type="containsBlanks" dxfId="4076" priority="4071">
      <formula>LEN(TRIM(AH99))=0</formula>
    </cfRule>
    <cfRule type="containsBlanks" dxfId="4075" priority="4072">
      <formula>LEN(TRIM(AH99))=0</formula>
    </cfRule>
    <cfRule type="containsBlanks" dxfId="4074" priority="4073">
      <formula>LEN(TRIM(AH99))=0</formula>
    </cfRule>
    <cfRule type="containsBlanks" dxfId="4073" priority="4074">
      <formula>LEN(TRIM(AH99))=0</formula>
    </cfRule>
    <cfRule type="containsBlanks" dxfId="4072" priority="4075">
      <formula>LEN(TRIM(AH99))=0</formula>
    </cfRule>
    <cfRule type="containsBlanks" dxfId="4071" priority="4076">
      <formula>LEN(TRIM(AH99))=0</formula>
    </cfRule>
    <cfRule type="containsBlanks" dxfId="4070" priority="4077">
      <formula>LEN(TRIM(AH99))=0</formula>
    </cfRule>
    <cfRule type="containsBlanks" dxfId="4069" priority="4078">
      <formula>LEN(TRIM(AH99))=0</formula>
    </cfRule>
    <cfRule type="containsBlanks" dxfId="4068" priority="4079">
      <formula>LEN(TRIM(AH99))=0</formula>
    </cfRule>
    <cfRule type="containsBlanks" dxfId="4067" priority="4080">
      <formula>LEN(TRIM(AH99))=0</formula>
    </cfRule>
    <cfRule type="containsBlanks" dxfId="4066" priority="4081">
      <formula>LEN(TRIM(AH99))=0</formula>
    </cfRule>
    <cfRule type="containsBlanks" dxfId="4065" priority="4082">
      <formula>LEN(TRIM(AH99))=0</formula>
    </cfRule>
    <cfRule type="containsBlanks" dxfId="4064" priority="4083">
      <formula>LEN(TRIM(AH99))=0</formula>
    </cfRule>
    <cfRule type="containsBlanks" dxfId="4063" priority="4084">
      <formula>LEN(TRIM(AH99))=0</formula>
    </cfRule>
    <cfRule type="containsBlanks" dxfId="4062" priority="4085">
      <formula>LEN(TRIM(AH99))=0</formula>
    </cfRule>
    <cfRule type="containsBlanks" dxfId="4061" priority="4086">
      <formula>LEN(TRIM(AH99))=0</formula>
    </cfRule>
    <cfRule type="containsBlanks" dxfId="4060" priority="4087">
      <formula>LEN(TRIM(AH99))=0</formula>
    </cfRule>
    <cfRule type="containsBlanks" dxfId="4059" priority="4088">
      <formula>LEN(TRIM(AH99))=0</formula>
    </cfRule>
    <cfRule type="containsBlanks" dxfId="4058" priority="4089">
      <formula>LEN(TRIM(AH99))=0</formula>
    </cfRule>
    <cfRule type="containsBlanks" dxfId="4057" priority="4090">
      <formula>LEN(TRIM(AH99))=0</formula>
    </cfRule>
    <cfRule type="containsBlanks" dxfId="4056" priority="4091">
      <formula>LEN(TRIM(AH99))=0</formula>
    </cfRule>
    <cfRule type="containsBlanks" dxfId="4055" priority="4092">
      <formula>LEN(TRIM(AH99))=0</formula>
    </cfRule>
    <cfRule type="containsBlanks" dxfId="4054" priority="4093">
      <formula>LEN(TRIM(AH99))=0</formula>
    </cfRule>
    <cfRule type="containsBlanks" dxfId="4053" priority="4094">
      <formula>LEN(TRIM(AH99))=0</formula>
    </cfRule>
    <cfRule type="containsBlanks" dxfId="4052" priority="4095">
      <formula>LEN(TRIM(AH99))=0</formula>
    </cfRule>
    <cfRule type="containsBlanks" dxfId="4051" priority="4096">
      <formula>LEN(TRIM(AH99))=0</formula>
    </cfRule>
    <cfRule type="containsBlanks" dxfId="4050" priority="4097">
      <formula>LEN(TRIM(AH99))=0</formula>
    </cfRule>
    <cfRule type="containsBlanks" dxfId="4049" priority="4098">
      <formula>LEN(TRIM(AH99))=0</formula>
    </cfRule>
    <cfRule type="containsBlanks" dxfId="4048" priority="4099">
      <formula>LEN(TRIM(AH99))=0</formula>
    </cfRule>
    <cfRule type="containsBlanks" dxfId="4047" priority="4100">
      <formula>LEN(TRIM(AH99))=0</formula>
    </cfRule>
    <cfRule type="containsBlanks" dxfId="4046" priority="4101">
      <formula>LEN(TRIM(AH99))=0</formula>
    </cfRule>
  </conditionalFormatting>
  <conditionalFormatting sqref="AH99">
    <cfRule type="containsBlanks" dxfId="4045" priority="3963">
      <formula>LEN(TRIM(AH99))=0</formula>
    </cfRule>
    <cfRule type="containsBlanks" dxfId="4044" priority="3964">
      <formula>LEN(TRIM(AH99))=0</formula>
    </cfRule>
    <cfRule type="containsBlanks" dxfId="4043" priority="3965">
      <formula>LEN(TRIM(AH99))=0</formula>
    </cfRule>
    <cfRule type="containsBlanks" dxfId="4042" priority="3966">
      <formula>LEN(TRIM(AH99))=0</formula>
    </cfRule>
    <cfRule type="containsBlanks" dxfId="4041" priority="3967">
      <formula>LEN(TRIM(AH99))=0</formula>
    </cfRule>
    <cfRule type="containsBlanks" dxfId="4040" priority="3968">
      <formula>LEN(TRIM(AH99))=0</formula>
    </cfRule>
    <cfRule type="containsBlanks" dxfId="4039" priority="3969">
      <formula>LEN(TRIM(AH99))=0</formula>
    </cfRule>
    <cfRule type="containsBlanks" dxfId="4038" priority="3970">
      <formula>LEN(TRIM(AH99))=0</formula>
    </cfRule>
    <cfRule type="containsBlanks" dxfId="4037" priority="3971">
      <formula>LEN(TRIM(AH99))=0</formula>
    </cfRule>
    <cfRule type="containsBlanks" dxfId="4036" priority="3972">
      <formula>LEN(TRIM(AH99))=0</formula>
    </cfRule>
    <cfRule type="containsBlanks" dxfId="4035" priority="3973">
      <formula>LEN(TRIM(AH99))=0</formula>
    </cfRule>
    <cfRule type="containsBlanks" dxfId="4034" priority="3974">
      <formula>LEN(TRIM(AH99))=0</formula>
    </cfRule>
    <cfRule type="containsBlanks" dxfId="4033" priority="3975">
      <formula>LEN(TRIM(AH99))=0</formula>
    </cfRule>
    <cfRule type="containsBlanks" dxfId="4032" priority="3976">
      <formula>LEN(TRIM(AH99))=0</formula>
    </cfRule>
    <cfRule type="containsBlanks" dxfId="4031" priority="3977">
      <formula>LEN(TRIM(AH99))=0</formula>
    </cfRule>
    <cfRule type="containsBlanks" dxfId="4030" priority="3978">
      <formula>LEN(TRIM(AH99))=0</formula>
    </cfRule>
    <cfRule type="containsBlanks" dxfId="4029" priority="3979">
      <formula>LEN(TRIM(AH99))=0</formula>
    </cfRule>
    <cfRule type="containsBlanks" dxfId="4028" priority="3980">
      <formula>LEN(TRIM(AH99))=0</formula>
    </cfRule>
    <cfRule type="containsBlanks" dxfId="4027" priority="3981">
      <formula>LEN(TRIM(AH99))=0</formula>
    </cfRule>
    <cfRule type="containsBlanks" dxfId="4026" priority="3982">
      <formula>LEN(TRIM(AH99))=0</formula>
    </cfRule>
    <cfRule type="containsBlanks" dxfId="4025" priority="3983">
      <formula>LEN(TRIM(AH99))=0</formula>
    </cfRule>
    <cfRule type="containsBlanks" dxfId="4024" priority="3984">
      <formula>LEN(TRIM(AH99))=0</formula>
    </cfRule>
    <cfRule type="containsBlanks" dxfId="4023" priority="3985">
      <formula>LEN(TRIM(AH99))=0</formula>
    </cfRule>
    <cfRule type="containsBlanks" dxfId="4022" priority="3986">
      <formula>LEN(TRIM(AH99))=0</formula>
    </cfRule>
    <cfRule type="containsBlanks" dxfId="4021" priority="3987">
      <formula>LEN(TRIM(AH99))=0</formula>
    </cfRule>
    <cfRule type="containsBlanks" dxfId="4020" priority="3988">
      <formula>LEN(TRIM(AH99))=0</formula>
    </cfRule>
    <cfRule type="containsBlanks" dxfId="4019" priority="3989">
      <formula>LEN(TRIM(AH99))=0</formula>
    </cfRule>
    <cfRule type="containsBlanks" dxfId="4018" priority="3990">
      <formula>LEN(TRIM(AH99))=0</formula>
    </cfRule>
    <cfRule type="containsBlanks" dxfId="4017" priority="3991">
      <formula>LEN(TRIM(AH99))=0</formula>
    </cfRule>
    <cfRule type="containsBlanks" dxfId="4016" priority="3992">
      <formula>LEN(TRIM(AH99))=0</formula>
    </cfRule>
    <cfRule type="containsBlanks" dxfId="4015" priority="3993">
      <formula>LEN(TRIM(AH99))=0</formula>
    </cfRule>
    <cfRule type="containsBlanks" dxfId="4014" priority="3994">
      <formula>LEN(TRIM(AH99))=0</formula>
    </cfRule>
    <cfRule type="containsBlanks" dxfId="4013" priority="3995">
      <formula>LEN(TRIM(AH99))=0</formula>
    </cfRule>
    <cfRule type="containsBlanks" dxfId="4012" priority="3996">
      <formula>LEN(TRIM(AH99))=0</formula>
    </cfRule>
    <cfRule type="containsBlanks" dxfId="4011" priority="3997">
      <formula>LEN(TRIM(AH99))=0</formula>
    </cfRule>
    <cfRule type="containsBlanks" dxfId="4010" priority="3998">
      <formula>LEN(TRIM(AH99))=0</formula>
    </cfRule>
    <cfRule type="containsBlanks" dxfId="4009" priority="3999">
      <formula>LEN(TRIM(AH99))=0</formula>
    </cfRule>
    <cfRule type="containsBlanks" dxfId="4008" priority="4000">
      <formula>LEN(TRIM(AH99))=0</formula>
    </cfRule>
    <cfRule type="containsBlanks" dxfId="4007" priority="4001">
      <formula>LEN(TRIM(AH99))=0</formula>
    </cfRule>
    <cfRule type="containsBlanks" dxfId="4006" priority="4002">
      <formula>LEN(TRIM(AH99))=0</formula>
    </cfRule>
    <cfRule type="containsBlanks" dxfId="4005" priority="4003">
      <formula>LEN(TRIM(AH99))=0</formula>
    </cfRule>
    <cfRule type="containsBlanks" dxfId="4004" priority="4004">
      <formula>LEN(TRIM(AH99))=0</formula>
    </cfRule>
    <cfRule type="containsBlanks" dxfId="4003" priority="4005">
      <formula>LEN(TRIM(AH99))=0</formula>
    </cfRule>
    <cfRule type="containsBlanks" dxfId="4002" priority="4006">
      <formula>LEN(TRIM(AH99))=0</formula>
    </cfRule>
    <cfRule type="containsBlanks" dxfId="4001" priority="4007">
      <formula>LEN(TRIM(AH99))=0</formula>
    </cfRule>
    <cfRule type="containsBlanks" dxfId="4000" priority="4008">
      <formula>LEN(TRIM(AH99))=0</formula>
    </cfRule>
    <cfRule type="containsBlanks" dxfId="3999" priority="4009">
      <formula>LEN(TRIM(AH99))=0</formula>
    </cfRule>
    <cfRule type="containsBlanks" dxfId="3998" priority="4010">
      <formula>LEN(TRIM(AH99))=0</formula>
    </cfRule>
    <cfRule type="containsBlanks" dxfId="3997" priority="4011">
      <formula>LEN(TRIM(AH99))=0</formula>
    </cfRule>
    <cfRule type="containsBlanks" dxfId="3996" priority="4012">
      <formula>LEN(TRIM(AH99))=0</formula>
    </cfRule>
    <cfRule type="containsBlanks" dxfId="3995" priority="4013">
      <formula>LEN(TRIM(AH99))=0</formula>
    </cfRule>
    <cfRule type="containsBlanks" dxfId="3994" priority="4014">
      <formula>LEN(TRIM(AH99))=0</formula>
    </cfRule>
    <cfRule type="containsBlanks" dxfId="3993" priority="4015">
      <formula>LEN(TRIM(AH99))=0</formula>
    </cfRule>
    <cfRule type="containsBlanks" dxfId="3992" priority="4016">
      <formula>LEN(TRIM(AH99))=0</formula>
    </cfRule>
    <cfRule type="containsBlanks" dxfId="3991" priority="4017">
      <formula>LEN(TRIM(AH99))=0</formula>
    </cfRule>
    <cfRule type="containsBlanks" dxfId="3990" priority="4018">
      <formula>LEN(TRIM(AH99))=0</formula>
    </cfRule>
    <cfRule type="containsBlanks" dxfId="3989" priority="4019">
      <formula>LEN(TRIM(AH99))=0</formula>
    </cfRule>
    <cfRule type="containsBlanks" dxfId="3988" priority="4020">
      <formula>LEN(TRIM(AH99))=0</formula>
    </cfRule>
    <cfRule type="containsBlanks" dxfId="3987" priority="4021">
      <formula>LEN(TRIM(AH99))=0</formula>
    </cfRule>
    <cfRule type="containsBlanks" dxfId="3986" priority="4022">
      <formula>LEN(TRIM(AH99))=0</formula>
    </cfRule>
    <cfRule type="containsBlanks" dxfId="3985" priority="4023">
      <formula>LEN(TRIM(AH99))=0</formula>
    </cfRule>
    <cfRule type="containsBlanks" dxfId="3984" priority="4024">
      <formula>LEN(TRIM(AH99))=0</formula>
    </cfRule>
    <cfRule type="containsBlanks" dxfId="3983" priority="4025">
      <formula>LEN(TRIM(AH99))=0</formula>
    </cfRule>
    <cfRule type="containsBlanks" dxfId="3982" priority="4026">
      <formula>LEN(TRIM(AH99))=0</formula>
    </cfRule>
    <cfRule type="containsBlanks" dxfId="3981" priority="4027">
      <formula>LEN(TRIM(AH99))=0</formula>
    </cfRule>
    <cfRule type="containsBlanks" dxfId="3980" priority="4028">
      <formula>LEN(TRIM(AH99))=0</formula>
    </cfRule>
    <cfRule type="containsBlanks" dxfId="3979" priority="4029">
      <formula>LEN(TRIM(AH99))=0</formula>
    </cfRule>
    <cfRule type="containsBlanks" dxfId="3978" priority="4030">
      <formula>LEN(TRIM(AH99))=0</formula>
    </cfRule>
    <cfRule type="containsBlanks" dxfId="3977" priority="4031">
      <formula>LEN(TRIM(AH99))=0</formula>
    </cfRule>
    <cfRule type="containsBlanks" dxfId="3976" priority="4032">
      <formula>LEN(TRIM(AH99))=0</formula>
    </cfRule>
    <cfRule type="containsBlanks" dxfId="3975" priority="4033">
      <formula>LEN(TRIM(AH99))=0</formula>
    </cfRule>
    <cfRule type="containsBlanks" dxfId="3974" priority="4034">
      <formula>LEN(TRIM(AH99))=0</formula>
    </cfRule>
    <cfRule type="containsBlanks" dxfId="3973" priority="4035">
      <formula>LEN(TRIM(AH99))=0</formula>
    </cfRule>
    <cfRule type="containsBlanks" dxfId="3972" priority="4036">
      <formula>LEN(TRIM(AH99))=0</formula>
    </cfRule>
    <cfRule type="containsBlanks" dxfId="3971" priority="4037">
      <formula>LEN(TRIM(AH99))=0</formula>
    </cfRule>
    <cfRule type="containsBlanks" dxfId="3970" priority="4038">
      <formula>LEN(TRIM(AH99))=0</formula>
    </cfRule>
    <cfRule type="containsBlanks" dxfId="3969" priority="4039">
      <formula>LEN(TRIM(AH99))=0</formula>
    </cfRule>
    <cfRule type="containsBlanks" dxfId="3968" priority="4040">
      <formula>LEN(TRIM(AH99))=0</formula>
    </cfRule>
    <cfRule type="containsBlanks" dxfId="3967" priority="4041">
      <formula>LEN(TRIM(AH99))=0</formula>
    </cfRule>
    <cfRule type="containsBlanks" dxfId="3966" priority="4042">
      <formula>LEN(TRIM(AH99))=0</formula>
    </cfRule>
    <cfRule type="containsBlanks" dxfId="3965" priority="4043">
      <formula>LEN(TRIM(AH99))=0</formula>
    </cfRule>
    <cfRule type="containsBlanks" dxfId="3964" priority="4044">
      <formula>LEN(TRIM(AH99))=0</formula>
    </cfRule>
    <cfRule type="containsBlanks" dxfId="3963" priority="4045">
      <formula>LEN(TRIM(AH99))=0</formula>
    </cfRule>
    <cfRule type="containsBlanks" dxfId="3962" priority="4046">
      <formula>LEN(TRIM(AH99))=0</formula>
    </cfRule>
  </conditionalFormatting>
  <conditionalFormatting sqref="AH102">
    <cfRule type="containsBlanks" dxfId="3961" priority="3962">
      <formula>LEN(TRIM(AH102))=0</formula>
    </cfRule>
  </conditionalFormatting>
  <conditionalFormatting sqref="AH102">
    <cfRule type="containsBlanks" dxfId="3960" priority="3961">
      <formula>LEN(TRIM(AH102))=0</formula>
    </cfRule>
  </conditionalFormatting>
  <conditionalFormatting sqref="AH102">
    <cfRule type="containsBlanks" dxfId="3959" priority="3959">
      <formula>LEN(TRIM(AH102))=0</formula>
    </cfRule>
    <cfRule type="containsBlanks" dxfId="3958" priority="3960">
      <formula>LEN(TRIM(AH102))=0</formula>
    </cfRule>
  </conditionalFormatting>
  <conditionalFormatting sqref="AH102">
    <cfRule type="containsBlanks" dxfId="3957" priority="3958">
      <formula>LEN(TRIM(AH102))=0</formula>
    </cfRule>
  </conditionalFormatting>
  <conditionalFormatting sqref="AH102">
    <cfRule type="containsBlanks" dxfId="3956" priority="3957">
      <formula>LEN(TRIM(AH102))=0</formula>
    </cfRule>
  </conditionalFormatting>
  <conditionalFormatting sqref="AH102">
    <cfRule type="containsBlanks" dxfId="3955" priority="3956">
      <formula>LEN(TRIM(AH102))=0</formula>
    </cfRule>
  </conditionalFormatting>
  <conditionalFormatting sqref="AH102">
    <cfRule type="containsBlanks" dxfId="3954" priority="3954">
      <formula>LEN(TRIM(AH102))=0</formula>
    </cfRule>
    <cfRule type="containsBlanks" dxfId="3953" priority="3955">
      <formula>LEN(TRIM(AH102))=0</formula>
    </cfRule>
  </conditionalFormatting>
  <conditionalFormatting sqref="AH102">
    <cfRule type="containsBlanks" dxfId="3952" priority="3952">
      <formula>LEN(TRIM(AH102))=0</formula>
    </cfRule>
    <cfRule type="containsBlanks" dxfId="3951" priority="3953">
      <formula>LEN(TRIM(AH102))=0</formula>
    </cfRule>
  </conditionalFormatting>
  <conditionalFormatting sqref="AH102">
    <cfRule type="containsBlanks" dxfId="3950" priority="3950">
      <formula>LEN(TRIM(AH102))=0</formula>
    </cfRule>
    <cfRule type="containsBlanks" dxfId="3949" priority="3951">
      <formula>LEN(TRIM(AH102))=0</formula>
    </cfRule>
  </conditionalFormatting>
  <conditionalFormatting sqref="AH102">
    <cfRule type="containsBlanks" dxfId="3948" priority="3948">
      <formula>LEN(TRIM(AH102))=0</formula>
    </cfRule>
    <cfRule type="containsBlanks" dxfId="3947" priority="3949">
      <formula>LEN(TRIM(AH102))=0</formula>
    </cfRule>
  </conditionalFormatting>
  <conditionalFormatting sqref="AH102">
    <cfRule type="containsBlanks" dxfId="3946" priority="3882">
      <formula>LEN(TRIM(AH102))=0</formula>
    </cfRule>
    <cfRule type="containsBlanks" dxfId="3945" priority="3883">
      <formula>LEN(TRIM(AH102))=0</formula>
    </cfRule>
    <cfRule type="containsBlanks" dxfId="3944" priority="3884">
      <formula>LEN(TRIM(AH102))=0</formula>
    </cfRule>
    <cfRule type="containsBlanks" dxfId="3943" priority="3885">
      <formula>LEN(TRIM(AH102))=0</formula>
    </cfRule>
    <cfRule type="containsBlanks" dxfId="3942" priority="3886">
      <formula>LEN(TRIM(AH102))=0</formula>
    </cfRule>
    <cfRule type="containsBlanks" dxfId="3941" priority="3887">
      <formula>LEN(TRIM(AH102))=0</formula>
    </cfRule>
    <cfRule type="containsBlanks" dxfId="3940" priority="3888">
      <formula>LEN(TRIM(AH102))=0</formula>
    </cfRule>
    <cfRule type="containsBlanks" dxfId="3939" priority="3889">
      <formula>LEN(TRIM(AH102))=0</formula>
    </cfRule>
    <cfRule type="containsBlanks" dxfId="3938" priority="3890">
      <formula>LEN(TRIM(AH102))=0</formula>
    </cfRule>
    <cfRule type="containsBlanks" dxfId="3937" priority="3891">
      <formula>LEN(TRIM(AH102))=0</formula>
    </cfRule>
    <cfRule type="containsBlanks" dxfId="3936" priority="3892">
      <formula>LEN(TRIM(AH102))=0</formula>
    </cfRule>
    <cfRule type="containsBlanks" dxfId="3935" priority="3893">
      <formula>LEN(TRIM(AH102))=0</formula>
    </cfRule>
    <cfRule type="containsBlanks" dxfId="3934" priority="3894">
      <formula>LEN(TRIM(AH102))=0</formula>
    </cfRule>
    <cfRule type="containsBlanks" dxfId="3933" priority="3895">
      <formula>LEN(TRIM(AH102))=0</formula>
    </cfRule>
    <cfRule type="containsBlanks" dxfId="3932" priority="3896">
      <formula>LEN(TRIM(AH102))=0</formula>
    </cfRule>
    <cfRule type="containsBlanks" dxfId="3931" priority="3897">
      <formula>LEN(TRIM(AH102))=0</formula>
    </cfRule>
    <cfRule type="containsBlanks" dxfId="3930" priority="3898">
      <formula>LEN(TRIM(AH102))=0</formula>
    </cfRule>
    <cfRule type="containsBlanks" dxfId="3929" priority="3899">
      <formula>LEN(TRIM(AH102))=0</formula>
    </cfRule>
    <cfRule type="containsBlanks" dxfId="3928" priority="3900">
      <formula>LEN(TRIM(AH102))=0</formula>
    </cfRule>
    <cfRule type="containsBlanks" dxfId="3927" priority="3901">
      <formula>LEN(TRIM(AH102))=0</formula>
    </cfRule>
    <cfRule type="containsBlanks" dxfId="3926" priority="3902">
      <formula>LEN(TRIM(AH102))=0</formula>
    </cfRule>
    <cfRule type="containsBlanks" dxfId="3925" priority="3903">
      <formula>LEN(TRIM(AH102))=0</formula>
    </cfRule>
    <cfRule type="containsBlanks" dxfId="3924" priority="3904">
      <formula>LEN(TRIM(AH102))=0</formula>
    </cfRule>
    <cfRule type="containsBlanks" dxfId="3923" priority="3905">
      <formula>LEN(TRIM(AH102))=0</formula>
    </cfRule>
    <cfRule type="containsBlanks" dxfId="3922" priority="3906">
      <formula>LEN(TRIM(AH102))=0</formula>
    </cfRule>
    <cfRule type="containsBlanks" dxfId="3921" priority="3907">
      <formula>LEN(TRIM(AH102))=0</formula>
    </cfRule>
    <cfRule type="containsBlanks" dxfId="3920" priority="3908">
      <formula>LEN(TRIM(AH102))=0</formula>
    </cfRule>
    <cfRule type="containsBlanks" dxfId="3919" priority="3909">
      <formula>LEN(TRIM(AH102))=0</formula>
    </cfRule>
    <cfRule type="containsBlanks" dxfId="3918" priority="3910">
      <formula>LEN(TRIM(AH102))=0</formula>
    </cfRule>
    <cfRule type="containsBlanks" dxfId="3917" priority="3911">
      <formula>LEN(TRIM(AH102))=0</formula>
    </cfRule>
    <cfRule type="containsBlanks" dxfId="3916" priority="3912">
      <formula>LEN(TRIM(AH102))=0</formula>
    </cfRule>
    <cfRule type="containsBlanks" dxfId="3915" priority="3913">
      <formula>LEN(TRIM(AH102))=0</formula>
    </cfRule>
    <cfRule type="containsBlanks" dxfId="3914" priority="3914">
      <formula>LEN(TRIM(AH102))=0</formula>
    </cfRule>
    <cfRule type="containsBlanks" dxfId="3913" priority="3915">
      <formula>LEN(TRIM(AH102))=0</formula>
    </cfRule>
    <cfRule type="containsBlanks" dxfId="3912" priority="3916">
      <formula>LEN(TRIM(AH102))=0</formula>
    </cfRule>
    <cfRule type="containsBlanks" dxfId="3911" priority="3917">
      <formula>LEN(TRIM(AH102))=0</formula>
    </cfRule>
    <cfRule type="containsBlanks" dxfId="3910" priority="3918">
      <formula>LEN(TRIM(AH102))=0</formula>
    </cfRule>
    <cfRule type="containsBlanks" dxfId="3909" priority="3919">
      <formula>LEN(TRIM(AH102))=0</formula>
    </cfRule>
    <cfRule type="containsBlanks" dxfId="3908" priority="3920">
      <formula>LEN(TRIM(AH102))=0</formula>
    </cfRule>
    <cfRule type="containsBlanks" dxfId="3907" priority="3921">
      <formula>LEN(TRIM(AH102))=0</formula>
    </cfRule>
    <cfRule type="containsBlanks" dxfId="3906" priority="3922">
      <formula>LEN(TRIM(AH102))=0</formula>
    </cfRule>
    <cfRule type="containsBlanks" dxfId="3905" priority="3923">
      <formula>LEN(TRIM(AH102))=0</formula>
    </cfRule>
    <cfRule type="containsBlanks" dxfId="3904" priority="3924">
      <formula>LEN(TRIM(AH102))=0</formula>
    </cfRule>
    <cfRule type="containsBlanks" dxfId="3903" priority="3925">
      <formula>LEN(TRIM(AH102))=0</formula>
    </cfRule>
    <cfRule type="containsBlanks" dxfId="3902" priority="3926">
      <formula>LEN(TRIM(AH102))=0</formula>
    </cfRule>
    <cfRule type="containsBlanks" dxfId="3901" priority="3927">
      <formula>LEN(TRIM(AH102))=0</formula>
    </cfRule>
    <cfRule type="containsBlanks" dxfId="3900" priority="3928">
      <formula>LEN(TRIM(AH102))=0</formula>
    </cfRule>
    <cfRule type="containsBlanks" dxfId="3899" priority="3929">
      <formula>LEN(TRIM(AH102))=0</formula>
    </cfRule>
    <cfRule type="containsBlanks" dxfId="3898" priority="3930">
      <formula>LEN(TRIM(AH102))=0</formula>
    </cfRule>
    <cfRule type="containsBlanks" dxfId="3897" priority="3931">
      <formula>LEN(TRIM(AH102))=0</formula>
    </cfRule>
    <cfRule type="containsBlanks" dxfId="3896" priority="3932">
      <formula>LEN(TRIM(AH102))=0</formula>
    </cfRule>
    <cfRule type="containsBlanks" dxfId="3895" priority="3933">
      <formula>LEN(TRIM(AH102))=0</formula>
    </cfRule>
    <cfRule type="containsBlanks" dxfId="3894" priority="3934">
      <formula>LEN(TRIM(AH102))=0</formula>
    </cfRule>
    <cfRule type="containsBlanks" dxfId="3893" priority="3935">
      <formula>LEN(TRIM(AH102))=0</formula>
    </cfRule>
    <cfRule type="containsBlanks" dxfId="3892" priority="3936">
      <formula>LEN(TRIM(AH102))=0</formula>
    </cfRule>
    <cfRule type="containsBlanks" dxfId="3891" priority="3937">
      <formula>LEN(TRIM(AH102))=0</formula>
    </cfRule>
    <cfRule type="containsBlanks" dxfId="3890" priority="3938">
      <formula>LEN(TRIM(AH102))=0</formula>
    </cfRule>
    <cfRule type="containsBlanks" dxfId="3889" priority="3939">
      <formula>LEN(TRIM(AH102))=0</formula>
    </cfRule>
    <cfRule type="containsBlanks" dxfId="3888" priority="3940">
      <formula>LEN(TRIM(AH102))=0</formula>
    </cfRule>
    <cfRule type="containsBlanks" dxfId="3887" priority="3941">
      <formula>LEN(TRIM(AH102))=0</formula>
    </cfRule>
    <cfRule type="containsBlanks" dxfId="3886" priority="3942">
      <formula>LEN(TRIM(AH102))=0</formula>
    </cfRule>
    <cfRule type="containsBlanks" dxfId="3885" priority="3943">
      <formula>LEN(TRIM(AH102))=0</formula>
    </cfRule>
    <cfRule type="containsBlanks" dxfId="3884" priority="3944">
      <formula>LEN(TRIM(AH102))=0</formula>
    </cfRule>
    <cfRule type="containsBlanks" dxfId="3883" priority="3945">
      <formula>LEN(TRIM(AH102))=0</formula>
    </cfRule>
    <cfRule type="containsBlanks" dxfId="3882" priority="3946">
      <formula>LEN(TRIM(AH102))=0</formula>
    </cfRule>
    <cfRule type="containsBlanks" dxfId="3881" priority="3947">
      <formula>LEN(TRIM(AH102))=0</formula>
    </cfRule>
  </conditionalFormatting>
  <conditionalFormatting sqref="AH102">
    <cfRule type="containsBlanks" dxfId="3880" priority="3827">
      <formula>LEN(TRIM(AH102))=0</formula>
    </cfRule>
    <cfRule type="containsBlanks" dxfId="3879" priority="3828">
      <formula>LEN(TRIM(AH102))=0</formula>
    </cfRule>
    <cfRule type="containsBlanks" dxfId="3878" priority="3829">
      <formula>LEN(TRIM(AH102))=0</formula>
    </cfRule>
    <cfRule type="containsBlanks" dxfId="3877" priority="3830">
      <formula>LEN(TRIM(AH102))=0</formula>
    </cfRule>
    <cfRule type="containsBlanks" dxfId="3876" priority="3831">
      <formula>LEN(TRIM(AH102))=0</formula>
    </cfRule>
    <cfRule type="containsBlanks" dxfId="3875" priority="3832">
      <formula>LEN(TRIM(AH102))=0</formula>
    </cfRule>
    <cfRule type="containsBlanks" dxfId="3874" priority="3833">
      <formula>LEN(TRIM(AH102))=0</formula>
    </cfRule>
    <cfRule type="containsBlanks" dxfId="3873" priority="3834">
      <formula>LEN(TRIM(AH102))=0</formula>
    </cfRule>
    <cfRule type="containsBlanks" dxfId="3872" priority="3835">
      <formula>LEN(TRIM(AH102))=0</formula>
    </cfRule>
    <cfRule type="containsBlanks" dxfId="3871" priority="3836">
      <formula>LEN(TRIM(AH102))=0</formula>
    </cfRule>
    <cfRule type="containsBlanks" dxfId="3870" priority="3837">
      <formula>LEN(TRIM(AH102))=0</formula>
    </cfRule>
    <cfRule type="containsBlanks" dxfId="3869" priority="3838">
      <formula>LEN(TRIM(AH102))=0</formula>
    </cfRule>
    <cfRule type="containsBlanks" dxfId="3868" priority="3839">
      <formula>LEN(TRIM(AH102))=0</formula>
    </cfRule>
    <cfRule type="containsBlanks" dxfId="3867" priority="3840">
      <formula>LEN(TRIM(AH102))=0</formula>
    </cfRule>
    <cfRule type="containsBlanks" dxfId="3866" priority="3841">
      <formula>LEN(TRIM(AH102))=0</formula>
    </cfRule>
    <cfRule type="containsBlanks" dxfId="3865" priority="3842">
      <formula>LEN(TRIM(AH102))=0</formula>
    </cfRule>
    <cfRule type="containsBlanks" dxfId="3864" priority="3843">
      <formula>LEN(TRIM(AH102))=0</formula>
    </cfRule>
    <cfRule type="containsBlanks" dxfId="3863" priority="3844">
      <formula>LEN(TRIM(AH102))=0</formula>
    </cfRule>
    <cfRule type="containsBlanks" dxfId="3862" priority="3845">
      <formula>LEN(TRIM(AH102))=0</formula>
    </cfRule>
    <cfRule type="containsBlanks" dxfId="3861" priority="3846">
      <formula>LEN(TRIM(AH102))=0</formula>
    </cfRule>
    <cfRule type="containsBlanks" dxfId="3860" priority="3847">
      <formula>LEN(TRIM(AH102))=0</formula>
    </cfRule>
    <cfRule type="containsBlanks" dxfId="3859" priority="3848">
      <formula>LEN(TRIM(AH102))=0</formula>
    </cfRule>
    <cfRule type="containsBlanks" dxfId="3858" priority="3849">
      <formula>LEN(TRIM(AH102))=0</formula>
    </cfRule>
    <cfRule type="containsBlanks" dxfId="3857" priority="3850">
      <formula>LEN(TRIM(AH102))=0</formula>
    </cfRule>
    <cfRule type="containsBlanks" dxfId="3856" priority="3851">
      <formula>LEN(TRIM(AH102))=0</formula>
    </cfRule>
    <cfRule type="containsBlanks" dxfId="3855" priority="3852">
      <formula>LEN(TRIM(AH102))=0</formula>
    </cfRule>
    <cfRule type="containsBlanks" dxfId="3854" priority="3853">
      <formula>LEN(TRIM(AH102))=0</formula>
    </cfRule>
    <cfRule type="containsBlanks" dxfId="3853" priority="3854">
      <formula>LEN(TRIM(AH102))=0</formula>
    </cfRule>
    <cfRule type="containsBlanks" dxfId="3852" priority="3855">
      <formula>LEN(TRIM(AH102))=0</formula>
    </cfRule>
    <cfRule type="containsBlanks" dxfId="3851" priority="3856">
      <formula>LEN(TRIM(AH102))=0</formula>
    </cfRule>
    <cfRule type="containsBlanks" dxfId="3850" priority="3857">
      <formula>LEN(TRIM(AH102))=0</formula>
    </cfRule>
    <cfRule type="containsBlanks" dxfId="3849" priority="3858">
      <formula>LEN(TRIM(AH102))=0</formula>
    </cfRule>
    <cfRule type="containsBlanks" dxfId="3848" priority="3859">
      <formula>LEN(TRIM(AH102))=0</formula>
    </cfRule>
    <cfRule type="containsBlanks" dxfId="3847" priority="3860">
      <formula>LEN(TRIM(AH102))=0</formula>
    </cfRule>
    <cfRule type="containsBlanks" dxfId="3846" priority="3861">
      <formula>LEN(TRIM(AH102))=0</formula>
    </cfRule>
    <cfRule type="containsBlanks" dxfId="3845" priority="3862">
      <formula>LEN(TRIM(AH102))=0</formula>
    </cfRule>
    <cfRule type="containsBlanks" dxfId="3844" priority="3863">
      <formula>LEN(TRIM(AH102))=0</formula>
    </cfRule>
    <cfRule type="containsBlanks" dxfId="3843" priority="3864">
      <formula>LEN(TRIM(AH102))=0</formula>
    </cfRule>
    <cfRule type="containsBlanks" dxfId="3842" priority="3865">
      <formula>LEN(TRIM(AH102))=0</formula>
    </cfRule>
    <cfRule type="containsBlanks" dxfId="3841" priority="3866">
      <formula>LEN(TRIM(AH102))=0</formula>
    </cfRule>
    <cfRule type="containsBlanks" dxfId="3840" priority="3867">
      <formula>LEN(TRIM(AH102))=0</formula>
    </cfRule>
    <cfRule type="containsBlanks" dxfId="3839" priority="3868">
      <formula>LEN(TRIM(AH102))=0</formula>
    </cfRule>
    <cfRule type="containsBlanks" dxfId="3838" priority="3869">
      <formula>LEN(TRIM(AH102))=0</formula>
    </cfRule>
    <cfRule type="containsBlanks" dxfId="3837" priority="3870">
      <formula>LEN(TRIM(AH102))=0</formula>
    </cfRule>
    <cfRule type="containsBlanks" dxfId="3836" priority="3871">
      <formula>LEN(TRIM(AH102))=0</formula>
    </cfRule>
    <cfRule type="containsBlanks" dxfId="3835" priority="3872">
      <formula>LEN(TRIM(AH102))=0</formula>
    </cfRule>
    <cfRule type="containsBlanks" dxfId="3834" priority="3873">
      <formula>LEN(TRIM(AH102))=0</formula>
    </cfRule>
    <cfRule type="containsBlanks" dxfId="3833" priority="3874">
      <formula>LEN(TRIM(AH102))=0</formula>
    </cfRule>
    <cfRule type="containsBlanks" dxfId="3832" priority="3875">
      <formula>LEN(TRIM(AH102))=0</formula>
    </cfRule>
    <cfRule type="containsBlanks" dxfId="3831" priority="3876">
      <formula>LEN(TRIM(AH102))=0</formula>
    </cfRule>
    <cfRule type="containsBlanks" dxfId="3830" priority="3877">
      <formula>LEN(TRIM(AH102))=0</formula>
    </cfRule>
    <cfRule type="containsBlanks" dxfId="3829" priority="3878">
      <formula>LEN(TRIM(AH102))=0</formula>
    </cfRule>
    <cfRule type="containsBlanks" dxfId="3828" priority="3879">
      <formula>LEN(TRIM(AH102))=0</formula>
    </cfRule>
    <cfRule type="containsBlanks" dxfId="3827" priority="3880">
      <formula>LEN(TRIM(AH102))=0</formula>
    </cfRule>
    <cfRule type="containsBlanks" dxfId="3826" priority="3881">
      <formula>LEN(TRIM(AH102))=0</formula>
    </cfRule>
  </conditionalFormatting>
  <conditionalFormatting sqref="AH102">
    <cfRule type="containsBlanks" dxfId="3825" priority="3743">
      <formula>LEN(TRIM(AH102))=0</formula>
    </cfRule>
    <cfRule type="containsBlanks" dxfId="3824" priority="3744">
      <formula>LEN(TRIM(AH102))=0</formula>
    </cfRule>
    <cfRule type="containsBlanks" dxfId="3823" priority="3745">
      <formula>LEN(TRIM(AH102))=0</formula>
    </cfRule>
    <cfRule type="containsBlanks" dxfId="3822" priority="3746">
      <formula>LEN(TRIM(AH102))=0</formula>
    </cfRule>
    <cfRule type="containsBlanks" dxfId="3821" priority="3747">
      <formula>LEN(TRIM(AH102))=0</formula>
    </cfRule>
    <cfRule type="containsBlanks" dxfId="3820" priority="3748">
      <formula>LEN(TRIM(AH102))=0</formula>
    </cfRule>
    <cfRule type="containsBlanks" dxfId="3819" priority="3749">
      <formula>LEN(TRIM(AH102))=0</formula>
    </cfRule>
    <cfRule type="containsBlanks" dxfId="3818" priority="3750">
      <formula>LEN(TRIM(AH102))=0</formula>
    </cfRule>
    <cfRule type="containsBlanks" dxfId="3817" priority="3751">
      <formula>LEN(TRIM(AH102))=0</formula>
    </cfRule>
    <cfRule type="containsBlanks" dxfId="3816" priority="3752">
      <formula>LEN(TRIM(AH102))=0</formula>
    </cfRule>
    <cfRule type="containsBlanks" dxfId="3815" priority="3753">
      <formula>LEN(TRIM(AH102))=0</formula>
    </cfRule>
    <cfRule type="containsBlanks" dxfId="3814" priority="3754">
      <formula>LEN(TRIM(AH102))=0</formula>
    </cfRule>
    <cfRule type="containsBlanks" dxfId="3813" priority="3755">
      <formula>LEN(TRIM(AH102))=0</formula>
    </cfRule>
    <cfRule type="containsBlanks" dxfId="3812" priority="3756">
      <formula>LEN(TRIM(AH102))=0</formula>
    </cfRule>
    <cfRule type="containsBlanks" dxfId="3811" priority="3757">
      <formula>LEN(TRIM(AH102))=0</formula>
    </cfRule>
    <cfRule type="containsBlanks" dxfId="3810" priority="3758">
      <formula>LEN(TRIM(AH102))=0</formula>
    </cfRule>
    <cfRule type="containsBlanks" dxfId="3809" priority="3759">
      <formula>LEN(TRIM(AH102))=0</formula>
    </cfRule>
    <cfRule type="containsBlanks" dxfId="3808" priority="3760">
      <formula>LEN(TRIM(AH102))=0</formula>
    </cfRule>
    <cfRule type="containsBlanks" dxfId="3807" priority="3761">
      <formula>LEN(TRIM(AH102))=0</formula>
    </cfRule>
    <cfRule type="containsBlanks" dxfId="3806" priority="3762">
      <formula>LEN(TRIM(AH102))=0</formula>
    </cfRule>
    <cfRule type="containsBlanks" dxfId="3805" priority="3763">
      <formula>LEN(TRIM(AH102))=0</formula>
    </cfRule>
    <cfRule type="containsBlanks" dxfId="3804" priority="3764">
      <formula>LEN(TRIM(AH102))=0</formula>
    </cfRule>
    <cfRule type="containsBlanks" dxfId="3803" priority="3765">
      <formula>LEN(TRIM(AH102))=0</formula>
    </cfRule>
    <cfRule type="containsBlanks" dxfId="3802" priority="3766">
      <formula>LEN(TRIM(AH102))=0</formula>
    </cfRule>
    <cfRule type="containsBlanks" dxfId="3801" priority="3767">
      <formula>LEN(TRIM(AH102))=0</formula>
    </cfRule>
    <cfRule type="containsBlanks" dxfId="3800" priority="3768">
      <formula>LEN(TRIM(AH102))=0</formula>
    </cfRule>
    <cfRule type="containsBlanks" dxfId="3799" priority="3769">
      <formula>LEN(TRIM(AH102))=0</formula>
    </cfRule>
    <cfRule type="containsBlanks" dxfId="3798" priority="3770">
      <formula>LEN(TRIM(AH102))=0</formula>
    </cfRule>
    <cfRule type="containsBlanks" dxfId="3797" priority="3771">
      <formula>LEN(TRIM(AH102))=0</formula>
    </cfRule>
    <cfRule type="containsBlanks" dxfId="3796" priority="3772">
      <formula>LEN(TRIM(AH102))=0</formula>
    </cfRule>
    <cfRule type="containsBlanks" dxfId="3795" priority="3773">
      <formula>LEN(TRIM(AH102))=0</formula>
    </cfRule>
    <cfRule type="containsBlanks" dxfId="3794" priority="3774">
      <formula>LEN(TRIM(AH102))=0</formula>
    </cfRule>
    <cfRule type="containsBlanks" dxfId="3793" priority="3775">
      <formula>LEN(TRIM(AH102))=0</formula>
    </cfRule>
    <cfRule type="containsBlanks" dxfId="3792" priority="3776">
      <formula>LEN(TRIM(AH102))=0</formula>
    </cfRule>
    <cfRule type="containsBlanks" dxfId="3791" priority="3777">
      <formula>LEN(TRIM(AH102))=0</formula>
    </cfRule>
    <cfRule type="containsBlanks" dxfId="3790" priority="3778">
      <formula>LEN(TRIM(AH102))=0</formula>
    </cfRule>
    <cfRule type="containsBlanks" dxfId="3789" priority="3779">
      <formula>LEN(TRIM(AH102))=0</formula>
    </cfRule>
    <cfRule type="containsBlanks" dxfId="3788" priority="3780">
      <formula>LEN(TRIM(AH102))=0</formula>
    </cfRule>
    <cfRule type="containsBlanks" dxfId="3787" priority="3781">
      <formula>LEN(TRIM(AH102))=0</formula>
    </cfRule>
    <cfRule type="containsBlanks" dxfId="3786" priority="3782">
      <formula>LEN(TRIM(AH102))=0</formula>
    </cfRule>
    <cfRule type="containsBlanks" dxfId="3785" priority="3783">
      <formula>LEN(TRIM(AH102))=0</formula>
    </cfRule>
    <cfRule type="containsBlanks" dxfId="3784" priority="3784">
      <formula>LEN(TRIM(AH102))=0</formula>
    </cfRule>
    <cfRule type="containsBlanks" dxfId="3783" priority="3785">
      <formula>LEN(TRIM(AH102))=0</formula>
    </cfRule>
    <cfRule type="containsBlanks" dxfId="3782" priority="3786">
      <formula>LEN(TRIM(AH102))=0</formula>
    </cfRule>
    <cfRule type="containsBlanks" dxfId="3781" priority="3787">
      <formula>LEN(TRIM(AH102))=0</formula>
    </cfRule>
    <cfRule type="containsBlanks" dxfId="3780" priority="3788">
      <formula>LEN(TRIM(AH102))=0</formula>
    </cfRule>
    <cfRule type="containsBlanks" dxfId="3779" priority="3789">
      <formula>LEN(TRIM(AH102))=0</formula>
    </cfRule>
    <cfRule type="containsBlanks" dxfId="3778" priority="3790">
      <formula>LEN(TRIM(AH102))=0</formula>
    </cfRule>
    <cfRule type="containsBlanks" dxfId="3777" priority="3791">
      <formula>LEN(TRIM(AH102))=0</formula>
    </cfRule>
    <cfRule type="containsBlanks" dxfId="3776" priority="3792">
      <formula>LEN(TRIM(AH102))=0</formula>
    </cfRule>
    <cfRule type="containsBlanks" dxfId="3775" priority="3793">
      <formula>LEN(TRIM(AH102))=0</formula>
    </cfRule>
    <cfRule type="containsBlanks" dxfId="3774" priority="3794">
      <formula>LEN(TRIM(AH102))=0</formula>
    </cfRule>
    <cfRule type="containsBlanks" dxfId="3773" priority="3795">
      <formula>LEN(TRIM(AH102))=0</formula>
    </cfRule>
    <cfRule type="containsBlanks" dxfId="3772" priority="3796">
      <formula>LEN(TRIM(AH102))=0</formula>
    </cfRule>
    <cfRule type="containsBlanks" dxfId="3771" priority="3797">
      <formula>LEN(TRIM(AH102))=0</formula>
    </cfRule>
    <cfRule type="containsBlanks" dxfId="3770" priority="3798">
      <formula>LEN(TRIM(AH102))=0</formula>
    </cfRule>
    <cfRule type="containsBlanks" dxfId="3769" priority="3799">
      <formula>LEN(TRIM(AH102))=0</formula>
    </cfRule>
    <cfRule type="containsBlanks" dxfId="3768" priority="3800">
      <formula>LEN(TRIM(AH102))=0</formula>
    </cfRule>
    <cfRule type="containsBlanks" dxfId="3767" priority="3801">
      <formula>LEN(TRIM(AH102))=0</formula>
    </cfRule>
    <cfRule type="containsBlanks" dxfId="3766" priority="3802">
      <formula>LEN(TRIM(AH102))=0</formula>
    </cfRule>
    <cfRule type="containsBlanks" dxfId="3765" priority="3803">
      <formula>LEN(TRIM(AH102))=0</formula>
    </cfRule>
    <cfRule type="containsBlanks" dxfId="3764" priority="3804">
      <formula>LEN(TRIM(AH102))=0</formula>
    </cfRule>
    <cfRule type="containsBlanks" dxfId="3763" priority="3805">
      <formula>LEN(TRIM(AH102))=0</formula>
    </cfRule>
    <cfRule type="containsBlanks" dxfId="3762" priority="3806">
      <formula>LEN(TRIM(AH102))=0</formula>
    </cfRule>
    <cfRule type="containsBlanks" dxfId="3761" priority="3807">
      <formula>LEN(TRIM(AH102))=0</formula>
    </cfRule>
    <cfRule type="containsBlanks" dxfId="3760" priority="3808">
      <formula>LEN(TRIM(AH102))=0</formula>
    </cfRule>
    <cfRule type="containsBlanks" dxfId="3759" priority="3809">
      <formula>LEN(TRIM(AH102))=0</formula>
    </cfRule>
    <cfRule type="containsBlanks" dxfId="3758" priority="3810">
      <formula>LEN(TRIM(AH102))=0</formula>
    </cfRule>
    <cfRule type="containsBlanks" dxfId="3757" priority="3811">
      <formula>LEN(TRIM(AH102))=0</formula>
    </cfRule>
    <cfRule type="containsBlanks" dxfId="3756" priority="3812">
      <formula>LEN(TRIM(AH102))=0</formula>
    </cfRule>
    <cfRule type="containsBlanks" dxfId="3755" priority="3813">
      <formula>LEN(TRIM(AH102))=0</formula>
    </cfRule>
    <cfRule type="containsBlanks" dxfId="3754" priority="3814">
      <formula>LEN(TRIM(AH102))=0</formula>
    </cfRule>
    <cfRule type="containsBlanks" dxfId="3753" priority="3815">
      <formula>LEN(TRIM(AH102))=0</formula>
    </cfRule>
    <cfRule type="containsBlanks" dxfId="3752" priority="3816">
      <formula>LEN(TRIM(AH102))=0</formula>
    </cfRule>
    <cfRule type="containsBlanks" dxfId="3751" priority="3817">
      <formula>LEN(TRIM(AH102))=0</formula>
    </cfRule>
    <cfRule type="containsBlanks" dxfId="3750" priority="3818">
      <formula>LEN(TRIM(AH102))=0</formula>
    </cfRule>
    <cfRule type="containsBlanks" dxfId="3749" priority="3819">
      <formula>LEN(TRIM(AH102))=0</formula>
    </cfRule>
    <cfRule type="containsBlanks" dxfId="3748" priority="3820">
      <formula>LEN(TRIM(AH102))=0</formula>
    </cfRule>
    <cfRule type="containsBlanks" dxfId="3747" priority="3821">
      <formula>LEN(TRIM(AH102))=0</formula>
    </cfRule>
    <cfRule type="containsBlanks" dxfId="3746" priority="3822">
      <formula>LEN(TRIM(AH102))=0</formula>
    </cfRule>
    <cfRule type="containsBlanks" dxfId="3745" priority="3823">
      <formula>LEN(TRIM(AH102))=0</formula>
    </cfRule>
    <cfRule type="containsBlanks" dxfId="3744" priority="3824">
      <formula>LEN(TRIM(AH102))=0</formula>
    </cfRule>
    <cfRule type="containsBlanks" dxfId="3743" priority="3825">
      <formula>LEN(TRIM(AH102))=0</formula>
    </cfRule>
    <cfRule type="containsBlanks" dxfId="3742" priority="3826">
      <formula>LEN(TRIM(AH102))=0</formula>
    </cfRule>
  </conditionalFormatting>
  <conditionalFormatting sqref="AH103">
    <cfRule type="containsBlanks" dxfId="3741" priority="3742">
      <formula>LEN(TRIM(AH103))=0</formula>
    </cfRule>
  </conditionalFormatting>
  <conditionalFormatting sqref="AH103">
    <cfRule type="containsBlanks" dxfId="3740" priority="3741">
      <formula>LEN(TRIM(AH103))=0</formula>
    </cfRule>
  </conditionalFormatting>
  <conditionalFormatting sqref="AH103">
    <cfRule type="containsBlanks" dxfId="3739" priority="3739">
      <formula>LEN(TRIM(AH103))=0</formula>
    </cfRule>
    <cfRule type="containsBlanks" dxfId="3738" priority="3740">
      <formula>LEN(TRIM(AH103))=0</formula>
    </cfRule>
  </conditionalFormatting>
  <conditionalFormatting sqref="AH103">
    <cfRule type="containsBlanks" dxfId="3737" priority="3738">
      <formula>LEN(TRIM(AH103))=0</formula>
    </cfRule>
  </conditionalFormatting>
  <conditionalFormatting sqref="AH103">
    <cfRule type="containsBlanks" dxfId="3736" priority="3737">
      <formula>LEN(TRIM(AH103))=0</formula>
    </cfRule>
  </conditionalFormatting>
  <conditionalFormatting sqref="AH103">
    <cfRule type="containsBlanks" dxfId="3735" priority="3736">
      <formula>LEN(TRIM(AH103))=0</formula>
    </cfRule>
  </conditionalFormatting>
  <conditionalFormatting sqref="AH103">
    <cfRule type="containsBlanks" dxfId="3734" priority="3734">
      <formula>LEN(TRIM(AH103))=0</formula>
    </cfRule>
    <cfRule type="containsBlanks" dxfId="3733" priority="3735">
      <formula>LEN(TRIM(AH103))=0</formula>
    </cfRule>
  </conditionalFormatting>
  <conditionalFormatting sqref="AH103">
    <cfRule type="containsBlanks" dxfId="3732" priority="3732">
      <formula>LEN(TRIM(AH103))=0</formula>
    </cfRule>
    <cfRule type="containsBlanks" dxfId="3731" priority="3733">
      <formula>LEN(TRIM(AH103))=0</formula>
    </cfRule>
  </conditionalFormatting>
  <conditionalFormatting sqref="AH103">
    <cfRule type="containsBlanks" dxfId="3730" priority="3730">
      <formula>LEN(TRIM(AH103))=0</formula>
    </cfRule>
    <cfRule type="containsBlanks" dxfId="3729" priority="3731">
      <formula>LEN(TRIM(AH103))=0</formula>
    </cfRule>
  </conditionalFormatting>
  <conditionalFormatting sqref="AH103">
    <cfRule type="containsBlanks" dxfId="3728" priority="3728">
      <formula>LEN(TRIM(AH103))=0</formula>
    </cfRule>
    <cfRule type="containsBlanks" dxfId="3727" priority="3729">
      <formula>LEN(TRIM(AH103))=0</formula>
    </cfRule>
  </conditionalFormatting>
  <conditionalFormatting sqref="AH103">
    <cfRule type="containsBlanks" dxfId="3726" priority="3662">
      <formula>LEN(TRIM(AH103))=0</formula>
    </cfRule>
    <cfRule type="containsBlanks" dxfId="3725" priority="3663">
      <formula>LEN(TRIM(AH103))=0</formula>
    </cfRule>
    <cfRule type="containsBlanks" dxfId="3724" priority="3664">
      <formula>LEN(TRIM(AH103))=0</formula>
    </cfRule>
    <cfRule type="containsBlanks" dxfId="3723" priority="3665">
      <formula>LEN(TRIM(AH103))=0</formula>
    </cfRule>
    <cfRule type="containsBlanks" dxfId="3722" priority="3666">
      <formula>LEN(TRIM(AH103))=0</formula>
    </cfRule>
    <cfRule type="containsBlanks" dxfId="3721" priority="3667">
      <formula>LEN(TRIM(AH103))=0</formula>
    </cfRule>
    <cfRule type="containsBlanks" dxfId="3720" priority="3668">
      <formula>LEN(TRIM(AH103))=0</formula>
    </cfRule>
    <cfRule type="containsBlanks" dxfId="3719" priority="3669">
      <formula>LEN(TRIM(AH103))=0</formula>
    </cfRule>
    <cfRule type="containsBlanks" dxfId="3718" priority="3670">
      <formula>LEN(TRIM(AH103))=0</formula>
    </cfRule>
    <cfRule type="containsBlanks" dxfId="3717" priority="3671">
      <formula>LEN(TRIM(AH103))=0</formula>
    </cfRule>
    <cfRule type="containsBlanks" dxfId="3716" priority="3672">
      <formula>LEN(TRIM(AH103))=0</formula>
    </cfRule>
    <cfRule type="containsBlanks" dxfId="3715" priority="3673">
      <formula>LEN(TRIM(AH103))=0</formula>
    </cfRule>
    <cfRule type="containsBlanks" dxfId="3714" priority="3674">
      <formula>LEN(TRIM(AH103))=0</formula>
    </cfRule>
    <cfRule type="containsBlanks" dxfId="3713" priority="3675">
      <formula>LEN(TRIM(AH103))=0</formula>
    </cfRule>
    <cfRule type="containsBlanks" dxfId="3712" priority="3676">
      <formula>LEN(TRIM(AH103))=0</formula>
    </cfRule>
    <cfRule type="containsBlanks" dxfId="3711" priority="3677">
      <formula>LEN(TRIM(AH103))=0</formula>
    </cfRule>
    <cfRule type="containsBlanks" dxfId="3710" priority="3678">
      <formula>LEN(TRIM(AH103))=0</formula>
    </cfRule>
    <cfRule type="containsBlanks" dxfId="3709" priority="3679">
      <formula>LEN(TRIM(AH103))=0</formula>
    </cfRule>
    <cfRule type="containsBlanks" dxfId="3708" priority="3680">
      <formula>LEN(TRIM(AH103))=0</formula>
    </cfRule>
    <cfRule type="containsBlanks" dxfId="3707" priority="3681">
      <formula>LEN(TRIM(AH103))=0</formula>
    </cfRule>
    <cfRule type="containsBlanks" dxfId="3706" priority="3682">
      <formula>LEN(TRIM(AH103))=0</formula>
    </cfRule>
    <cfRule type="containsBlanks" dxfId="3705" priority="3683">
      <formula>LEN(TRIM(AH103))=0</formula>
    </cfRule>
    <cfRule type="containsBlanks" dxfId="3704" priority="3684">
      <formula>LEN(TRIM(AH103))=0</formula>
    </cfRule>
    <cfRule type="containsBlanks" dxfId="3703" priority="3685">
      <formula>LEN(TRIM(AH103))=0</formula>
    </cfRule>
    <cfRule type="containsBlanks" dxfId="3702" priority="3686">
      <formula>LEN(TRIM(AH103))=0</formula>
    </cfRule>
    <cfRule type="containsBlanks" dxfId="3701" priority="3687">
      <formula>LEN(TRIM(AH103))=0</formula>
    </cfRule>
    <cfRule type="containsBlanks" dxfId="3700" priority="3688">
      <formula>LEN(TRIM(AH103))=0</formula>
    </cfRule>
    <cfRule type="containsBlanks" dxfId="3699" priority="3689">
      <formula>LEN(TRIM(AH103))=0</formula>
    </cfRule>
    <cfRule type="containsBlanks" dxfId="3698" priority="3690">
      <formula>LEN(TRIM(AH103))=0</formula>
    </cfRule>
    <cfRule type="containsBlanks" dxfId="3697" priority="3691">
      <formula>LEN(TRIM(AH103))=0</formula>
    </cfRule>
    <cfRule type="containsBlanks" dxfId="3696" priority="3692">
      <formula>LEN(TRIM(AH103))=0</formula>
    </cfRule>
    <cfRule type="containsBlanks" dxfId="3695" priority="3693">
      <formula>LEN(TRIM(AH103))=0</formula>
    </cfRule>
    <cfRule type="containsBlanks" dxfId="3694" priority="3694">
      <formula>LEN(TRIM(AH103))=0</formula>
    </cfRule>
    <cfRule type="containsBlanks" dxfId="3693" priority="3695">
      <formula>LEN(TRIM(AH103))=0</formula>
    </cfRule>
    <cfRule type="containsBlanks" dxfId="3692" priority="3696">
      <formula>LEN(TRIM(AH103))=0</formula>
    </cfRule>
    <cfRule type="containsBlanks" dxfId="3691" priority="3697">
      <formula>LEN(TRIM(AH103))=0</formula>
    </cfRule>
    <cfRule type="containsBlanks" dxfId="3690" priority="3698">
      <formula>LEN(TRIM(AH103))=0</formula>
    </cfRule>
    <cfRule type="containsBlanks" dxfId="3689" priority="3699">
      <formula>LEN(TRIM(AH103))=0</formula>
    </cfRule>
    <cfRule type="containsBlanks" dxfId="3688" priority="3700">
      <formula>LEN(TRIM(AH103))=0</formula>
    </cfRule>
    <cfRule type="containsBlanks" dxfId="3687" priority="3701">
      <formula>LEN(TRIM(AH103))=0</formula>
    </cfRule>
    <cfRule type="containsBlanks" dxfId="3686" priority="3702">
      <formula>LEN(TRIM(AH103))=0</formula>
    </cfRule>
    <cfRule type="containsBlanks" dxfId="3685" priority="3703">
      <formula>LEN(TRIM(AH103))=0</formula>
    </cfRule>
    <cfRule type="containsBlanks" dxfId="3684" priority="3704">
      <formula>LEN(TRIM(AH103))=0</formula>
    </cfRule>
    <cfRule type="containsBlanks" dxfId="3683" priority="3705">
      <formula>LEN(TRIM(AH103))=0</formula>
    </cfRule>
    <cfRule type="containsBlanks" dxfId="3682" priority="3706">
      <formula>LEN(TRIM(AH103))=0</formula>
    </cfRule>
    <cfRule type="containsBlanks" dxfId="3681" priority="3707">
      <formula>LEN(TRIM(AH103))=0</formula>
    </cfRule>
    <cfRule type="containsBlanks" dxfId="3680" priority="3708">
      <formula>LEN(TRIM(AH103))=0</formula>
    </cfRule>
    <cfRule type="containsBlanks" dxfId="3679" priority="3709">
      <formula>LEN(TRIM(AH103))=0</formula>
    </cfRule>
    <cfRule type="containsBlanks" dxfId="3678" priority="3710">
      <formula>LEN(TRIM(AH103))=0</formula>
    </cfRule>
    <cfRule type="containsBlanks" dxfId="3677" priority="3711">
      <formula>LEN(TRIM(AH103))=0</formula>
    </cfRule>
    <cfRule type="containsBlanks" dxfId="3676" priority="3712">
      <formula>LEN(TRIM(AH103))=0</formula>
    </cfRule>
    <cfRule type="containsBlanks" dxfId="3675" priority="3713">
      <formula>LEN(TRIM(AH103))=0</formula>
    </cfRule>
    <cfRule type="containsBlanks" dxfId="3674" priority="3714">
      <formula>LEN(TRIM(AH103))=0</formula>
    </cfRule>
    <cfRule type="containsBlanks" dxfId="3673" priority="3715">
      <formula>LEN(TRIM(AH103))=0</formula>
    </cfRule>
    <cfRule type="containsBlanks" dxfId="3672" priority="3716">
      <formula>LEN(TRIM(AH103))=0</formula>
    </cfRule>
    <cfRule type="containsBlanks" dxfId="3671" priority="3717">
      <formula>LEN(TRIM(AH103))=0</formula>
    </cfRule>
    <cfRule type="containsBlanks" dxfId="3670" priority="3718">
      <formula>LEN(TRIM(AH103))=0</formula>
    </cfRule>
    <cfRule type="containsBlanks" dxfId="3669" priority="3719">
      <formula>LEN(TRIM(AH103))=0</formula>
    </cfRule>
    <cfRule type="containsBlanks" dxfId="3668" priority="3720">
      <formula>LEN(TRIM(AH103))=0</formula>
    </cfRule>
    <cfRule type="containsBlanks" dxfId="3667" priority="3721">
      <formula>LEN(TRIM(AH103))=0</formula>
    </cfRule>
    <cfRule type="containsBlanks" dxfId="3666" priority="3722">
      <formula>LEN(TRIM(AH103))=0</formula>
    </cfRule>
    <cfRule type="containsBlanks" dxfId="3665" priority="3723">
      <formula>LEN(TRIM(AH103))=0</formula>
    </cfRule>
    <cfRule type="containsBlanks" dxfId="3664" priority="3724">
      <formula>LEN(TRIM(AH103))=0</formula>
    </cfRule>
    <cfRule type="containsBlanks" dxfId="3663" priority="3725">
      <formula>LEN(TRIM(AH103))=0</formula>
    </cfRule>
    <cfRule type="containsBlanks" dxfId="3662" priority="3726">
      <formula>LEN(TRIM(AH103))=0</formula>
    </cfRule>
    <cfRule type="containsBlanks" dxfId="3661" priority="3727">
      <formula>LEN(TRIM(AH103))=0</formula>
    </cfRule>
  </conditionalFormatting>
  <conditionalFormatting sqref="AH103">
    <cfRule type="containsBlanks" dxfId="3660" priority="3607">
      <formula>LEN(TRIM(AH103))=0</formula>
    </cfRule>
    <cfRule type="containsBlanks" dxfId="3659" priority="3608">
      <formula>LEN(TRIM(AH103))=0</formula>
    </cfRule>
    <cfRule type="containsBlanks" dxfId="3658" priority="3609">
      <formula>LEN(TRIM(AH103))=0</formula>
    </cfRule>
    <cfRule type="containsBlanks" dxfId="3657" priority="3610">
      <formula>LEN(TRIM(AH103))=0</formula>
    </cfRule>
    <cfRule type="containsBlanks" dxfId="3656" priority="3611">
      <formula>LEN(TRIM(AH103))=0</formula>
    </cfRule>
    <cfRule type="containsBlanks" dxfId="3655" priority="3612">
      <formula>LEN(TRIM(AH103))=0</formula>
    </cfRule>
    <cfRule type="containsBlanks" dxfId="3654" priority="3613">
      <formula>LEN(TRIM(AH103))=0</formula>
    </cfRule>
    <cfRule type="containsBlanks" dxfId="3653" priority="3614">
      <formula>LEN(TRIM(AH103))=0</formula>
    </cfRule>
    <cfRule type="containsBlanks" dxfId="3652" priority="3615">
      <formula>LEN(TRIM(AH103))=0</formula>
    </cfRule>
    <cfRule type="containsBlanks" dxfId="3651" priority="3616">
      <formula>LEN(TRIM(AH103))=0</formula>
    </cfRule>
    <cfRule type="containsBlanks" dxfId="3650" priority="3617">
      <formula>LEN(TRIM(AH103))=0</formula>
    </cfRule>
    <cfRule type="containsBlanks" dxfId="3649" priority="3618">
      <formula>LEN(TRIM(AH103))=0</formula>
    </cfRule>
    <cfRule type="containsBlanks" dxfId="3648" priority="3619">
      <formula>LEN(TRIM(AH103))=0</formula>
    </cfRule>
    <cfRule type="containsBlanks" dxfId="3647" priority="3620">
      <formula>LEN(TRIM(AH103))=0</formula>
    </cfRule>
    <cfRule type="containsBlanks" dxfId="3646" priority="3621">
      <formula>LEN(TRIM(AH103))=0</formula>
    </cfRule>
    <cfRule type="containsBlanks" dxfId="3645" priority="3622">
      <formula>LEN(TRIM(AH103))=0</formula>
    </cfRule>
    <cfRule type="containsBlanks" dxfId="3644" priority="3623">
      <formula>LEN(TRIM(AH103))=0</formula>
    </cfRule>
    <cfRule type="containsBlanks" dxfId="3643" priority="3624">
      <formula>LEN(TRIM(AH103))=0</formula>
    </cfRule>
    <cfRule type="containsBlanks" dxfId="3642" priority="3625">
      <formula>LEN(TRIM(AH103))=0</formula>
    </cfRule>
    <cfRule type="containsBlanks" dxfId="3641" priority="3626">
      <formula>LEN(TRIM(AH103))=0</formula>
    </cfRule>
    <cfRule type="containsBlanks" dxfId="3640" priority="3627">
      <formula>LEN(TRIM(AH103))=0</formula>
    </cfRule>
    <cfRule type="containsBlanks" dxfId="3639" priority="3628">
      <formula>LEN(TRIM(AH103))=0</formula>
    </cfRule>
    <cfRule type="containsBlanks" dxfId="3638" priority="3629">
      <formula>LEN(TRIM(AH103))=0</formula>
    </cfRule>
    <cfRule type="containsBlanks" dxfId="3637" priority="3630">
      <formula>LEN(TRIM(AH103))=0</formula>
    </cfRule>
    <cfRule type="containsBlanks" dxfId="3636" priority="3631">
      <formula>LEN(TRIM(AH103))=0</formula>
    </cfRule>
    <cfRule type="containsBlanks" dxfId="3635" priority="3632">
      <formula>LEN(TRIM(AH103))=0</formula>
    </cfRule>
    <cfRule type="containsBlanks" dxfId="3634" priority="3633">
      <formula>LEN(TRIM(AH103))=0</formula>
    </cfRule>
    <cfRule type="containsBlanks" dxfId="3633" priority="3634">
      <formula>LEN(TRIM(AH103))=0</formula>
    </cfRule>
    <cfRule type="containsBlanks" dxfId="3632" priority="3635">
      <formula>LEN(TRIM(AH103))=0</formula>
    </cfRule>
    <cfRule type="containsBlanks" dxfId="3631" priority="3636">
      <formula>LEN(TRIM(AH103))=0</formula>
    </cfRule>
    <cfRule type="containsBlanks" dxfId="3630" priority="3637">
      <formula>LEN(TRIM(AH103))=0</formula>
    </cfRule>
    <cfRule type="containsBlanks" dxfId="3629" priority="3638">
      <formula>LEN(TRIM(AH103))=0</formula>
    </cfRule>
    <cfRule type="containsBlanks" dxfId="3628" priority="3639">
      <formula>LEN(TRIM(AH103))=0</formula>
    </cfRule>
    <cfRule type="containsBlanks" dxfId="3627" priority="3640">
      <formula>LEN(TRIM(AH103))=0</formula>
    </cfRule>
    <cfRule type="containsBlanks" dxfId="3626" priority="3641">
      <formula>LEN(TRIM(AH103))=0</formula>
    </cfRule>
    <cfRule type="containsBlanks" dxfId="3625" priority="3642">
      <formula>LEN(TRIM(AH103))=0</formula>
    </cfRule>
    <cfRule type="containsBlanks" dxfId="3624" priority="3643">
      <formula>LEN(TRIM(AH103))=0</formula>
    </cfRule>
    <cfRule type="containsBlanks" dxfId="3623" priority="3644">
      <formula>LEN(TRIM(AH103))=0</formula>
    </cfRule>
    <cfRule type="containsBlanks" dxfId="3622" priority="3645">
      <formula>LEN(TRIM(AH103))=0</formula>
    </cfRule>
    <cfRule type="containsBlanks" dxfId="3621" priority="3646">
      <formula>LEN(TRIM(AH103))=0</formula>
    </cfRule>
    <cfRule type="containsBlanks" dxfId="3620" priority="3647">
      <formula>LEN(TRIM(AH103))=0</formula>
    </cfRule>
    <cfRule type="containsBlanks" dxfId="3619" priority="3648">
      <formula>LEN(TRIM(AH103))=0</formula>
    </cfRule>
    <cfRule type="containsBlanks" dxfId="3618" priority="3649">
      <formula>LEN(TRIM(AH103))=0</formula>
    </cfRule>
    <cfRule type="containsBlanks" dxfId="3617" priority="3650">
      <formula>LEN(TRIM(AH103))=0</formula>
    </cfRule>
    <cfRule type="containsBlanks" dxfId="3616" priority="3651">
      <formula>LEN(TRIM(AH103))=0</formula>
    </cfRule>
    <cfRule type="containsBlanks" dxfId="3615" priority="3652">
      <formula>LEN(TRIM(AH103))=0</formula>
    </cfRule>
    <cfRule type="containsBlanks" dxfId="3614" priority="3653">
      <formula>LEN(TRIM(AH103))=0</formula>
    </cfRule>
    <cfRule type="containsBlanks" dxfId="3613" priority="3654">
      <formula>LEN(TRIM(AH103))=0</formula>
    </cfRule>
    <cfRule type="containsBlanks" dxfId="3612" priority="3655">
      <formula>LEN(TRIM(AH103))=0</formula>
    </cfRule>
    <cfRule type="containsBlanks" dxfId="3611" priority="3656">
      <formula>LEN(TRIM(AH103))=0</formula>
    </cfRule>
    <cfRule type="containsBlanks" dxfId="3610" priority="3657">
      <formula>LEN(TRIM(AH103))=0</formula>
    </cfRule>
    <cfRule type="containsBlanks" dxfId="3609" priority="3658">
      <formula>LEN(TRIM(AH103))=0</formula>
    </cfRule>
    <cfRule type="containsBlanks" dxfId="3608" priority="3659">
      <formula>LEN(TRIM(AH103))=0</formula>
    </cfRule>
    <cfRule type="containsBlanks" dxfId="3607" priority="3660">
      <formula>LEN(TRIM(AH103))=0</formula>
    </cfRule>
    <cfRule type="containsBlanks" dxfId="3606" priority="3661">
      <formula>LEN(TRIM(AH103))=0</formula>
    </cfRule>
  </conditionalFormatting>
  <conditionalFormatting sqref="AH103">
    <cfRule type="containsBlanks" dxfId="3605" priority="3523">
      <formula>LEN(TRIM(AH103))=0</formula>
    </cfRule>
    <cfRule type="containsBlanks" dxfId="3604" priority="3524">
      <formula>LEN(TRIM(AH103))=0</formula>
    </cfRule>
    <cfRule type="containsBlanks" dxfId="3603" priority="3525">
      <formula>LEN(TRIM(AH103))=0</formula>
    </cfRule>
    <cfRule type="containsBlanks" dxfId="3602" priority="3526">
      <formula>LEN(TRIM(AH103))=0</formula>
    </cfRule>
    <cfRule type="containsBlanks" dxfId="3601" priority="3527">
      <formula>LEN(TRIM(AH103))=0</formula>
    </cfRule>
    <cfRule type="containsBlanks" dxfId="3600" priority="3528">
      <formula>LEN(TRIM(AH103))=0</formula>
    </cfRule>
    <cfRule type="containsBlanks" dxfId="3599" priority="3529">
      <formula>LEN(TRIM(AH103))=0</formula>
    </cfRule>
    <cfRule type="containsBlanks" dxfId="3598" priority="3530">
      <formula>LEN(TRIM(AH103))=0</formula>
    </cfRule>
    <cfRule type="containsBlanks" dxfId="3597" priority="3531">
      <formula>LEN(TRIM(AH103))=0</formula>
    </cfRule>
    <cfRule type="containsBlanks" dxfId="3596" priority="3532">
      <formula>LEN(TRIM(AH103))=0</formula>
    </cfRule>
    <cfRule type="containsBlanks" dxfId="3595" priority="3533">
      <formula>LEN(TRIM(AH103))=0</formula>
    </cfRule>
    <cfRule type="containsBlanks" dxfId="3594" priority="3534">
      <formula>LEN(TRIM(AH103))=0</formula>
    </cfRule>
    <cfRule type="containsBlanks" dxfId="3593" priority="3535">
      <formula>LEN(TRIM(AH103))=0</formula>
    </cfRule>
    <cfRule type="containsBlanks" dxfId="3592" priority="3536">
      <formula>LEN(TRIM(AH103))=0</formula>
    </cfRule>
    <cfRule type="containsBlanks" dxfId="3591" priority="3537">
      <formula>LEN(TRIM(AH103))=0</formula>
    </cfRule>
    <cfRule type="containsBlanks" dxfId="3590" priority="3538">
      <formula>LEN(TRIM(AH103))=0</formula>
    </cfRule>
    <cfRule type="containsBlanks" dxfId="3589" priority="3539">
      <formula>LEN(TRIM(AH103))=0</formula>
    </cfRule>
    <cfRule type="containsBlanks" dxfId="3588" priority="3540">
      <formula>LEN(TRIM(AH103))=0</formula>
    </cfRule>
    <cfRule type="containsBlanks" dxfId="3587" priority="3541">
      <formula>LEN(TRIM(AH103))=0</formula>
    </cfRule>
    <cfRule type="containsBlanks" dxfId="3586" priority="3542">
      <formula>LEN(TRIM(AH103))=0</formula>
    </cfRule>
    <cfRule type="containsBlanks" dxfId="3585" priority="3543">
      <formula>LEN(TRIM(AH103))=0</formula>
    </cfRule>
    <cfRule type="containsBlanks" dxfId="3584" priority="3544">
      <formula>LEN(TRIM(AH103))=0</formula>
    </cfRule>
    <cfRule type="containsBlanks" dxfId="3583" priority="3545">
      <formula>LEN(TRIM(AH103))=0</formula>
    </cfRule>
    <cfRule type="containsBlanks" dxfId="3582" priority="3546">
      <formula>LEN(TRIM(AH103))=0</formula>
    </cfRule>
    <cfRule type="containsBlanks" dxfId="3581" priority="3547">
      <formula>LEN(TRIM(AH103))=0</formula>
    </cfRule>
    <cfRule type="containsBlanks" dxfId="3580" priority="3548">
      <formula>LEN(TRIM(AH103))=0</formula>
    </cfRule>
    <cfRule type="containsBlanks" dxfId="3579" priority="3549">
      <formula>LEN(TRIM(AH103))=0</formula>
    </cfRule>
    <cfRule type="containsBlanks" dxfId="3578" priority="3550">
      <formula>LEN(TRIM(AH103))=0</formula>
    </cfRule>
    <cfRule type="containsBlanks" dxfId="3577" priority="3551">
      <formula>LEN(TRIM(AH103))=0</formula>
    </cfRule>
    <cfRule type="containsBlanks" dxfId="3576" priority="3552">
      <formula>LEN(TRIM(AH103))=0</formula>
    </cfRule>
    <cfRule type="containsBlanks" dxfId="3575" priority="3553">
      <formula>LEN(TRIM(AH103))=0</formula>
    </cfRule>
    <cfRule type="containsBlanks" dxfId="3574" priority="3554">
      <formula>LEN(TRIM(AH103))=0</formula>
    </cfRule>
    <cfRule type="containsBlanks" dxfId="3573" priority="3555">
      <formula>LEN(TRIM(AH103))=0</formula>
    </cfRule>
    <cfRule type="containsBlanks" dxfId="3572" priority="3556">
      <formula>LEN(TRIM(AH103))=0</formula>
    </cfRule>
    <cfRule type="containsBlanks" dxfId="3571" priority="3557">
      <formula>LEN(TRIM(AH103))=0</formula>
    </cfRule>
    <cfRule type="containsBlanks" dxfId="3570" priority="3558">
      <formula>LEN(TRIM(AH103))=0</formula>
    </cfRule>
    <cfRule type="containsBlanks" dxfId="3569" priority="3559">
      <formula>LEN(TRIM(AH103))=0</formula>
    </cfRule>
    <cfRule type="containsBlanks" dxfId="3568" priority="3560">
      <formula>LEN(TRIM(AH103))=0</formula>
    </cfRule>
    <cfRule type="containsBlanks" dxfId="3567" priority="3561">
      <formula>LEN(TRIM(AH103))=0</formula>
    </cfRule>
    <cfRule type="containsBlanks" dxfId="3566" priority="3562">
      <formula>LEN(TRIM(AH103))=0</formula>
    </cfRule>
    <cfRule type="containsBlanks" dxfId="3565" priority="3563">
      <formula>LEN(TRIM(AH103))=0</formula>
    </cfRule>
    <cfRule type="containsBlanks" dxfId="3564" priority="3564">
      <formula>LEN(TRIM(AH103))=0</formula>
    </cfRule>
    <cfRule type="containsBlanks" dxfId="3563" priority="3565">
      <formula>LEN(TRIM(AH103))=0</formula>
    </cfRule>
    <cfRule type="containsBlanks" dxfId="3562" priority="3566">
      <formula>LEN(TRIM(AH103))=0</formula>
    </cfRule>
    <cfRule type="containsBlanks" dxfId="3561" priority="3567">
      <formula>LEN(TRIM(AH103))=0</formula>
    </cfRule>
    <cfRule type="containsBlanks" dxfId="3560" priority="3568">
      <formula>LEN(TRIM(AH103))=0</formula>
    </cfRule>
    <cfRule type="containsBlanks" dxfId="3559" priority="3569">
      <formula>LEN(TRIM(AH103))=0</formula>
    </cfRule>
    <cfRule type="containsBlanks" dxfId="3558" priority="3570">
      <formula>LEN(TRIM(AH103))=0</formula>
    </cfRule>
    <cfRule type="containsBlanks" dxfId="3557" priority="3571">
      <formula>LEN(TRIM(AH103))=0</formula>
    </cfRule>
    <cfRule type="containsBlanks" dxfId="3556" priority="3572">
      <formula>LEN(TRIM(AH103))=0</formula>
    </cfRule>
    <cfRule type="containsBlanks" dxfId="3555" priority="3573">
      <formula>LEN(TRIM(AH103))=0</formula>
    </cfRule>
    <cfRule type="containsBlanks" dxfId="3554" priority="3574">
      <formula>LEN(TRIM(AH103))=0</formula>
    </cfRule>
    <cfRule type="containsBlanks" dxfId="3553" priority="3575">
      <formula>LEN(TRIM(AH103))=0</formula>
    </cfRule>
    <cfRule type="containsBlanks" dxfId="3552" priority="3576">
      <formula>LEN(TRIM(AH103))=0</formula>
    </cfRule>
    <cfRule type="containsBlanks" dxfId="3551" priority="3577">
      <formula>LEN(TRIM(AH103))=0</formula>
    </cfRule>
    <cfRule type="containsBlanks" dxfId="3550" priority="3578">
      <formula>LEN(TRIM(AH103))=0</formula>
    </cfRule>
    <cfRule type="containsBlanks" dxfId="3549" priority="3579">
      <formula>LEN(TRIM(AH103))=0</formula>
    </cfRule>
    <cfRule type="containsBlanks" dxfId="3548" priority="3580">
      <formula>LEN(TRIM(AH103))=0</formula>
    </cfRule>
    <cfRule type="containsBlanks" dxfId="3547" priority="3581">
      <formula>LEN(TRIM(AH103))=0</formula>
    </cfRule>
    <cfRule type="containsBlanks" dxfId="3546" priority="3582">
      <formula>LEN(TRIM(AH103))=0</formula>
    </cfRule>
    <cfRule type="containsBlanks" dxfId="3545" priority="3583">
      <formula>LEN(TRIM(AH103))=0</formula>
    </cfRule>
    <cfRule type="containsBlanks" dxfId="3544" priority="3584">
      <formula>LEN(TRIM(AH103))=0</formula>
    </cfRule>
    <cfRule type="containsBlanks" dxfId="3543" priority="3585">
      <formula>LEN(TRIM(AH103))=0</formula>
    </cfRule>
    <cfRule type="containsBlanks" dxfId="3542" priority="3586">
      <formula>LEN(TRIM(AH103))=0</formula>
    </cfRule>
    <cfRule type="containsBlanks" dxfId="3541" priority="3587">
      <formula>LEN(TRIM(AH103))=0</formula>
    </cfRule>
    <cfRule type="containsBlanks" dxfId="3540" priority="3588">
      <formula>LEN(TRIM(AH103))=0</formula>
    </cfRule>
    <cfRule type="containsBlanks" dxfId="3539" priority="3589">
      <formula>LEN(TRIM(AH103))=0</formula>
    </cfRule>
    <cfRule type="containsBlanks" dxfId="3538" priority="3590">
      <formula>LEN(TRIM(AH103))=0</formula>
    </cfRule>
    <cfRule type="containsBlanks" dxfId="3537" priority="3591">
      <formula>LEN(TRIM(AH103))=0</formula>
    </cfRule>
    <cfRule type="containsBlanks" dxfId="3536" priority="3592">
      <formula>LEN(TRIM(AH103))=0</formula>
    </cfRule>
    <cfRule type="containsBlanks" dxfId="3535" priority="3593">
      <formula>LEN(TRIM(AH103))=0</formula>
    </cfRule>
    <cfRule type="containsBlanks" dxfId="3534" priority="3594">
      <formula>LEN(TRIM(AH103))=0</formula>
    </cfRule>
    <cfRule type="containsBlanks" dxfId="3533" priority="3595">
      <formula>LEN(TRIM(AH103))=0</formula>
    </cfRule>
    <cfRule type="containsBlanks" dxfId="3532" priority="3596">
      <formula>LEN(TRIM(AH103))=0</formula>
    </cfRule>
    <cfRule type="containsBlanks" dxfId="3531" priority="3597">
      <formula>LEN(TRIM(AH103))=0</formula>
    </cfRule>
    <cfRule type="containsBlanks" dxfId="3530" priority="3598">
      <formula>LEN(TRIM(AH103))=0</formula>
    </cfRule>
    <cfRule type="containsBlanks" dxfId="3529" priority="3599">
      <formula>LEN(TRIM(AH103))=0</formula>
    </cfRule>
    <cfRule type="containsBlanks" dxfId="3528" priority="3600">
      <formula>LEN(TRIM(AH103))=0</formula>
    </cfRule>
    <cfRule type="containsBlanks" dxfId="3527" priority="3601">
      <formula>LEN(TRIM(AH103))=0</formula>
    </cfRule>
    <cfRule type="containsBlanks" dxfId="3526" priority="3602">
      <formula>LEN(TRIM(AH103))=0</formula>
    </cfRule>
    <cfRule type="containsBlanks" dxfId="3525" priority="3603">
      <formula>LEN(TRIM(AH103))=0</formula>
    </cfRule>
    <cfRule type="containsBlanks" dxfId="3524" priority="3604">
      <formula>LEN(TRIM(AH103))=0</formula>
    </cfRule>
    <cfRule type="containsBlanks" dxfId="3523" priority="3605">
      <formula>LEN(TRIM(AH103))=0</formula>
    </cfRule>
    <cfRule type="containsBlanks" dxfId="3522" priority="3606">
      <formula>LEN(TRIM(AH103))=0</formula>
    </cfRule>
  </conditionalFormatting>
  <conditionalFormatting sqref="AH106">
    <cfRule type="containsBlanks" dxfId="3521" priority="3522">
      <formula>LEN(TRIM(AH106))=0</formula>
    </cfRule>
  </conditionalFormatting>
  <conditionalFormatting sqref="AH106">
    <cfRule type="containsBlanks" dxfId="3520" priority="3521">
      <formula>LEN(TRIM(AH106))=0</formula>
    </cfRule>
  </conditionalFormatting>
  <conditionalFormatting sqref="AH106">
    <cfRule type="containsBlanks" dxfId="3519" priority="3519">
      <formula>LEN(TRIM(AH106))=0</formula>
    </cfRule>
    <cfRule type="containsBlanks" dxfId="3518" priority="3520">
      <formula>LEN(TRIM(AH106))=0</formula>
    </cfRule>
  </conditionalFormatting>
  <conditionalFormatting sqref="AH106">
    <cfRule type="containsBlanks" dxfId="3517" priority="3518">
      <formula>LEN(TRIM(AH106))=0</formula>
    </cfRule>
  </conditionalFormatting>
  <conditionalFormatting sqref="AH106">
    <cfRule type="containsBlanks" dxfId="3516" priority="3517">
      <formula>LEN(TRIM(AH106))=0</formula>
    </cfRule>
  </conditionalFormatting>
  <conditionalFormatting sqref="AH106">
    <cfRule type="containsBlanks" dxfId="3515" priority="3516">
      <formula>LEN(TRIM(AH106))=0</formula>
    </cfRule>
  </conditionalFormatting>
  <conditionalFormatting sqref="AH106">
    <cfRule type="containsBlanks" dxfId="3514" priority="3514">
      <formula>LEN(TRIM(AH106))=0</formula>
    </cfRule>
    <cfRule type="containsBlanks" dxfId="3513" priority="3515">
      <formula>LEN(TRIM(AH106))=0</formula>
    </cfRule>
  </conditionalFormatting>
  <conditionalFormatting sqref="AH106">
    <cfRule type="containsBlanks" dxfId="3512" priority="3512">
      <formula>LEN(TRIM(AH106))=0</formula>
    </cfRule>
    <cfRule type="containsBlanks" dxfId="3511" priority="3513">
      <formula>LEN(TRIM(AH106))=0</formula>
    </cfRule>
  </conditionalFormatting>
  <conditionalFormatting sqref="AH106">
    <cfRule type="containsBlanks" dxfId="3510" priority="3510">
      <formula>LEN(TRIM(AH106))=0</formula>
    </cfRule>
    <cfRule type="containsBlanks" dxfId="3509" priority="3511">
      <formula>LEN(TRIM(AH106))=0</formula>
    </cfRule>
  </conditionalFormatting>
  <conditionalFormatting sqref="AH106">
    <cfRule type="containsBlanks" dxfId="3508" priority="3508">
      <formula>LEN(TRIM(AH106))=0</formula>
    </cfRule>
    <cfRule type="containsBlanks" dxfId="3507" priority="3509">
      <formula>LEN(TRIM(AH106))=0</formula>
    </cfRule>
  </conditionalFormatting>
  <conditionalFormatting sqref="AH106">
    <cfRule type="containsBlanks" dxfId="3506" priority="3442">
      <formula>LEN(TRIM(AH106))=0</formula>
    </cfRule>
    <cfRule type="containsBlanks" dxfId="3505" priority="3443">
      <formula>LEN(TRIM(AH106))=0</formula>
    </cfRule>
    <cfRule type="containsBlanks" dxfId="3504" priority="3444">
      <formula>LEN(TRIM(AH106))=0</formula>
    </cfRule>
    <cfRule type="containsBlanks" dxfId="3503" priority="3445">
      <formula>LEN(TRIM(AH106))=0</formula>
    </cfRule>
    <cfRule type="containsBlanks" dxfId="3502" priority="3446">
      <formula>LEN(TRIM(AH106))=0</formula>
    </cfRule>
    <cfRule type="containsBlanks" dxfId="3501" priority="3447">
      <formula>LEN(TRIM(AH106))=0</formula>
    </cfRule>
    <cfRule type="containsBlanks" dxfId="3500" priority="3448">
      <formula>LEN(TRIM(AH106))=0</formula>
    </cfRule>
    <cfRule type="containsBlanks" dxfId="3499" priority="3449">
      <formula>LEN(TRIM(AH106))=0</formula>
    </cfRule>
    <cfRule type="containsBlanks" dxfId="3498" priority="3450">
      <formula>LEN(TRIM(AH106))=0</formula>
    </cfRule>
    <cfRule type="containsBlanks" dxfId="3497" priority="3451">
      <formula>LEN(TRIM(AH106))=0</formula>
    </cfRule>
    <cfRule type="containsBlanks" dxfId="3496" priority="3452">
      <formula>LEN(TRIM(AH106))=0</formula>
    </cfRule>
    <cfRule type="containsBlanks" dxfId="3495" priority="3453">
      <formula>LEN(TRIM(AH106))=0</formula>
    </cfRule>
    <cfRule type="containsBlanks" dxfId="3494" priority="3454">
      <formula>LEN(TRIM(AH106))=0</formula>
    </cfRule>
    <cfRule type="containsBlanks" dxfId="3493" priority="3455">
      <formula>LEN(TRIM(AH106))=0</formula>
    </cfRule>
    <cfRule type="containsBlanks" dxfId="3492" priority="3456">
      <formula>LEN(TRIM(AH106))=0</formula>
    </cfRule>
    <cfRule type="containsBlanks" dxfId="3491" priority="3457">
      <formula>LEN(TRIM(AH106))=0</formula>
    </cfRule>
    <cfRule type="containsBlanks" dxfId="3490" priority="3458">
      <formula>LEN(TRIM(AH106))=0</formula>
    </cfRule>
    <cfRule type="containsBlanks" dxfId="3489" priority="3459">
      <formula>LEN(TRIM(AH106))=0</formula>
    </cfRule>
    <cfRule type="containsBlanks" dxfId="3488" priority="3460">
      <formula>LEN(TRIM(AH106))=0</formula>
    </cfRule>
    <cfRule type="containsBlanks" dxfId="3487" priority="3461">
      <formula>LEN(TRIM(AH106))=0</formula>
    </cfRule>
    <cfRule type="containsBlanks" dxfId="3486" priority="3462">
      <formula>LEN(TRIM(AH106))=0</formula>
    </cfRule>
    <cfRule type="containsBlanks" dxfId="3485" priority="3463">
      <formula>LEN(TRIM(AH106))=0</formula>
    </cfRule>
    <cfRule type="containsBlanks" dxfId="3484" priority="3464">
      <formula>LEN(TRIM(AH106))=0</formula>
    </cfRule>
    <cfRule type="containsBlanks" dxfId="3483" priority="3465">
      <formula>LEN(TRIM(AH106))=0</formula>
    </cfRule>
    <cfRule type="containsBlanks" dxfId="3482" priority="3466">
      <formula>LEN(TRIM(AH106))=0</formula>
    </cfRule>
    <cfRule type="containsBlanks" dxfId="3481" priority="3467">
      <formula>LEN(TRIM(AH106))=0</formula>
    </cfRule>
    <cfRule type="containsBlanks" dxfId="3480" priority="3468">
      <formula>LEN(TRIM(AH106))=0</formula>
    </cfRule>
    <cfRule type="containsBlanks" dxfId="3479" priority="3469">
      <formula>LEN(TRIM(AH106))=0</formula>
    </cfRule>
    <cfRule type="containsBlanks" dxfId="3478" priority="3470">
      <formula>LEN(TRIM(AH106))=0</formula>
    </cfRule>
    <cfRule type="containsBlanks" dxfId="3477" priority="3471">
      <formula>LEN(TRIM(AH106))=0</formula>
    </cfRule>
    <cfRule type="containsBlanks" dxfId="3476" priority="3472">
      <formula>LEN(TRIM(AH106))=0</formula>
    </cfRule>
    <cfRule type="containsBlanks" dxfId="3475" priority="3473">
      <formula>LEN(TRIM(AH106))=0</formula>
    </cfRule>
    <cfRule type="containsBlanks" dxfId="3474" priority="3474">
      <formula>LEN(TRIM(AH106))=0</formula>
    </cfRule>
    <cfRule type="containsBlanks" dxfId="3473" priority="3475">
      <formula>LEN(TRIM(AH106))=0</formula>
    </cfRule>
    <cfRule type="containsBlanks" dxfId="3472" priority="3476">
      <formula>LEN(TRIM(AH106))=0</formula>
    </cfRule>
    <cfRule type="containsBlanks" dxfId="3471" priority="3477">
      <formula>LEN(TRIM(AH106))=0</formula>
    </cfRule>
    <cfRule type="containsBlanks" dxfId="3470" priority="3478">
      <formula>LEN(TRIM(AH106))=0</formula>
    </cfRule>
    <cfRule type="containsBlanks" dxfId="3469" priority="3479">
      <formula>LEN(TRIM(AH106))=0</formula>
    </cfRule>
    <cfRule type="containsBlanks" dxfId="3468" priority="3480">
      <formula>LEN(TRIM(AH106))=0</formula>
    </cfRule>
    <cfRule type="containsBlanks" dxfId="3467" priority="3481">
      <formula>LEN(TRIM(AH106))=0</formula>
    </cfRule>
    <cfRule type="containsBlanks" dxfId="3466" priority="3482">
      <formula>LEN(TRIM(AH106))=0</formula>
    </cfRule>
    <cfRule type="containsBlanks" dxfId="3465" priority="3483">
      <formula>LEN(TRIM(AH106))=0</formula>
    </cfRule>
    <cfRule type="containsBlanks" dxfId="3464" priority="3484">
      <formula>LEN(TRIM(AH106))=0</formula>
    </cfRule>
    <cfRule type="containsBlanks" dxfId="3463" priority="3485">
      <formula>LEN(TRIM(AH106))=0</formula>
    </cfRule>
    <cfRule type="containsBlanks" dxfId="3462" priority="3486">
      <formula>LEN(TRIM(AH106))=0</formula>
    </cfRule>
    <cfRule type="containsBlanks" dxfId="3461" priority="3487">
      <formula>LEN(TRIM(AH106))=0</formula>
    </cfRule>
    <cfRule type="containsBlanks" dxfId="3460" priority="3488">
      <formula>LEN(TRIM(AH106))=0</formula>
    </cfRule>
    <cfRule type="containsBlanks" dxfId="3459" priority="3489">
      <formula>LEN(TRIM(AH106))=0</formula>
    </cfRule>
    <cfRule type="containsBlanks" dxfId="3458" priority="3490">
      <formula>LEN(TRIM(AH106))=0</formula>
    </cfRule>
    <cfRule type="containsBlanks" dxfId="3457" priority="3491">
      <formula>LEN(TRIM(AH106))=0</formula>
    </cfRule>
    <cfRule type="containsBlanks" dxfId="3456" priority="3492">
      <formula>LEN(TRIM(AH106))=0</formula>
    </cfRule>
    <cfRule type="containsBlanks" dxfId="3455" priority="3493">
      <formula>LEN(TRIM(AH106))=0</formula>
    </cfRule>
    <cfRule type="containsBlanks" dxfId="3454" priority="3494">
      <formula>LEN(TRIM(AH106))=0</formula>
    </cfRule>
    <cfRule type="containsBlanks" dxfId="3453" priority="3495">
      <formula>LEN(TRIM(AH106))=0</formula>
    </cfRule>
    <cfRule type="containsBlanks" dxfId="3452" priority="3496">
      <formula>LEN(TRIM(AH106))=0</formula>
    </cfRule>
    <cfRule type="containsBlanks" dxfId="3451" priority="3497">
      <formula>LEN(TRIM(AH106))=0</formula>
    </cfRule>
    <cfRule type="containsBlanks" dxfId="3450" priority="3498">
      <formula>LEN(TRIM(AH106))=0</formula>
    </cfRule>
    <cfRule type="containsBlanks" dxfId="3449" priority="3499">
      <formula>LEN(TRIM(AH106))=0</formula>
    </cfRule>
    <cfRule type="containsBlanks" dxfId="3448" priority="3500">
      <formula>LEN(TRIM(AH106))=0</formula>
    </cfRule>
    <cfRule type="containsBlanks" dxfId="3447" priority="3501">
      <formula>LEN(TRIM(AH106))=0</formula>
    </cfRule>
    <cfRule type="containsBlanks" dxfId="3446" priority="3502">
      <formula>LEN(TRIM(AH106))=0</formula>
    </cfRule>
    <cfRule type="containsBlanks" dxfId="3445" priority="3503">
      <formula>LEN(TRIM(AH106))=0</formula>
    </cfRule>
    <cfRule type="containsBlanks" dxfId="3444" priority="3504">
      <formula>LEN(TRIM(AH106))=0</formula>
    </cfRule>
    <cfRule type="containsBlanks" dxfId="3443" priority="3505">
      <formula>LEN(TRIM(AH106))=0</formula>
    </cfRule>
    <cfRule type="containsBlanks" dxfId="3442" priority="3506">
      <formula>LEN(TRIM(AH106))=0</formula>
    </cfRule>
    <cfRule type="containsBlanks" dxfId="3441" priority="3507">
      <formula>LEN(TRIM(AH106))=0</formula>
    </cfRule>
  </conditionalFormatting>
  <conditionalFormatting sqref="AH106">
    <cfRule type="containsBlanks" dxfId="3440" priority="3387">
      <formula>LEN(TRIM(AH106))=0</formula>
    </cfRule>
    <cfRule type="containsBlanks" dxfId="3439" priority="3388">
      <formula>LEN(TRIM(AH106))=0</formula>
    </cfRule>
    <cfRule type="containsBlanks" dxfId="3438" priority="3389">
      <formula>LEN(TRIM(AH106))=0</formula>
    </cfRule>
    <cfRule type="containsBlanks" dxfId="3437" priority="3390">
      <formula>LEN(TRIM(AH106))=0</formula>
    </cfRule>
    <cfRule type="containsBlanks" dxfId="3436" priority="3391">
      <formula>LEN(TRIM(AH106))=0</formula>
    </cfRule>
    <cfRule type="containsBlanks" dxfId="3435" priority="3392">
      <formula>LEN(TRIM(AH106))=0</formula>
    </cfRule>
    <cfRule type="containsBlanks" dxfId="3434" priority="3393">
      <formula>LEN(TRIM(AH106))=0</formula>
    </cfRule>
    <cfRule type="containsBlanks" dxfId="3433" priority="3394">
      <formula>LEN(TRIM(AH106))=0</formula>
    </cfRule>
    <cfRule type="containsBlanks" dxfId="3432" priority="3395">
      <formula>LEN(TRIM(AH106))=0</formula>
    </cfRule>
    <cfRule type="containsBlanks" dxfId="3431" priority="3396">
      <formula>LEN(TRIM(AH106))=0</formula>
    </cfRule>
    <cfRule type="containsBlanks" dxfId="3430" priority="3397">
      <formula>LEN(TRIM(AH106))=0</formula>
    </cfRule>
    <cfRule type="containsBlanks" dxfId="3429" priority="3398">
      <formula>LEN(TRIM(AH106))=0</formula>
    </cfRule>
    <cfRule type="containsBlanks" dxfId="3428" priority="3399">
      <formula>LEN(TRIM(AH106))=0</formula>
    </cfRule>
    <cfRule type="containsBlanks" dxfId="3427" priority="3400">
      <formula>LEN(TRIM(AH106))=0</formula>
    </cfRule>
    <cfRule type="containsBlanks" dxfId="3426" priority="3401">
      <formula>LEN(TRIM(AH106))=0</formula>
    </cfRule>
    <cfRule type="containsBlanks" dxfId="3425" priority="3402">
      <formula>LEN(TRIM(AH106))=0</formula>
    </cfRule>
    <cfRule type="containsBlanks" dxfId="3424" priority="3403">
      <formula>LEN(TRIM(AH106))=0</formula>
    </cfRule>
    <cfRule type="containsBlanks" dxfId="3423" priority="3404">
      <formula>LEN(TRIM(AH106))=0</formula>
    </cfRule>
    <cfRule type="containsBlanks" dxfId="3422" priority="3405">
      <formula>LEN(TRIM(AH106))=0</formula>
    </cfRule>
    <cfRule type="containsBlanks" dxfId="3421" priority="3406">
      <formula>LEN(TRIM(AH106))=0</formula>
    </cfRule>
    <cfRule type="containsBlanks" dxfId="3420" priority="3407">
      <formula>LEN(TRIM(AH106))=0</formula>
    </cfRule>
    <cfRule type="containsBlanks" dxfId="3419" priority="3408">
      <formula>LEN(TRIM(AH106))=0</formula>
    </cfRule>
    <cfRule type="containsBlanks" dxfId="3418" priority="3409">
      <formula>LEN(TRIM(AH106))=0</formula>
    </cfRule>
    <cfRule type="containsBlanks" dxfId="3417" priority="3410">
      <formula>LEN(TRIM(AH106))=0</formula>
    </cfRule>
    <cfRule type="containsBlanks" dxfId="3416" priority="3411">
      <formula>LEN(TRIM(AH106))=0</formula>
    </cfRule>
    <cfRule type="containsBlanks" dxfId="3415" priority="3412">
      <formula>LEN(TRIM(AH106))=0</formula>
    </cfRule>
    <cfRule type="containsBlanks" dxfId="3414" priority="3413">
      <formula>LEN(TRIM(AH106))=0</formula>
    </cfRule>
    <cfRule type="containsBlanks" dxfId="3413" priority="3414">
      <formula>LEN(TRIM(AH106))=0</formula>
    </cfRule>
    <cfRule type="containsBlanks" dxfId="3412" priority="3415">
      <formula>LEN(TRIM(AH106))=0</formula>
    </cfRule>
    <cfRule type="containsBlanks" dxfId="3411" priority="3416">
      <formula>LEN(TRIM(AH106))=0</formula>
    </cfRule>
    <cfRule type="containsBlanks" dxfId="3410" priority="3417">
      <formula>LEN(TRIM(AH106))=0</formula>
    </cfRule>
    <cfRule type="containsBlanks" dxfId="3409" priority="3418">
      <formula>LEN(TRIM(AH106))=0</formula>
    </cfRule>
    <cfRule type="containsBlanks" dxfId="3408" priority="3419">
      <formula>LEN(TRIM(AH106))=0</formula>
    </cfRule>
    <cfRule type="containsBlanks" dxfId="3407" priority="3420">
      <formula>LEN(TRIM(AH106))=0</formula>
    </cfRule>
    <cfRule type="containsBlanks" dxfId="3406" priority="3421">
      <formula>LEN(TRIM(AH106))=0</formula>
    </cfRule>
    <cfRule type="containsBlanks" dxfId="3405" priority="3422">
      <formula>LEN(TRIM(AH106))=0</formula>
    </cfRule>
    <cfRule type="containsBlanks" dxfId="3404" priority="3423">
      <formula>LEN(TRIM(AH106))=0</formula>
    </cfRule>
    <cfRule type="containsBlanks" dxfId="3403" priority="3424">
      <formula>LEN(TRIM(AH106))=0</formula>
    </cfRule>
    <cfRule type="containsBlanks" dxfId="3402" priority="3425">
      <formula>LEN(TRIM(AH106))=0</formula>
    </cfRule>
    <cfRule type="containsBlanks" dxfId="3401" priority="3426">
      <formula>LEN(TRIM(AH106))=0</formula>
    </cfRule>
    <cfRule type="containsBlanks" dxfId="3400" priority="3427">
      <formula>LEN(TRIM(AH106))=0</formula>
    </cfRule>
    <cfRule type="containsBlanks" dxfId="3399" priority="3428">
      <formula>LEN(TRIM(AH106))=0</formula>
    </cfRule>
    <cfRule type="containsBlanks" dxfId="3398" priority="3429">
      <formula>LEN(TRIM(AH106))=0</formula>
    </cfRule>
    <cfRule type="containsBlanks" dxfId="3397" priority="3430">
      <formula>LEN(TRIM(AH106))=0</formula>
    </cfRule>
    <cfRule type="containsBlanks" dxfId="3396" priority="3431">
      <formula>LEN(TRIM(AH106))=0</formula>
    </cfRule>
    <cfRule type="containsBlanks" dxfId="3395" priority="3432">
      <formula>LEN(TRIM(AH106))=0</formula>
    </cfRule>
    <cfRule type="containsBlanks" dxfId="3394" priority="3433">
      <formula>LEN(TRIM(AH106))=0</formula>
    </cfRule>
    <cfRule type="containsBlanks" dxfId="3393" priority="3434">
      <formula>LEN(TRIM(AH106))=0</formula>
    </cfRule>
    <cfRule type="containsBlanks" dxfId="3392" priority="3435">
      <formula>LEN(TRIM(AH106))=0</formula>
    </cfRule>
    <cfRule type="containsBlanks" dxfId="3391" priority="3436">
      <formula>LEN(TRIM(AH106))=0</formula>
    </cfRule>
    <cfRule type="containsBlanks" dxfId="3390" priority="3437">
      <formula>LEN(TRIM(AH106))=0</formula>
    </cfRule>
    <cfRule type="containsBlanks" dxfId="3389" priority="3438">
      <formula>LEN(TRIM(AH106))=0</formula>
    </cfRule>
    <cfRule type="containsBlanks" dxfId="3388" priority="3439">
      <formula>LEN(TRIM(AH106))=0</formula>
    </cfRule>
    <cfRule type="containsBlanks" dxfId="3387" priority="3440">
      <formula>LEN(TRIM(AH106))=0</formula>
    </cfRule>
    <cfRule type="containsBlanks" dxfId="3386" priority="3441">
      <formula>LEN(TRIM(AH106))=0</formula>
    </cfRule>
  </conditionalFormatting>
  <conditionalFormatting sqref="AH106">
    <cfRule type="containsBlanks" dxfId="3385" priority="3303">
      <formula>LEN(TRIM(AH106))=0</formula>
    </cfRule>
    <cfRule type="containsBlanks" dxfId="3384" priority="3304">
      <formula>LEN(TRIM(AH106))=0</formula>
    </cfRule>
    <cfRule type="containsBlanks" dxfId="3383" priority="3305">
      <formula>LEN(TRIM(AH106))=0</formula>
    </cfRule>
    <cfRule type="containsBlanks" dxfId="3382" priority="3306">
      <formula>LEN(TRIM(AH106))=0</formula>
    </cfRule>
    <cfRule type="containsBlanks" dxfId="3381" priority="3307">
      <formula>LEN(TRIM(AH106))=0</formula>
    </cfRule>
    <cfRule type="containsBlanks" dxfId="3380" priority="3308">
      <formula>LEN(TRIM(AH106))=0</formula>
    </cfRule>
    <cfRule type="containsBlanks" dxfId="3379" priority="3309">
      <formula>LEN(TRIM(AH106))=0</formula>
    </cfRule>
    <cfRule type="containsBlanks" dxfId="3378" priority="3310">
      <formula>LEN(TRIM(AH106))=0</formula>
    </cfRule>
    <cfRule type="containsBlanks" dxfId="3377" priority="3311">
      <formula>LEN(TRIM(AH106))=0</formula>
    </cfRule>
    <cfRule type="containsBlanks" dxfId="3376" priority="3312">
      <formula>LEN(TRIM(AH106))=0</formula>
    </cfRule>
    <cfRule type="containsBlanks" dxfId="3375" priority="3313">
      <formula>LEN(TRIM(AH106))=0</formula>
    </cfRule>
    <cfRule type="containsBlanks" dxfId="3374" priority="3314">
      <formula>LEN(TRIM(AH106))=0</formula>
    </cfRule>
    <cfRule type="containsBlanks" dxfId="3373" priority="3315">
      <formula>LEN(TRIM(AH106))=0</formula>
    </cfRule>
    <cfRule type="containsBlanks" dxfId="3372" priority="3316">
      <formula>LEN(TRIM(AH106))=0</formula>
    </cfRule>
    <cfRule type="containsBlanks" dxfId="3371" priority="3317">
      <formula>LEN(TRIM(AH106))=0</formula>
    </cfRule>
    <cfRule type="containsBlanks" dxfId="3370" priority="3318">
      <formula>LEN(TRIM(AH106))=0</formula>
    </cfRule>
    <cfRule type="containsBlanks" dxfId="3369" priority="3319">
      <formula>LEN(TRIM(AH106))=0</formula>
    </cfRule>
    <cfRule type="containsBlanks" dxfId="3368" priority="3320">
      <formula>LEN(TRIM(AH106))=0</formula>
    </cfRule>
    <cfRule type="containsBlanks" dxfId="3367" priority="3321">
      <formula>LEN(TRIM(AH106))=0</formula>
    </cfRule>
    <cfRule type="containsBlanks" dxfId="3366" priority="3322">
      <formula>LEN(TRIM(AH106))=0</formula>
    </cfRule>
    <cfRule type="containsBlanks" dxfId="3365" priority="3323">
      <formula>LEN(TRIM(AH106))=0</formula>
    </cfRule>
    <cfRule type="containsBlanks" dxfId="3364" priority="3324">
      <formula>LEN(TRIM(AH106))=0</formula>
    </cfRule>
    <cfRule type="containsBlanks" dxfId="3363" priority="3325">
      <formula>LEN(TRIM(AH106))=0</formula>
    </cfRule>
    <cfRule type="containsBlanks" dxfId="3362" priority="3326">
      <formula>LEN(TRIM(AH106))=0</formula>
    </cfRule>
    <cfRule type="containsBlanks" dxfId="3361" priority="3327">
      <formula>LEN(TRIM(AH106))=0</formula>
    </cfRule>
    <cfRule type="containsBlanks" dxfId="3360" priority="3328">
      <formula>LEN(TRIM(AH106))=0</formula>
    </cfRule>
    <cfRule type="containsBlanks" dxfId="3359" priority="3329">
      <formula>LEN(TRIM(AH106))=0</formula>
    </cfRule>
    <cfRule type="containsBlanks" dxfId="3358" priority="3330">
      <formula>LEN(TRIM(AH106))=0</formula>
    </cfRule>
    <cfRule type="containsBlanks" dxfId="3357" priority="3331">
      <formula>LEN(TRIM(AH106))=0</formula>
    </cfRule>
    <cfRule type="containsBlanks" dxfId="3356" priority="3332">
      <formula>LEN(TRIM(AH106))=0</formula>
    </cfRule>
    <cfRule type="containsBlanks" dxfId="3355" priority="3333">
      <formula>LEN(TRIM(AH106))=0</formula>
    </cfRule>
    <cfRule type="containsBlanks" dxfId="3354" priority="3334">
      <formula>LEN(TRIM(AH106))=0</formula>
    </cfRule>
    <cfRule type="containsBlanks" dxfId="3353" priority="3335">
      <formula>LEN(TRIM(AH106))=0</formula>
    </cfRule>
    <cfRule type="containsBlanks" dxfId="3352" priority="3336">
      <formula>LEN(TRIM(AH106))=0</formula>
    </cfRule>
    <cfRule type="containsBlanks" dxfId="3351" priority="3337">
      <formula>LEN(TRIM(AH106))=0</formula>
    </cfRule>
    <cfRule type="containsBlanks" dxfId="3350" priority="3338">
      <formula>LEN(TRIM(AH106))=0</formula>
    </cfRule>
    <cfRule type="containsBlanks" dxfId="3349" priority="3339">
      <formula>LEN(TRIM(AH106))=0</formula>
    </cfRule>
    <cfRule type="containsBlanks" dxfId="3348" priority="3340">
      <formula>LEN(TRIM(AH106))=0</formula>
    </cfRule>
    <cfRule type="containsBlanks" dxfId="3347" priority="3341">
      <formula>LEN(TRIM(AH106))=0</formula>
    </cfRule>
    <cfRule type="containsBlanks" dxfId="3346" priority="3342">
      <formula>LEN(TRIM(AH106))=0</formula>
    </cfRule>
    <cfRule type="containsBlanks" dxfId="3345" priority="3343">
      <formula>LEN(TRIM(AH106))=0</formula>
    </cfRule>
    <cfRule type="containsBlanks" dxfId="3344" priority="3344">
      <formula>LEN(TRIM(AH106))=0</formula>
    </cfRule>
    <cfRule type="containsBlanks" dxfId="3343" priority="3345">
      <formula>LEN(TRIM(AH106))=0</formula>
    </cfRule>
    <cfRule type="containsBlanks" dxfId="3342" priority="3346">
      <formula>LEN(TRIM(AH106))=0</formula>
    </cfRule>
    <cfRule type="containsBlanks" dxfId="3341" priority="3347">
      <formula>LEN(TRIM(AH106))=0</formula>
    </cfRule>
    <cfRule type="containsBlanks" dxfId="3340" priority="3348">
      <formula>LEN(TRIM(AH106))=0</formula>
    </cfRule>
    <cfRule type="containsBlanks" dxfId="3339" priority="3349">
      <formula>LEN(TRIM(AH106))=0</formula>
    </cfRule>
    <cfRule type="containsBlanks" dxfId="3338" priority="3350">
      <formula>LEN(TRIM(AH106))=0</formula>
    </cfRule>
    <cfRule type="containsBlanks" dxfId="3337" priority="3351">
      <formula>LEN(TRIM(AH106))=0</formula>
    </cfRule>
    <cfRule type="containsBlanks" dxfId="3336" priority="3352">
      <formula>LEN(TRIM(AH106))=0</formula>
    </cfRule>
    <cfRule type="containsBlanks" dxfId="3335" priority="3353">
      <formula>LEN(TRIM(AH106))=0</formula>
    </cfRule>
    <cfRule type="containsBlanks" dxfId="3334" priority="3354">
      <formula>LEN(TRIM(AH106))=0</formula>
    </cfRule>
    <cfRule type="containsBlanks" dxfId="3333" priority="3355">
      <formula>LEN(TRIM(AH106))=0</formula>
    </cfRule>
    <cfRule type="containsBlanks" dxfId="3332" priority="3356">
      <formula>LEN(TRIM(AH106))=0</formula>
    </cfRule>
    <cfRule type="containsBlanks" dxfId="3331" priority="3357">
      <formula>LEN(TRIM(AH106))=0</formula>
    </cfRule>
    <cfRule type="containsBlanks" dxfId="3330" priority="3358">
      <formula>LEN(TRIM(AH106))=0</formula>
    </cfRule>
    <cfRule type="containsBlanks" dxfId="3329" priority="3359">
      <formula>LEN(TRIM(AH106))=0</formula>
    </cfRule>
    <cfRule type="containsBlanks" dxfId="3328" priority="3360">
      <formula>LEN(TRIM(AH106))=0</formula>
    </cfRule>
    <cfRule type="containsBlanks" dxfId="3327" priority="3361">
      <formula>LEN(TRIM(AH106))=0</formula>
    </cfRule>
    <cfRule type="containsBlanks" dxfId="3326" priority="3362">
      <formula>LEN(TRIM(AH106))=0</formula>
    </cfRule>
    <cfRule type="containsBlanks" dxfId="3325" priority="3363">
      <formula>LEN(TRIM(AH106))=0</formula>
    </cfRule>
    <cfRule type="containsBlanks" dxfId="3324" priority="3364">
      <formula>LEN(TRIM(AH106))=0</formula>
    </cfRule>
    <cfRule type="containsBlanks" dxfId="3323" priority="3365">
      <formula>LEN(TRIM(AH106))=0</formula>
    </cfRule>
    <cfRule type="containsBlanks" dxfId="3322" priority="3366">
      <formula>LEN(TRIM(AH106))=0</formula>
    </cfRule>
    <cfRule type="containsBlanks" dxfId="3321" priority="3367">
      <formula>LEN(TRIM(AH106))=0</formula>
    </cfRule>
    <cfRule type="containsBlanks" dxfId="3320" priority="3368">
      <formula>LEN(TRIM(AH106))=0</formula>
    </cfRule>
    <cfRule type="containsBlanks" dxfId="3319" priority="3369">
      <formula>LEN(TRIM(AH106))=0</formula>
    </cfRule>
    <cfRule type="containsBlanks" dxfId="3318" priority="3370">
      <formula>LEN(TRIM(AH106))=0</formula>
    </cfRule>
    <cfRule type="containsBlanks" dxfId="3317" priority="3371">
      <formula>LEN(TRIM(AH106))=0</formula>
    </cfRule>
    <cfRule type="containsBlanks" dxfId="3316" priority="3372">
      <formula>LEN(TRIM(AH106))=0</formula>
    </cfRule>
    <cfRule type="containsBlanks" dxfId="3315" priority="3373">
      <formula>LEN(TRIM(AH106))=0</formula>
    </cfRule>
    <cfRule type="containsBlanks" dxfId="3314" priority="3374">
      <formula>LEN(TRIM(AH106))=0</formula>
    </cfRule>
    <cfRule type="containsBlanks" dxfId="3313" priority="3375">
      <formula>LEN(TRIM(AH106))=0</formula>
    </cfRule>
    <cfRule type="containsBlanks" dxfId="3312" priority="3376">
      <formula>LEN(TRIM(AH106))=0</formula>
    </cfRule>
    <cfRule type="containsBlanks" dxfId="3311" priority="3377">
      <formula>LEN(TRIM(AH106))=0</formula>
    </cfRule>
    <cfRule type="containsBlanks" dxfId="3310" priority="3378">
      <formula>LEN(TRIM(AH106))=0</formula>
    </cfRule>
    <cfRule type="containsBlanks" dxfId="3309" priority="3379">
      <formula>LEN(TRIM(AH106))=0</formula>
    </cfRule>
    <cfRule type="containsBlanks" dxfId="3308" priority="3380">
      <formula>LEN(TRIM(AH106))=0</formula>
    </cfRule>
    <cfRule type="containsBlanks" dxfId="3307" priority="3381">
      <formula>LEN(TRIM(AH106))=0</formula>
    </cfRule>
    <cfRule type="containsBlanks" dxfId="3306" priority="3382">
      <formula>LEN(TRIM(AH106))=0</formula>
    </cfRule>
    <cfRule type="containsBlanks" dxfId="3305" priority="3383">
      <formula>LEN(TRIM(AH106))=0</formula>
    </cfRule>
    <cfRule type="containsBlanks" dxfId="3304" priority="3384">
      <formula>LEN(TRIM(AH106))=0</formula>
    </cfRule>
    <cfRule type="containsBlanks" dxfId="3303" priority="3385">
      <formula>LEN(TRIM(AH106))=0</formula>
    </cfRule>
    <cfRule type="containsBlanks" dxfId="3302" priority="3386">
      <formula>LEN(TRIM(AH106))=0</formula>
    </cfRule>
  </conditionalFormatting>
  <conditionalFormatting sqref="AH114">
    <cfRule type="containsBlanks" dxfId="3301" priority="3302">
      <formula>LEN(TRIM(AH114))=0</formula>
    </cfRule>
  </conditionalFormatting>
  <conditionalFormatting sqref="AH114">
    <cfRule type="containsBlanks" dxfId="3300" priority="3301">
      <formula>LEN(TRIM(AH114))=0</formula>
    </cfRule>
  </conditionalFormatting>
  <conditionalFormatting sqref="AH114">
    <cfRule type="containsBlanks" dxfId="3299" priority="3299">
      <formula>LEN(TRIM(AH114))=0</formula>
    </cfRule>
    <cfRule type="containsBlanks" dxfId="3298" priority="3300">
      <formula>LEN(TRIM(AH114))=0</formula>
    </cfRule>
  </conditionalFormatting>
  <conditionalFormatting sqref="AH114">
    <cfRule type="containsBlanks" dxfId="3297" priority="3298">
      <formula>LEN(TRIM(AH114))=0</formula>
    </cfRule>
  </conditionalFormatting>
  <conditionalFormatting sqref="AH114">
    <cfRule type="containsBlanks" dxfId="3296" priority="3297">
      <formula>LEN(TRIM(AH114))=0</formula>
    </cfRule>
  </conditionalFormatting>
  <conditionalFormatting sqref="AH114">
    <cfRule type="containsBlanks" dxfId="3295" priority="3296">
      <formula>LEN(TRIM(AH114))=0</formula>
    </cfRule>
  </conditionalFormatting>
  <conditionalFormatting sqref="AH114">
    <cfRule type="containsBlanks" dxfId="3294" priority="3294">
      <formula>LEN(TRIM(AH114))=0</formula>
    </cfRule>
    <cfRule type="containsBlanks" dxfId="3293" priority="3295">
      <formula>LEN(TRIM(AH114))=0</formula>
    </cfRule>
  </conditionalFormatting>
  <conditionalFormatting sqref="AH114">
    <cfRule type="containsBlanks" dxfId="3292" priority="3292">
      <formula>LEN(TRIM(AH114))=0</formula>
    </cfRule>
    <cfRule type="containsBlanks" dxfId="3291" priority="3293">
      <formula>LEN(TRIM(AH114))=0</formula>
    </cfRule>
  </conditionalFormatting>
  <conditionalFormatting sqref="AH114">
    <cfRule type="containsBlanks" dxfId="3290" priority="3290">
      <formula>LEN(TRIM(AH114))=0</formula>
    </cfRule>
    <cfRule type="containsBlanks" dxfId="3289" priority="3291">
      <formula>LEN(TRIM(AH114))=0</formula>
    </cfRule>
  </conditionalFormatting>
  <conditionalFormatting sqref="AH114">
    <cfRule type="containsBlanks" dxfId="3288" priority="3288">
      <formula>LEN(TRIM(AH114))=0</formula>
    </cfRule>
    <cfRule type="containsBlanks" dxfId="3287" priority="3289">
      <formula>LEN(TRIM(AH114))=0</formula>
    </cfRule>
  </conditionalFormatting>
  <conditionalFormatting sqref="AH114">
    <cfRule type="containsBlanks" dxfId="3286" priority="3222">
      <formula>LEN(TRIM(AH114))=0</formula>
    </cfRule>
    <cfRule type="containsBlanks" dxfId="3285" priority="3223">
      <formula>LEN(TRIM(AH114))=0</formula>
    </cfRule>
    <cfRule type="containsBlanks" dxfId="3284" priority="3224">
      <formula>LEN(TRIM(AH114))=0</formula>
    </cfRule>
    <cfRule type="containsBlanks" dxfId="3283" priority="3225">
      <formula>LEN(TRIM(AH114))=0</formula>
    </cfRule>
    <cfRule type="containsBlanks" dxfId="3282" priority="3226">
      <formula>LEN(TRIM(AH114))=0</formula>
    </cfRule>
    <cfRule type="containsBlanks" dxfId="3281" priority="3227">
      <formula>LEN(TRIM(AH114))=0</formula>
    </cfRule>
    <cfRule type="containsBlanks" dxfId="3280" priority="3228">
      <formula>LEN(TRIM(AH114))=0</formula>
    </cfRule>
    <cfRule type="containsBlanks" dxfId="3279" priority="3229">
      <formula>LEN(TRIM(AH114))=0</formula>
    </cfRule>
    <cfRule type="containsBlanks" dxfId="3278" priority="3230">
      <formula>LEN(TRIM(AH114))=0</formula>
    </cfRule>
    <cfRule type="containsBlanks" dxfId="3277" priority="3231">
      <formula>LEN(TRIM(AH114))=0</formula>
    </cfRule>
    <cfRule type="containsBlanks" dxfId="3276" priority="3232">
      <formula>LEN(TRIM(AH114))=0</formula>
    </cfRule>
    <cfRule type="containsBlanks" dxfId="3275" priority="3233">
      <formula>LEN(TRIM(AH114))=0</formula>
    </cfRule>
    <cfRule type="containsBlanks" dxfId="3274" priority="3234">
      <formula>LEN(TRIM(AH114))=0</formula>
    </cfRule>
    <cfRule type="containsBlanks" dxfId="3273" priority="3235">
      <formula>LEN(TRIM(AH114))=0</formula>
    </cfRule>
    <cfRule type="containsBlanks" dxfId="3272" priority="3236">
      <formula>LEN(TRIM(AH114))=0</formula>
    </cfRule>
    <cfRule type="containsBlanks" dxfId="3271" priority="3237">
      <formula>LEN(TRIM(AH114))=0</formula>
    </cfRule>
    <cfRule type="containsBlanks" dxfId="3270" priority="3238">
      <formula>LEN(TRIM(AH114))=0</formula>
    </cfRule>
    <cfRule type="containsBlanks" dxfId="3269" priority="3239">
      <formula>LEN(TRIM(AH114))=0</formula>
    </cfRule>
    <cfRule type="containsBlanks" dxfId="3268" priority="3240">
      <formula>LEN(TRIM(AH114))=0</formula>
    </cfRule>
    <cfRule type="containsBlanks" dxfId="3267" priority="3241">
      <formula>LEN(TRIM(AH114))=0</formula>
    </cfRule>
    <cfRule type="containsBlanks" dxfId="3266" priority="3242">
      <formula>LEN(TRIM(AH114))=0</formula>
    </cfRule>
    <cfRule type="containsBlanks" dxfId="3265" priority="3243">
      <formula>LEN(TRIM(AH114))=0</formula>
    </cfRule>
    <cfRule type="containsBlanks" dxfId="3264" priority="3244">
      <formula>LEN(TRIM(AH114))=0</formula>
    </cfRule>
    <cfRule type="containsBlanks" dxfId="3263" priority="3245">
      <formula>LEN(TRIM(AH114))=0</formula>
    </cfRule>
    <cfRule type="containsBlanks" dxfId="3262" priority="3246">
      <formula>LEN(TRIM(AH114))=0</formula>
    </cfRule>
    <cfRule type="containsBlanks" dxfId="3261" priority="3247">
      <formula>LEN(TRIM(AH114))=0</formula>
    </cfRule>
    <cfRule type="containsBlanks" dxfId="3260" priority="3248">
      <formula>LEN(TRIM(AH114))=0</formula>
    </cfRule>
    <cfRule type="containsBlanks" dxfId="3259" priority="3249">
      <formula>LEN(TRIM(AH114))=0</formula>
    </cfRule>
    <cfRule type="containsBlanks" dxfId="3258" priority="3250">
      <formula>LEN(TRIM(AH114))=0</formula>
    </cfRule>
    <cfRule type="containsBlanks" dxfId="3257" priority="3251">
      <formula>LEN(TRIM(AH114))=0</formula>
    </cfRule>
    <cfRule type="containsBlanks" dxfId="3256" priority="3252">
      <formula>LEN(TRIM(AH114))=0</formula>
    </cfRule>
    <cfRule type="containsBlanks" dxfId="3255" priority="3253">
      <formula>LEN(TRIM(AH114))=0</formula>
    </cfRule>
    <cfRule type="containsBlanks" dxfId="3254" priority="3254">
      <formula>LEN(TRIM(AH114))=0</formula>
    </cfRule>
    <cfRule type="containsBlanks" dxfId="3253" priority="3255">
      <formula>LEN(TRIM(AH114))=0</formula>
    </cfRule>
    <cfRule type="containsBlanks" dxfId="3252" priority="3256">
      <formula>LEN(TRIM(AH114))=0</formula>
    </cfRule>
    <cfRule type="containsBlanks" dxfId="3251" priority="3257">
      <formula>LEN(TRIM(AH114))=0</formula>
    </cfRule>
    <cfRule type="containsBlanks" dxfId="3250" priority="3258">
      <formula>LEN(TRIM(AH114))=0</formula>
    </cfRule>
    <cfRule type="containsBlanks" dxfId="3249" priority="3259">
      <formula>LEN(TRIM(AH114))=0</formula>
    </cfRule>
    <cfRule type="containsBlanks" dxfId="3248" priority="3260">
      <formula>LEN(TRIM(AH114))=0</formula>
    </cfRule>
    <cfRule type="containsBlanks" dxfId="3247" priority="3261">
      <formula>LEN(TRIM(AH114))=0</formula>
    </cfRule>
    <cfRule type="containsBlanks" dxfId="3246" priority="3262">
      <formula>LEN(TRIM(AH114))=0</formula>
    </cfRule>
    <cfRule type="containsBlanks" dxfId="3245" priority="3263">
      <formula>LEN(TRIM(AH114))=0</formula>
    </cfRule>
    <cfRule type="containsBlanks" dxfId="3244" priority="3264">
      <formula>LEN(TRIM(AH114))=0</formula>
    </cfRule>
    <cfRule type="containsBlanks" dxfId="3243" priority="3265">
      <formula>LEN(TRIM(AH114))=0</formula>
    </cfRule>
    <cfRule type="containsBlanks" dxfId="3242" priority="3266">
      <formula>LEN(TRIM(AH114))=0</formula>
    </cfRule>
    <cfRule type="containsBlanks" dxfId="3241" priority="3267">
      <formula>LEN(TRIM(AH114))=0</formula>
    </cfRule>
    <cfRule type="containsBlanks" dxfId="3240" priority="3268">
      <formula>LEN(TRIM(AH114))=0</formula>
    </cfRule>
    <cfRule type="containsBlanks" dxfId="3239" priority="3269">
      <formula>LEN(TRIM(AH114))=0</formula>
    </cfRule>
    <cfRule type="containsBlanks" dxfId="3238" priority="3270">
      <formula>LEN(TRIM(AH114))=0</formula>
    </cfRule>
    <cfRule type="containsBlanks" dxfId="3237" priority="3271">
      <formula>LEN(TRIM(AH114))=0</formula>
    </cfRule>
    <cfRule type="containsBlanks" dxfId="3236" priority="3272">
      <formula>LEN(TRIM(AH114))=0</formula>
    </cfRule>
    <cfRule type="containsBlanks" dxfId="3235" priority="3273">
      <formula>LEN(TRIM(AH114))=0</formula>
    </cfRule>
    <cfRule type="containsBlanks" dxfId="3234" priority="3274">
      <formula>LEN(TRIM(AH114))=0</formula>
    </cfRule>
    <cfRule type="containsBlanks" dxfId="3233" priority="3275">
      <formula>LEN(TRIM(AH114))=0</formula>
    </cfRule>
    <cfRule type="containsBlanks" dxfId="3232" priority="3276">
      <formula>LEN(TRIM(AH114))=0</formula>
    </cfRule>
    <cfRule type="containsBlanks" dxfId="3231" priority="3277">
      <formula>LEN(TRIM(AH114))=0</formula>
    </cfRule>
    <cfRule type="containsBlanks" dxfId="3230" priority="3278">
      <formula>LEN(TRIM(AH114))=0</formula>
    </cfRule>
    <cfRule type="containsBlanks" dxfId="3229" priority="3279">
      <formula>LEN(TRIM(AH114))=0</formula>
    </cfRule>
    <cfRule type="containsBlanks" dxfId="3228" priority="3280">
      <formula>LEN(TRIM(AH114))=0</formula>
    </cfRule>
    <cfRule type="containsBlanks" dxfId="3227" priority="3281">
      <formula>LEN(TRIM(AH114))=0</formula>
    </cfRule>
    <cfRule type="containsBlanks" dxfId="3226" priority="3282">
      <formula>LEN(TRIM(AH114))=0</formula>
    </cfRule>
    <cfRule type="containsBlanks" dxfId="3225" priority="3283">
      <formula>LEN(TRIM(AH114))=0</formula>
    </cfRule>
    <cfRule type="containsBlanks" dxfId="3224" priority="3284">
      <formula>LEN(TRIM(AH114))=0</formula>
    </cfRule>
    <cfRule type="containsBlanks" dxfId="3223" priority="3285">
      <formula>LEN(TRIM(AH114))=0</formula>
    </cfRule>
    <cfRule type="containsBlanks" dxfId="3222" priority="3286">
      <formula>LEN(TRIM(AH114))=0</formula>
    </cfRule>
    <cfRule type="containsBlanks" dxfId="3221" priority="3287">
      <formula>LEN(TRIM(AH114))=0</formula>
    </cfRule>
  </conditionalFormatting>
  <conditionalFormatting sqref="AH114">
    <cfRule type="containsBlanks" dxfId="3220" priority="3167">
      <formula>LEN(TRIM(AH114))=0</formula>
    </cfRule>
    <cfRule type="containsBlanks" dxfId="3219" priority="3168">
      <formula>LEN(TRIM(AH114))=0</formula>
    </cfRule>
    <cfRule type="containsBlanks" dxfId="3218" priority="3169">
      <formula>LEN(TRIM(AH114))=0</formula>
    </cfRule>
    <cfRule type="containsBlanks" dxfId="3217" priority="3170">
      <formula>LEN(TRIM(AH114))=0</formula>
    </cfRule>
    <cfRule type="containsBlanks" dxfId="3216" priority="3171">
      <formula>LEN(TRIM(AH114))=0</formula>
    </cfRule>
    <cfRule type="containsBlanks" dxfId="3215" priority="3172">
      <formula>LEN(TRIM(AH114))=0</formula>
    </cfRule>
    <cfRule type="containsBlanks" dxfId="3214" priority="3173">
      <formula>LEN(TRIM(AH114))=0</formula>
    </cfRule>
    <cfRule type="containsBlanks" dxfId="3213" priority="3174">
      <formula>LEN(TRIM(AH114))=0</formula>
    </cfRule>
    <cfRule type="containsBlanks" dxfId="3212" priority="3175">
      <formula>LEN(TRIM(AH114))=0</formula>
    </cfRule>
    <cfRule type="containsBlanks" dxfId="3211" priority="3176">
      <formula>LEN(TRIM(AH114))=0</formula>
    </cfRule>
    <cfRule type="containsBlanks" dxfId="3210" priority="3177">
      <formula>LEN(TRIM(AH114))=0</formula>
    </cfRule>
    <cfRule type="containsBlanks" dxfId="3209" priority="3178">
      <formula>LEN(TRIM(AH114))=0</formula>
    </cfRule>
    <cfRule type="containsBlanks" dxfId="3208" priority="3179">
      <formula>LEN(TRIM(AH114))=0</formula>
    </cfRule>
    <cfRule type="containsBlanks" dxfId="3207" priority="3180">
      <formula>LEN(TRIM(AH114))=0</formula>
    </cfRule>
    <cfRule type="containsBlanks" dxfId="3206" priority="3181">
      <formula>LEN(TRIM(AH114))=0</formula>
    </cfRule>
    <cfRule type="containsBlanks" dxfId="3205" priority="3182">
      <formula>LEN(TRIM(AH114))=0</formula>
    </cfRule>
    <cfRule type="containsBlanks" dxfId="3204" priority="3183">
      <formula>LEN(TRIM(AH114))=0</formula>
    </cfRule>
    <cfRule type="containsBlanks" dxfId="3203" priority="3184">
      <formula>LEN(TRIM(AH114))=0</formula>
    </cfRule>
    <cfRule type="containsBlanks" dxfId="3202" priority="3185">
      <formula>LEN(TRIM(AH114))=0</formula>
    </cfRule>
    <cfRule type="containsBlanks" dxfId="3201" priority="3186">
      <formula>LEN(TRIM(AH114))=0</formula>
    </cfRule>
    <cfRule type="containsBlanks" dxfId="3200" priority="3187">
      <formula>LEN(TRIM(AH114))=0</formula>
    </cfRule>
    <cfRule type="containsBlanks" dxfId="3199" priority="3188">
      <formula>LEN(TRIM(AH114))=0</formula>
    </cfRule>
    <cfRule type="containsBlanks" dxfId="3198" priority="3189">
      <formula>LEN(TRIM(AH114))=0</formula>
    </cfRule>
    <cfRule type="containsBlanks" dxfId="3197" priority="3190">
      <formula>LEN(TRIM(AH114))=0</formula>
    </cfRule>
    <cfRule type="containsBlanks" dxfId="3196" priority="3191">
      <formula>LEN(TRIM(AH114))=0</formula>
    </cfRule>
    <cfRule type="containsBlanks" dxfId="3195" priority="3192">
      <formula>LEN(TRIM(AH114))=0</formula>
    </cfRule>
    <cfRule type="containsBlanks" dxfId="3194" priority="3193">
      <formula>LEN(TRIM(AH114))=0</formula>
    </cfRule>
    <cfRule type="containsBlanks" dxfId="3193" priority="3194">
      <formula>LEN(TRIM(AH114))=0</formula>
    </cfRule>
    <cfRule type="containsBlanks" dxfId="3192" priority="3195">
      <formula>LEN(TRIM(AH114))=0</formula>
    </cfRule>
    <cfRule type="containsBlanks" dxfId="3191" priority="3196">
      <formula>LEN(TRIM(AH114))=0</formula>
    </cfRule>
    <cfRule type="containsBlanks" dxfId="3190" priority="3197">
      <formula>LEN(TRIM(AH114))=0</formula>
    </cfRule>
    <cfRule type="containsBlanks" dxfId="3189" priority="3198">
      <formula>LEN(TRIM(AH114))=0</formula>
    </cfRule>
    <cfRule type="containsBlanks" dxfId="3188" priority="3199">
      <formula>LEN(TRIM(AH114))=0</formula>
    </cfRule>
    <cfRule type="containsBlanks" dxfId="3187" priority="3200">
      <formula>LEN(TRIM(AH114))=0</formula>
    </cfRule>
    <cfRule type="containsBlanks" dxfId="3186" priority="3201">
      <formula>LEN(TRIM(AH114))=0</formula>
    </cfRule>
    <cfRule type="containsBlanks" dxfId="3185" priority="3202">
      <formula>LEN(TRIM(AH114))=0</formula>
    </cfRule>
    <cfRule type="containsBlanks" dxfId="3184" priority="3203">
      <formula>LEN(TRIM(AH114))=0</formula>
    </cfRule>
    <cfRule type="containsBlanks" dxfId="3183" priority="3204">
      <formula>LEN(TRIM(AH114))=0</formula>
    </cfRule>
    <cfRule type="containsBlanks" dxfId="3182" priority="3205">
      <formula>LEN(TRIM(AH114))=0</formula>
    </cfRule>
    <cfRule type="containsBlanks" dxfId="3181" priority="3206">
      <formula>LEN(TRIM(AH114))=0</formula>
    </cfRule>
    <cfRule type="containsBlanks" dxfId="3180" priority="3207">
      <formula>LEN(TRIM(AH114))=0</formula>
    </cfRule>
    <cfRule type="containsBlanks" dxfId="3179" priority="3208">
      <formula>LEN(TRIM(AH114))=0</formula>
    </cfRule>
    <cfRule type="containsBlanks" dxfId="3178" priority="3209">
      <formula>LEN(TRIM(AH114))=0</formula>
    </cfRule>
    <cfRule type="containsBlanks" dxfId="3177" priority="3210">
      <formula>LEN(TRIM(AH114))=0</formula>
    </cfRule>
    <cfRule type="containsBlanks" dxfId="3176" priority="3211">
      <formula>LEN(TRIM(AH114))=0</formula>
    </cfRule>
    <cfRule type="containsBlanks" dxfId="3175" priority="3212">
      <formula>LEN(TRIM(AH114))=0</formula>
    </cfRule>
    <cfRule type="containsBlanks" dxfId="3174" priority="3213">
      <formula>LEN(TRIM(AH114))=0</formula>
    </cfRule>
    <cfRule type="containsBlanks" dxfId="3173" priority="3214">
      <formula>LEN(TRIM(AH114))=0</formula>
    </cfRule>
    <cfRule type="containsBlanks" dxfId="3172" priority="3215">
      <formula>LEN(TRIM(AH114))=0</formula>
    </cfRule>
    <cfRule type="containsBlanks" dxfId="3171" priority="3216">
      <formula>LEN(TRIM(AH114))=0</formula>
    </cfRule>
    <cfRule type="containsBlanks" dxfId="3170" priority="3217">
      <formula>LEN(TRIM(AH114))=0</formula>
    </cfRule>
    <cfRule type="containsBlanks" dxfId="3169" priority="3218">
      <formula>LEN(TRIM(AH114))=0</formula>
    </cfRule>
    <cfRule type="containsBlanks" dxfId="3168" priority="3219">
      <formula>LEN(TRIM(AH114))=0</formula>
    </cfRule>
    <cfRule type="containsBlanks" dxfId="3167" priority="3220">
      <formula>LEN(TRIM(AH114))=0</formula>
    </cfRule>
    <cfRule type="containsBlanks" dxfId="3166" priority="3221">
      <formula>LEN(TRIM(AH114))=0</formula>
    </cfRule>
  </conditionalFormatting>
  <conditionalFormatting sqref="AH114">
    <cfRule type="containsBlanks" dxfId="3165" priority="3083">
      <formula>LEN(TRIM(AH114))=0</formula>
    </cfRule>
    <cfRule type="containsBlanks" dxfId="3164" priority="3084">
      <formula>LEN(TRIM(AH114))=0</formula>
    </cfRule>
    <cfRule type="containsBlanks" dxfId="3163" priority="3085">
      <formula>LEN(TRIM(AH114))=0</formula>
    </cfRule>
    <cfRule type="containsBlanks" dxfId="3162" priority="3086">
      <formula>LEN(TRIM(AH114))=0</formula>
    </cfRule>
    <cfRule type="containsBlanks" dxfId="3161" priority="3087">
      <formula>LEN(TRIM(AH114))=0</formula>
    </cfRule>
    <cfRule type="containsBlanks" dxfId="3160" priority="3088">
      <formula>LEN(TRIM(AH114))=0</formula>
    </cfRule>
    <cfRule type="containsBlanks" dxfId="3159" priority="3089">
      <formula>LEN(TRIM(AH114))=0</formula>
    </cfRule>
    <cfRule type="containsBlanks" dxfId="3158" priority="3090">
      <formula>LEN(TRIM(AH114))=0</formula>
    </cfRule>
    <cfRule type="containsBlanks" dxfId="3157" priority="3091">
      <formula>LEN(TRIM(AH114))=0</formula>
    </cfRule>
    <cfRule type="containsBlanks" dxfId="3156" priority="3092">
      <formula>LEN(TRIM(AH114))=0</formula>
    </cfRule>
    <cfRule type="containsBlanks" dxfId="3155" priority="3093">
      <formula>LEN(TRIM(AH114))=0</formula>
    </cfRule>
    <cfRule type="containsBlanks" dxfId="3154" priority="3094">
      <formula>LEN(TRIM(AH114))=0</formula>
    </cfRule>
    <cfRule type="containsBlanks" dxfId="3153" priority="3095">
      <formula>LEN(TRIM(AH114))=0</formula>
    </cfRule>
    <cfRule type="containsBlanks" dxfId="3152" priority="3096">
      <formula>LEN(TRIM(AH114))=0</formula>
    </cfRule>
    <cfRule type="containsBlanks" dxfId="3151" priority="3097">
      <formula>LEN(TRIM(AH114))=0</formula>
    </cfRule>
    <cfRule type="containsBlanks" dxfId="3150" priority="3098">
      <formula>LEN(TRIM(AH114))=0</formula>
    </cfRule>
    <cfRule type="containsBlanks" dxfId="3149" priority="3099">
      <formula>LEN(TRIM(AH114))=0</formula>
    </cfRule>
    <cfRule type="containsBlanks" dxfId="3148" priority="3100">
      <formula>LEN(TRIM(AH114))=0</formula>
    </cfRule>
    <cfRule type="containsBlanks" dxfId="3147" priority="3101">
      <formula>LEN(TRIM(AH114))=0</formula>
    </cfRule>
    <cfRule type="containsBlanks" dxfId="3146" priority="3102">
      <formula>LEN(TRIM(AH114))=0</formula>
    </cfRule>
    <cfRule type="containsBlanks" dxfId="3145" priority="3103">
      <formula>LEN(TRIM(AH114))=0</formula>
    </cfRule>
    <cfRule type="containsBlanks" dxfId="3144" priority="3104">
      <formula>LEN(TRIM(AH114))=0</formula>
    </cfRule>
    <cfRule type="containsBlanks" dxfId="3143" priority="3105">
      <formula>LEN(TRIM(AH114))=0</formula>
    </cfRule>
    <cfRule type="containsBlanks" dxfId="3142" priority="3106">
      <formula>LEN(TRIM(AH114))=0</formula>
    </cfRule>
    <cfRule type="containsBlanks" dxfId="3141" priority="3107">
      <formula>LEN(TRIM(AH114))=0</formula>
    </cfRule>
    <cfRule type="containsBlanks" dxfId="3140" priority="3108">
      <formula>LEN(TRIM(AH114))=0</formula>
    </cfRule>
    <cfRule type="containsBlanks" dxfId="3139" priority="3109">
      <formula>LEN(TRIM(AH114))=0</formula>
    </cfRule>
    <cfRule type="containsBlanks" dxfId="3138" priority="3110">
      <formula>LEN(TRIM(AH114))=0</formula>
    </cfRule>
    <cfRule type="containsBlanks" dxfId="3137" priority="3111">
      <formula>LEN(TRIM(AH114))=0</formula>
    </cfRule>
    <cfRule type="containsBlanks" dxfId="3136" priority="3112">
      <formula>LEN(TRIM(AH114))=0</formula>
    </cfRule>
    <cfRule type="containsBlanks" dxfId="3135" priority="3113">
      <formula>LEN(TRIM(AH114))=0</formula>
    </cfRule>
    <cfRule type="containsBlanks" dxfId="3134" priority="3114">
      <formula>LEN(TRIM(AH114))=0</formula>
    </cfRule>
    <cfRule type="containsBlanks" dxfId="3133" priority="3115">
      <formula>LEN(TRIM(AH114))=0</formula>
    </cfRule>
    <cfRule type="containsBlanks" dxfId="3132" priority="3116">
      <formula>LEN(TRIM(AH114))=0</formula>
    </cfRule>
    <cfRule type="containsBlanks" dxfId="3131" priority="3117">
      <formula>LEN(TRIM(AH114))=0</formula>
    </cfRule>
    <cfRule type="containsBlanks" dxfId="3130" priority="3118">
      <formula>LEN(TRIM(AH114))=0</formula>
    </cfRule>
    <cfRule type="containsBlanks" dxfId="3129" priority="3119">
      <formula>LEN(TRIM(AH114))=0</formula>
    </cfRule>
    <cfRule type="containsBlanks" dxfId="3128" priority="3120">
      <formula>LEN(TRIM(AH114))=0</formula>
    </cfRule>
    <cfRule type="containsBlanks" dxfId="3127" priority="3121">
      <formula>LEN(TRIM(AH114))=0</formula>
    </cfRule>
    <cfRule type="containsBlanks" dxfId="3126" priority="3122">
      <formula>LEN(TRIM(AH114))=0</formula>
    </cfRule>
    <cfRule type="containsBlanks" dxfId="3125" priority="3123">
      <formula>LEN(TRIM(AH114))=0</formula>
    </cfRule>
    <cfRule type="containsBlanks" dxfId="3124" priority="3124">
      <formula>LEN(TRIM(AH114))=0</formula>
    </cfRule>
    <cfRule type="containsBlanks" dxfId="3123" priority="3125">
      <formula>LEN(TRIM(AH114))=0</formula>
    </cfRule>
    <cfRule type="containsBlanks" dxfId="3122" priority="3126">
      <formula>LEN(TRIM(AH114))=0</formula>
    </cfRule>
    <cfRule type="containsBlanks" dxfId="3121" priority="3127">
      <formula>LEN(TRIM(AH114))=0</formula>
    </cfRule>
    <cfRule type="containsBlanks" dxfId="3120" priority="3128">
      <formula>LEN(TRIM(AH114))=0</formula>
    </cfRule>
    <cfRule type="containsBlanks" dxfId="3119" priority="3129">
      <formula>LEN(TRIM(AH114))=0</formula>
    </cfRule>
    <cfRule type="containsBlanks" dxfId="3118" priority="3130">
      <formula>LEN(TRIM(AH114))=0</formula>
    </cfRule>
    <cfRule type="containsBlanks" dxfId="3117" priority="3131">
      <formula>LEN(TRIM(AH114))=0</formula>
    </cfRule>
    <cfRule type="containsBlanks" dxfId="3116" priority="3132">
      <formula>LEN(TRIM(AH114))=0</formula>
    </cfRule>
    <cfRule type="containsBlanks" dxfId="3115" priority="3133">
      <formula>LEN(TRIM(AH114))=0</formula>
    </cfRule>
    <cfRule type="containsBlanks" dxfId="3114" priority="3134">
      <formula>LEN(TRIM(AH114))=0</formula>
    </cfRule>
    <cfRule type="containsBlanks" dxfId="3113" priority="3135">
      <formula>LEN(TRIM(AH114))=0</formula>
    </cfRule>
    <cfRule type="containsBlanks" dxfId="3112" priority="3136">
      <formula>LEN(TRIM(AH114))=0</formula>
    </cfRule>
    <cfRule type="containsBlanks" dxfId="3111" priority="3137">
      <formula>LEN(TRIM(AH114))=0</formula>
    </cfRule>
    <cfRule type="containsBlanks" dxfId="3110" priority="3138">
      <formula>LEN(TRIM(AH114))=0</formula>
    </cfRule>
    <cfRule type="containsBlanks" dxfId="3109" priority="3139">
      <formula>LEN(TRIM(AH114))=0</formula>
    </cfRule>
    <cfRule type="containsBlanks" dxfId="3108" priority="3140">
      <formula>LEN(TRIM(AH114))=0</formula>
    </cfRule>
    <cfRule type="containsBlanks" dxfId="3107" priority="3141">
      <formula>LEN(TRIM(AH114))=0</formula>
    </cfRule>
    <cfRule type="containsBlanks" dxfId="3106" priority="3142">
      <formula>LEN(TRIM(AH114))=0</formula>
    </cfRule>
    <cfRule type="containsBlanks" dxfId="3105" priority="3143">
      <formula>LEN(TRIM(AH114))=0</formula>
    </cfRule>
    <cfRule type="containsBlanks" dxfId="3104" priority="3144">
      <formula>LEN(TRIM(AH114))=0</formula>
    </cfRule>
    <cfRule type="containsBlanks" dxfId="3103" priority="3145">
      <formula>LEN(TRIM(AH114))=0</formula>
    </cfRule>
    <cfRule type="containsBlanks" dxfId="3102" priority="3146">
      <formula>LEN(TRIM(AH114))=0</formula>
    </cfRule>
    <cfRule type="containsBlanks" dxfId="3101" priority="3147">
      <formula>LEN(TRIM(AH114))=0</formula>
    </cfRule>
    <cfRule type="containsBlanks" dxfId="3100" priority="3148">
      <formula>LEN(TRIM(AH114))=0</formula>
    </cfRule>
    <cfRule type="containsBlanks" dxfId="3099" priority="3149">
      <formula>LEN(TRIM(AH114))=0</formula>
    </cfRule>
    <cfRule type="containsBlanks" dxfId="3098" priority="3150">
      <formula>LEN(TRIM(AH114))=0</formula>
    </cfRule>
    <cfRule type="containsBlanks" dxfId="3097" priority="3151">
      <formula>LEN(TRIM(AH114))=0</formula>
    </cfRule>
    <cfRule type="containsBlanks" dxfId="3096" priority="3152">
      <formula>LEN(TRIM(AH114))=0</formula>
    </cfRule>
    <cfRule type="containsBlanks" dxfId="3095" priority="3153">
      <formula>LEN(TRIM(AH114))=0</formula>
    </cfRule>
    <cfRule type="containsBlanks" dxfId="3094" priority="3154">
      <formula>LEN(TRIM(AH114))=0</formula>
    </cfRule>
    <cfRule type="containsBlanks" dxfId="3093" priority="3155">
      <formula>LEN(TRIM(AH114))=0</formula>
    </cfRule>
    <cfRule type="containsBlanks" dxfId="3092" priority="3156">
      <formula>LEN(TRIM(AH114))=0</formula>
    </cfRule>
    <cfRule type="containsBlanks" dxfId="3091" priority="3157">
      <formula>LEN(TRIM(AH114))=0</formula>
    </cfRule>
    <cfRule type="containsBlanks" dxfId="3090" priority="3158">
      <formula>LEN(TRIM(AH114))=0</formula>
    </cfRule>
    <cfRule type="containsBlanks" dxfId="3089" priority="3159">
      <formula>LEN(TRIM(AH114))=0</formula>
    </cfRule>
    <cfRule type="containsBlanks" dxfId="3088" priority="3160">
      <formula>LEN(TRIM(AH114))=0</formula>
    </cfRule>
    <cfRule type="containsBlanks" dxfId="3087" priority="3161">
      <formula>LEN(TRIM(AH114))=0</formula>
    </cfRule>
    <cfRule type="containsBlanks" dxfId="3086" priority="3162">
      <formula>LEN(TRIM(AH114))=0</formula>
    </cfRule>
    <cfRule type="containsBlanks" dxfId="3085" priority="3163">
      <formula>LEN(TRIM(AH114))=0</formula>
    </cfRule>
    <cfRule type="containsBlanks" dxfId="3084" priority="3164">
      <formula>LEN(TRIM(AH114))=0</formula>
    </cfRule>
    <cfRule type="containsBlanks" dxfId="3083" priority="3165">
      <formula>LEN(TRIM(AH114))=0</formula>
    </cfRule>
    <cfRule type="containsBlanks" dxfId="3082" priority="3166">
      <formula>LEN(TRIM(AH114))=0</formula>
    </cfRule>
  </conditionalFormatting>
  <conditionalFormatting sqref="AH116:AH117">
    <cfRule type="containsBlanks" dxfId="3081" priority="3082">
      <formula>LEN(TRIM(AH116))=0</formula>
    </cfRule>
  </conditionalFormatting>
  <conditionalFormatting sqref="AH116:AH117">
    <cfRule type="containsBlanks" dxfId="3080" priority="3081">
      <formula>LEN(TRIM(AH116))=0</formula>
    </cfRule>
  </conditionalFormatting>
  <conditionalFormatting sqref="AH116:AH117">
    <cfRule type="containsBlanks" dxfId="3079" priority="3079">
      <formula>LEN(TRIM(AH116))=0</formula>
    </cfRule>
    <cfRule type="containsBlanks" dxfId="3078" priority="3080">
      <formula>LEN(TRIM(AH116))=0</formula>
    </cfRule>
  </conditionalFormatting>
  <conditionalFormatting sqref="AH116:AH117">
    <cfRule type="containsBlanks" dxfId="3077" priority="3078">
      <formula>LEN(TRIM(AH116))=0</formula>
    </cfRule>
  </conditionalFormatting>
  <conditionalFormatting sqref="AH116:AH117">
    <cfRule type="containsBlanks" dxfId="3076" priority="3077">
      <formula>LEN(TRIM(AH116))=0</formula>
    </cfRule>
  </conditionalFormatting>
  <conditionalFormatting sqref="AH116:AH117">
    <cfRule type="containsBlanks" dxfId="3075" priority="3076">
      <formula>LEN(TRIM(AH116))=0</formula>
    </cfRule>
  </conditionalFormatting>
  <conditionalFormatting sqref="AH116:AH117">
    <cfRule type="containsBlanks" dxfId="3074" priority="3074">
      <formula>LEN(TRIM(AH116))=0</formula>
    </cfRule>
    <cfRule type="containsBlanks" dxfId="3073" priority="3075">
      <formula>LEN(TRIM(AH116))=0</formula>
    </cfRule>
  </conditionalFormatting>
  <conditionalFormatting sqref="AH116:AH117">
    <cfRule type="containsBlanks" dxfId="3072" priority="3072">
      <formula>LEN(TRIM(AH116))=0</formula>
    </cfRule>
    <cfRule type="containsBlanks" dxfId="3071" priority="3073">
      <formula>LEN(TRIM(AH116))=0</formula>
    </cfRule>
  </conditionalFormatting>
  <conditionalFormatting sqref="AH116:AH117">
    <cfRule type="containsBlanks" dxfId="3070" priority="3070">
      <formula>LEN(TRIM(AH116))=0</formula>
    </cfRule>
    <cfRule type="containsBlanks" dxfId="3069" priority="3071">
      <formula>LEN(TRIM(AH116))=0</formula>
    </cfRule>
  </conditionalFormatting>
  <conditionalFormatting sqref="AH116:AH117">
    <cfRule type="containsBlanks" dxfId="3068" priority="3068">
      <formula>LEN(TRIM(AH116))=0</formula>
    </cfRule>
    <cfRule type="containsBlanks" dxfId="3067" priority="3069">
      <formula>LEN(TRIM(AH116))=0</formula>
    </cfRule>
  </conditionalFormatting>
  <conditionalFormatting sqref="AH116:AH117">
    <cfRule type="containsBlanks" dxfId="3066" priority="3002">
      <formula>LEN(TRIM(AH116))=0</formula>
    </cfRule>
    <cfRule type="containsBlanks" dxfId="3065" priority="3003">
      <formula>LEN(TRIM(AH116))=0</formula>
    </cfRule>
    <cfRule type="containsBlanks" dxfId="3064" priority="3004">
      <formula>LEN(TRIM(AH116))=0</formula>
    </cfRule>
    <cfRule type="containsBlanks" dxfId="3063" priority="3005">
      <formula>LEN(TRIM(AH116))=0</formula>
    </cfRule>
    <cfRule type="containsBlanks" dxfId="3062" priority="3006">
      <formula>LEN(TRIM(AH116))=0</formula>
    </cfRule>
    <cfRule type="containsBlanks" dxfId="3061" priority="3007">
      <formula>LEN(TRIM(AH116))=0</formula>
    </cfRule>
    <cfRule type="containsBlanks" dxfId="3060" priority="3008">
      <formula>LEN(TRIM(AH116))=0</formula>
    </cfRule>
    <cfRule type="containsBlanks" dxfId="3059" priority="3009">
      <formula>LEN(TRIM(AH116))=0</formula>
    </cfRule>
    <cfRule type="containsBlanks" dxfId="3058" priority="3010">
      <formula>LEN(TRIM(AH116))=0</formula>
    </cfRule>
    <cfRule type="containsBlanks" dxfId="3057" priority="3011">
      <formula>LEN(TRIM(AH116))=0</formula>
    </cfRule>
    <cfRule type="containsBlanks" dxfId="3056" priority="3012">
      <formula>LEN(TRIM(AH116))=0</formula>
    </cfRule>
    <cfRule type="containsBlanks" dxfId="3055" priority="3013">
      <formula>LEN(TRIM(AH116))=0</formula>
    </cfRule>
    <cfRule type="containsBlanks" dxfId="3054" priority="3014">
      <formula>LEN(TRIM(AH116))=0</formula>
    </cfRule>
    <cfRule type="containsBlanks" dxfId="3053" priority="3015">
      <formula>LEN(TRIM(AH116))=0</formula>
    </cfRule>
    <cfRule type="containsBlanks" dxfId="3052" priority="3016">
      <formula>LEN(TRIM(AH116))=0</formula>
    </cfRule>
    <cfRule type="containsBlanks" dxfId="3051" priority="3017">
      <formula>LEN(TRIM(AH116))=0</formula>
    </cfRule>
    <cfRule type="containsBlanks" dxfId="3050" priority="3018">
      <formula>LEN(TRIM(AH116))=0</formula>
    </cfRule>
    <cfRule type="containsBlanks" dxfId="3049" priority="3019">
      <formula>LEN(TRIM(AH116))=0</formula>
    </cfRule>
    <cfRule type="containsBlanks" dxfId="3048" priority="3020">
      <formula>LEN(TRIM(AH116))=0</formula>
    </cfRule>
    <cfRule type="containsBlanks" dxfId="3047" priority="3021">
      <formula>LEN(TRIM(AH116))=0</formula>
    </cfRule>
    <cfRule type="containsBlanks" dxfId="3046" priority="3022">
      <formula>LEN(TRIM(AH116))=0</formula>
    </cfRule>
    <cfRule type="containsBlanks" dxfId="3045" priority="3023">
      <formula>LEN(TRIM(AH116))=0</formula>
    </cfRule>
    <cfRule type="containsBlanks" dxfId="3044" priority="3024">
      <formula>LEN(TRIM(AH116))=0</formula>
    </cfRule>
    <cfRule type="containsBlanks" dxfId="3043" priority="3025">
      <formula>LEN(TRIM(AH116))=0</formula>
    </cfRule>
    <cfRule type="containsBlanks" dxfId="3042" priority="3026">
      <formula>LEN(TRIM(AH116))=0</formula>
    </cfRule>
    <cfRule type="containsBlanks" dxfId="3041" priority="3027">
      <formula>LEN(TRIM(AH116))=0</formula>
    </cfRule>
    <cfRule type="containsBlanks" dxfId="3040" priority="3028">
      <formula>LEN(TRIM(AH116))=0</formula>
    </cfRule>
    <cfRule type="containsBlanks" dxfId="3039" priority="3029">
      <formula>LEN(TRIM(AH116))=0</formula>
    </cfRule>
    <cfRule type="containsBlanks" dxfId="3038" priority="3030">
      <formula>LEN(TRIM(AH116))=0</formula>
    </cfRule>
    <cfRule type="containsBlanks" dxfId="3037" priority="3031">
      <formula>LEN(TRIM(AH116))=0</formula>
    </cfRule>
    <cfRule type="containsBlanks" dxfId="3036" priority="3032">
      <formula>LEN(TRIM(AH116))=0</formula>
    </cfRule>
    <cfRule type="containsBlanks" dxfId="3035" priority="3033">
      <formula>LEN(TRIM(AH116))=0</formula>
    </cfRule>
    <cfRule type="containsBlanks" dxfId="3034" priority="3034">
      <formula>LEN(TRIM(AH116))=0</formula>
    </cfRule>
    <cfRule type="containsBlanks" dxfId="3033" priority="3035">
      <formula>LEN(TRIM(AH116))=0</formula>
    </cfRule>
    <cfRule type="containsBlanks" dxfId="3032" priority="3036">
      <formula>LEN(TRIM(AH116))=0</formula>
    </cfRule>
    <cfRule type="containsBlanks" dxfId="3031" priority="3037">
      <formula>LEN(TRIM(AH116))=0</formula>
    </cfRule>
    <cfRule type="containsBlanks" dxfId="3030" priority="3038">
      <formula>LEN(TRIM(AH116))=0</formula>
    </cfRule>
    <cfRule type="containsBlanks" dxfId="3029" priority="3039">
      <formula>LEN(TRIM(AH116))=0</formula>
    </cfRule>
    <cfRule type="containsBlanks" dxfId="3028" priority="3040">
      <formula>LEN(TRIM(AH116))=0</formula>
    </cfRule>
    <cfRule type="containsBlanks" dxfId="3027" priority="3041">
      <formula>LEN(TRIM(AH116))=0</formula>
    </cfRule>
    <cfRule type="containsBlanks" dxfId="3026" priority="3042">
      <formula>LEN(TRIM(AH116))=0</formula>
    </cfRule>
    <cfRule type="containsBlanks" dxfId="3025" priority="3043">
      <formula>LEN(TRIM(AH116))=0</formula>
    </cfRule>
    <cfRule type="containsBlanks" dxfId="3024" priority="3044">
      <formula>LEN(TRIM(AH116))=0</formula>
    </cfRule>
    <cfRule type="containsBlanks" dxfId="3023" priority="3045">
      <formula>LEN(TRIM(AH116))=0</formula>
    </cfRule>
    <cfRule type="containsBlanks" dxfId="3022" priority="3046">
      <formula>LEN(TRIM(AH116))=0</formula>
    </cfRule>
    <cfRule type="containsBlanks" dxfId="3021" priority="3047">
      <formula>LEN(TRIM(AH116))=0</formula>
    </cfRule>
    <cfRule type="containsBlanks" dxfId="3020" priority="3048">
      <formula>LEN(TRIM(AH116))=0</formula>
    </cfRule>
    <cfRule type="containsBlanks" dxfId="3019" priority="3049">
      <formula>LEN(TRIM(AH116))=0</formula>
    </cfRule>
    <cfRule type="containsBlanks" dxfId="3018" priority="3050">
      <formula>LEN(TRIM(AH116))=0</formula>
    </cfRule>
    <cfRule type="containsBlanks" dxfId="3017" priority="3051">
      <formula>LEN(TRIM(AH116))=0</formula>
    </cfRule>
    <cfRule type="containsBlanks" dxfId="3016" priority="3052">
      <formula>LEN(TRIM(AH116))=0</formula>
    </cfRule>
    <cfRule type="containsBlanks" dxfId="3015" priority="3053">
      <formula>LEN(TRIM(AH116))=0</formula>
    </cfRule>
    <cfRule type="containsBlanks" dxfId="3014" priority="3054">
      <formula>LEN(TRIM(AH116))=0</formula>
    </cfRule>
    <cfRule type="containsBlanks" dxfId="3013" priority="3055">
      <formula>LEN(TRIM(AH116))=0</formula>
    </cfRule>
    <cfRule type="containsBlanks" dxfId="3012" priority="3056">
      <formula>LEN(TRIM(AH116))=0</formula>
    </cfRule>
    <cfRule type="containsBlanks" dxfId="3011" priority="3057">
      <formula>LEN(TRIM(AH116))=0</formula>
    </cfRule>
    <cfRule type="containsBlanks" dxfId="3010" priority="3058">
      <formula>LEN(TRIM(AH116))=0</formula>
    </cfRule>
    <cfRule type="containsBlanks" dxfId="3009" priority="3059">
      <formula>LEN(TRIM(AH116))=0</formula>
    </cfRule>
    <cfRule type="containsBlanks" dxfId="3008" priority="3060">
      <formula>LEN(TRIM(AH116))=0</formula>
    </cfRule>
    <cfRule type="containsBlanks" dxfId="3007" priority="3061">
      <formula>LEN(TRIM(AH116))=0</formula>
    </cfRule>
    <cfRule type="containsBlanks" dxfId="3006" priority="3062">
      <formula>LEN(TRIM(AH116))=0</formula>
    </cfRule>
    <cfRule type="containsBlanks" dxfId="3005" priority="3063">
      <formula>LEN(TRIM(AH116))=0</formula>
    </cfRule>
    <cfRule type="containsBlanks" dxfId="3004" priority="3064">
      <formula>LEN(TRIM(AH116))=0</formula>
    </cfRule>
    <cfRule type="containsBlanks" dxfId="3003" priority="3065">
      <formula>LEN(TRIM(AH116))=0</formula>
    </cfRule>
    <cfRule type="containsBlanks" dxfId="3002" priority="3066">
      <formula>LEN(TRIM(AH116))=0</formula>
    </cfRule>
    <cfRule type="containsBlanks" dxfId="3001" priority="3067">
      <formula>LEN(TRIM(AH116))=0</formula>
    </cfRule>
  </conditionalFormatting>
  <conditionalFormatting sqref="AH116:AH117">
    <cfRule type="containsBlanks" dxfId="3000" priority="2947">
      <formula>LEN(TRIM(AH116))=0</formula>
    </cfRule>
    <cfRule type="containsBlanks" dxfId="2999" priority="2948">
      <formula>LEN(TRIM(AH116))=0</formula>
    </cfRule>
    <cfRule type="containsBlanks" dxfId="2998" priority="2949">
      <formula>LEN(TRIM(AH116))=0</formula>
    </cfRule>
    <cfRule type="containsBlanks" dxfId="2997" priority="2950">
      <formula>LEN(TRIM(AH116))=0</formula>
    </cfRule>
    <cfRule type="containsBlanks" dxfId="2996" priority="2951">
      <formula>LEN(TRIM(AH116))=0</formula>
    </cfRule>
    <cfRule type="containsBlanks" dxfId="2995" priority="2952">
      <formula>LEN(TRIM(AH116))=0</formula>
    </cfRule>
    <cfRule type="containsBlanks" dxfId="2994" priority="2953">
      <formula>LEN(TRIM(AH116))=0</formula>
    </cfRule>
    <cfRule type="containsBlanks" dxfId="2993" priority="2954">
      <formula>LEN(TRIM(AH116))=0</formula>
    </cfRule>
    <cfRule type="containsBlanks" dxfId="2992" priority="2955">
      <formula>LEN(TRIM(AH116))=0</formula>
    </cfRule>
    <cfRule type="containsBlanks" dxfId="2991" priority="2956">
      <formula>LEN(TRIM(AH116))=0</formula>
    </cfRule>
    <cfRule type="containsBlanks" dxfId="2990" priority="2957">
      <formula>LEN(TRIM(AH116))=0</formula>
    </cfRule>
    <cfRule type="containsBlanks" dxfId="2989" priority="2958">
      <formula>LEN(TRIM(AH116))=0</formula>
    </cfRule>
    <cfRule type="containsBlanks" dxfId="2988" priority="2959">
      <formula>LEN(TRIM(AH116))=0</formula>
    </cfRule>
    <cfRule type="containsBlanks" dxfId="2987" priority="2960">
      <formula>LEN(TRIM(AH116))=0</formula>
    </cfRule>
    <cfRule type="containsBlanks" dxfId="2986" priority="2961">
      <formula>LEN(TRIM(AH116))=0</formula>
    </cfRule>
    <cfRule type="containsBlanks" dxfId="2985" priority="2962">
      <formula>LEN(TRIM(AH116))=0</formula>
    </cfRule>
    <cfRule type="containsBlanks" dxfId="2984" priority="2963">
      <formula>LEN(TRIM(AH116))=0</formula>
    </cfRule>
    <cfRule type="containsBlanks" dxfId="2983" priority="2964">
      <formula>LEN(TRIM(AH116))=0</formula>
    </cfRule>
    <cfRule type="containsBlanks" dxfId="2982" priority="2965">
      <formula>LEN(TRIM(AH116))=0</formula>
    </cfRule>
    <cfRule type="containsBlanks" dxfId="2981" priority="2966">
      <formula>LEN(TRIM(AH116))=0</formula>
    </cfRule>
    <cfRule type="containsBlanks" dxfId="2980" priority="2967">
      <formula>LEN(TRIM(AH116))=0</formula>
    </cfRule>
    <cfRule type="containsBlanks" dxfId="2979" priority="2968">
      <formula>LEN(TRIM(AH116))=0</formula>
    </cfRule>
    <cfRule type="containsBlanks" dxfId="2978" priority="2969">
      <formula>LEN(TRIM(AH116))=0</formula>
    </cfRule>
    <cfRule type="containsBlanks" dxfId="2977" priority="2970">
      <formula>LEN(TRIM(AH116))=0</formula>
    </cfRule>
    <cfRule type="containsBlanks" dxfId="2976" priority="2971">
      <formula>LEN(TRIM(AH116))=0</formula>
    </cfRule>
    <cfRule type="containsBlanks" dxfId="2975" priority="2972">
      <formula>LEN(TRIM(AH116))=0</formula>
    </cfRule>
    <cfRule type="containsBlanks" dxfId="2974" priority="2973">
      <formula>LEN(TRIM(AH116))=0</formula>
    </cfRule>
    <cfRule type="containsBlanks" dxfId="2973" priority="2974">
      <formula>LEN(TRIM(AH116))=0</formula>
    </cfRule>
    <cfRule type="containsBlanks" dxfId="2972" priority="2975">
      <formula>LEN(TRIM(AH116))=0</formula>
    </cfRule>
    <cfRule type="containsBlanks" dxfId="2971" priority="2976">
      <formula>LEN(TRIM(AH116))=0</formula>
    </cfRule>
    <cfRule type="containsBlanks" dxfId="2970" priority="2977">
      <formula>LEN(TRIM(AH116))=0</formula>
    </cfRule>
    <cfRule type="containsBlanks" dxfId="2969" priority="2978">
      <formula>LEN(TRIM(AH116))=0</formula>
    </cfRule>
    <cfRule type="containsBlanks" dxfId="2968" priority="2979">
      <formula>LEN(TRIM(AH116))=0</formula>
    </cfRule>
    <cfRule type="containsBlanks" dxfId="2967" priority="2980">
      <formula>LEN(TRIM(AH116))=0</formula>
    </cfRule>
    <cfRule type="containsBlanks" dxfId="2966" priority="2981">
      <formula>LEN(TRIM(AH116))=0</formula>
    </cfRule>
    <cfRule type="containsBlanks" dxfId="2965" priority="2982">
      <formula>LEN(TRIM(AH116))=0</formula>
    </cfRule>
    <cfRule type="containsBlanks" dxfId="2964" priority="2983">
      <formula>LEN(TRIM(AH116))=0</formula>
    </cfRule>
    <cfRule type="containsBlanks" dxfId="2963" priority="2984">
      <formula>LEN(TRIM(AH116))=0</formula>
    </cfRule>
    <cfRule type="containsBlanks" dxfId="2962" priority="2985">
      <formula>LEN(TRIM(AH116))=0</formula>
    </cfRule>
    <cfRule type="containsBlanks" dxfId="2961" priority="2986">
      <formula>LEN(TRIM(AH116))=0</formula>
    </cfRule>
    <cfRule type="containsBlanks" dxfId="2960" priority="2987">
      <formula>LEN(TRIM(AH116))=0</formula>
    </cfRule>
    <cfRule type="containsBlanks" dxfId="2959" priority="2988">
      <formula>LEN(TRIM(AH116))=0</formula>
    </cfRule>
    <cfRule type="containsBlanks" dxfId="2958" priority="2989">
      <formula>LEN(TRIM(AH116))=0</formula>
    </cfRule>
    <cfRule type="containsBlanks" dxfId="2957" priority="2990">
      <formula>LEN(TRIM(AH116))=0</formula>
    </cfRule>
    <cfRule type="containsBlanks" dxfId="2956" priority="2991">
      <formula>LEN(TRIM(AH116))=0</formula>
    </cfRule>
    <cfRule type="containsBlanks" dxfId="2955" priority="2992">
      <formula>LEN(TRIM(AH116))=0</formula>
    </cfRule>
    <cfRule type="containsBlanks" dxfId="2954" priority="2993">
      <formula>LEN(TRIM(AH116))=0</formula>
    </cfRule>
    <cfRule type="containsBlanks" dxfId="2953" priority="2994">
      <formula>LEN(TRIM(AH116))=0</formula>
    </cfRule>
    <cfRule type="containsBlanks" dxfId="2952" priority="2995">
      <formula>LEN(TRIM(AH116))=0</formula>
    </cfRule>
    <cfRule type="containsBlanks" dxfId="2951" priority="2996">
      <formula>LEN(TRIM(AH116))=0</formula>
    </cfRule>
    <cfRule type="containsBlanks" dxfId="2950" priority="2997">
      <formula>LEN(TRIM(AH116))=0</formula>
    </cfRule>
    <cfRule type="containsBlanks" dxfId="2949" priority="2998">
      <formula>LEN(TRIM(AH116))=0</formula>
    </cfRule>
    <cfRule type="containsBlanks" dxfId="2948" priority="2999">
      <formula>LEN(TRIM(AH116))=0</formula>
    </cfRule>
    <cfRule type="containsBlanks" dxfId="2947" priority="3000">
      <formula>LEN(TRIM(AH116))=0</formula>
    </cfRule>
    <cfRule type="containsBlanks" dxfId="2946" priority="3001">
      <formula>LEN(TRIM(AH116))=0</formula>
    </cfRule>
  </conditionalFormatting>
  <conditionalFormatting sqref="AH116:AH117">
    <cfRule type="containsBlanks" dxfId="2945" priority="2863">
      <formula>LEN(TRIM(AH116))=0</formula>
    </cfRule>
    <cfRule type="containsBlanks" dxfId="2944" priority="2864">
      <formula>LEN(TRIM(AH116))=0</formula>
    </cfRule>
    <cfRule type="containsBlanks" dxfId="2943" priority="2865">
      <formula>LEN(TRIM(AH116))=0</formula>
    </cfRule>
    <cfRule type="containsBlanks" dxfId="2942" priority="2866">
      <formula>LEN(TRIM(AH116))=0</formula>
    </cfRule>
    <cfRule type="containsBlanks" dxfId="2941" priority="2867">
      <formula>LEN(TRIM(AH116))=0</formula>
    </cfRule>
    <cfRule type="containsBlanks" dxfId="2940" priority="2868">
      <formula>LEN(TRIM(AH116))=0</formula>
    </cfRule>
    <cfRule type="containsBlanks" dxfId="2939" priority="2869">
      <formula>LEN(TRIM(AH116))=0</formula>
    </cfRule>
    <cfRule type="containsBlanks" dxfId="2938" priority="2870">
      <formula>LEN(TRIM(AH116))=0</formula>
    </cfRule>
    <cfRule type="containsBlanks" dxfId="2937" priority="2871">
      <formula>LEN(TRIM(AH116))=0</formula>
    </cfRule>
    <cfRule type="containsBlanks" dxfId="2936" priority="2872">
      <formula>LEN(TRIM(AH116))=0</formula>
    </cfRule>
    <cfRule type="containsBlanks" dxfId="2935" priority="2873">
      <formula>LEN(TRIM(AH116))=0</formula>
    </cfRule>
    <cfRule type="containsBlanks" dxfId="2934" priority="2874">
      <formula>LEN(TRIM(AH116))=0</formula>
    </cfRule>
    <cfRule type="containsBlanks" dxfId="2933" priority="2875">
      <formula>LEN(TRIM(AH116))=0</formula>
    </cfRule>
    <cfRule type="containsBlanks" dxfId="2932" priority="2876">
      <formula>LEN(TRIM(AH116))=0</formula>
    </cfRule>
    <cfRule type="containsBlanks" dxfId="2931" priority="2877">
      <formula>LEN(TRIM(AH116))=0</formula>
    </cfRule>
    <cfRule type="containsBlanks" dxfId="2930" priority="2878">
      <formula>LEN(TRIM(AH116))=0</formula>
    </cfRule>
    <cfRule type="containsBlanks" dxfId="2929" priority="2879">
      <formula>LEN(TRIM(AH116))=0</formula>
    </cfRule>
    <cfRule type="containsBlanks" dxfId="2928" priority="2880">
      <formula>LEN(TRIM(AH116))=0</formula>
    </cfRule>
    <cfRule type="containsBlanks" dxfId="2927" priority="2881">
      <formula>LEN(TRIM(AH116))=0</formula>
    </cfRule>
    <cfRule type="containsBlanks" dxfId="2926" priority="2882">
      <formula>LEN(TRIM(AH116))=0</formula>
    </cfRule>
    <cfRule type="containsBlanks" dxfId="2925" priority="2883">
      <formula>LEN(TRIM(AH116))=0</formula>
    </cfRule>
    <cfRule type="containsBlanks" dxfId="2924" priority="2884">
      <formula>LEN(TRIM(AH116))=0</formula>
    </cfRule>
    <cfRule type="containsBlanks" dxfId="2923" priority="2885">
      <formula>LEN(TRIM(AH116))=0</formula>
    </cfRule>
    <cfRule type="containsBlanks" dxfId="2922" priority="2886">
      <formula>LEN(TRIM(AH116))=0</formula>
    </cfRule>
    <cfRule type="containsBlanks" dxfId="2921" priority="2887">
      <formula>LEN(TRIM(AH116))=0</formula>
    </cfRule>
    <cfRule type="containsBlanks" dxfId="2920" priority="2888">
      <formula>LEN(TRIM(AH116))=0</formula>
    </cfRule>
    <cfRule type="containsBlanks" dxfId="2919" priority="2889">
      <formula>LEN(TRIM(AH116))=0</formula>
    </cfRule>
    <cfRule type="containsBlanks" dxfId="2918" priority="2890">
      <formula>LEN(TRIM(AH116))=0</formula>
    </cfRule>
    <cfRule type="containsBlanks" dxfId="2917" priority="2891">
      <formula>LEN(TRIM(AH116))=0</formula>
    </cfRule>
    <cfRule type="containsBlanks" dxfId="2916" priority="2892">
      <formula>LEN(TRIM(AH116))=0</formula>
    </cfRule>
    <cfRule type="containsBlanks" dxfId="2915" priority="2893">
      <formula>LEN(TRIM(AH116))=0</formula>
    </cfRule>
    <cfRule type="containsBlanks" dxfId="2914" priority="2894">
      <formula>LEN(TRIM(AH116))=0</formula>
    </cfRule>
    <cfRule type="containsBlanks" dxfId="2913" priority="2895">
      <formula>LEN(TRIM(AH116))=0</formula>
    </cfRule>
    <cfRule type="containsBlanks" dxfId="2912" priority="2896">
      <formula>LEN(TRIM(AH116))=0</formula>
    </cfRule>
    <cfRule type="containsBlanks" dxfId="2911" priority="2897">
      <formula>LEN(TRIM(AH116))=0</formula>
    </cfRule>
    <cfRule type="containsBlanks" dxfId="2910" priority="2898">
      <formula>LEN(TRIM(AH116))=0</formula>
    </cfRule>
    <cfRule type="containsBlanks" dxfId="2909" priority="2899">
      <formula>LEN(TRIM(AH116))=0</formula>
    </cfRule>
    <cfRule type="containsBlanks" dxfId="2908" priority="2900">
      <formula>LEN(TRIM(AH116))=0</formula>
    </cfRule>
    <cfRule type="containsBlanks" dxfId="2907" priority="2901">
      <formula>LEN(TRIM(AH116))=0</formula>
    </cfRule>
    <cfRule type="containsBlanks" dxfId="2906" priority="2902">
      <formula>LEN(TRIM(AH116))=0</formula>
    </cfRule>
    <cfRule type="containsBlanks" dxfId="2905" priority="2903">
      <formula>LEN(TRIM(AH116))=0</formula>
    </cfRule>
    <cfRule type="containsBlanks" dxfId="2904" priority="2904">
      <formula>LEN(TRIM(AH116))=0</formula>
    </cfRule>
    <cfRule type="containsBlanks" dxfId="2903" priority="2905">
      <formula>LEN(TRIM(AH116))=0</formula>
    </cfRule>
    <cfRule type="containsBlanks" dxfId="2902" priority="2906">
      <formula>LEN(TRIM(AH116))=0</formula>
    </cfRule>
    <cfRule type="containsBlanks" dxfId="2901" priority="2907">
      <formula>LEN(TRIM(AH116))=0</formula>
    </cfRule>
    <cfRule type="containsBlanks" dxfId="2900" priority="2908">
      <formula>LEN(TRIM(AH116))=0</formula>
    </cfRule>
    <cfRule type="containsBlanks" dxfId="2899" priority="2909">
      <formula>LEN(TRIM(AH116))=0</formula>
    </cfRule>
    <cfRule type="containsBlanks" dxfId="2898" priority="2910">
      <formula>LEN(TRIM(AH116))=0</formula>
    </cfRule>
    <cfRule type="containsBlanks" dxfId="2897" priority="2911">
      <formula>LEN(TRIM(AH116))=0</formula>
    </cfRule>
    <cfRule type="containsBlanks" dxfId="2896" priority="2912">
      <formula>LEN(TRIM(AH116))=0</formula>
    </cfRule>
    <cfRule type="containsBlanks" dxfId="2895" priority="2913">
      <formula>LEN(TRIM(AH116))=0</formula>
    </cfRule>
    <cfRule type="containsBlanks" dxfId="2894" priority="2914">
      <formula>LEN(TRIM(AH116))=0</formula>
    </cfRule>
    <cfRule type="containsBlanks" dxfId="2893" priority="2915">
      <formula>LEN(TRIM(AH116))=0</formula>
    </cfRule>
    <cfRule type="containsBlanks" dxfId="2892" priority="2916">
      <formula>LEN(TRIM(AH116))=0</formula>
    </cfRule>
    <cfRule type="containsBlanks" dxfId="2891" priority="2917">
      <formula>LEN(TRIM(AH116))=0</formula>
    </cfRule>
    <cfRule type="containsBlanks" dxfId="2890" priority="2918">
      <formula>LEN(TRIM(AH116))=0</formula>
    </cfRule>
    <cfRule type="containsBlanks" dxfId="2889" priority="2919">
      <formula>LEN(TRIM(AH116))=0</formula>
    </cfRule>
    <cfRule type="containsBlanks" dxfId="2888" priority="2920">
      <formula>LEN(TRIM(AH116))=0</formula>
    </cfRule>
    <cfRule type="containsBlanks" dxfId="2887" priority="2921">
      <formula>LEN(TRIM(AH116))=0</formula>
    </cfRule>
    <cfRule type="containsBlanks" dxfId="2886" priority="2922">
      <formula>LEN(TRIM(AH116))=0</formula>
    </cfRule>
    <cfRule type="containsBlanks" dxfId="2885" priority="2923">
      <formula>LEN(TRIM(AH116))=0</formula>
    </cfRule>
    <cfRule type="containsBlanks" dxfId="2884" priority="2924">
      <formula>LEN(TRIM(AH116))=0</formula>
    </cfRule>
    <cfRule type="containsBlanks" dxfId="2883" priority="2925">
      <formula>LEN(TRIM(AH116))=0</formula>
    </cfRule>
    <cfRule type="containsBlanks" dxfId="2882" priority="2926">
      <formula>LEN(TRIM(AH116))=0</formula>
    </cfRule>
    <cfRule type="containsBlanks" dxfId="2881" priority="2927">
      <formula>LEN(TRIM(AH116))=0</formula>
    </cfRule>
    <cfRule type="containsBlanks" dxfId="2880" priority="2928">
      <formula>LEN(TRIM(AH116))=0</formula>
    </cfRule>
    <cfRule type="containsBlanks" dxfId="2879" priority="2929">
      <formula>LEN(TRIM(AH116))=0</formula>
    </cfRule>
    <cfRule type="containsBlanks" dxfId="2878" priority="2930">
      <formula>LEN(TRIM(AH116))=0</formula>
    </cfRule>
    <cfRule type="containsBlanks" dxfId="2877" priority="2931">
      <formula>LEN(TRIM(AH116))=0</formula>
    </cfRule>
    <cfRule type="containsBlanks" dxfId="2876" priority="2932">
      <formula>LEN(TRIM(AH116))=0</formula>
    </cfRule>
    <cfRule type="containsBlanks" dxfId="2875" priority="2933">
      <formula>LEN(TRIM(AH116))=0</formula>
    </cfRule>
    <cfRule type="containsBlanks" dxfId="2874" priority="2934">
      <formula>LEN(TRIM(AH116))=0</formula>
    </cfRule>
    <cfRule type="containsBlanks" dxfId="2873" priority="2935">
      <formula>LEN(TRIM(AH116))=0</formula>
    </cfRule>
    <cfRule type="containsBlanks" dxfId="2872" priority="2936">
      <formula>LEN(TRIM(AH116))=0</formula>
    </cfRule>
    <cfRule type="containsBlanks" dxfId="2871" priority="2937">
      <formula>LEN(TRIM(AH116))=0</formula>
    </cfRule>
    <cfRule type="containsBlanks" dxfId="2870" priority="2938">
      <formula>LEN(TRIM(AH116))=0</formula>
    </cfRule>
    <cfRule type="containsBlanks" dxfId="2869" priority="2939">
      <formula>LEN(TRIM(AH116))=0</formula>
    </cfRule>
    <cfRule type="containsBlanks" dxfId="2868" priority="2940">
      <formula>LEN(TRIM(AH116))=0</formula>
    </cfRule>
    <cfRule type="containsBlanks" dxfId="2867" priority="2941">
      <formula>LEN(TRIM(AH116))=0</formula>
    </cfRule>
    <cfRule type="containsBlanks" dxfId="2866" priority="2942">
      <formula>LEN(TRIM(AH116))=0</formula>
    </cfRule>
    <cfRule type="containsBlanks" dxfId="2865" priority="2943">
      <formula>LEN(TRIM(AH116))=0</formula>
    </cfRule>
    <cfRule type="containsBlanks" dxfId="2864" priority="2944">
      <formula>LEN(TRIM(AH116))=0</formula>
    </cfRule>
    <cfRule type="containsBlanks" dxfId="2863" priority="2945">
      <formula>LEN(TRIM(AH116))=0</formula>
    </cfRule>
    <cfRule type="containsBlanks" dxfId="2862" priority="2946">
      <formula>LEN(TRIM(AH116))=0</formula>
    </cfRule>
  </conditionalFormatting>
  <conditionalFormatting sqref="AH120">
    <cfRule type="containsBlanks" dxfId="2861" priority="2862">
      <formula>LEN(TRIM(AH120))=0</formula>
    </cfRule>
  </conditionalFormatting>
  <conditionalFormatting sqref="AH120">
    <cfRule type="containsBlanks" dxfId="2860" priority="2861">
      <formula>LEN(TRIM(AH120))=0</formula>
    </cfRule>
  </conditionalFormatting>
  <conditionalFormatting sqref="AH120">
    <cfRule type="containsBlanks" dxfId="2859" priority="2859">
      <formula>LEN(TRIM(AH120))=0</formula>
    </cfRule>
    <cfRule type="containsBlanks" dxfId="2858" priority="2860">
      <formula>LEN(TRIM(AH120))=0</formula>
    </cfRule>
  </conditionalFormatting>
  <conditionalFormatting sqref="AH120">
    <cfRule type="containsBlanks" dxfId="2857" priority="2858">
      <formula>LEN(TRIM(AH120))=0</formula>
    </cfRule>
  </conditionalFormatting>
  <conditionalFormatting sqref="AH120">
    <cfRule type="containsBlanks" dxfId="2856" priority="2857">
      <formula>LEN(TRIM(AH120))=0</formula>
    </cfRule>
  </conditionalFormatting>
  <conditionalFormatting sqref="AH120">
    <cfRule type="containsBlanks" dxfId="2855" priority="2856">
      <formula>LEN(TRIM(AH120))=0</formula>
    </cfRule>
  </conditionalFormatting>
  <conditionalFormatting sqref="AH120">
    <cfRule type="containsBlanks" dxfId="2854" priority="2854">
      <formula>LEN(TRIM(AH120))=0</formula>
    </cfRule>
    <cfRule type="containsBlanks" dxfId="2853" priority="2855">
      <formula>LEN(TRIM(AH120))=0</formula>
    </cfRule>
  </conditionalFormatting>
  <conditionalFormatting sqref="AH120">
    <cfRule type="containsBlanks" dxfId="2852" priority="2852">
      <formula>LEN(TRIM(AH120))=0</formula>
    </cfRule>
    <cfRule type="containsBlanks" dxfId="2851" priority="2853">
      <formula>LEN(TRIM(AH120))=0</formula>
    </cfRule>
  </conditionalFormatting>
  <conditionalFormatting sqref="AH120">
    <cfRule type="containsBlanks" dxfId="2850" priority="2850">
      <formula>LEN(TRIM(AH120))=0</formula>
    </cfRule>
    <cfRule type="containsBlanks" dxfId="2849" priority="2851">
      <formula>LEN(TRIM(AH120))=0</formula>
    </cfRule>
  </conditionalFormatting>
  <conditionalFormatting sqref="AH120">
    <cfRule type="containsBlanks" dxfId="2848" priority="2848">
      <formula>LEN(TRIM(AH120))=0</formula>
    </cfRule>
    <cfRule type="containsBlanks" dxfId="2847" priority="2849">
      <formula>LEN(TRIM(AH120))=0</formula>
    </cfRule>
  </conditionalFormatting>
  <conditionalFormatting sqref="AH120">
    <cfRule type="containsBlanks" dxfId="2846" priority="2782">
      <formula>LEN(TRIM(AH120))=0</formula>
    </cfRule>
    <cfRule type="containsBlanks" dxfId="2845" priority="2783">
      <formula>LEN(TRIM(AH120))=0</formula>
    </cfRule>
    <cfRule type="containsBlanks" dxfId="2844" priority="2784">
      <formula>LEN(TRIM(AH120))=0</formula>
    </cfRule>
    <cfRule type="containsBlanks" dxfId="2843" priority="2785">
      <formula>LEN(TRIM(AH120))=0</formula>
    </cfRule>
    <cfRule type="containsBlanks" dxfId="2842" priority="2786">
      <formula>LEN(TRIM(AH120))=0</formula>
    </cfRule>
    <cfRule type="containsBlanks" dxfId="2841" priority="2787">
      <formula>LEN(TRIM(AH120))=0</formula>
    </cfRule>
    <cfRule type="containsBlanks" dxfId="2840" priority="2788">
      <formula>LEN(TRIM(AH120))=0</formula>
    </cfRule>
    <cfRule type="containsBlanks" dxfId="2839" priority="2789">
      <formula>LEN(TRIM(AH120))=0</formula>
    </cfRule>
    <cfRule type="containsBlanks" dxfId="2838" priority="2790">
      <formula>LEN(TRIM(AH120))=0</formula>
    </cfRule>
    <cfRule type="containsBlanks" dxfId="2837" priority="2791">
      <formula>LEN(TRIM(AH120))=0</formula>
    </cfRule>
    <cfRule type="containsBlanks" dxfId="2836" priority="2792">
      <formula>LEN(TRIM(AH120))=0</formula>
    </cfRule>
    <cfRule type="containsBlanks" dxfId="2835" priority="2793">
      <formula>LEN(TRIM(AH120))=0</formula>
    </cfRule>
    <cfRule type="containsBlanks" dxfId="2834" priority="2794">
      <formula>LEN(TRIM(AH120))=0</formula>
    </cfRule>
    <cfRule type="containsBlanks" dxfId="2833" priority="2795">
      <formula>LEN(TRIM(AH120))=0</formula>
    </cfRule>
    <cfRule type="containsBlanks" dxfId="2832" priority="2796">
      <formula>LEN(TRIM(AH120))=0</formula>
    </cfRule>
    <cfRule type="containsBlanks" dxfId="2831" priority="2797">
      <formula>LEN(TRIM(AH120))=0</formula>
    </cfRule>
    <cfRule type="containsBlanks" dxfId="2830" priority="2798">
      <formula>LEN(TRIM(AH120))=0</formula>
    </cfRule>
    <cfRule type="containsBlanks" dxfId="2829" priority="2799">
      <formula>LEN(TRIM(AH120))=0</formula>
    </cfRule>
    <cfRule type="containsBlanks" dxfId="2828" priority="2800">
      <formula>LEN(TRIM(AH120))=0</formula>
    </cfRule>
    <cfRule type="containsBlanks" dxfId="2827" priority="2801">
      <formula>LEN(TRIM(AH120))=0</formula>
    </cfRule>
    <cfRule type="containsBlanks" dxfId="2826" priority="2802">
      <formula>LEN(TRIM(AH120))=0</formula>
    </cfRule>
    <cfRule type="containsBlanks" dxfId="2825" priority="2803">
      <formula>LEN(TRIM(AH120))=0</formula>
    </cfRule>
    <cfRule type="containsBlanks" dxfId="2824" priority="2804">
      <formula>LEN(TRIM(AH120))=0</formula>
    </cfRule>
    <cfRule type="containsBlanks" dxfId="2823" priority="2805">
      <formula>LEN(TRIM(AH120))=0</formula>
    </cfRule>
    <cfRule type="containsBlanks" dxfId="2822" priority="2806">
      <formula>LEN(TRIM(AH120))=0</formula>
    </cfRule>
    <cfRule type="containsBlanks" dxfId="2821" priority="2807">
      <formula>LEN(TRIM(AH120))=0</formula>
    </cfRule>
    <cfRule type="containsBlanks" dxfId="2820" priority="2808">
      <formula>LEN(TRIM(AH120))=0</formula>
    </cfRule>
    <cfRule type="containsBlanks" dxfId="2819" priority="2809">
      <formula>LEN(TRIM(AH120))=0</formula>
    </cfRule>
    <cfRule type="containsBlanks" dxfId="2818" priority="2810">
      <formula>LEN(TRIM(AH120))=0</formula>
    </cfRule>
    <cfRule type="containsBlanks" dxfId="2817" priority="2811">
      <formula>LEN(TRIM(AH120))=0</formula>
    </cfRule>
    <cfRule type="containsBlanks" dxfId="2816" priority="2812">
      <formula>LEN(TRIM(AH120))=0</formula>
    </cfRule>
    <cfRule type="containsBlanks" dxfId="2815" priority="2813">
      <formula>LEN(TRIM(AH120))=0</formula>
    </cfRule>
    <cfRule type="containsBlanks" dxfId="2814" priority="2814">
      <formula>LEN(TRIM(AH120))=0</formula>
    </cfRule>
    <cfRule type="containsBlanks" dxfId="2813" priority="2815">
      <formula>LEN(TRIM(AH120))=0</formula>
    </cfRule>
    <cfRule type="containsBlanks" dxfId="2812" priority="2816">
      <formula>LEN(TRIM(AH120))=0</formula>
    </cfRule>
    <cfRule type="containsBlanks" dxfId="2811" priority="2817">
      <formula>LEN(TRIM(AH120))=0</formula>
    </cfRule>
    <cfRule type="containsBlanks" dxfId="2810" priority="2818">
      <formula>LEN(TRIM(AH120))=0</formula>
    </cfRule>
    <cfRule type="containsBlanks" dxfId="2809" priority="2819">
      <formula>LEN(TRIM(AH120))=0</formula>
    </cfRule>
    <cfRule type="containsBlanks" dxfId="2808" priority="2820">
      <formula>LEN(TRIM(AH120))=0</formula>
    </cfRule>
    <cfRule type="containsBlanks" dxfId="2807" priority="2821">
      <formula>LEN(TRIM(AH120))=0</formula>
    </cfRule>
    <cfRule type="containsBlanks" dxfId="2806" priority="2822">
      <formula>LEN(TRIM(AH120))=0</formula>
    </cfRule>
    <cfRule type="containsBlanks" dxfId="2805" priority="2823">
      <formula>LEN(TRIM(AH120))=0</formula>
    </cfRule>
    <cfRule type="containsBlanks" dxfId="2804" priority="2824">
      <formula>LEN(TRIM(AH120))=0</formula>
    </cfRule>
    <cfRule type="containsBlanks" dxfId="2803" priority="2825">
      <formula>LEN(TRIM(AH120))=0</formula>
    </cfRule>
    <cfRule type="containsBlanks" dxfId="2802" priority="2826">
      <formula>LEN(TRIM(AH120))=0</formula>
    </cfRule>
    <cfRule type="containsBlanks" dxfId="2801" priority="2827">
      <formula>LEN(TRIM(AH120))=0</formula>
    </cfRule>
    <cfRule type="containsBlanks" dxfId="2800" priority="2828">
      <formula>LEN(TRIM(AH120))=0</formula>
    </cfRule>
    <cfRule type="containsBlanks" dxfId="2799" priority="2829">
      <formula>LEN(TRIM(AH120))=0</formula>
    </cfRule>
    <cfRule type="containsBlanks" dxfId="2798" priority="2830">
      <formula>LEN(TRIM(AH120))=0</formula>
    </cfRule>
    <cfRule type="containsBlanks" dxfId="2797" priority="2831">
      <formula>LEN(TRIM(AH120))=0</formula>
    </cfRule>
    <cfRule type="containsBlanks" dxfId="2796" priority="2832">
      <formula>LEN(TRIM(AH120))=0</formula>
    </cfRule>
    <cfRule type="containsBlanks" dxfId="2795" priority="2833">
      <formula>LEN(TRIM(AH120))=0</formula>
    </cfRule>
    <cfRule type="containsBlanks" dxfId="2794" priority="2834">
      <formula>LEN(TRIM(AH120))=0</formula>
    </cfRule>
    <cfRule type="containsBlanks" dxfId="2793" priority="2835">
      <formula>LEN(TRIM(AH120))=0</formula>
    </cfRule>
    <cfRule type="containsBlanks" dxfId="2792" priority="2836">
      <formula>LEN(TRIM(AH120))=0</formula>
    </cfRule>
    <cfRule type="containsBlanks" dxfId="2791" priority="2837">
      <formula>LEN(TRIM(AH120))=0</formula>
    </cfRule>
    <cfRule type="containsBlanks" dxfId="2790" priority="2838">
      <formula>LEN(TRIM(AH120))=0</formula>
    </cfRule>
    <cfRule type="containsBlanks" dxfId="2789" priority="2839">
      <formula>LEN(TRIM(AH120))=0</formula>
    </cfRule>
    <cfRule type="containsBlanks" dxfId="2788" priority="2840">
      <formula>LEN(TRIM(AH120))=0</formula>
    </cfRule>
    <cfRule type="containsBlanks" dxfId="2787" priority="2841">
      <formula>LEN(TRIM(AH120))=0</formula>
    </cfRule>
    <cfRule type="containsBlanks" dxfId="2786" priority="2842">
      <formula>LEN(TRIM(AH120))=0</formula>
    </cfRule>
    <cfRule type="containsBlanks" dxfId="2785" priority="2843">
      <formula>LEN(TRIM(AH120))=0</formula>
    </cfRule>
    <cfRule type="containsBlanks" dxfId="2784" priority="2844">
      <formula>LEN(TRIM(AH120))=0</formula>
    </cfRule>
    <cfRule type="containsBlanks" dxfId="2783" priority="2845">
      <formula>LEN(TRIM(AH120))=0</formula>
    </cfRule>
    <cfRule type="containsBlanks" dxfId="2782" priority="2846">
      <formula>LEN(TRIM(AH120))=0</formula>
    </cfRule>
    <cfRule type="containsBlanks" dxfId="2781" priority="2847">
      <formula>LEN(TRIM(AH120))=0</formula>
    </cfRule>
  </conditionalFormatting>
  <conditionalFormatting sqref="AH120">
    <cfRule type="containsBlanks" dxfId="2780" priority="2727">
      <formula>LEN(TRIM(AH120))=0</formula>
    </cfRule>
    <cfRule type="containsBlanks" dxfId="2779" priority="2728">
      <formula>LEN(TRIM(AH120))=0</formula>
    </cfRule>
    <cfRule type="containsBlanks" dxfId="2778" priority="2729">
      <formula>LEN(TRIM(AH120))=0</formula>
    </cfRule>
    <cfRule type="containsBlanks" dxfId="2777" priority="2730">
      <formula>LEN(TRIM(AH120))=0</formula>
    </cfRule>
    <cfRule type="containsBlanks" dxfId="2776" priority="2731">
      <formula>LEN(TRIM(AH120))=0</formula>
    </cfRule>
    <cfRule type="containsBlanks" dxfId="2775" priority="2732">
      <formula>LEN(TRIM(AH120))=0</formula>
    </cfRule>
    <cfRule type="containsBlanks" dxfId="2774" priority="2733">
      <formula>LEN(TRIM(AH120))=0</formula>
    </cfRule>
    <cfRule type="containsBlanks" dxfId="2773" priority="2734">
      <formula>LEN(TRIM(AH120))=0</formula>
    </cfRule>
    <cfRule type="containsBlanks" dxfId="2772" priority="2735">
      <formula>LEN(TRIM(AH120))=0</formula>
    </cfRule>
    <cfRule type="containsBlanks" dxfId="2771" priority="2736">
      <formula>LEN(TRIM(AH120))=0</formula>
    </cfRule>
    <cfRule type="containsBlanks" dxfId="2770" priority="2737">
      <formula>LEN(TRIM(AH120))=0</formula>
    </cfRule>
    <cfRule type="containsBlanks" dxfId="2769" priority="2738">
      <formula>LEN(TRIM(AH120))=0</formula>
    </cfRule>
    <cfRule type="containsBlanks" dxfId="2768" priority="2739">
      <formula>LEN(TRIM(AH120))=0</formula>
    </cfRule>
    <cfRule type="containsBlanks" dxfId="2767" priority="2740">
      <formula>LEN(TRIM(AH120))=0</formula>
    </cfRule>
    <cfRule type="containsBlanks" dxfId="2766" priority="2741">
      <formula>LEN(TRIM(AH120))=0</formula>
    </cfRule>
    <cfRule type="containsBlanks" dxfId="2765" priority="2742">
      <formula>LEN(TRIM(AH120))=0</formula>
    </cfRule>
    <cfRule type="containsBlanks" dxfId="2764" priority="2743">
      <formula>LEN(TRIM(AH120))=0</formula>
    </cfRule>
    <cfRule type="containsBlanks" dxfId="2763" priority="2744">
      <formula>LEN(TRIM(AH120))=0</formula>
    </cfRule>
    <cfRule type="containsBlanks" dxfId="2762" priority="2745">
      <formula>LEN(TRIM(AH120))=0</formula>
    </cfRule>
    <cfRule type="containsBlanks" dxfId="2761" priority="2746">
      <formula>LEN(TRIM(AH120))=0</formula>
    </cfRule>
    <cfRule type="containsBlanks" dxfId="2760" priority="2747">
      <formula>LEN(TRIM(AH120))=0</formula>
    </cfRule>
    <cfRule type="containsBlanks" dxfId="2759" priority="2748">
      <formula>LEN(TRIM(AH120))=0</formula>
    </cfRule>
    <cfRule type="containsBlanks" dxfId="2758" priority="2749">
      <formula>LEN(TRIM(AH120))=0</formula>
    </cfRule>
    <cfRule type="containsBlanks" dxfId="2757" priority="2750">
      <formula>LEN(TRIM(AH120))=0</formula>
    </cfRule>
    <cfRule type="containsBlanks" dxfId="2756" priority="2751">
      <formula>LEN(TRIM(AH120))=0</formula>
    </cfRule>
    <cfRule type="containsBlanks" dxfId="2755" priority="2752">
      <formula>LEN(TRIM(AH120))=0</formula>
    </cfRule>
    <cfRule type="containsBlanks" dxfId="2754" priority="2753">
      <formula>LEN(TRIM(AH120))=0</formula>
    </cfRule>
    <cfRule type="containsBlanks" dxfId="2753" priority="2754">
      <formula>LEN(TRIM(AH120))=0</formula>
    </cfRule>
    <cfRule type="containsBlanks" dxfId="2752" priority="2755">
      <formula>LEN(TRIM(AH120))=0</formula>
    </cfRule>
    <cfRule type="containsBlanks" dxfId="2751" priority="2756">
      <formula>LEN(TRIM(AH120))=0</formula>
    </cfRule>
    <cfRule type="containsBlanks" dxfId="2750" priority="2757">
      <formula>LEN(TRIM(AH120))=0</formula>
    </cfRule>
    <cfRule type="containsBlanks" dxfId="2749" priority="2758">
      <formula>LEN(TRIM(AH120))=0</formula>
    </cfRule>
    <cfRule type="containsBlanks" dxfId="2748" priority="2759">
      <formula>LEN(TRIM(AH120))=0</formula>
    </cfRule>
    <cfRule type="containsBlanks" dxfId="2747" priority="2760">
      <formula>LEN(TRIM(AH120))=0</formula>
    </cfRule>
    <cfRule type="containsBlanks" dxfId="2746" priority="2761">
      <formula>LEN(TRIM(AH120))=0</formula>
    </cfRule>
    <cfRule type="containsBlanks" dxfId="2745" priority="2762">
      <formula>LEN(TRIM(AH120))=0</formula>
    </cfRule>
    <cfRule type="containsBlanks" dxfId="2744" priority="2763">
      <formula>LEN(TRIM(AH120))=0</formula>
    </cfRule>
    <cfRule type="containsBlanks" dxfId="2743" priority="2764">
      <formula>LEN(TRIM(AH120))=0</formula>
    </cfRule>
    <cfRule type="containsBlanks" dxfId="2742" priority="2765">
      <formula>LEN(TRIM(AH120))=0</formula>
    </cfRule>
    <cfRule type="containsBlanks" dxfId="2741" priority="2766">
      <formula>LEN(TRIM(AH120))=0</formula>
    </cfRule>
    <cfRule type="containsBlanks" dxfId="2740" priority="2767">
      <formula>LEN(TRIM(AH120))=0</formula>
    </cfRule>
    <cfRule type="containsBlanks" dxfId="2739" priority="2768">
      <formula>LEN(TRIM(AH120))=0</formula>
    </cfRule>
    <cfRule type="containsBlanks" dxfId="2738" priority="2769">
      <formula>LEN(TRIM(AH120))=0</formula>
    </cfRule>
    <cfRule type="containsBlanks" dxfId="2737" priority="2770">
      <formula>LEN(TRIM(AH120))=0</formula>
    </cfRule>
    <cfRule type="containsBlanks" dxfId="2736" priority="2771">
      <formula>LEN(TRIM(AH120))=0</formula>
    </cfRule>
    <cfRule type="containsBlanks" dxfId="2735" priority="2772">
      <formula>LEN(TRIM(AH120))=0</formula>
    </cfRule>
    <cfRule type="containsBlanks" dxfId="2734" priority="2773">
      <formula>LEN(TRIM(AH120))=0</formula>
    </cfRule>
    <cfRule type="containsBlanks" dxfId="2733" priority="2774">
      <formula>LEN(TRIM(AH120))=0</formula>
    </cfRule>
    <cfRule type="containsBlanks" dxfId="2732" priority="2775">
      <formula>LEN(TRIM(AH120))=0</formula>
    </cfRule>
    <cfRule type="containsBlanks" dxfId="2731" priority="2776">
      <formula>LEN(TRIM(AH120))=0</formula>
    </cfRule>
    <cfRule type="containsBlanks" dxfId="2730" priority="2777">
      <formula>LEN(TRIM(AH120))=0</formula>
    </cfRule>
    <cfRule type="containsBlanks" dxfId="2729" priority="2778">
      <formula>LEN(TRIM(AH120))=0</formula>
    </cfRule>
    <cfRule type="containsBlanks" dxfId="2728" priority="2779">
      <formula>LEN(TRIM(AH120))=0</formula>
    </cfRule>
    <cfRule type="containsBlanks" dxfId="2727" priority="2780">
      <formula>LEN(TRIM(AH120))=0</formula>
    </cfRule>
    <cfRule type="containsBlanks" dxfId="2726" priority="2781">
      <formula>LEN(TRIM(AH120))=0</formula>
    </cfRule>
  </conditionalFormatting>
  <conditionalFormatting sqref="AH120">
    <cfRule type="containsBlanks" dxfId="2725" priority="2643">
      <formula>LEN(TRIM(AH120))=0</formula>
    </cfRule>
    <cfRule type="containsBlanks" dxfId="2724" priority="2644">
      <formula>LEN(TRIM(AH120))=0</formula>
    </cfRule>
    <cfRule type="containsBlanks" dxfId="2723" priority="2645">
      <formula>LEN(TRIM(AH120))=0</formula>
    </cfRule>
    <cfRule type="containsBlanks" dxfId="2722" priority="2646">
      <formula>LEN(TRIM(AH120))=0</formula>
    </cfRule>
    <cfRule type="containsBlanks" dxfId="2721" priority="2647">
      <formula>LEN(TRIM(AH120))=0</formula>
    </cfRule>
    <cfRule type="containsBlanks" dxfId="2720" priority="2648">
      <formula>LEN(TRIM(AH120))=0</formula>
    </cfRule>
    <cfRule type="containsBlanks" dxfId="2719" priority="2649">
      <formula>LEN(TRIM(AH120))=0</formula>
    </cfRule>
    <cfRule type="containsBlanks" dxfId="2718" priority="2650">
      <formula>LEN(TRIM(AH120))=0</formula>
    </cfRule>
    <cfRule type="containsBlanks" dxfId="2717" priority="2651">
      <formula>LEN(TRIM(AH120))=0</formula>
    </cfRule>
    <cfRule type="containsBlanks" dxfId="2716" priority="2652">
      <formula>LEN(TRIM(AH120))=0</formula>
    </cfRule>
    <cfRule type="containsBlanks" dxfId="2715" priority="2653">
      <formula>LEN(TRIM(AH120))=0</formula>
    </cfRule>
    <cfRule type="containsBlanks" dxfId="2714" priority="2654">
      <formula>LEN(TRIM(AH120))=0</formula>
    </cfRule>
    <cfRule type="containsBlanks" dxfId="2713" priority="2655">
      <formula>LEN(TRIM(AH120))=0</formula>
    </cfRule>
    <cfRule type="containsBlanks" dxfId="2712" priority="2656">
      <formula>LEN(TRIM(AH120))=0</formula>
    </cfRule>
    <cfRule type="containsBlanks" dxfId="2711" priority="2657">
      <formula>LEN(TRIM(AH120))=0</formula>
    </cfRule>
    <cfRule type="containsBlanks" dxfId="2710" priority="2658">
      <formula>LEN(TRIM(AH120))=0</formula>
    </cfRule>
    <cfRule type="containsBlanks" dxfId="2709" priority="2659">
      <formula>LEN(TRIM(AH120))=0</formula>
    </cfRule>
    <cfRule type="containsBlanks" dxfId="2708" priority="2660">
      <formula>LEN(TRIM(AH120))=0</formula>
    </cfRule>
    <cfRule type="containsBlanks" dxfId="2707" priority="2661">
      <formula>LEN(TRIM(AH120))=0</formula>
    </cfRule>
    <cfRule type="containsBlanks" dxfId="2706" priority="2662">
      <formula>LEN(TRIM(AH120))=0</formula>
    </cfRule>
    <cfRule type="containsBlanks" dxfId="2705" priority="2663">
      <formula>LEN(TRIM(AH120))=0</formula>
    </cfRule>
    <cfRule type="containsBlanks" dxfId="2704" priority="2664">
      <formula>LEN(TRIM(AH120))=0</formula>
    </cfRule>
    <cfRule type="containsBlanks" dxfId="2703" priority="2665">
      <formula>LEN(TRIM(AH120))=0</formula>
    </cfRule>
    <cfRule type="containsBlanks" dxfId="2702" priority="2666">
      <formula>LEN(TRIM(AH120))=0</formula>
    </cfRule>
    <cfRule type="containsBlanks" dxfId="2701" priority="2667">
      <formula>LEN(TRIM(AH120))=0</formula>
    </cfRule>
    <cfRule type="containsBlanks" dxfId="2700" priority="2668">
      <formula>LEN(TRIM(AH120))=0</formula>
    </cfRule>
    <cfRule type="containsBlanks" dxfId="2699" priority="2669">
      <formula>LEN(TRIM(AH120))=0</formula>
    </cfRule>
    <cfRule type="containsBlanks" dxfId="2698" priority="2670">
      <formula>LEN(TRIM(AH120))=0</formula>
    </cfRule>
    <cfRule type="containsBlanks" dxfId="2697" priority="2671">
      <formula>LEN(TRIM(AH120))=0</formula>
    </cfRule>
    <cfRule type="containsBlanks" dxfId="2696" priority="2672">
      <formula>LEN(TRIM(AH120))=0</formula>
    </cfRule>
    <cfRule type="containsBlanks" dxfId="2695" priority="2673">
      <formula>LEN(TRIM(AH120))=0</formula>
    </cfRule>
    <cfRule type="containsBlanks" dxfId="2694" priority="2674">
      <formula>LEN(TRIM(AH120))=0</formula>
    </cfRule>
    <cfRule type="containsBlanks" dxfId="2693" priority="2675">
      <formula>LEN(TRIM(AH120))=0</formula>
    </cfRule>
    <cfRule type="containsBlanks" dxfId="2692" priority="2676">
      <formula>LEN(TRIM(AH120))=0</formula>
    </cfRule>
    <cfRule type="containsBlanks" dxfId="2691" priority="2677">
      <formula>LEN(TRIM(AH120))=0</formula>
    </cfRule>
    <cfRule type="containsBlanks" dxfId="2690" priority="2678">
      <formula>LEN(TRIM(AH120))=0</formula>
    </cfRule>
    <cfRule type="containsBlanks" dxfId="2689" priority="2679">
      <formula>LEN(TRIM(AH120))=0</formula>
    </cfRule>
    <cfRule type="containsBlanks" dxfId="2688" priority="2680">
      <formula>LEN(TRIM(AH120))=0</formula>
    </cfRule>
    <cfRule type="containsBlanks" dxfId="2687" priority="2681">
      <formula>LEN(TRIM(AH120))=0</formula>
    </cfRule>
    <cfRule type="containsBlanks" dxfId="2686" priority="2682">
      <formula>LEN(TRIM(AH120))=0</formula>
    </cfRule>
    <cfRule type="containsBlanks" dxfId="2685" priority="2683">
      <formula>LEN(TRIM(AH120))=0</formula>
    </cfRule>
    <cfRule type="containsBlanks" dxfId="2684" priority="2684">
      <formula>LEN(TRIM(AH120))=0</formula>
    </cfRule>
    <cfRule type="containsBlanks" dxfId="2683" priority="2685">
      <formula>LEN(TRIM(AH120))=0</formula>
    </cfRule>
    <cfRule type="containsBlanks" dxfId="2682" priority="2686">
      <formula>LEN(TRIM(AH120))=0</formula>
    </cfRule>
    <cfRule type="containsBlanks" dxfId="2681" priority="2687">
      <formula>LEN(TRIM(AH120))=0</formula>
    </cfRule>
    <cfRule type="containsBlanks" dxfId="2680" priority="2688">
      <formula>LEN(TRIM(AH120))=0</formula>
    </cfRule>
    <cfRule type="containsBlanks" dxfId="2679" priority="2689">
      <formula>LEN(TRIM(AH120))=0</formula>
    </cfRule>
    <cfRule type="containsBlanks" dxfId="2678" priority="2690">
      <formula>LEN(TRIM(AH120))=0</formula>
    </cfRule>
    <cfRule type="containsBlanks" dxfId="2677" priority="2691">
      <formula>LEN(TRIM(AH120))=0</formula>
    </cfRule>
    <cfRule type="containsBlanks" dxfId="2676" priority="2692">
      <formula>LEN(TRIM(AH120))=0</formula>
    </cfRule>
    <cfRule type="containsBlanks" dxfId="2675" priority="2693">
      <formula>LEN(TRIM(AH120))=0</formula>
    </cfRule>
    <cfRule type="containsBlanks" dxfId="2674" priority="2694">
      <formula>LEN(TRIM(AH120))=0</formula>
    </cfRule>
    <cfRule type="containsBlanks" dxfId="2673" priority="2695">
      <formula>LEN(TRIM(AH120))=0</formula>
    </cfRule>
    <cfRule type="containsBlanks" dxfId="2672" priority="2696">
      <formula>LEN(TRIM(AH120))=0</formula>
    </cfRule>
    <cfRule type="containsBlanks" dxfId="2671" priority="2697">
      <formula>LEN(TRIM(AH120))=0</formula>
    </cfRule>
    <cfRule type="containsBlanks" dxfId="2670" priority="2698">
      <formula>LEN(TRIM(AH120))=0</formula>
    </cfRule>
    <cfRule type="containsBlanks" dxfId="2669" priority="2699">
      <formula>LEN(TRIM(AH120))=0</formula>
    </cfRule>
    <cfRule type="containsBlanks" dxfId="2668" priority="2700">
      <formula>LEN(TRIM(AH120))=0</formula>
    </cfRule>
    <cfRule type="containsBlanks" dxfId="2667" priority="2701">
      <formula>LEN(TRIM(AH120))=0</formula>
    </cfRule>
    <cfRule type="containsBlanks" dxfId="2666" priority="2702">
      <formula>LEN(TRIM(AH120))=0</formula>
    </cfRule>
    <cfRule type="containsBlanks" dxfId="2665" priority="2703">
      <formula>LEN(TRIM(AH120))=0</formula>
    </cfRule>
    <cfRule type="containsBlanks" dxfId="2664" priority="2704">
      <formula>LEN(TRIM(AH120))=0</formula>
    </cfRule>
    <cfRule type="containsBlanks" dxfId="2663" priority="2705">
      <formula>LEN(TRIM(AH120))=0</formula>
    </cfRule>
    <cfRule type="containsBlanks" dxfId="2662" priority="2706">
      <formula>LEN(TRIM(AH120))=0</formula>
    </cfRule>
    <cfRule type="containsBlanks" dxfId="2661" priority="2707">
      <formula>LEN(TRIM(AH120))=0</formula>
    </cfRule>
    <cfRule type="containsBlanks" dxfId="2660" priority="2708">
      <formula>LEN(TRIM(AH120))=0</formula>
    </cfRule>
    <cfRule type="containsBlanks" dxfId="2659" priority="2709">
      <formula>LEN(TRIM(AH120))=0</formula>
    </cfRule>
    <cfRule type="containsBlanks" dxfId="2658" priority="2710">
      <formula>LEN(TRIM(AH120))=0</formula>
    </cfRule>
    <cfRule type="containsBlanks" dxfId="2657" priority="2711">
      <formula>LEN(TRIM(AH120))=0</formula>
    </cfRule>
    <cfRule type="containsBlanks" dxfId="2656" priority="2712">
      <formula>LEN(TRIM(AH120))=0</formula>
    </cfRule>
    <cfRule type="containsBlanks" dxfId="2655" priority="2713">
      <formula>LEN(TRIM(AH120))=0</formula>
    </cfRule>
    <cfRule type="containsBlanks" dxfId="2654" priority="2714">
      <formula>LEN(TRIM(AH120))=0</formula>
    </cfRule>
    <cfRule type="containsBlanks" dxfId="2653" priority="2715">
      <formula>LEN(TRIM(AH120))=0</formula>
    </cfRule>
    <cfRule type="containsBlanks" dxfId="2652" priority="2716">
      <formula>LEN(TRIM(AH120))=0</formula>
    </cfRule>
    <cfRule type="containsBlanks" dxfId="2651" priority="2717">
      <formula>LEN(TRIM(AH120))=0</formula>
    </cfRule>
    <cfRule type="containsBlanks" dxfId="2650" priority="2718">
      <formula>LEN(TRIM(AH120))=0</formula>
    </cfRule>
    <cfRule type="containsBlanks" dxfId="2649" priority="2719">
      <formula>LEN(TRIM(AH120))=0</formula>
    </cfRule>
    <cfRule type="containsBlanks" dxfId="2648" priority="2720">
      <formula>LEN(TRIM(AH120))=0</formula>
    </cfRule>
    <cfRule type="containsBlanks" dxfId="2647" priority="2721">
      <formula>LEN(TRIM(AH120))=0</formula>
    </cfRule>
    <cfRule type="containsBlanks" dxfId="2646" priority="2722">
      <formula>LEN(TRIM(AH120))=0</formula>
    </cfRule>
    <cfRule type="containsBlanks" dxfId="2645" priority="2723">
      <formula>LEN(TRIM(AH120))=0</formula>
    </cfRule>
    <cfRule type="containsBlanks" dxfId="2644" priority="2724">
      <formula>LEN(TRIM(AH120))=0</formula>
    </cfRule>
    <cfRule type="containsBlanks" dxfId="2643" priority="2725">
      <formula>LEN(TRIM(AH120))=0</formula>
    </cfRule>
    <cfRule type="containsBlanks" dxfId="2642" priority="2726">
      <formula>LEN(TRIM(AH120))=0</formula>
    </cfRule>
  </conditionalFormatting>
  <conditionalFormatting sqref="AH122">
    <cfRule type="containsBlanks" dxfId="2641" priority="2642">
      <formula>LEN(TRIM(AH122))=0</formula>
    </cfRule>
  </conditionalFormatting>
  <conditionalFormatting sqref="AH122">
    <cfRule type="containsBlanks" dxfId="2640" priority="2641">
      <formula>LEN(TRIM(AH122))=0</formula>
    </cfRule>
  </conditionalFormatting>
  <conditionalFormatting sqref="AH122">
    <cfRule type="containsBlanks" dxfId="2639" priority="2639">
      <formula>LEN(TRIM(AH122))=0</formula>
    </cfRule>
    <cfRule type="containsBlanks" dxfId="2638" priority="2640">
      <formula>LEN(TRIM(AH122))=0</formula>
    </cfRule>
  </conditionalFormatting>
  <conditionalFormatting sqref="AH122">
    <cfRule type="containsBlanks" dxfId="2637" priority="2638">
      <formula>LEN(TRIM(AH122))=0</formula>
    </cfRule>
  </conditionalFormatting>
  <conditionalFormatting sqref="AH122">
    <cfRule type="containsBlanks" dxfId="2636" priority="2637">
      <formula>LEN(TRIM(AH122))=0</formula>
    </cfRule>
  </conditionalFormatting>
  <conditionalFormatting sqref="AH122">
    <cfRule type="containsBlanks" dxfId="2635" priority="2636">
      <formula>LEN(TRIM(AH122))=0</formula>
    </cfRule>
  </conditionalFormatting>
  <conditionalFormatting sqref="AH122">
    <cfRule type="containsBlanks" dxfId="2634" priority="2634">
      <formula>LEN(TRIM(AH122))=0</formula>
    </cfRule>
    <cfRule type="containsBlanks" dxfId="2633" priority="2635">
      <formula>LEN(TRIM(AH122))=0</formula>
    </cfRule>
  </conditionalFormatting>
  <conditionalFormatting sqref="AH122">
    <cfRule type="containsBlanks" dxfId="2632" priority="2632">
      <formula>LEN(TRIM(AH122))=0</formula>
    </cfRule>
    <cfRule type="containsBlanks" dxfId="2631" priority="2633">
      <formula>LEN(TRIM(AH122))=0</formula>
    </cfRule>
  </conditionalFormatting>
  <conditionalFormatting sqref="AH122">
    <cfRule type="containsBlanks" dxfId="2630" priority="2630">
      <formula>LEN(TRIM(AH122))=0</formula>
    </cfRule>
    <cfRule type="containsBlanks" dxfId="2629" priority="2631">
      <formula>LEN(TRIM(AH122))=0</formula>
    </cfRule>
  </conditionalFormatting>
  <conditionalFormatting sqref="AH122">
    <cfRule type="containsBlanks" dxfId="2628" priority="2628">
      <formula>LEN(TRIM(AH122))=0</formula>
    </cfRule>
    <cfRule type="containsBlanks" dxfId="2627" priority="2629">
      <formula>LEN(TRIM(AH122))=0</formula>
    </cfRule>
  </conditionalFormatting>
  <conditionalFormatting sqref="AH122">
    <cfRule type="containsBlanks" dxfId="2626" priority="2562">
      <formula>LEN(TRIM(AH122))=0</formula>
    </cfRule>
    <cfRule type="containsBlanks" dxfId="2625" priority="2563">
      <formula>LEN(TRIM(AH122))=0</formula>
    </cfRule>
    <cfRule type="containsBlanks" dxfId="2624" priority="2564">
      <formula>LEN(TRIM(AH122))=0</formula>
    </cfRule>
    <cfRule type="containsBlanks" dxfId="2623" priority="2565">
      <formula>LEN(TRIM(AH122))=0</formula>
    </cfRule>
    <cfRule type="containsBlanks" dxfId="2622" priority="2566">
      <formula>LEN(TRIM(AH122))=0</formula>
    </cfRule>
    <cfRule type="containsBlanks" dxfId="2621" priority="2567">
      <formula>LEN(TRIM(AH122))=0</formula>
    </cfRule>
    <cfRule type="containsBlanks" dxfId="2620" priority="2568">
      <formula>LEN(TRIM(AH122))=0</formula>
    </cfRule>
    <cfRule type="containsBlanks" dxfId="2619" priority="2569">
      <formula>LEN(TRIM(AH122))=0</formula>
    </cfRule>
    <cfRule type="containsBlanks" dxfId="2618" priority="2570">
      <formula>LEN(TRIM(AH122))=0</formula>
    </cfRule>
    <cfRule type="containsBlanks" dxfId="2617" priority="2571">
      <formula>LEN(TRIM(AH122))=0</formula>
    </cfRule>
    <cfRule type="containsBlanks" dxfId="2616" priority="2572">
      <formula>LEN(TRIM(AH122))=0</formula>
    </cfRule>
    <cfRule type="containsBlanks" dxfId="2615" priority="2573">
      <formula>LEN(TRIM(AH122))=0</formula>
    </cfRule>
    <cfRule type="containsBlanks" dxfId="2614" priority="2574">
      <formula>LEN(TRIM(AH122))=0</formula>
    </cfRule>
    <cfRule type="containsBlanks" dxfId="2613" priority="2575">
      <formula>LEN(TRIM(AH122))=0</formula>
    </cfRule>
    <cfRule type="containsBlanks" dxfId="2612" priority="2576">
      <formula>LEN(TRIM(AH122))=0</formula>
    </cfRule>
    <cfRule type="containsBlanks" dxfId="2611" priority="2577">
      <formula>LEN(TRIM(AH122))=0</formula>
    </cfRule>
    <cfRule type="containsBlanks" dxfId="2610" priority="2578">
      <formula>LEN(TRIM(AH122))=0</formula>
    </cfRule>
    <cfRule type="containsBlanks" dxfId="2609" priority="2579">
      <formula>LEN(TRIM(AH122))=0</formula>
    </cfRule>
    <cfRule type="containsBlanks" dxfId="2608" priority="2580">
      <formula>LEN(TRIM(AH122))=0</formula>
    </cfRule>
    <cfRule type="containsBlanks" dxfId="2607" priority="2581">
      <formula>LEN(TRIM(AH122))=0</formula>
    </cfRule>
    <cfRule type="containsBlanks" dxfId="2606" priority="2582">
      <formula>LEN(TRIM(AH122))=0</formula>
    </cfRule>
    <cfRule type="containsBlanks" dxfId="2605" priority="2583">
      <formula>LEN(TRIM(AH122))=0</formula>
    </cfRule>
    <cfRule type="containsBlanks" dxfId="2604" priority="2584">
      <formula>LEN(TRIM(AH122))=0</formula>
    </cfRule>
    <cfRule type="containsBlanks" dxfId="2603" priority="2585">
      <formula>LEN(TRIM(AH122))=0</formula>
    </cfRule>
    <cfRule type="containsBlanks" dxfId="2602" priority="2586">
      <formula>LEN(TRIM(AH122))=0</formula>
    </cfRule>
    <cfRule type="containsBlanks" dxfId="2601" priority="2587">
      <formula>LEN(TRIM(AH122))=0</formula>
    </cfRule>
    <cfRule type="containsBlanks" dxfId="2600" priority="2588">
      <formula>LEN(TRIM(AH122))=0</formula>
    </cfRule>
    <cfRule type="containsBlanks" dxfId="2599" priority="2589">
      <formula>LEN(TRIM(AH122))=0</formula>
    </cfRule>
    <cfRule type="containsBlanks" dxfId="2598" priority="2590">
      <formula>LEN(TRIM(AH122))=0</formula>
    </cfRule>
    <cfRule type="containsBlanks" dxfId="2597" priority="2591">
      <formula>LEN(TRIM(AH122))=0</formula>
    </cfRule>
    <cfRule type="containsBlanks" dxfId="2596" priority="2592">
      <formula>LEN(TRIM(AH122))=0</formula>
    </cfRule>
    <cfRule type="containsBlanks" dxfId="2595" priority="2593">
      <formula>LEN(TRIM(AH122))=0</formula>
    </cfRule>
    <cfRule type="containsBlanks" dxfId="2594" priority="2594">
      <formula>LEN(TRIM(AH122))=0</formula>
    </cfRule>
    <cfRule type="containsBlanks" dxfId="2593" priority="2595">
      <formula>LEN(TRIM(AH122))=0</formula>
    </cfRule>
    <cfRule type="containsBlanks" dxfId="2592" priority="2596">
      <formula>LEN(TRIM(AH122))=0</formula>
    </cfRule>
    <cfRule type="containsBlanks" dxfId="2591" priority="2597">
      <formula>LEN(TRIM(AH122))=0</formula>
    </cfRule>
    <cfRule type="containsBlanks" dxfId="2590" priority="2598">
      <formula>LEN(TRIM(AH122))=0</formula>
    </cfRule>
    <cfRule type="containsBlanks" dxfId="2589" priority="2599">
      <formula>LEN(TRIM(AH122))=0</formula>
    </cfRule>
    <cfRule type="containsBlanks" dxfId="2588" priority="2600">
      <formula>LEN(TRIM(AH122))=0</formula>
    </cfRule>
    <cfRule type="containsBlanks" dxfId="2587" priority="2601">
      <formula>LEN(TRIM(AH122))=0</formula>
    </cfRule>
    <cfRule type="containsBlanks" dxfId="2586" priority="2602">
      <formula>LEN(TRIM(AH122))=0</formula>
    </cfRule>
    <cfRule type="containsBlanks" dxfId="2585" priority="2603">
      <formula>LEN(TRIM(AH122))=0</formula>
    </cfRule>
    <cfRule type="containsBlanks" dxfId="2584" priority="2604">
      <formula>LEN(TRIM(AH122))=0</formula>
    </cfRule>
    <cfRule type="containsBlanks" dxfId="2583" priority="2605">
      <formula>LEN(TRIM(AH122))=0</formula>
    </cfRule>
    <cfRule type="containsBlanks" dxfId="2582" priority="2606">
      <formula>LEN(TRIM(AH122))=0</formula>
    </cfRule>
    <cfRule type="containsBlanks" dxfId="2581" priority="2607">
      <formula>LEN(TRIM(AH122))=0</formula>
    </cfRule>
    <cfRule type="containsBlanks" dxfId="2580" priority="2608">
      <formula>LEN(TRIM(AH122))=0</formula>
    </cfRule>
    <cfRule type="containsBlanks" dxfId="2579" priority="2609">
      <formula>LEN(TRIM(AH122))=0</formula>
    </cfRule>
    <cfRule type="containsBlanks" dxfId="2578" priority="2610">
      <formula>LEN(TRIM(AH122))=0</formula>
    </cfRule>
    <cfRule type="containsBlanks" dxfId="2577" priority="2611">
      <formula>LEN(TRIM(AH122))=0</formula>
    </cfRule>
    <cfRule type="containsBlanks" dxfId="2576" priority="2612">
      <formula>LEN(TRIM(AH122))=0</formula>
    </cfRule>
    <cfRule type="containsBlanks" dxfId="2575" priority="2613">
      <formula>LEN(TRIM(AH122))=0</formula>
    </cfRule>
    <cfRule type="containsBlanks" dxfId="2574" priority="2614">
      <formula>LEN(TRIM(AH122))=0</formula>
    </cfRule>
    <cfRule type="containsBlanks" dxfId="2573" priority="2615">
      <formula>LEN(TRIM(AH122))=0</formula>
    </cfRule>
    <cfRule type="containsBlanks" dxfId="2572" priority="2616">
      <formula>LEN(TRIM(AH122))=0</formula>
    </cfRule>
    <cfRule type="containsBlanks" dxfId="2571" priority="2617">
      <formula>LEN(TRIM(AH122))=0</formula>
    </cfRule>
    <cfRule type="containsBlanks" dxfId="2570" priority="2618">
      <formula>LEN(TRIM(AH122))=0</formula>
    </cfRule>
    <cfRule type="containsBlanks" dxfId="2569" priority="2619">
      <formula>LEN(TRIM(AH122))=0</formula>
    </cfRule>
    <cfRule type="containsBlanks" dxfId="2568" priority="2620">
      <formula>LEN(TRIM(AH122))=0</formula>
    </cfRule>
    <cfRule type="containsBlanks" dxfId="2567" priority="2621">
      <formula>LEN(TRIM(AH122))=0</formula>
    </cfRule>
    <cfRule type="containsBlanks" dxfId="2566" priority="2622">
      <formula>LEN(TRIM(AH122))=0</formula>
    </cfRule>
    <cfRule type="containsBlanks" dxfId="2565" priority="2623">
      <formula>LEN(TRIM(AH122))=0</formula>
    </cfRule>
    <cfRule type="containsBlanks" dxfId="2564" priority="2624">
      <formula>LEN(TRIM(AH122))=0</formula>
    </cfRule>
    <cfRule type="containsBlanks" dxfId="2563" priority="2625">
      <formula>LEN(TRIM(AH122))=0</formula>
    </cfRule>
    <cfRule type="containsBlanks" dxfId="2562" priority="2626">
      <formula>LEN(TRIM(AH122))=0</formula>
    </cfRule>
    <cfRule type="containsBlanks" dxfId="2561" priority="2627">
      <formula>LEN(TRIM(AH122))=0</formula>
    </cfRule>
  </conditionalFormatting>
  <conditionalFormatting sqref="AH122">
    <cfRule type="containsBlanks" dxfId="2560" priority="2507">
      <formula>LEN(TRIM(AH122))=0</formula>
    </cfRule>
    <cfRule type="containsBlanks" dxfId="2559" priority="2508">
      <formula>LEN(TRIM(AH122))=0</formula>
    </cfRule>
    <cfRule type="containsBlanks" dxfId="2558" priority="2509">
      <formula>LEN(TRIM(AH122))=0</formula>
    </cfRule>
    <cfRule type="containsBlanks" dxfId="2557" priority="2510">
      <formula>LEN(TRIM(AH122))=0</formula>
    </cfRule>
    <cfRule type="containsBlanks" dxfId="2556" priority="2511">
      <formula>LEN(TRIM(AH122))=0</formula>
    </cfRule>
    <cfRule type="containsBlanks" dxfId="2555" priority="2512">
      <formula>LEN(TRIM(AH122))=0</formula>
    </cfRule>
    <cfRule type="containsBlanks" dxfId="2554" priority="2513">
      <formula>LEN(TRIM(AH122))=0</formula>
    </cfRule>
    <cfRule type="containsBlanks" dxfId="2553" priority="2514">
      <formula>LEN(TRIM(AH122))=0</formula>
    </cfRule>
    <cfRule type="containsBlanks" dxfId="2552" priority="2515">
      <formula>LEN(TRIM(AH122))=0</formula>
    </cfRule>
    <cfRule type="containsBlanks" dxfId="2551" priority="2516">
      <formula>LEN(TRIM(AH122))=0</formula>
    </cfRule>
    <cfRule type="containsBlanks" dxfId="2550" priority="2517">
      <formula>LEN(TRIM(AH122))=0</formula>
    </cfRule>
    <cfRule type="containsBlanks" dxfId="2549" priority="2518">
      <formula>LEN(TRIM(AH122))=0</formula>
    </cfRule>
    <cfRule type="containsBlanks" dxfId="2548" priority="2519">
      <formula>LEN(TRIM(AH122))=0</formula>
    </cfRule>
    <cfRule type="containsBlanks" dxfId="2547" priority="2520">
      <formula>LEN(TRIM(AH122))=0</formula>
    </cfRule>
    <cfRule type="containsBlanks" dxfId="2546" priority="2521">
      <formula>LEN(TRIM(AH122))=0</formula>
    </cfRule>
    <cfRule type="containsBlanks" dxfId="2545" priority="2522">
      <formula>LEN(TRIM(AH122))=0</formula>
    </cfRule>
    <cfRule type="containsBlanks" dxfId="2544" priority="2523">
      <formula>LEN(TRIM(AH122))=0</formula>
    </cfRule>
    <cfRule type="containsBlanks" dxfId="2543" priority="2524">
      <formula>LEN(TRIM(AH122))=0</formula>
    </cfRule>
    <cfRule type="containsBlanks" dxfId="2542" priority="2525">
      <formula>LEN(TRIM(AH122))=0</formula>
    </cfRule>
    <cfRule type="containsBlanks" dxfId="2541" priority="2526">
      <formula>LEN(TRIM(AH122))=0</formula>
    </cfRule>
    <cfRule type="containsBlanks" dxfId="2540" priority="2527">
      <formula>LEN(TRIM(AH122))=0</formula>
    </cfRule>
    <cfRule type="containsBlanks" dxfId="2539" priority="2528">
      <formula>LEN(TRIM(AH122))=0</formula>
    </cfRule>
    <cfRule type="containsBlanks" dxfId="2538" priority="2529">
      <formula>LEN(TRIM(AH122))=0</formula>
    </cfRule>
    <cfRule type="containsBlanks" dxfId="2537" priority="2530">
      <formula>LEN(TRIM(AH122))=0</formula>
    </cfRule>
    <cfRule type="containsBlanks" dxfId="2536" priority="2531">
      <formula>LEN(TRIM(AH122))=0</formula>
    </cfRule>
    <cfRule type="containsBlanks" dxfId="2535" priority="2532">
      <formula>LEN(TRIM(AH122))=0</formula>
    </cfRule>
    <cfRule type="containsBlanks" dxfId="2534" priority="2533">
      <formula>LEN(TRIM(AH122))=0</formula>
    </cfRule>
    <cfRule type="containsBlanks" dxfId="2533" priority="2534">
      <formula>LEN(TRIM(AH122))=0</formula>
    </cfRule>
    <cfRule type="containsBlanks" dxfId="2532" priority="2535">
      <formula>LEN(TRIM(AH122))=0</formula>
    </cfRule>
    <cfRule type="containsBlanks" dxfId="2531" priority="2536">
      <formula>LEN(TRIM(AH122))=0</formula>
    </cfRule>
    <cfRule type="containsBlanks" dxfId="2530" priority="2537">
      <formula>LEN(TRIM(AH122))=0</formula>
    </cfRule>
    <cfRule type="containsBlanks" dxfId="2529" priority="2538">
      <formula>LEN(TRIM(AH122))=0</formula>
    </cfRule>
    <cfRule type="containsBlanks" dxfId="2528" priority="2539">
      <formula>LEN(TRIM(AH122))=0</formula>
    </cfRule>
    <cfRule type="containsBlanks" dxfId="2527" priority="2540">
      <formula>LEN(TRIM(AH122))=0</formula>
    </cfRule>
    <cfRule type="containsBlanks" dxfId="2526" priority="2541">
      <formula>LEN(TRIM(AH122))=0</formula>
    </cfRule>
    <cfRule type="containsBlanks" dxfId="2525" priority="2542">
      <formula>LEN(TRIM(AH122))=0</formula>
    </cfRule>
    <cfRule type="containsBlanks" dxfId="2524" priority="2543">
      <formula>LEN(TRIM(AH122))=0</formula>
    </cfRule>
    <cfRule type="containsBlanks" dxfId="2523" priority="2544">
      <formula>LEN(TRIM(AH122))=0</formula>
    </cfRule>
    <cfRule type="containsBlanks" dxfId="2522" priority="2545">
      <formula>LEN(TRIM(AH122))=0</formula>
    </cfRule>
    <cfRule type="containsBlanks" dxfId="2521" priority="2546">
      <formula>LEN(TRIM(AH122))=0</formula>
    </cfRule>
    <cfRule type="containsBlanks" dxfId="2520" priority="2547">
      <formula>LEN(TRIM(AH122))=0</formula>
    </cfRule>
    <cfRule type="containsBlanks" dxfId="2519" priority="2548">
      <formula>LEN(TRIM(AH122))=0</formula>
    </cfRule>
    <cfRule type="containsBlanks" dxfId="2518" priority="2549">
      <formula>LEN(TRIM(AH122))=0</formula>
    </cfRule>
    <cfRule type="containsBlanks" dxfId="2517" priority="2550">
      <formula>LEN(TRIM(AH122))=0</formula>
    </cfRule>
    <cfRule type="containsBlanks" dxfId="2516" priority="2551">
      <formula>LEN(TRIM(AH122))=0</formula>
    </cfRule>
    <cfRule type="containsBlanks" dxfId="2515" priority="2552">
      <formula>LEN(TRIM(AH122))=0</formula>
    </cfRule>
    <cfRule type="containsBlanks" dxfId="2514" priority="2553">
      <formula>LEN(TRIM(AH122))=0</formula>
    </cfRule>
    <cfRule type="containsBlanks" dxfId="2513" priority="2554">
      <formula>LEN(TRIM(AH122))=0</formula>
    </cfRule>
    <cfRule type="containsBlanks" dxfId="2512" priority="2555">
      <formula>LEN(TRIM(AH122))=0</formula>
    </cfRule>
    <cfRule type="containsBlanks" dxfId="2511" priority="2556">
      <formula>LEN(TRIM(AH122))=0</formula>
    </cfRule>
    <cfRule type="containsBlanks" dxfId="2510" priority="2557">
      <formula>LEN(TRIM(AH122))=0</formula>
    </cfRule>
    <cfRule type="containsBlanks" dxfId="2509" priority="2558">
      <formula>LEN(TRIM(AH122))=0</formula>
    </cfRule>
    <cfRule type="containsBlanks" dxfId="2508" priority="2559">
      <formula>LEN(TRIM(AH122))=0</formula>
    </cfRule>
    <cfRule type="containsBlanks" dxfId="2507" priority="2560">
      <formula>LEN(TRIM(AH122))=0</formula>
    </cfRule>
    <cfRule type="containsBlanks" dxfId="2506" priority="2561">
      <formula>LEN(TRIM(AH122))=0</formula>
    </cfRule>
  </conditionalFormatting>
  <conditionalFormatting sqref="AH122">
    <cfRule type="containsBlanks" dxfId="2505" priority="2423">
      <formula>LEN(TRIM(AH122))=0</formula>
    </cfRule>
    <cfRule type="containsBlanks" dxfId="2504" priority="2424">
      <formula>LEN(TRIM(AH122))=0</formula>
    </cfRule>
    <cfRule type="containsBlanks" dxfId="2503" priority="2425">
      <formula>LEN(TRIM(AH122))=0</formula>
    </cfRule>
    <cfRule type="containsBlanks" dxfId="2502" priority="2426">
      <formula>LEN(TRIM(AH122))=0</formula>
    </cfRule>
    <cfRule type="containsBlanks" dxfId="2501" priority="2427">
      <formula>LEN(TRIM(AH122))=0</formula>
    </cfRule>
    <cfRule type="containsBlanks" dxfId="2500" priority="2428">
      <formula>LEN(TRIM(AH122))=0</formula>
    </cfRule>
    <cfRule type="containsBlanks" dxfId="2499" priority="2429">
      <formula>LEN(TRIM(AH122))=0</formula>
    </cfRule>
    <cfRule type="containsBlanks" dxfId="2498" priority="2430">
      <formula>LEN(TRIM(AH122))=0</formula>
    </cfRule>
    <cfRule type="containsBlanks" dxfId="2497" priority="2431">
      <formula>LEN(TRIM(AH122))=0</formula>
    </cfRule>
    <cfRule type="containsBlanks" dxfId="2496" priority="2432">
      <formula>LEN(TRIM(AH122))=0</formula>
    </cfRule>
    <cfRule type="containsBlanks" dxfId="2495" priority="2433">
      <formula>LEN(TRIM(AH122))=0</formula>
    </cfRule>
    <cfRule type="containsBlanks" dxfId="2494" priority="2434">
      <formula>LEN(TRIM(AH122))=0</formula>
    </cfRule>
    <cfRule type="containsBlanks" dxfId="2493" priority="2435">
      <formula>LEN(TRIM(AH122))=0</formula>
    </cfRule>
    <cfRule type="containsBlanks" dxfId="2492" priority="2436">
      <formula>LEN(TRIM(AH122))=0</formula>
    </cfRule>
    <cfRule type="containsBlanks" dxfId="2491" priority="2437">
      <formula>LEN(TRIM(AH122))=0</formula>
    </cfRule>
    <cfRule type="containsBlanks" dxfId="2490" priority="2438">
      <formula>LEN(TRIM(AH122))=0</formula>
    </cfRule>
    <cfRule type="containsBlanks" dxfId="2489" priority="2439">
      <formula>LEN(TRIM(AH122))=0</formula>
    </cfRule>
    <cfRule type="containsBlanks" dxfId="2488" priority="2440">
      <formula>LEN(TRIM(AH122))=0</formula>
    </cfRule>
    <cfRule type="containsBlanks" dxfId="2487" priority="2441">
      <formula>LEN(TRIM(AH122))=0</formula>
    </cfRule>
    <cfRule type="containsBlanks" dxfId="2486" priority="2442">
      <formula>LEN(TRIM(AH122))=0</formula>
    </cfRule>
    <cfRule type="containsBlanks" dxfId="2485" priority="2443">
      <formula>LEN(TRIM(AH122))=0</formula>
    </cfRule>
    <cfRule type="containsBlanks" dxfId="2484" priority="2444">
      <formula>LEN(TRIM(AH122))=0</formula>
    </cfRule>
    <cfRule type="containsBlanks" dxfId="2483" priority="2445">
      <formula>LEN(TRIM(AH122))=0</formula>
    </cfRule>
    <cfRule type="containsBlanks" dxfId="2482" priority="2446">
      <formula>LEN(TRIM(AH122))=0</formula>
    </cfRule>
    <cfRule type="containsBlanks" dxfId="2481" priority="2447">
      <formula>LEN(TRIM(AH122))=0</formula>
    </cfRule>
    <cfRule type="containsBlanks" dxfId="2480" priority="2448">
      <formula>LEN(TRIM(AH122))=0</formula>
    </cfRule>
    <cfRule type="containsBlanks" dxfId="2479" priority="2449">
      <formula>LEN(TRIM(AH122))=0</formula>
    </cfRule>
    <cfRule type="containsBlanks" dxfId="2478" priority="2450">
      <formula>LEN(TRIM(AH122))=0</formula>
    </cfRule>
    <cfRule type="containsBlanks" dxfId="2477" priority="2451">
      <formula>LEN(TRIM(AH122))=0</formula>
    </cfRule>
    <cfRule type="containsBlanks" dxfId="2476" priority="2452">
      <formula>LEN(TRIM(AH122))=0</formula>
    </cfRule>
    <cfRule type="containsBlanks" dxfId="2475" priority="2453">
      <formula>LEN(TRIM(AH122))=0</formula>
    </cfRule>
    <cfRule type="containsBlanks" dxfId="2474" priority="2454">
      <formula>LEN(TRIM(AH122))=0</formula>
    </cfRule>
    <cfRule type="containsBlanks" dxfId="2473" priority="2455">
      <formula>LEN(TRIM(AH122))=0</formula>
    </cfRule>
    <cfRule type="containsBlanks" dxfId="2472" priority="2456">
      <formula>LEN(TRIM(AH122))=0</formula>
    </cfRule>
    <cfRule type="containsBlanks" dxfId="2471" priority="2457">
      <formula>LEN(TRIM(AH122))=0</formula>
    </cfRule>
    <cfRule type="containsBlanks" dxfId="2470" priority="2458">
      <formula>LEN(TRIM(AH122))=0</formula>
    </cfRule>
    <cfRule type="containsBlanks" dxfId="2469" priority="2459">
      <formula>LEN(TRIM(AH122))=0</formula>
    </cfRule>
    <cfRule type="containsBlanks" dxfId="2468" priority="2460">
      <formula>LEN(TRIM(AH122))=0</formula>
    </cfRule>
    <cfRule type="containsBlanks" dxfId="2467" priority="2461">
      <formula>LEN(TRIM(AH122))=0</formula>
    </cfRule>
    <cfRule type="containsBlanks" dxfId="2466" priority="2462">
      <formula>LEN(TRIM(AH122))=0</formula>
    </cfRule>
    <cfRule type="containsBlanks" dxfId="2465" priority="2463">
      <formula>LEN(TRIM(AH122))=0</formula>
    </cfRule>
    <cfRule type="containsBlanks" dxfId="2464" priority="2464">
      <formula>LEN(TRIM(AH122))=0</formula>
    </cfRule>
    <cfRule type="containsBlanks" dxfId="2463" priority="2465">
      <formula>LEN(TRIM(AH122))=0</formula>
    </cfRule>
    <cfRule type="containsBlanks" dxfId="2462" priority="2466">
      <formula>LEN(TRIM(AH122))=0</formula>
    </cfRule>
    <cfRule type="containsBlanks" dxfId="2461" priority="2467">
      <formula>LEN(TRIM(AH122))=0</formula>
    </cfRule>
    <cfRule type="containsBlanks" dxfId="2460" priority="2468">
      <formula>LEN(TRIM(AH122))=0</formula>
    </cfRule>
    <cfRule type="containsBlanks" dxfId="2459" priority="2469">
      <formula>LEN(TRIM(AH122))=0</formula>
    </cfRule>
    <cfRule type="containsBlanks" dxfId="2458" priority="2470">
      <formula>LEN(TRIM(AH122))=0</formula>
    </cfRule>
    <cfRule type="containsBlanks" dxfId="2457" priority="2471">
      <formula>LEN(TRIM(AH122))=0</formula>
    </cfRule>
    <cfRule type="containsBlanks" dxfId="2456" priority="2472">
      <formula>LEN(TRIM(AH122))=0</formula>
    </cfRule>
    <cfRule type="containsBlanks" dxfId="2455" priority="2473">
      <formula>LEN(TRIM(AH122))=0</formula>
    </cfRule>
    <cfRule type="containsBlanks" dxfId="2454" priority="2474">
      <formula>LEN(TRIM(AH122))=0</formula>
    </cfRule>
    <cfRule type="containsBlanks" dxfId="2453" priority="2475">
      <formula>LEN(TRIM(AH122))=0</formula>
    </cfRule>
    <cfRule type="containsBlanks" dxfId="2452" priority="2476">
      <formula>LEN(TRIM(AH122))=0</formula>
    </cfRule>
    <cfRule type="containsBlanks" dxfId="2451" priority="2477">
      <formula>LEN(TRIM(AH122))=0</formula>
    </cfRule>
    <cfRule type="containsBlanks" dxfId="2450" priority="2478">
      <formula>LEN(TRIM(AH122))=0</formula>
    </cfRule>
    <cfRule type="containsBlanks" dxfId="2449" priority="2479">
      <formula>LEN(TRIM(AH122))=0</formula>
    </cfRule>
    <cfRule type="containsBlanks" dxfId="2448" priority="2480">
      <formula>LEN(TRIM(AH122))=0</formula>
    </cfRule>
    <cfRule type="containsBlanks" dxfId="2447" priority="2481">
      <formula>LEN(TRIM(AH122))=0</formula>
    </cfRule>
    <cfRule type="containsBlanks" dxfId="2446" priority="2482">
      <formula>LEN(TRIM(AH122))=0</formula>
    </cfRule>
    <cfRule type="containsBlanks" dxfId="2445" priority="2483">
      <formula>LEN(TRIM(AH122))=0</formula>
    </cfRule>
    <cfRule type="containsBlanks" dxfId="2444" priority="2484">
      <formula>LEN(TRIM(AH122))=0</formula>
    </cfRule>
    <cfRule type="containsBlanks" dxfId="2443" priority="2485">
      <formula>LEN(TRIM(AH122))=0</formula>
    </cfRule>
    <cfRule type="containsBlanks" dxfId="2442" priority="2486">
      <formula>LEN(TRIM(AH122))=0</formula>
    </cfRule>
    <cfRule type="containsBlanks" dxfId="2441" priority="2487">
      <formula>LEN(TRIM(AH122))=0</formula>
    </cfRule>
    <cfRule type="containsBlanks" dxfId="2440" priority="2488">
      <formula>LEN(TRIM(AH122))=0</formula>
    </cfRule>
    <cfRule type="containsBlanks" dxfId="2439" priority="2489">
      <formula>LEN(TRIM(AH122))=0</formula>
    </cfRule>
    <cfRule type="containsBlanks" dxfId="2438" priority="2490">
      <formula>LEN(TRIM(AH122))=0</formula>
    </cfRule>
    <cfRule type="containsBlanks" dxfId="2437" priority="2491">
      <formula>LEN(TRIM(AH122))=0</formula>
    </cfRule>
    <cfRule type="containsBlanks" dxfId="2436" priority="2492">
      <formula>LEN(TRIM(AH122))=0</formula>
    </cfRule>
    <cfRule type="containsBlanks" dxfId="2435" priority="2493">
      <formula>LEN(TRIM(AH122))=0</formula>
    </cfRule>
    <cfRule type="containsBlanks" dxfId="2434" priority="2494">
      <formula>LEN(TRIM(AH122))=0</formula>
    </cfRule>
    <cfRule type="containsBlanks" dxfId="2433" priority="2495">
      <formula>LEN(TRIM(AH122))=0</formula>
    </cfRule>
    <cfRule type="containsBlanks" dxfId="2432" priority="2496">
      <formula>LEN(TRIM(AH122))=0</formula>
    </cfRule>
    <cfRule type="containsBlanks" dxfId="2431" priority="2497">
      <formula>LEN(TRIM(AH122))=0</formula>
    </cfRule>
    <cfRule type="containsBlanks" dxfId="2430" priority="2498">
      <formula>LEN(TRIM(AH122))=0</formula>
    </cfRule>
    <cfRule type="containsBlanks" dxfId="2429" priority="2499">
      <formula>LEN(TRIM(AH122))=0</formula>
    </cfRule>
    <cfRule type="containsBlanks" dxfId="2428" priority="2500">
      <formula>LEN(TRIM(AH122))=0</formula>
    </cfRule>
    <cfRule type="containsBlanks" dxfId="2427" priority="2501">
      <formula>LEN(TRIM(AH122))=0</formula>
    </cfRule>
    <cfRule type="containsBlanks" dxfId="2426" priority="2502">
      <formula>LEN(TRIM(AH122))=0</formula>
    </cfRule>
    <cfRule type="containsBlanks" dxfId="2425" priority="2503">
      <formula>LEN(TRIM(AH122))=0</formula>
    </cfRule>
    <cfRule type="containsBlanks" dxfId="2424" priority="2504">
      <formula>LEN(TRIM(AH122))=0</formula>
    </cfRule>
    <cfRule type="containsBlanks" dxfId="2423" priority="2505">
      <formula>LEN(TRIM(AH122))=0</formula>
    </cfRule>
    <cfRule type="containsBlanks" dxfId="2422" priority="2506">
      <formula>LEN(TRIM(AH122))=0</formula>
    </cfRule>
  </conditionalFormatting>
  <conditionalFormatting sqref="AH137">
    <cfRule type="containsBlanks" dxfId="2421" priority="2422">
      <formula>LEN(TRIM(AH137))=0</formula>
    </cfRule>
  </conditionalFormatting>
  <conditionalFormatting sqref="AH137">
    <cfRule type="containsBlanks" dxfId="2420" priority="2421">
      <formula>LEN(TRIM(AH137))=0</formula>
    </cfRule>
  </conditionalFormatting>
  <conditionalFormatting sqref="AH137">
    <cfRule type="containsBlanks" dxfId="2419" priority="2419">
      <formula>LEN(TRIM(AH137))=0</formula>
    </cfRule>
    <cfRule type="containsBlanks" dxfId="2418" priority="2420">
      <formula>LEN(TRIM(AH137))=0</formula>
    </cfRule>
  </conditionalFormatting>
  <conditionalFormatting sqref="AH137">
    <cfRule type="containsBlanks" dxfId="2417" priority="2418">
      <formula>LEN(TRIM(AH137))=0</formula>
    </cfRule>
  </conditionalFormatting>
  <conditionalFormatting sqref="AH137">
    <cfRule type="containsBlanks" dxfId="2416" priority="2417">
      <formula>LEN(TRIM(AH137))=0</formula>
    </cfRule>
  </conditionalFormatting>
  <conditionalFormatting sqref="AH137">
    <cfRule type="containsBlanks" dxfId="2415" priority="2416">
      <formula>LEN(TRIM(AH137))=0</formula>
    </cfRule>
  </conditionalFormatting>
  <conditionalFormatting sqref="AH137">
    <cfRule type="containsBlanks" dxfId="2414" priority="2414">
      <formula>LEN(TRIM(AH137))=0</formula>
    </cfRule>
    <cfRule type="containsBlanks" dxfId="2413" priority="2415">
      <formula>LEN(TRIM(AH137))=0</formula>
    </cfRule>
  </conditionalFormatting>
  <conditionalFormatting sqref="AH137">
    <cfRule type="containsBlanks" dxfId="2412" priority="2412">
      <formula>LEN(TRIM(AH137))=0</formula>
    </cfRule>
    <cfRule type="containsBlanks" dxfId="2411" priority="2413">
      <formula>LEN(TRIM(AH137))=0</formula>
    </cfRule>
  </conditionalFormatting>
  <conditionalFormatting sqref="AH137">
    <cfRule type="containsBlanks" dxfId="2410" priority="2410">
      <formula>LEN(TRIM(AH137))=0</formula>
    </cfRule>
    <cfRule type="containsBlanks" dxfId="2409" priority="2411">
      <formula>LEN(TRIM(AH137))=0</formula>
    </cfRule>
  </conditionalFormatting>
  <conditionalFormatting sqref="AH137">
    <cfRule type="containsBlanks" dxfId="2408" priority="2408">
      <formula>LEN(TRIM(AH137))=0</formula>
    </cfRule>
    <cfRule type="containsBlanks" dxfId="2407" priority="2409">
      <formula>LEN(TRIM(AH137))=0</formula>
    </cfRule>
  </conditionalFormatting>
  <conditionalFormatting sqref="AH137">
    <cfRule type="containsBlanks" dxfId="2406" priority="2342">
      <formula>LEN(TRIM(AH137))=0</formula>
    </cfRule>
    <cfRule type="containsBlanks" dxfId="2405" priority="2343">
      <formula>LEN(TRIM(AH137))=0</formula>
    </cfRule>
    <cfRule type="containsBlanks" dxfId="2404" priority="2344">
      <formula>LEN(TRIM(AH137))=0</formula>
    </cfRule>
    <cfRule type="containsBlanks" dxfId="2403" priority="2345">
      <formula>LEN(TRIM(AH137))=0</formula>
    </cfRule>
    <cfRule type="containsBlanks" dxfId="2402" priority="2346">
      <formula>LEN(TRIM(AH137))=0</formula>
    </cfRule>
    <cfRule type="containsBlanks" dxfId="2401" priority="2347">
      <formula>LEN(TRIM(AH137))=0</formula>
    </cfRule>
    <cfRule type="containsBlanks" dxfId="2400" priority="2348">
      <formula>LEN(TRIM(AH137))=0</formula>
    </cfRule>
    <cfRule type="containsBlanks" dxfId="2399" priority="2349">
      <formula>LEN(TRIM(AH137))=0</formula>
    </cfRule>
    <cfRule type="containsBlanks" dxfId="2398" priority="2350">
      <formula>LEN(TRIM(AH137))=0</formula>
    </cfRule>
    <cfRule type="containsBlanks" dxfId="2397" priority="2351">
      <formula>LEN(TRIM(AH137))=0</formula>
    </cfRule>
    <cfRule type="containsBlanks" dxfId="2396" priority="2352">
      <formula>LEN(TRIM(AH137))=0</formula>
    </cfRule>
    <cfRule type="containsBlanks" dxfId="2395" priority="2353">
      <formula>LEN(TRIM(AH137))=0</formula>
    </cfRule>
    <cfRule type="containsBlanks" dxfId="2394" priority="2354">
      <formula>LEN(TRIM(AH137))=0</formula>
    </cfRule>
    <cfRule type="containsBlanks" dxfId="2393" priority="2355">
      <formula>LEN(TRIM(AH137))=0</formula>
    </cfRule>
    <cfRule type="containsBlanks" dxfId="2392" priority="2356">
      <formula>LEN(TRIM(AH137))=0</formula>
    </cfRule>
    <cfRule type="containsBlanks" dxfId="2391" priority="2357">
      <formula>LEN(TRIM(AH137))=0</formula>
    </cfRule>
    <cfRule type="containsBlanks" dxfId="2390" priority="2358">
      <formula>LEN(TRIM(AH137))=0</formula>
    </cfRule>
    <cfRule type="containsBlanks" dxfId="2389" priority="2359">
      <formula>LEN(TRIM(AH137))=0</formula>
    </cfRule>
    <cfRule type="containsBlanks" dxfId="2388" priority="2360">
      <formula>LEN(TRIM(AH137))=0</formula>
    </cfRule>
    <cfRule type="containsBlanks" dxfId="2387" priority="2361">
      <formula>LEN(TRIM(AH137))=0</formula>
    </cfRule>
    <cfRule type="containsBlanks" dxfId="2386" priority="2362">
      <formula>LEN(TRIM(AH137))=0</formula>
    </cfRule>
    <cfRule type="containsBlanks" dxfId="2385" priority="2363">
      <formula>LEN(TRIM(AH137))=0</formula>
    </cfRule>
    <cfRule type="containsBlanks" dxfId="2384" priority="2364">
      <formula>LEN(TRIM(AH137))=0</formula>
    </cfRule>
    <cfRule type="containsBlanks" dxfId="2383" priority="2365">
      <formula>LEN(TRIM(AH137))=0</formula>
    </cfRule>
    <cfRule type="containsBlanks" dxfId="2382" priority="2366">
      <formula>LEN(TRIM(AH137))=0</formula>
    </cfRule>
    <cfRule type="containsBlanks" dxfId="2381" priority="2367">
      <formula>LEN(TRIM(AH137))=0</formula>
    </cfRule>
    <cfRule type="containsBlanks" dxfId="2380" priority="2368">
      <formula>LEN(TRIM(AH137))=0</formula>
    </cfRule>
    <cfRule type="containsBlanks" dxfId="2379" priority="2369">
      <formula>LEN(TRIM(AH137))=0</formula>
    </cfRule>
    <cfRule type="containsBlanks" dxfId="2378" priority="2370">
      <formula>LEN(TRIM(AH137))=0</formula>
    </cfRule>
    <cfRule type="containsBlanks" dxfId="2377" priority="2371">
      <formula>LEN(TRIM(AH137))=0</formula>
    </cfRule>
    <cfRule type="containsBlanks" dxfId="2376" priority="2372">
      <formula>LEN(TRIM(AH137))=0</formula>
    </cfRule>
    <cfRule type="containsBlanks" dxfId="2375" priority="2373">
      <formula>LEN(TRIM(AH137))=0</formula>
    </cfRule>
    <cfRule type="containsBlanks" dxfId="2374" priority="2374">
      <formula>LEN(TRIM(AH137))=0</formula>
    </cfRule>
    <cfRule type="containsBlanks" dxfId="2373" priority="2375">
      <formula>LEN(TRIM(AH137))=0</formula>
    </cfRule>
    <cfRule type="containsBlanks" dxfId="2372" priority="2376">
      <formula>LEN(TRIM(AH137))=0</formula>
    </cfRule>
    <cfRule type="containsBlanks" dxfId="2371" priority="2377">
      <formula>LEN(TRIM(AH137))=0</formula>
    </cfRule>
    <cfRule type="containsBlanks" dxfId="2370" priority="2378">
      <formula>LEN(TRIM(AH137))=0</formula>
    </cfRule>
    <cfRule type="containsBlanks" dxfId="2369" priority="2379">
      <formula>LEN(TRIM(AH137))=0</formula>
    </cfRule>
    <cfRule type="containsBlanks" dxfId="2368" priority="2380">
      <formula>LEN(TRIM(AH137))=0</formula>
    </cfRule>
    <cfRule type="containsBlanks" dxfId="2367" priority="2381">
      <formula>LEN(TRIM(AH137))=0</formula>
    </cfRule>
    <cfRule type="containsBlanks" dxfId="2366" priority="2382">
      <formula>LEN(TRIM(AH137))=0</formula>
    </cfRule>
    <cfRule type="containsBlanks" dxfId="2365" priority="2383">
      <formula>LEN(TRIM(AH137))=0</formula>
    </cfRule>
    <cfRule type="containsBlanks" dxfId="2364" priority="2384">
      <formula>LEN(TRIM(AH137))=0</formula>
    </cfRule>
    <cfRule type="containsBlanks" dxfId="2363" priority="2385">
      <formula>LEN(TRIM(AH137))=0</formula>
    </cfRule>
    <cfRule type="containsBlanks" dxfId="2362" priority="2386">
      <formula>LEN(TRIM(AH137))=0</formula>
    </cfRule>
    <cfRule type="containsBlanks" dxfId="2361" priority="2387">
      <formula>LEN(TRIM(AH137))=0</formula>
    </cfRule>
    <cfRule type="containsBlanks" dxfId="2360" priority="2388">
      <formula>LEN(TRIM(AH137))=0</formula>
    </cfRule>
    <cfRule type="containsBlanks" dxfId="2359" priority="2389">
      <formula>LEN(TRIM(AH137))=0</formula>
    </cfRule>
    <cfRule type="containsBlanks" dxfId="2358" priority="2390">
      <formula>LEN(TRIM(AH137))=0</formula>
    </cfRule>
    <cfRule type="containsBlanks" dxfId="2357" priority="2391">
      <formula>LEN(TRIM(AH137))=0</formula>
    </cfRule>
    <cfRule type="containsBlanks" dxfId="2356" priority="2392">
      <formula>LEN(TRIM(AH137))=0</formula>
    </cfRule>
    <cfRule type="containsBlanks" dxfId="2355" priority="2393">
      <formula>LEN(TRIM(AH137))=0</formula>
    </cfRule>
    <cfRule type="containsBlanks" dxfId="2354" priority="2394">
      <formula>LEN(TRIM(AH137))=0</formula>
    </cfRule>
    <cfRule type="containsBlanks" dxfId="2353" priority="2395">
      <formula>LEN(TRIM(AH137))=0</formula>
    </cfRule>
    <cfRule type="containsBlanks" dxfId="2352" priority="2396">
      <formula>LEN(TRIM(AH137))=0</formula>
    </cfRule>
    <cfRule type="containsBlanks" dxfId="2351" priority="2397">
      <formula>LEN(TRIM(AH137))=0</formula>
    </cfRule>
    <cfRule type="containsBlanks" dxfId="2350" priority="2398">
      <formula>LEN(TRIM(AH137))=0</formula>
    </cfRule>
    <cfRule type="containsBlanks" dxfId="2349" priority="2399">
      <formula>LEN(TRIM(AH137))=0</formula>
    </cfRule>
    <cfRule type="containsBlanks" dxfId="2348" priority="2400">
      <formula>LEN(TRIM(AH137))=0</formula>
    </cfRule>
    <cfRule type="containsBlanks" dxfId="2347" priority="2401">
      <formula>LEN(TRIM(AH137))=0</formula>
    </cfRule>
    <cfRule type="containsBlanks" dxfId="2346" priority="2402">
      <formula>LEN(TRIM(AH137))=0</formula>
    </cfRule>
    <cfRule type="containsBlanks" dxfId="2345" priority="2403">
      <formula>LEN(TRIM(AH137))=0</formula>
    </cfRule>
    <cfRule type="containsBlanks" dxfId="2344" priority="2404">
      <formula>LEN(TRIM(AH137))=0</formula>
    </cfRule>
    <cfRule type="containsBlanks" dxfId="2343" priority="2405">
      <formula>LEN(TRIM(AH137))=0</formula>
    </cfRule>
    <cfRule type="containsBlanks" dxfId="2342" priority="2406">
      <formula>LEN(TRIM(AH137))=0</formula>
    </cfRule>
    <cfRule type="containsBlanks" dxfId="2341" priority="2407">
      <formula>LEN(TRIM(AH137))=0</formula>
    </cfRule>
  </conditionalFormatting>
  <conditionalFormatting sqref="AH137">
    <cfRule type="containsBlanks" dxfId="2340" priority="2287">
      <formula>LEN(TRIM(AH137))=0</formula>
    </cfRule>
    <cfRule type="containsBlanks" dxfId="2339" priority="2288">
      <formula>LEN(TRIM(AH137))=0</formula>
    </cfRule>
    <cfRule type="containsBlanks" dxfId="2338" priority="2289">
      <formula>LEN(TRIM(AH137))=0</formula>
    </cfRule>
    <cfRule type="containsBlanks" dxfId="2337" priority="2290">
      <formula>LEN(TRIM(AH137))=0</formula>
    </cfRule>
    <cfRule type="containsBlanks" dxfId="2336" priority="2291">
      <formula>LEN(TRIM(AH137))=0</formula>
    </cfRule>
    <cfRule type="containsBlanks" dxfId="2335" priority="2292">
      <formula>LEN(TRIM(AH137))=0</formula>
    </cfRule>
    <cfRule type="containsBlanks" dxfId="2334" priority="2293">
      <formula>LEN(TRIM(AH137))=0</formula>
    </cfRule>
    <cfRule type="containsBlanks" dxfId="2333" priority="2294">
      <formula>LEN(TRIM(AH137))=0</formula>
    </cfRule>
    <cfRule type="containsBlanks" dxfId="2332" priority="2295">
      <formula>LEN(TRIM(AH137))=0</formula>
    </cfRule>
    <cfRule type="containsBlanks" dxfId="2331" priority="2296">
      <formula>LEN(TRIM(AH137))=0</formula>
    </cfRule>
    <cfRule type="containsBlanks" dxfId="2330" priority="2297">
      <formula>LEN(TRIM(AH137))=0</formula>
    </cfRule>
    <cfRule type="containsBlanks" dxfId="2329" priority="2298">
      <formula>LEN(TRIM(AH137))=0</formula>
    </cfRule>
    <cfRule type="containsBlanks" dxfId="2328" priority="2299">
      <formula>LEN(TRIM(AH137))=0</formula>
    </cfRule>
    <cfRule type="containsBlanks" dxfId="2327" priority="2300">
      <formula>LEN(TRIM(AH137))=0</formula>
    </cfRule>
    <cfRule type="containsBlanks" dxfId="2326" priority="2301">
      <formula>LEN(TRIM(AH137))=0</formula>
    </cfRule>
    <cfRule type="containsBlanks" dxfId="2325" priority="2302">
      <formula>LEN(TRIM(AH137))=0</formula>
    </cfRule>
    <cfRule type="containsBlanks" dxfId="2324" priority="2303">
      <formula>LEN(TRIM(AH137))=0</formula>
    </cfRule>
    <cfRule type="containsBlanks" dxfId="2323" priority="2304">
      <formula>LEN(TRIM(AH137))=0</formula>
    </cfRule>
    <cfRule type="containsBlanks" dxfId="2322" priority="2305">
      <formula>LEN(TRIM(AH137))=0</formula>
    </cfRule>
    <cfRule type="containsBlanks" dxfId="2321" priority="2306">
      <formula>LEN(TRIM(AH137))=0</formula>
    </cfRule>
    <cfRule type="containsBlanks" dxfId="2320" priority="2307">
      <formula>LEN(TRIM(AH137))=0</formula>
    </cfRule>
    <cfRule type="containsBlanks" dxfId="2319" priority="2308">
      <formula>LEN(TRIM(AH137))=0</formula>
    </cfRule>
    <cfRule type="containsBlanks" dxfId="2318" priority="2309">
      <formula>LEN(TRIM(AH137))=0</formula>
    </cfRule>
    <cfRule type="containsBlanks" dxfId="2317" priority="2310">
      <formula>LEN(TRIM(AH137))=0</formula>
    </cfRule>
    <cfRule type="containsBlanks" dxfId="2316" priority="2311">
      <formula>LEN(TRIM(AH137))=0</formula>
    </cfRule>
    <cfRule type="containsBlanks" dxfId="2315" priority="2312">
      <formula>LEN(TRIM(AH137))=0</formula>
    </cfRule>
    <cfRule type="containsBlanks" dxfId="2314" priority="2313">
      <formula>LEN(TRIM(AH137))=0</formula>
    </cfRule>
    <cfRule type="containsBlanks" dxfId="2313" priority="2314">
      <formula>LEN(TRIM(AH137))=0</formula>
    </cfRule>
    <cfRule type="containsBlanks" dxfId="2312" priority="2315">
      <formula>LEN(TRIM(AH137))=0</formula>
    </cfRule>
    <cfRule type="containsBlanks" dxfId="2311" priority="2316">
      <formula>LEN(TRIM(AH137))=0</formula>
    </cfRule>
    <cfRule type="containsBlanks" dxfId="2310" priority="2317">
      <formula>LEN(TRIM(AH137))=0</formula>
    </cfRule>
    <cfRule type="containsBlanks" dxfId="2309" priority="2318">
      <formula>LEN(TRIM(AH137))=0</formula>
    </cfRule>
    <cfRule type="containsBlanks" dxfId="2308" priority="2319">
      <formula>LEN(TRIM(AH137))=0</formula>
    </cfRule>
    <cfRule type="containsBlanks" dxfId="2307" priority="2320">
      <formula>LEN(TRIM(AH137))=0</formula>
    </cfRule>
    <cfRule type="containsBlanks" dxfId="2306" priority="2321">
      <formula>LEN(TRIM(AH137))=0</formula>
    </cfRule>
    <cfRule type="containsBlanks" dxfId="2305" priority="2322">
      <formula>LEN(TRIM(AH137))=0</formula>
    </cfRule>
    <cfRule type="containsBlanks" dxfId="2304" priority="2323">
      <formula>LEN(TRIM(AH137))=0</formula>
    </cfRule>
    <cfRule type="containsBlanks" dxfId="2303" priority="2324">
      <formula>LEN(TRIM(AH137))=0</formula>
    </cfRule>
    <cfRule type="containsBlanks" dxfId="2302" priority="2325">
      <formula>LEN(TRIM(AH137))=0</formula>
    </cfRule>
    <cfRule type="containsBlanks" dxfId="2301" priority="2326">
      <formula>LEN(TRIM(AH137))=0</formula>
    </cfRule>
    <cfRule type="containsBlanks" dxfId="2300" priority="2327">
      <formula>LEN(TRIM(AH137))=0</formula>
    </cfRule>
    <cfRule type="containsBlanks" dxfId="2299" priority="2328">
      <formula>LEN(TRIM(AH137))=0</formula>
    </cfRule>
    <cfRule type="containsBlanks" dxfId="2298" priority="2329">
      <formula>LEN(TRIM(AH137))=0</formula>
    </cfRule>
    <cfRule type="containsBlanks" dxfId="2297" priority="2330">
      <formula>LEN(TRIM(AH137))=0</formula>
    </cfRule>
    <cfRule type="containsBlanks" dxfId="2296" priority="2331">
      <formula>LEN(TRIM(AH137))=0</formula>
    </cfRule>
    <cfRule type="containsBlanks" dxfId="2295" priority="2332">
      <formula>LEN(TRIM(AH137))=0</formula>
    </cfRule>
    <cfRule type="containsBlanks" dxfId="2294" priority="2333">
      <formula>LEN(TRIM(AH137))=0</formula>
    </cfRule>
    <cfRule type="containsBlanks" dxfId="2293" priority="2334">
      <formula>LEN(TRIM(AH137))=0</formula>
    </cfRule>
    <cfRule type="containsBlanks" dxfId="2292" priority="2335">
      <formula>LEN(TRIM(AH137))=0</formula>
    </cfRule>
    <cfRule type="containsBlanks" dxfId="2291" priority="2336">
      <formula>LEN(TRIM(AH137))=0</formula>
    </cfRule>
    <cfRule type="containsBlanks" dxfId="2290" priority="2337">
      <formula>LEN(TRIM(AH137))=0</formula>
    </cfRule>
    <cfRule type="containsBlanks" dxfId="2289" priority="2338">
      <formula>LEN(TRIM(AH137))=0</formula>
    </cfRule>
    <cfRule type="containsBlanks" dxfId="2288" priority="2339">
      <formula>LEN(TRIM(AH137))=0</formula>
    </cfRule>
    <cfRule type="containsBlanks" dxfId="2287" priority="2340">
      <formula>LEN(TRIM(AH137))=0</formula>
    </cfRule>
    <cfRule type="containsBlanks" dxfId="2286" priority="2341">
      <formula>LEN(TRIM(AH137))=0</formula>
    </cfRule>
  </conditionalFormatting>
  <conditionalFormatting sqref="AH137">
    <cfRule type="containsBlanks" dxfId="2285" priority="2203">
      <formula>LEN(TRIM(AH137))=0</formula>
    </cfRule>
    <cfRule type="containsBlanks" dxfId="2284" priority="2204">
      <formula>LEN(TRIM(AH137))=0</formula>
    </cfRule>
    <cfRule type="containsBlanks" dxfId="2283" priority="2205">
      <formula>LEN(TRIM(AH137))=0</formula>
    </cfRule>
    <cfRule type="containsBlanks" dxfId="2282" priority="2206">
      <formula>LEN(TRIM(AH137))=0</formula>
    </cfRule>
    <cfRule type="containsBlanks" dxfId="2281" priority="2207">
      <formula>LEN(TRIM(AH137))=0</formula>
    </cfRule>
    <cfRule type="containsBlanks" dxfId="2280" priority="2208">
      <formula>LEN(TRIM(AH137))=0</formula>
    </cfRule>
    <cfRule type="containsBlanks" dxfId="2279" priority="2209">
      <formula>LEN(TRIM(AH137))=0</formula>
    </cfRule>
    <cfRule type="containsBlanks" dxfId="2278" priority="2210">
      <formula>LEN(TRIM(AH137))=0</formula>
    </cfRule>
    <cfRule type="containsBlanks" dxfId="2277" priority="2211">
      <formula>LEN(TRIM(AH137))=0</formula>
    </cfRule>
    <cfRule type="containsBlanks" dxfId="2276" priority="2212">
      <formula>LEN(TRIM(AH137))=0</formula>
    </cfRule>
    <cfRule type="containsBlanks" dxfId="2275" priority="2213">
      <formula>LEN(TRIM(AH137))=0</formula>
    </cfRule>
    <cfRule type="containsBlanks" dxfId="2274" priority="2214">
      <formula>LEN(TRIM(AH137))=0</formula>
    </cfRule>
    <cfRule type="containsBlanks" dxfId="2273" priority="2215">
      <formula>LEN(TRIM(AH137))=0</formula>
    </cfRule>
    <cfRule type="containsBlanks" dxfId="2272" priority="2216">
      <formula>LEN(TRIM(AH137))=0</formula>
    </cfRule>
    <cfRule type="containsBlanks" dxfId="2271" priority="2217">
      <formula>LEN(TRIM(AH137))=0</formula>
    </cfRule>
    <cfRule type="containsBlanks" dxfId="2270" priority="2218">
      <formula>LEN(TRIM(AH137))=0</formula>
    </cfRule>
    <cfRule type="containsBlanks" dxfId="2269" priority="2219">
      <formula>LEN(TRIM(AH137))=0</formula>
    </cfRule>
    <cfRule type="containsBlanks" dxfId="2268" priority="2220">
      <formula>LEN(TRIM(AH137))=0</formula>
    </cfRule>
    <cfRule type="containsBlanks" dxfId="2267" priority="2221">
      <formula>LEN(TRIM(AH137))=0</formula>
    </cfRule>
    <cfRule type="containsBlanks" dxfId="2266" priority="2222">
      <formula>LEN(TRIM(AH137))=0</formula>
    </cfRule>
    <cfRule type="containsBlanks" dxfId="2265" priority="2223">
      <formula>LEN(TRIM(AH137))=0</formula>
    </cfRule>
    <cfRule type="containsBlanks" dxfId="2264" priority="2224">
      <formula>LEN(TRIM(AH137))=0</formula>
    </cfRule>
    <cfRule type="containsBlanks" dxfId="2263" priority="2225">
      <formula>LEN(TRIM(AH137))=0</formula>
    </cfRule>
    <cfRule type="containsBlanks" dxfId="2262" priority="2226">
      <formula>LEN(TRIM(AH137))=0</formula>
    </cfRule>
    <cfRule type="containsBlanks" dxfId="2261" priority="2227">
      <formula>LEN(TRIM(AH137))=0</formula>
    </cfRule>
    <cfRule type="containsBlanks" dxfId="2260" priority="2228">
      <formula>LEN(TRIM(AH137))=0</formula>
    </cfRule>
    <cfRule type="containsBlanks" dxfId="2259" priority="2229">
      <formula>LEN(TRIM(AH137))=0</formula>
    </cfRule>
    <cfRule type="containsBlanks" dxfId="2258" priority="2230">
      <formula>LEN(TRIM(AH137))=0</formula>
    </cfRule>
    <cfRule type="containsBlanks" dxfId="2257" priority="2231">
      <formula>LEN(TRIM(AH137))=0</formula>
    </cfRule>
    <cfRule type="containsBlanks" dxfId="2256" priority="2232">
      <formula>LEN(TRIM(AH137))=0</formula>
    </cfRule>
    <cfRule type="containsBlanks" dxfId="2255" priority="2233">
      <formula>LEN(TRIM(AH137))=0</formula>
    </cfRule>
    <cfRule type="containsBlanks" dxfId="2254" priority="2234">
      <formula>LEN(TRIM(AH137))=0</formula>
    </cfRule>
    <cfRule type="containsBlanks" dxfId="2253" priority="2235">
      <formula>LEN(TRIM(AH137))=0</formula>
    </cfRule>
    <cfRule type="containsBlanks" dxfId="2252" priority="2236">
      <formula>LEN(TRIM(AH137))=0</formula>
    </cfRule>
    <cfRule type="containsBlanks" dxfId="2251" priority="2237">
      <formula>LEN(TRIM(AH137))=0</formula>
    </cfRule>
    <cfRule type="containsBlanks" dxfId="2250" priority="2238">
      <formula>LEN(TRIM(AH137))=0</formula>
    </cfRule>
    <cfRule type="containsBlanks" dxfId="2249" priority="2239">
      <formula>LEN(TRIM(AH137))=0</formula>
    </cfRule>
    <cfRule type="containsBlanks" dxfId="2248" priority="2240">
      <formula>LEN(TRIM(AH137))=0</formula>
    </cfRule>
    <cfRule type="containsBlanks" dxfId="2247" priority="2241">
      <formula>LEN(TRIM(AH137))=0</formula>
    </cfRule>
    <cfRule type="containsBlanks" dxfId="2246" priority="2242">
      <formula>LEN(TRIM(AH137))=0</formula>
    </cfRule>
    <cfRule type="containsBlanks" dxfId="2245" priority="2243">
      <formula>LEN(TRIM(AH137))=0</formula>
    </cfRule>
    <cfRule type="containsBlanks" dxfId="2244" priority="2244">
      <formula>LEN(TRIM(AH137))=0</formula>
    </cfRule>
    <cfRule type="containsBlanks" dxfId="2243" priority="2245">
      <formula>LEN(TRIM(AH137))=0</formula>
    </cfRule>
    <cfRule type="containsBlanks" dxfId="2242" priority="2246">
      <formula>LEN(TRIM(AH137))=0</formula>
    </cfRule>
    <cfRule type="containsBlanks" dxfId="2241" priority="2247">
      <formula>LEN(TRIM(AH137))=0</formula>
    </cfRule>
    <cfRule type="containsBlanks" dxfId="2240" priority="2248">
      <formula>LEN(TRIM(AH137))=0</formula>
    </cfRule>
    <cfRule type="containsBlanks" dxfId="2239" priority="2249">
      <formula>LEN(TRIM(AH137))=0</formula>
    </cfRule>
    <cfRule type="containsBlanks" dxfId="2238" priority="2250">
      <formula>LEN(TRIM(AH137))=0</formula>
    </cfRule>
    <cfRule type="containsBlanks" dxfId="2237" priority="2251">
      <formula>LEN(TRIM(AH137))=0</formula>
    </cfRule>
    <cfRule type="containsBlanks" dxfId="2236" priority="2252">
      <formula>LEN(TRIM(AH137))=0</formula>
    </cfRule>
    <cfRule type="containsBlanks" dxfId="2235" priority="2253">
      <formula>LEN(TRIM(AH137))=0</formula>
    </cfRule>
    <cfRule type="containsBlanks" dxfId="2234" priority="2254">
      <formula>LEN(TRIM(AH137))=0</formula>
    </cfRule>
    <cfRule type="containsBlanks" dxfId="2233" priority="2255">
      <formula>LEN(TRIM(AH137))=0</formula>
    </cfRule>
    <cfRule type="containsBlanks" dxfId="2232" priority="2256">
      <formula>LEN(TRIM(AH137))=0</formula>
    </cfRule>
    <cfRule type="containsBlanks" dxfId="2231" priority="2257">
      <formula>LEN(TRIM(AH137))=0</formula>
    </cfRule>
    <cfRule type="containsBlanks" dxfId="2230" priority="2258">
      <formula>LEN(TRIM(AH137))=0</formula>
    </cfRule>
    <cfRule type="containsBlanks" dxfId="2229" priority="2259">
      <formula>LEN(TRIM(AH137))=0</formula>
    </cfRule>
    <cfRule type="containsBlanks" dxfId="2228" priority="2260">
      <formula>LEN(TRIM(AH137))=0</formula>
    </cfRule>
    <cfRule type="containsBlanks" dxfId="2227" priority="2261">
      <formula>LEN(TRIM(AH137))=0</formula>
    </cfRule>
    <cfRule type="containsBlanks" dxfId="2226" priority="2262">
      <formula>LEN(TRIM(AH137))=0</formula>
    </cfRule>
    <cfRule type="containsBlanks" dxfId="2225" priority="2263">
      <formula>LEN(TRIM(AH137))=0</formula>
    </cfRule>
    <cfRule type="containsBlanks" dxfId="2224" priority="2264">
      <formula>LEN(TRIM(AH137))=0</formula>
    </cfRule>
    <cfRule type="containsBlanks" dxfId="2223" priority="2265">
      <formula>LEN(TRIM(AH137))=0</formula>
    </cfRule>
    <cfRule type="containsBlanks" dxfId="2222" priority="2266">
      <formula>LEN(TRIM(AH137))=0</formula>
    </cfRule>
    <cfRule type="containsBlanks" dxfId="2221" priority="2267">
      <formula>LEN(TRIM(AH137))=0</formula>
    </cfRule>
    <cfRule type="containsBlanks" dxfId="2220" priority="2268">
      <formula>LEN(TRIM(AH137))=0</formula>
    </cfRule>
    <cfRule type="containsBlanks" dxfId="2219" priority="2269">
      <formula>LEN(TRIM(AH137))=0</formula>
    </cfRule>
    <cfRule type="containsBlanks" dxfId="2218" priority="2270">
      <formula>LEN(TRIM(AH137))=0</formula>
    </cfRule>
    <cfRule type="containsBlanks" dxfId="2217" priority="2271">
      <formula>LEN(TRIM(AH137))=0</formula>
    </cfRule>
    <cfRule type="containsBlanks" dxfId="2216" priority="2272">
      <formula>LEN(TRIM(AH137))=0</formula>
    </cfRule>
    <cfRule type="containsBlanks" dxfId="2215" priority="2273">
      <formula>LEN(TRIM(AH137))=0</formula>
    </cfRule>
    <cfRule type="containsBlanks" dxfId="2214" priority="2274">
      <formula>LEN(TRIM(AH137))=0</formula>
    </cfRule>
    <cfRule type="containsBlanks" dxfId="2213" priority="2275">
      <formula>LEN(TRIM(AH137))=0</formula>
    </cfRule>
    <cfRule type="containsBlanks" dxfId="2212" priority="2276">
      <formula>LEN(TRIM(AH137))=0</formula>
    </cfRule>
    <cfRule type="containsBlanks" dxfId="2211" priority="2277">
      <formula>LEN(TRIM(AH137))=0</formula>
    </cfRule>
    <cfRule type="containsBlanks" dxfId="2210" priority="2278">
      <formula>LEN(TRIM(AH137))=0</formula>
    </cfRule>
    <cfRule type="containsBlanks" dxfId="2209" priority="2279">
      <formula>LEN(TRIM(AH137))=0</formula>
    </cfRule>
    <cfRule type="containsBlanks" dxfId="2208" priority="2280">
      <formula>LEN(TRIM(AH137))=0</formula>
    </cfRule>
    <cfRule type="containsBlanks" dxfId="2207" priority="2281">
      <formula>LEN(TRIM(AH137))=0</formula>
    </cfRule>
    <cfRule type="containsBlanks" dxfId="2206" priority="2282">
      <formula>LEN(TRIM(AH137))=0</formula>
    </cfRule>
    <cfRule type="containsBlanks" dxfId="2205" priority="2283">
      <formula>LEN(TRIM(AH137))=0</formula>
    </cfRule>
    <cfRule type="containsBlanks" dxfId="2204" priority="2284">
      <formula>LEN(TRIM(AH137))=0</formula>
    </cfRule>
    <cfRule type="containsBlanks" dxfId="2203" priority="2285">
      <formula>LEN(TRIM(AH137))=0</formula>
    </cfRule>
    <cfRule type="containsBlanks" dxfId="2202" priority="2286">
      <formula>LEN(TRIM(AH137))=0</formula>
    </cfRule>
  </conditionalFormatting>
  <conditionalFormatting sqref="AH138">
    <cfRule type="containsBlanks" dxfId="2201" priority="2202">
      <formula>LEN(TRIM(AH138))=0</formula>
    </cfRule>
  </conditionalFormatting>
  <conditionalFormatting sqref="AH138">
    <cfRule type="containsBlanks" dxfId="2200" priority="2201">
      <formula>LEN(TRIM(AH138))=0</formula>
    </cfRule>
  </conditionalFormatting>
  <conditionalFormatting sqref="AH138">
    <cfRule type="containsBlanks" dxfId="2199" priority="2199">
      <formula>LEN(TRIM(AH138))=0</formula>
    </cfRule>
    <cfRule type="containsBlanks" dxfId="2198" priority="2200">
      <formula>LEN(TRIM(AH138))=0</formula>
    </cfRule>
  </conditionalFormatting>
  <conditionalFormatting sqref="AH138">
    <cfRule type="containsBlanks" dxfId="2197" priority="2198">
      <formula>LEN(TRIM(AH138))=0</formula>
    </cfRule>
  </conditionalFormatting>
  <conditionalFormatting sqref="AH138">
    <cfRule type="containsBlanks" dxfId="2196" priority="2197">
      <formula>LEN(TRIM(AH138))=0</formula>
    </cfRule>
  </conditionalFormatting>
  <conditionalFormatting sqref="AH138">
    <cfRule type="containsBlanks" dxfId="2195" priority="2196">
      <formula>LEN(TRIM(AH138))=0</formula>
    </cfRule>
  </conditionalFormatting>
  <conditionalFormatting sqref="AH138">
    <cfRule type="containsBlanks" dxfId="2194" priority="2194">
      <formula>LEN(TRIM(AH138))=0</formula>
    </cfRule>
    <cfRule type="containsBlanks" dxfId="2193" priority="2195">
      <formula>LEN(TRIM(AH138))=0</formula>
    </cfRule>
  </conditionalFormatting>
  <conditionalFormatting sqref="AH138">
    <cfRule type="containsBlanks" dxfId="2192" priority="2192">
      <formula>LEN(TRIM(AH138))=0</formula>
    </cfRule>
    <cfRule type="containsBlanks" dxfId="2191" priority="2193">
      <formula>LEN(TRIM(AH138))=0</formula>
    </cfRule>
  </conditionalFormatting>
  <conditionalFormatting sqref="AH138">
    <cfRule type="containsBlanks" dxfId="2190" priority="2190">
      <formula>LEN(TRIM(AH138))=0</formula>
    </cfRule>
    <cfRule type="containsBlanks" dxfId="2189" priority="2191">
      <formula>LEN(TRIM(AH138))=0</formula>
    </cfRule>
  </conditionalFormatting>
  <conditionalFormatting sqref="AH138">
    <cfRule type="containsBlanks" dxfId="2188" priority="2188">
      <formula>LEN(TRIM(AH138))=0</formula>
    </cfRule>
    <cfRule type="containsBlanks" dxfId="2187" priority="2189">
      <formula>LEN(TRIM(AH138))=0</formula>
    </cfRule>
  </conditionalFormatting>
  <conditionalFormatting sqref="AH138">
    <cfRule type="containsBlanks" dxfId="2186" priority="2122">
      <formula>LEN(TRIM(AH138))=0</formula>
    </cfRule>
    <cfRule type="containsBlanks" dxfId="2185" priority="2123">
      <formula>LEN(TRIM(AH138))=0</formula>
    </cfRule>
    <cfRule type="containsBlanks" dxfId="2184" priority="2124">
      <formula>LEN(TRIM(AH138))=0</formula>
    </cfRule>
    <cfRule type="containsBlanks" dxfId="2183" priority="2125">
      <formula>LEN(TRIM(AH138))=0</formula>
    </cfRule>
    <cfRule type="containsBlanks" dxfId="2182" priority="2126">
      <formula>LEN(TRIM(AH138))=0</formula>
    </cfRule>
    <cfRule type="containsBlanks" dxfId="2181" priority="2127">
      <formula>LEN(TRIM(AH138))=0</formula>
    </cfRule>
    <cfRule type="containsBlanks" dxfId="2180" priority="2128">
      <formula>LEN(TRIM(AH138))=0</formula>
    </cfRule>
    <cfRule type="containsBlanks" dxfId="2179" priority="2129">
      <formula>LEN(TRIM(AH138))=0</formula>
    </cfRule>
    <cfRule type="containsBlanks" dxfId="2178" priority="2130">
      <formula>LEN(TRIM(AH138))=0</formula>
    </cfRule>
    <cfRule type="containsBlanks" dxfId="2177" priority="2131">
      <formula>LEN(TRIM(AH138))=0</formula>
    </cfRule>
    <cfRule type="containsBlanks" dxfId="2176" priority="2132">
      <formula>LEN(TRIM(AH138))=0</formula>
    </cfRule>
    <cfRule type="containsBlanks" dxfId="2175" priority="2133">
      <formula>LEN(TRIM(AH138))=0</formula>
    </cfRule>
    <cfRule type="containsBlanks" dxfId="2174" priority="2134">
      <formula>LEN(TRIM(AH138))=0</formula>
    </cfRule>
    <cfRule type="containsBlanks" dxfId="2173" priority="2135">
      <formula>LEN(TRIM(AH138))=0</formula>
    </cfRule>
    <cfRule type="containsBlanks" dxfId="2172" priority="2136">
      <formula>LEN(TRIM(AH138))=0</formula>
    </cfRule>
    <cfRule type="containsBlanks" dxfId="2171" priority="2137">
      <formula>LEN(TRIM(AH138))=0</formula>
    </cfRule>
    <cfRule type="containsBlanks" dxfId="2170" priority="2138">
      <formula>LEN(TRIM(AH138))=0</formula>
    </cfRule>
    <cfRule type="containsBlanks" dxfId="2169" priority="2139">
      <formula>LEN(TRIM(AH138))=0</formula>
    </cfRule>
    <cfRule type="containsBlanks" dxfId="2168" priority="2140">
      <formula>LEN(TRIM(AH138))=0</formula>
    </cfRule>
    <cfRule type="containsBlanks" dxfId="2167" priority="2141">
      <formula>LEN(TRIM(AH138))=0</formula>
    </cfRule>
    <cfRule type="containsBlanks" dxfId="2166" priority="2142">
      <formula>LEN(TRIM(AH138))=0</formula>
    </cfRule>
    <cfRule type="containsBlanks" dxfId="2165" priority="2143">
      <formula>LEN(TRIM(AH138))=0</formula>
    </cfRule>
    <cfRule type="containsBlanks" dxfId="2164" priority="2144">
      <formula>LEN(TRIM(AH138))=0</formula>
    </cfRule>
    <cfRule type="containsBlanks" dxfId="2163" priority="2145">
      <formula>LEN(TRIM(AH138))=0</formula>
    </cfRule>
    <cfRule type="containsBlanks" dxfId="2162" priority="2146">
      <formula>LEN(TRIM(AH138))=0</formula>
    </cfRule>
    <cfRule type="containsBlanks" dxfId="2161" priority="2147">
      <formula>LEN(TRIM(AH138))=0</formula>
    </cfRule>
    <cfRule type="containsBlanks" dxfId="2160" priority="2148">
      <formula>LEN(TRIM(AH138))=0</formula>
    </cfRule>
    <cfRule type="containsBlanks" dxfId="2159" priority="2149">
      <formula>LEN(TRIM(AH138))=0</formula>
    </cfRule>
    <cfRule type="containsBlanks" dxfId="2158" priority="2150">
      <formula>LEN(TRIM(AH138))=0</formula>
    </cfRule>
    <cfRule type="containsBlanks" dxfId="2157" priority="2151">
      <formula>LEN(TRIM(AH138))=0</formula>
    </cfRule>
    <cfRule type="containsBlanks" dxfId="2156" priority="2152">
      <formula>LEN(TRIM(AH138))=0</formula>
    </cfRule>
    <cfRule type="containsBlanks" dxfId="2155" priority="2153">
      <formula>LEN(TRIM(AH138))=0</formula>
    </cfRule>
    <cfRule type="containsBlanks" dxfId="2154" priority="2154">
      <formula>LEN(TRIM(AH138))=0</formula>
    </cfRule>
    <cfRule type="containsBlanks" dxfId="2153" priority="2155">
      <formula>LEN(TRIM(AH138))=0</formula>
    </cfRule>
    <cfRule type="containsBlanks" dxfId="2152" priority="2156">
      <formula>LEN(TRIM(AH138))=0</formula>
    </cfRule>
    <cfRule type="containsBlanks" dxfId="2151" priority="2157">
      <formula>LEN(TRIM(AH138))=0</formula>
    </cfRule>
    <cfRule type="containsBlanks" dxfId="2150" priority="2158">
      <formula>LEN(TRIM(AH138))=0</formula>
    </cfRule>
    <cfRule type="containsBlanks" dxfId="2149" priority="2159">
      <formula>LEN(TRIM(AH138))=0</formula>
    </cfRule>
    <cfRule type="containsBlanks" dxfId="2148" priority="2160">
      <formula>LEN(TRIM(AH138))=0</formula>
    </cfRule>
    <cfRule type="containsBlanks" dxfId="2147" priority="2161">
      <formula>LEN(TRIM(AH138))=0</formula>
    </cfRule>
    <cfRule type="containsBlanks" dxfId="2146" priority="2162">
      <formula>LEN(TRIM(AH138))=0</formula>
    </cfRule>
    <cfRule type="containsBlanks" dxfId="2145" priority="2163">
      <formula>LEN(TRIM(AH138))=0</formula>
    </cfRule>
    <cfRule type="containsBlanks" dxfId="2144" priority="2164">
      <formula>LEN(TRIM(AH138))=0</formula>
    </cfRule>
    <cfRule type="containsBlanks" dxfId="2143" priority="2165">
      <formula>LEN(TRIM(AH138))=0</formula>
    </cfRule>
    <cfRule type="containsBlanks" dxfId="2142" priority="2166">
      <formula>LEN(TRIM(AH138))=0</formula>
    </cfRule>
    <cfRule type="containsBlanks" dxfId="2141" priority="2167">
      <formula>LEN(TRIM(AH138))=0</formula>
    </cfRule>
    <cfRule type="containsBlanks" dxfId="2140" priority="2168">
      <formula>LEN(TRIM(AH138))=0</formula>
    </cfRule>
    <cfRule type="containsBlanks" dxfId="2139" priority="2169">
      <formula>LEN(TRIM(AH138))=0</formula>
    </cfRule>
    <cfRule type="containsBlanks" dxfId="2138" priority="2170">
      <formula>LEN(TRIM(AH138))=0</formula>
    </cfRule>
    <cfRule type="containsBlanks" dxfId="2137" priority="2171">
      <formula>LEN(TRIM(AH138))=0</formula>
    </cfRule>
    <cfRule type="containsBlanks" dxfId="2136" priority="2172">
      <formula>LEN(TRIM(AH138))=0</formula>
    </cfRule>
    <cfRule type="containsBlanks" dxfId="2135" priority="2173">
      <formula>LEN(TRIM(AH138))=0</formula>
    </cfRule>
    <cfRule type="containsBlanks" dxfId="2134" priority="2174">
      <formula>LEN(TRIM(AH138))=0</formula>
    </cfRule>
    <cfRule type="containsBlanks" dxfId="2133" priority="2175">
      <formula>LEN(TRIM(AH138))=0</formula>
    </cfRule>
    <cfRule type="containsBlanks" dxfId="2132" priority="2176">
      <formula>LEN(TRIM(AH138))=0</formula>
    </cfRule>
    <cfRule type="containsBlanks" dxfId="2131" priority="2177">
      <formula>LEN(TRIM(AH138))=0</formula>
    </cfRule>
    <cfRule type="containsBlanks" dxfId="2130" priority="2178">
      <formula>LEN(TRIM(AH138))=0</formula>
    </cfRule>
    <cfRule type="containsBlanks" dxfId="2129" priority="2179">
      <formula>LEN(TRIM(AH138))=0</formula>
    </cfRule>
    <cfRule type="containsBlanks" dxfId="2128" priority="2180">
      <formula>LEN(TRIM(AH138))=0</formula>
    </cfRule>
    <cfRule type="containsBlanks" dxfId="2127" priority="2181">
      <formula>LEN(TRIM(AH138))=0</formula>
    </cfRule>
    <cfRule type="containsBlanks" dxfId="2126" priority="2182">
      <formula>LEN(TRIM(AH138))=0</formula>
    </cfRule>
    <cfRule type="containsBlanks" dxfId="2125" priority="2183">
      <formula>LEN(TRIM(AH138))=0</formula>
    </cfRule>
    <cfRule type="containsBlanks" dxfId="2124" priority="2184">
      <formula>LEN(TRIM(AH138))=0</formula>
    </cfRule>
    <cfRule type="containsBlanks" dxfId="2123" priority="2185">
      <formula>LEN(TRIM(AH138))=0</formula>
    </cfRule>
    <cfRule type="containsBlanks" dxfId="2122" priority="2186">
      <formula>LEN(TRIM(AH138))=0</formula>
    </cfRule>
    <cfRule type="containsBlanks" dxfId="2121" priority="2187">
      <formula>LEN(TRIM(AH138))=0</formula>
    </cfRule>
  </conditionalFormatting>
  <conditionalFormatting sqref="AH138">
    <cfRule type="containsBlanks" dxfId="2120" priority="2067">
      <formula>LEN(TRIM(AH138))=0</formula>
    </cfRule>
    <cfRule type="containsBlanks" dxfId="2119" priority="2068">
      <formula>LEN(TRIM(AH138))=0</formula>
    </cfRule>
    <cfRule type="containsBlanks" dxfId="2118" priority="2069">
      <formula>LEN(TRIM(AH138))=0</formula>
    </cfRule>
    <cfRule type="containsBlanks" dxfId="2117" priority="2070">
      <formula>LEN(TRIM(AH138))=0</formula>
    </cfRule>
    <cfRule type="containsBlanks" dxfId="2116" priority="2071">
      <formula>LEN(TRIM(AH138))=0</formula>
    </cfRule>
    <cfRule type="containsBlanks" dxfId="2115" priority="2072">
      <formula>LEN(TRIM(AH138))=0</formula>
    </cfRule>
    <cfRule type="containsBlanks" dxfId="2114" priority="2073">
      <formula>LEN(TRIM(AH138))=0</formula>
    </cfRule>
    <cfRule type="containsBlanks" dxfId="2113" priority="2074">
      <formula>LEN(TRIM(AH138))=0</formula>
    </cfRule>
    <cfRule type="containsBlanks" dxfId="2112" priority="2075">
      <formula>LEN(TRIM(AH138))=0</formula>
    </cfRule>
    <cfRule type="containsBlanks" dxfId="2111" priority="2076">
      <formula>LEN(TRIM(AH138))=0</formula>
    </cfRule>
    <cfRule type="containsBlanks" dxfId="2110" priority="2077">
      <formula>LEN(TRIM(AH138))=0</formula>
    </cfRule>
    <cfRule type="containsBlanks" dxfId="2109" priority="2078">
      <formula>LEN(TRIM(AH138))=0</formula>
    </cfRule>
    <cfRule type="containsBlanks" dxfId="2108" priority="2079">
      <formula>LEN(TRIM(AH138))=0</formula>
    </cfRule>
    <cfRule type="containsBlanks" dxfId="2107" priority="2080">
      <formula>LEN(TRIM(AH138))=0</formula>
    </cfRule>
    <cfRule type="containsBlanks" dxfId="2106" priority="2081">
      <formula>LEN(TRIM(AH138))=0</formula>
    </cfRule>
    <cfRule type="containsBlanks" dxfId="2105" priority="2082">
      <formula>LEN(TRIM(AH138))=0</formula>
    </cfRule>
    <cfRule type="containsBlanks" dxfId="2104" priority="2083">
      <formula>LEN(TRIM(AH138))=0</formula>
    </cfRule>
    <cfRule type="containsBlanks" dxfId="2103" priority="2084">
      <formula>LEN(TRIM(AH138))=0</formula>
    </cfRule>
    <cfRule type="containsBlanks" dxfId="2102" priority="2085">
      <formula>LEN(TRIM(AH138))=0</formula>
    </cfRule>
    <cfRule type="containsBlanks" dxfId="2101" priority="2086">
      <formula>LEN(TRIM(AH138))=0</formula>
    </cfRule>
    <cfRule type="containsBlanks" dxfId="2100" priority="2087">
      <formula>LEN(TRIM(AH138))=0</formula>
    </cfRule>
    <cfRule type="containsBlanks" dxfId="2099" priority="2088">
      <formula>LEN(TRIM(AH138))=0</formula>
    </cfRule>
    <cfRule type="containsBlanks" dxfId="2098" priority="2089">
      <formula>LEN(TRIM(AH138))=0</formula>
    </cfRule>
    <cfRule type="containsBlanks" dxfId="2097" priority="2090">
      <formula>LEN(TRIM(AH138))=0</formula>
    </cfRule>
    <cfRule type="containsBlanks" dxfId="2096" priority="2091">
      <formula>LEN(TRIM(AH138))=0</formula>
    </cfRule>
    <cfRule type="containsBlanks" dxfId="2095" priority="2092">
      <formula>LEN(TRIM(AH138))=0</formula>
    </cfRule>
    <cfRule type="containsBlanks" dxfId="2094" priority="2093">
      <formula>LEN(TRIM(AH138))=0</formula>
    </cfRule>
    <cfRule type="containsBlanks" dxfId="2093" priority="2094">
      <formula>LEN(TRIM(AH138))=0</formula>
    </cfRule>
    <cfRule type="containsBlanks" dxfId="2092" priority="2095">
      <formula>LEN(TRIM(AH138))=0</formula>
    </cfRule>
    <cfRule type="containsBlanks" dxfId="2091" priority="2096">
      <formula>LEN(TRIM(AH138))=0</formula>
    </cfRule>
    <cfRule type="containsBlanks" dxfId="2090" priority="2097">
      <formula>LEN(TRIM(AH138))=0</formula>
    </cfRule>
    <cfRule type="containsBlanks" dxfId="2089" priority="2098">
      <formula>LEN(TRIM(AH138))=0</formula>
    </cfRule>
    <cfRule type="containsBlanks" dxfId="2088" priority="2099">
      <formula>LEN(TRIM(AH138))=0</formula>
    </cfRule>
    <cfRule type="containsBlanks" dxfId="2087" priority="2100">
      <formula>LEN(TRIM(AH138))=0</formula>
    </cfRule>
    <cfRule type="containsBlanks" dxfId="2086" priority="2101">
      <formula>LEN(TRIM(AH138))=0</formula>
    </cfRule>
    <cfRule type="containsBlanks" dxfId="2085" priority="2102">
      <formula>LEN(TRIM(AH138))=0</formula>
    </cfRule>
    <cfRule type="containsBlanks" dxfId="2084" priority="2103">
      <formula>LEN(TRIM(AH138))=0</formula>
    </cfRule>
    <cfRule type="containsBlanks" dxfId="2083" priority="2104">
      <formula>LEN(TRIM(AH138))=0</formula>
    </cfRule>
    <cfRule type="containsBlanks" dxfId="2082" priority="2105">
      <formula>LEN(TRIM(AH138))=0</formula>
    </cfRule>
    <cfRule type="containsBlanks" dxfId="2081" priority="2106">
      <formula>LEN(TRIM(AH138))=0</formula>
    </cfRule>
    <cfRule type="containsBlanks" dxfId="2080" priority="2107">
      <formula>LEN(TRIM(AH138))=0</formula>
    </cfRule>
    <cfRule type="containsBlanks" dxfId="2079" priority="2108">
      <formula>LEN(TRIM(AH138))=0</formula>
    </cfRule>
    <cfRule type="containsBlanks" dxfId="2078" priority="2109">
      <formula>LEN(TRIM(AH138))=0</formula>
    </cfRule>
    <cfRule type="containsBlanks" dxfId="2077" priority="2110">
      <formula>LEN(TRIM(AH138))=0</formula>
    </cfRule>
    <cfRule type="containsBlanks" dxfId="2076" priority="2111">
      <formula>LEN(TRIM(AH138))=0</formula>
    </cfRule>
    <cfRule type="containsBlanks" dxfId="2075" priority="2112">
      <formula>LEN(TRIM(AH138))=0</formula>
    </cfRule>
    <cfRule type="containsBlanks" dxfId="2074" priority="2113">
      <formula>LEN(TRIM(AH138))=0</formula>
    </cfRule>
    <cfRule type="containsBlanks" dxfId="2073" priority="2114">
      <formula>LEN(TRIM(AH138))=0</formula>
    </cfRule>
    <cfRule type="containsBlanks" dxfId="2072" priority="2115">
      <formula>LEN(TRIM(AH138))=0</formula>
    </cfRule>
    <cfRule type="containsBlanks" dxfId="2071" priority="2116">
      <formula>LEN(TRIM(AH138))=0</formula>
    </cfRule>
    <cfRule type="containsBlanks" dxfId="2070" priority="2117">
      <formula>LEN(TRIM(AH138))=0</formula>
    </cfRule>
    <cfRule type="containsBlanks" dxfId="2069" priority="2118">
      <formula>LEN(TRIM(AH138))=0</formula>
    </cfRule>
    <cfRule type="containsBlanks" dxfId="2068" priority="2119">
      <formula>LEN(TRIM(AH138))=0</formula>
    </cfRule>
    <cfRule type="containsBlanks" dxfId="2067" priority="2120">
      <formula>LEN(TRIM(AH138))=0</formula>
    </cfRule>
    <cfRule type="containsBlanks" dxfId="2066" priority="2121">
      <formula>LEN(TRIM(AH138))=0</formula>
    </cfRule>
  </conditionalFormatting>
  <conditionalFormatting sqref="AH138">
    <cfRule type="containsBlanks" dxfId="2065" priority="1983">
      <formula>LEN(TRIM(AH138))=0</formula>
    </cfRule>
    <cfRule type="containsBlanks" dxfId="2064" priority="1984">
      <formula>LEN(TRIM(AH138))=0</formula>
    </cfRule>
    <cfRule type="containsBlanks" dxfId="2063" priority="1985">
      <formula>LEN(TRIM(AH138))=0</formula>
    </cfRule>
    <cfRule type="containsBlanks" dxfId="2062" priority="1986">
      <formula>LEN(TRIM(AH138))=0</formula>
    </cfRule>
    <cfRule type="containsBlanks" dxfId="2061" priority="1987">
      <formula>LEN(TRIM(AH138))=0</formula>
    </cfRule>
    <cfRule type="containsBlanks" dxfId="2060" priority="1988">
      <formula>LEN(TRIM(AH138))=0</formula>
    </cfRule>
    <cfRule type="containsBlanks" dxfId="2059" priority="1989">
      <formula>LEN(TRIM(AH138))=0</formula>
    </cfRule>
    <cfRule type="containsBlanks" dxfId="2058" priority="1990">
      <formula>LEN(TRIM(AH138))=0</formula>
    </cfRule>
    <cfRule type="containsBlanks" dxfId="2057" priority="1991">
      <formula>LEN(TRIM(AH138))=0</formula>
    </cfRule>
    <cfRule type="containsBlanks" dxfId="2056" priority="1992">
      <formula>LEN(TRIM(AH138))=0</formula>
    </cfRule>
    <cfRule type="containsBlanks" dxfId="2055" priority="1993">
      <formula>LEN(TRIM(AH138))=0</formula>
    </cfRule>
    <cfRule type="containsBlanks" dxfId="2054" priority="1994">
      <formula>LEN(TRIM(AH138))=0</formula>
    </cfRule>
    <cfRule type="containsBlanks" dxfId="2053" priority="1995">
      <formula>LEN(TRIM(AH138))=0</formula>
    </cfRule>
    <cfRule type="containsBlanks" dxfId="2052" priority="1996">
      <formula>LEN(TRIM(AH138))=0</formula>
    </cfRule>
    <cfRule type="containsBlanks" dxfId="2051" priority="1997">
      <formula>LEN(TRIM(AH138))=0</formula>
    </cfRule>
    <cfRule type="containsBlanks" dxfId="2050" priority="1998">
      <formula>LEN(TRIM(AH138))=0</formula>
    </cfRule>
    <cfRule type="containsBlanks" dxfId="2049" priority="1999">
      <formula>LEN(TRIM(AH138))=0</formula>
    </cfRule>
    <cfRule type="containsBlanks" dxfId="2048" priority="2000">
      <formula>LEN(TRIM(AH138))=0</formula>
    </cfRule>
    <cfRule type="containsBlanks" dxfId="2047" priority="2001">
      <formula>LEN(TRIM(AH138))=0</formula>
    </cfRule>
    <cfRule type="containsBlanks" dxfId="2046" priority="2002">
      <formula>LEN(TRIM(AH138))=0</formula>
    </cfRule>
    <cfRule type="containsBlanks" dxfId="2045" priority="2003">
      <formula>LEN(TRIM(AH138))=0</formula>
    </cfRule>
    <cfRule type="containsBlanks" dxfId="2044" priority="2004">
      <formula>LEN(TRIM(AH138))=0</formula>
    </cfRule>
    <cfRule type="containsBlanks" dxfId="2043" priority="2005">
      <formula>LEN(TRIM(AH138))=0</formula>
    </cfRule>
    <cfRule type="containsBlanks" dxfId="2042" priority="2006">
      <formula>LEN(TRIM(AH138))=0</formula>
    </cfRule>
    <cfRule type="containsBlanks" dxfId="2041" priority="2007">
      <formula>LEN(TRIM(AH138))=0</formula>
    </cfRule>
    <cfRule type="containsBlanks" dxfId="2040" priority="2008">
      <formula>LEN(TRIM(AH138))=0</formula>
    </cfRule>
    <cfRule type="containsBlanks" dxfId="2039" priority="2009">
      <formula>LEN(TRIM(AH138))=0</formula>
    </cfRule>
    <cfRule type="containsBlanks" dxfId="2038" priority="2010">
      <formula>LEN(TRIM(AH138))=0</formula>
    </cfRule>
    <cfRule type="containsBlanks" dxfId="2037" priority="2011">
      <formula>LEN(TRIM(AH138))=0</formula>
    </cfRule>
    <cfRule type="containsBlanks" dxfId="2036" priority="2012">
      <formula>LEN(TRIM(AH138))=0</formula>
    </cfRule>
    <cfRule type="containsBlanks" dxfId="2035" priority="2013">
      <formula>LEN(TRIM(AH138))=0</formula>
    </cfRule>
    <cfRule type="containsBlanks" dxfId="2034" priority="2014">
      <formula>LEN(TRIM(AH138))=0</formula>
    </cfRule>
    <cfRule type="containsBlanks" dxfId="2033" priority="2015">
      <formula>LEN(TRIM(AH138))=0</formula>
    </cfRule>
    <cfRule type="containsBlanks" dxfId="2032" priority="2016">
      <formula>LEN(TRIM(AH138))=0</formula>
    </cfRule>
    <cfRule type="containsBlanks" dxfId="2031" priority="2017">
      <formula>LEN(TRIM(AH138))=0</formula>
    </cfRule>
    <cfRule type="containsBlanks" dxfId="2030" priority="2018">
      <formula>LEN(TRIM(AH138))=0</formula>
    </cfRule>
    <cfRule type="containsBlanks" dxfId="2029" priority="2019">
      <formula>LEN(TRIM(AH138))=0</formula>
    </cfRule>
    <cfRule type="containsBlanks" dxfId="2028" priority="2020">
      <formula>LEN(TRIM(AH138))=0</formula>
    </cfRule>
    <cfRule type="containsBlanks" dxfId="2027" priority="2021">
      <formula>LEN(TRIM(AH138))=0</formula>
    </cfRule>
    <cfRule type="containsBlanks" dxfId="2026" priority="2022">
      <formula>LEN(TRIM(AH138))=0</formula>
    </cfRule>
    <cfRule type="containsBlanks" dxfId="2025" priority="2023">
      <formula>LEN(TRIM(AH138))=0</formula>
    </cfRule>
    <cfRule type="containsBlanks" dxfId="2024" priority="2024">
      <formula>LEN(TRIM(AH138))=0</formula>
    </cfRule>
    <cfRule type="containsBlanks" dxfId="2023" priority="2025">
      <formula>LEN(TRIM(AH138))=0</formula>
    </cfRule>
    <cfRule type="containsBlanks" dxfId="2022" priority="2026">
      <formula>LEN(TRIM(AH138))=0</formula>
    </cfRule>
    <cfRule type="containsBlanks" dxfId="2021" priority="2027">
      <formula>LEN(TRIM(AH138))=0</formula>
    </cfRule>
    <cfRule type="containsBlanks" dxfId="2020" priority="2028">
      <formula>LEN(TRIM(AH138))=0</formula>
    </cfRule>
    <cfRule type="containsBlanks" dxfId="2019" priority="2029">
      <formula>LEN(TRIM(AH138))=0</formula>
    </cfRule>
    <cfRule type="containsBlanks" dxfId="2018" priority="2030">
      <formula>LEN(TRIM(AH138))=0</formula>
    </cfRule>
    <cfRule type="containsBlanks" dxfId="2017" priority="2031">
      <formula>LEN(TRIM(AH138))=0</formula>
    </cfRule>
    <cfRule type="containsBlanks" dxfId="2016" priority="2032">
      <formula>LEN(TRIM(AH138))=0</formula>
    </cfRule>
    <cfRule type="containsBlanks" dxfId="2015" priority="2033">
      <formula>LEN(TRIM(AH138))=0</formula>
    </cfRule>
    <cfRule type="containsBlanks" dxfId="2014" priority="2034">
      <formula>LEN(TRIM(AH138))=0</formula>
    </cfRule>
    <cfRule type="containsBlanks" dxfId="2013" priority="2035">
      <formula>LEN(TRIM(AH138))=0</formula>
    </cfRule>
    <cfRule type="containsBlanks" dxfId="2012" priority="2036">
      <formula>LEN(TRIM(AH138))=0</formula>
    </cfRule>
    <cfRule type="containsBlanks" dxfId="2011" priority="2037">
      <formula>LEN(TRIM(AH138))=0</formula>
    </cfRule>
    <cfRule type="containsBlanks" dxfId="2010" priority="2038">
      <formula>LEN(TRIM(AH138))=0</formula>
    </cfRule>
    <cfRule type="containsBlanks" dxfId="2009" priority="2039">
      <formula>LEN(TRIM(AH138))=0</formula>
    </cfRule>
    <cfRule type="containsBlanks" dxfId="2008" priority="2040">
      <formula>LEN(TRIM(AH138))=0</formula>
    </cfRule>
    <cfRule type="containsBlanks" dxfId="2007" priority="2041">
      <formula>LEN(TRIM(AH138))=0</formula>
    </cfRule>
    <cfRule type="containsBlanks" dxfId="2006" priority="2042">
      <formula>LEN(TRIM(AH138))=0</formula>
    </cfRule>
    <cfRule type="containsBlanks" dxfId="2005" priority="2043">
      <formula>LEN(TRIM(AH138))=0</formula>
    </cfRule>
    <cfRule type="containsBlanks" dxfId="2004" priority="2044">
      <formula>LEN(TRIM(AH138))=0</formula>
    </cfRule>
    <cfRule type="containsBlanks" dxfId="2003" priority="2045">
      <formula>LEN(TRIM(AH138))=0</formula>
    </cfRule>
    <cfRule type="containsBlanks" dxfId="2002" priority="2046">
      <formula>LEN(TRIM(AH138))=0</formula>
    </cfRule>
    <cfRule type="containsBlanks" dxfId="2001" priority="2047">
      <formula>LEN(TRIM(AH138))=0</formula>
    </cfRule>
    <cfRule type="containsBlanks" dxfId="2000" priority="2048">
      <formula>LEN(TRIM(AH138))=0</formula>
    </cfRule>
    <cfRule type="containsBlanks" dxfId="1999" priority="2049">
      <formula>LEN(TRIM(AH138))=0</formula>
    </cfRule>
    <cfRule type="containsBlanks" dxfId="1998" priority="2050">
      <formula>LEN(TRIM(AH138))=0</formula>
    </cfRule>
    <cfRule type="containsBlanks" dxfId="1997" priority="2051">
      <formula>LEN(TRIM(AH138))=0</formula>
    </cfRule>
    <cfRule type="containsBlanks" dxfId="1996" priority="2052">
      <formula>LEN(TRIM(AH138))=0</formula>
    </cfRule>
    <cfRule type="containsBlanks" dxfId="1995" priority="2053">
      <formula>LEN(TRIM(AH138))=0</formula>
    </cfRule>
    <cfRule type="containsBlanks" dxfId="1994" priority="2054">
      <formula>LEN(TRIM(AH138))=0</formula>
    </cfRule>
    <cfRule type="containsBlanks" dxfId="1993" priority="2055">
      <formula>LEN(TRIM(AH138))=0</formula>
    </cfRule>
    <cfRule type="containsBlanks" dxfId="1992" priority="2056">
      <formula>LEN(TRIM(AH138))=0</formula>
    </cfRule>
    <cfRule type="containsBlanks" dxfId="1991" priority="2057">
      <formula>LEN(TRIM(AH138))=0</formula>
    </cfRule>
    <cfRule type="containsBlanks" dxfId="1990" priority="2058">
      <formula>LEN(TRIM(AH138))=0</formula>
    </cfRule>
    <cfRule type="containsBlanks" dxfId="1989" priority="2059">
      <formula>LEN(TRIM(AH138))=0</formula>
    </cfRule>
    <cfRule type="containsBlanks" dxfId="1988" priority="2060">
      <formula>LEN(TRIM(AH138))=0</formula>
    </cfRule>
    <cfRule type="containsBlanks" dxfId="1987" priority="2061">
      <formula>LEN(TRIM(AH138))=0</formula>
    </cfRule>
    <cfRule type="containsBlanks" dxfId="1986" priority="2062">
      <formula>LEN(TRIM(AH138))=0</formula>
    </cfRule>
    <cfRule type="containsBlanks" dxfId="1985" priority="2063">
      <formula>LEN(TRIM(AH138))=0</formula>
    </cfRule>
    <cfRule type="containsBlanks" dxfId="1984" priority="2064">
      <formula>LEN(TRIM(AH138))=0</formula>
    </cfRule>
    <cfRule type="containsBlanks" dxfId="1983" priority="2065">
      <formula>LEN(TRIM(AH138))=0</formula>
    </cfRule>
    <cfRule type="containsBlanks" dxfId="1982" priority="2066">
      <formula>LEN(TRIM(AH138))=0</formula>
    </cfRule>
  </conditionalFormatting>
  <conditionalFormatting sqref="AH139">
    <cfRule type="containsBlanks" dxfId="1981" priority="1982">
      <formula>LEN(TRIM(AH139))=0</formula>
    </cfRule>
  </conditionalFormatting>
  <conditionalFormatting sqref="AH139">
    <cfRule type="containsBlanks" dxfId="1980" priority="1981">
      <formula>LEN(TRIM(AH139))=0</formula>
    </cfRule>
  </conditionalFormatting>
  <conditionalFormatting sqref="AH139">
    <cfRule type="containsBlanks" dxfId="1979" priority="1979">
      <formula>LEN(TRIM(AH139))=0</formula>
    </cfRule>
    <cfRule type="containsBlanks" dxfId="1978" priority="1980">
      <formula>LEN(TRIM(AH139))=0</formula>
    </cfRule>
  </conditionalFormatting>
  <conditionalFormatting sqref="AH139">
    <cfRule type="containsBlanks" dxfId="1977" priority="1978">
      <formula>LEN(TRIM(AH139))=0</formula>
    </cfRule>
  </conditionalFormatting>
  <conditionalFormatting sqref="AH139">
    <cfRule type="containsBlanks" dxfId="1976" priority="1977">
      <formula>LEN(TRIM(AH139))=0</formula>
    </cfRule>
  </conditionalFormatting>
  <conditionalFormatting sqref="AH139">
    <cfRule type="containsBlanks" dxfId="1975" priority="1976">
      <formula>LEN(TRIM(AH139))=0</formula>
    </cfRule>
  </conditionalFormatting>
  <conditionalFormatting sqref="AH139">
    <cfRule type="containsBlanks" dxfId="1974" priority="1974">
      <formula>LEN(TRIM(AH139))=0</formula>
    </cfRule>
    <cfRule type="containsBlanks" dxfId="1973" priority="1975">
      <formula>LEN(TRIM(AH139))=0</formula>
    </cfRule>
  </conditionalFormatting>
  <conditionalFormatting sqref="AH139">
    <cfRule type="containsBlanks" dxfId="1972" priority="1972">
      <formula>LEN(TRIM(AH139))=0</formula>
    </cfRule>
    <cfRule type="containsBlanks" dxfId="1971" priority="1973">
      <formula>LEN(TRIM(AH139))=0</formula>
    </cfRule>
  </conditionalFormatting>
  <conditionalFormatting sqref="AH139">
    <cfRule type="containsBlanks" dxfId="1970" priority="1970">
      <formula>LEN(TRIM(AH139))=0</formula>
    </cfRule>
    <cfRule type="containsBlanks" dxfId="1969" priority="1971">
      <formula>LEN(TRIM(AH139))=0</formula>
    </cfRule>
  </conditionalFormatting>
  <conditionalFormatting sqref="AH139">
    <cfRule type="containsBlanks" dxfId="1968" priority="1968">
      <formula>LEN(TRIM(AH139))=0</formula>
    </cfRule>
    <cfRule type="containsBlanks" dxfId="1967" priority="1969">
      <formula>LEN(TRIM(AH139))=0</formula>
    </cfRule>
  </conditionalFormatting>
  <conditionalFormatting sqref="AH139">
    <cfRule type="containsBlanks" dxfId="1966" priority="1902">
      <formula>LEN(TRIM(AH139))=0</formula>
    </cfRule>
    <cfRule type="containsBlanks" dxfId="1965" priority="1903">
      <formula>LEN(TRIM(AH139))=0</formula>
    </cfRule>
    <cfRule type="containsBlanks" dxfId="1964" priority="1904">
      <formula>LEN(TRIM(AH139))=0</formula>
    </cfRule>
    <cfRule type="containsBlanks" dxfId="1963" priority="1905">
      <formula>LEN(TRIM(AH139))=0</formula>
    </cfRule>
    <cfRule type="containsBlanks" dxfId="1962" priority="1906">
      <formula>LEN(TRIM(AH139))=0</formula>
    </cfRule>
    <cfRule type="containsBlanks" dxfId="1961" priority="1907">
      <formula>LEN(TRIM(AH139))=0</formula>
    </cfRule>
    <cfRule type="containsBlanks" dxfId="1960" priority="1908">
      <formula>LEN(TRIM(AH139))=0</formula>
    </cfRule>
    <cfRule type="containsBlanks" dxfId="1959" priority="1909">
      <formula>LEN(TRIM(AH139))=0</formula>
    </cfRule>
    <cfRule type="containsBlanks" dxfId="1958" priority="1910">
      <formula>LEN(TRIM(AH139))=0</formula>
    </cfRule>
    <cfRule type="containsBlanks" dxfId="1957" priority="1911">
      <formula>LEN(TRIM(AH139))=0</formula>
    </cfRule>
    <cfRule type="containsBlanks" dxfId="1956" priority="1912">
      <formula>LEN(TRIM(AH139))=0</formula>
    </cfRule>
    <cfRule type="containsBlanks" dxfId="1955" priority="1913">
      <formula>LEN(TRIM(AH139))=0</formula>
    </cfRule>
    <cfRule type="containsBlanks" dxfId="1954" priority="1914">
      <formula>LEN(TRIM(AH139))=0</formula>
    </cfRule>
    <cfRule type="containsBlanks" dxfId="1953" priority="1915">
      <formula>LEN(TRIM(AH139))=0</formula>
    </cfRule>
    <cfRule type="containsBlanks" dxfId="1952" priority="1916">
      <formula>LEN(TRIM(AH139))=0</formula>
    </cfRule>
    <cfRule type="containsBlanks" dxfId="1951" priority="1917">
      <formula>LEN(TRIM(AH139))=0</formula>
    </cfRule>
    <cfRule type="containsBlanks" dxfId="1950" priority="1918">
      <formula>LEN(TRIM(AH139))=0</formula>
    </cfRule>
    <cfRule type="containsBlanks" dxfId="1949" priority="1919">
      <formula>LEN(TRIM(AH139))=0</formula>
    </cfRule>
    <cfRule type="containsBlanks" dxfId="1948" priority="1920">
      <formula>LEN(TRIM(AH139))=0</formula>
    </cfRule>
    <cfRule type="containsBlanks" dxfId="1947" priority="1921">
      <formula>LEN(TRIM(AH139))=0</formula>
    </cfRule>
    <cfRule type="containsBlanks" dxfId="1946" priority="1922">
      <formula>LEN(TRIM(AH139))=0</formula>
    </cfRule>
    <cfRule type="containsBlanks" dxfId="1945" priority="1923">
      <formula>LEN(TRIM(AH139))=0</formula>
    </cfRule>
    <cfRule type="containsBlanks" dxfId="1944" priority="1924">
      <formula>LEN(TRIM(AH139))=0</formula>
    </cfRule>
    <cfRule type="containsBlanks" dxfId="1943" priority="1925">
      <formula>LEN(TRIM(AH139))=0</formula>
    </cfRule>
    <cfRule type="containsBlanks" dxfId="1942" priority="1926">
      <formula>LEN(TRIM(AH139))=0</formula>
    </cfRule>
    <cfRule type="containsBlanks" dxfId="1941" priority="1927">
      <formula>LEN(TRIM(AH139))=0</formula>
    </cfRule>
    <cfRule type="containsBlanks" dxfId="1940" priority="1928">
      <formula>LEN(TRIM(AH139))=0</formula>
    </cfRule>
    <cfRule type="containsBlanks" dxfId="1939" priority="1929">
      <formula>LEN(TRIM(AH139))=0</formula>
    </cfRule>
    <cfRule type="containsBlanks" dxfId="1938" priority="1930">
      <formula>LEN(TRIM(AH139))=0</formula>
    </cfRule>
    <cfRule type="containsBlanks" dxfId="1937" priority="1931">
      <formula>LEN(TRIM(AH139))=0</formula>
    </cfRule>
    <cfRule type="containsBlanks" dxfId="1936" priority="1932">
      <formula>LEN(TRIM(AH139))=0</formula>
    </cfRule>
    <cfRule type="containsBlanks" dxfId="1935" priority="1933">
      <formula>LEN(TRIM(AH139))=0</formula>
    </cfRule>
    <cfRule type="containsBlanks" dxfId="1934" priority="1934">
      <formula>LEN(TRIM(AH139))=0</formula>
    </cfRule>
    <cfRule type="containsBlanks" dxfId="1933" priority="1935">
      <formula>LEN(TRIM(AH139))=0</formula>
    </cfRule>
    <cfRule type="containsBlanks" dxfId="1932" priority="1936">
      <formula>LEN(TRIM(AH139))=0</formula>
    </cfRule>
    <cfRule type="containsBlanks" dxfId="1931" priority="1937">
      <formula>LEN(TRIM(AH139))=0</formula>
    </cfRule>
    <cfRule type="containsBlanks" dxfId="1930" priority="1938">
      <formula>LEN(TRIM(AH139))=0</formula>
    </cfRule>
    <cfRule type="containsBlanks" dxfId="1929" priority="1939">
      <formula>LEN(TRIM(AH139))=0</formula>
    </cfRule>
    <cfRule type="containsBlanks" dxfId="1928" priority="1940">
      <formula>LEN(TRIM(AH139))=0</formula>
    </cfRule>
    <cfRule type="containsBlanks" dxfId="1927" priority="1941">
      <formula>LEN(TRIM(AH139))=0</formula>
    </cfRule>
    <cfRule type="containsBlanks" dxfId="1926" priority="1942">
      <formula>LEN(TRIM(AH139))=0</formula>
    </cfRule>
    <cfRule type="containsBlanks" dxfId="1925" priority="1943">
      <formula>LEN(TRIM(AH139))=0</formula>
    </cfRule>
    <cfRule type="containsBlanks" dxfId="1924" priority="1944">
      <formula>LEN(TRIM(AH139))=0</formula>
    </cfRule>
    <cfRule type="containsBlanks" dxfId="1923" priority="1945">
      <formula>LEN(TRIM(AH139))=0</formula>
    </cfRule>
    <cfRule type="containsBlanks" dxfId="1922" priority="1946">
      <formula>LEN(TRIM(AH139))=0</formula>
    </cfRule>
    <cfRule type="containsBlanks" dxfId="1921" priority="1947">
      <formula>LEN(TRIM(AH139))=0</formula>
    </cfRule>
    <cfRule type="containsBlanks" dxfId="1920" priority="1948">
      <formula>LEN(TRIM(AH139))=0</formula>
    </cfRule>
    <cfRule type="containsBlanks" dxfId="1919" priority="1949">
      <formula>LEN(TRIM(AH139))=0</formula>
    </cfRule>
    <cfRule type="containsBlanks" dxfId="1918" priority="1950">
      <formula>LEN(TRIM(AH139))=0</formula>
    </cfRule>
    <cfRule type="containsBlanks" dxfId="1917" priority="1951">
      <formula>LEN(TRIM(AH139))=0</formula>
    </cfRule>
    <cfRule type="containsBlanks" dxfId="1916" priority="1952">
      <formula>LEN(TRIM(AH139))=0</formula>
    </cfRule>
    <cfRule type="containsBlanks" dxfId="1915" priority="1953">
      <formula>LEN(TRIM(AH139))=0</formula>
    </cfRule>
    <cfRule type="containsBlanks" dxfId="1914" priority="1954">
      <formula>LEN(TRIM(AH139))=0</formula>
    </cfRule>
    <cfRule type="containsBlanks" dxfId="1913" priority="1955">
      <formula>LEN(TRIM(AH139))=0</formula>
    </cfRule>
    <cfRule type="containsBlanks" dxfId="1912" priority="1956">
      <formula>LEN(TRIM(AH139))=0</formula>
    </cfRule>
    <cfRule type="containsBlanks" dxfId="1911" priority="1957">
      <formula>LEN(TRIM(AH139))=0</formula>
    </cfRule>
    <cfRule type="containsBlanks" dxfId="1910" priority="1958">
      <formula>LEN(TRIM(AH139))=0</formula>
    </cfRule>
    <cfRule type="containsBlanks" dxfId="1909" priority="1959">
      <formula>LEN(TRIM(AH139))=0</formula>
    </cfRule>
    <cfRule type="containsBlanks" dxfId="1908" priority="1960">
      <formula>LEN(TRIM(AH139))=0</formula>
    </cfRule>
    <cfRule type="containsBlanks" dxfId="1907" priority="1961">
      <formula>LEN(TRIM(AH139))=0</formula>
    </cfRule>
    <cfRule type="containsBlanks" dxfId="1906" priority="1962">
      <formula>LEN(TRIM(AH139))=0</formula>
    </cfRule>
    <cfRule type="containsBlanks" dxfId="1905" priority="1963">
      <formula>LEN(TRIM(AH139))=0</formula>
    </cfRule>
    <cfRule type="containsBlanks" dxfId="1904" priority="1964">
      <formula>LEN(TRIM(AH139))=0</formula>
    </cfRule>
    <cfRule type="containsBlanks" dxfId="1903" priority="1965">
      <formula>LEN(TRIM(AH139))=0</formula>
    </cfRule>
    <cfRule type="containsBlanks" dxfId="1902" priority="1966">
      <formula>LEN(TRIM(AH139))=0</formula>
    </cfRule>
    <cfRule type="containsBlanks" dxfId="1901" priority="1967">
      <formula>LEN(TRIM(AH139))=0</formula>
    </cfRule>
  </conditionalFormatting>
  <conditionalFormatting sqref="AH139">
    <cfRule type="containsBlanks" dxfId="1900" priority="1847">
      <formula>LEN(TRIM(AH139))=0</formula>
    </cfRule>
    <cfRule type="containsBlanks" dxfId="1899" priority="1848">
      <formula>LEN(TRIM(AH139))=0</formula>
    </cfRule>
    <cfRule type="containsBlanks" dxfId="1898" priority="1849">
      <formula>LEN(TRIM(AH139))=0</formula>
    </cfRule>
    <cfRule type="containsBlanks" dxfId="1897" priority="1850">
      <formula>LEN(TRIM(AH139))=0</formula>
    </cfRule>
    <cfRule type="containsBlanks" dxfId="1896" priority="1851">
      <formula>LEN(TRIM(AH139))=0</formula>
    </cfRule>
    <cfRule type="containsBlanks" dxfId="1895" priority="1852">
      <formula>LEN(TRIM(AH139))=0</formula>
    </cfRule>
    <cfRule type="containsBlanks" dxfId="1894" priority="1853">
      <formula>LEN(TRIM(AH139))=0</formula>
    </cfRule>
    <cfRule type="containsBlanks" dxfId="1893" priority="1854">
      <formula>LEN(TRIM(AH139))=0</formula>
    </cfRule>
    <cfRule type="containsBlanks" dxfId="1892" priority="1855">
      <formula>LEN(TRIM(AH139))=0</formula>
    </cfRule>
    <cfRule type="containsBlanks" dxfId="1891" priority="1856">
      <formula>LEN(TRIM(AH139))=0</formula>
    </cfRule>
    <cfRule type="containsBlanks" dxfId="1890" priority="1857">
      <formula>LEN(TRIM(AH139))=0</formula>
    </cfRule>
    <cfRule type="containsBlanks" dxfId="1889" priority="1858">
      <formula>LEN(TRIM(AH139))=0</formula>
    </cfRule>
    <cfRule type="containsBlanks" dxfId="1888" priority="1859">
      <formula>LEN(TRIM(AH139))=0</formula>
    </cfRule>
    <cfRule type="containsBlanks" dxfId="1887" priority="1860">
      <formula>LEN(TRIM(AH139))=0</formula>
    </cfRule>
    <cfRule type="containsBlanks" dxfId="1886" priority="1861">
      <formula>LEN(TRIM(AH139))=0</formula>
    </cfRule>
    <cfRule type="containsBlanks" dxfId="1885" priority="1862">
      <formula>LEN(TRIM(AH139))=0</formula>
    </cfRule>
    <cfRule type="containsBlanks" dxfId="1884" priority="1863">
      <formula>LEN(TRIM(AH139))=0</formula>
    </cfRule>
    <cfRule type="containsBlanks" dxfId="1883" priority="1864">
      <formula>LEN(TRIM(AH139))=0</formula>
    </cfRule>
    <cfRule type="containsBlanks" dxfId="1882" priority="1865">
      <formula>LEN(TRIM(AH139))=0</formula>
    </cfRule>
    <cfRule type="containsBlanks" dxfId="1881" priority="1866">
      <formula>LEN(TRIM(AH139))=0</formula>
    </cfRule>
    <cfRule type="containsBlanks" dxfId="1880" priority="1867">
      <formula>LEN(TRIM(AH139))=0</formula>
    </cfRule>
    <cfRule type="containsBlanks" dxfId="1879" priority="1868">
      <formula>LEN(TRIM(AH139))=0</formula>
    </cfRule>
    <cfRule type="containsBlanks" dxfId="1878" priority="1869">
      <formula>LEN(TRIM(AH139))=0</formula>
    </cfRule>
    <cfRule type="containsBlanks" dxfId="1877" priority="1870">
      <formula>LEN(TRIM(AH139))=0</formula>
    </cfRule>
    <cfRule type="containsBlanks" dxfId="1876" priority="1871">
      <formula>LEN(TRIM(AH139))=0</formula>
    </cfRule>
    <cfRule type="containsBlanks" dxfId="1875" priority="1872">
      <formula>LEN(TRIM(AH139))=0</formula>
    </cfRule>
    <cfRule type="containsBlanks" dxfId="1874" priority="1873">
      <formula>LEN(TRIM(AH139))=0</formula>
    </cfRule>
    <cfRule type="containsBlanks" dxfId="1873" priority="1874">
      <formula>LEN(TRIM(AH139))=0</formula>
    </cfRule>
    <cfRule type="containsBlanks" dxfId="1872" priority="1875">
      <formula>LEN(TRIM(AH139))=0</formula>
    </cfRule>
    <cfRule type="containsBlanks" dxfId="1871" priority="1876">
      <formula>LEN(TRIM(AH139))=0</formula>
    </cfRule>
    <cfRule type="containsBlanks" dxfId="1870" priority="1877">
      <formula>LEN(TRIM(AH139))=0</formula>
    </cfRule>
    <cfRule type="containsBlanks" dxfId="1869" priority="1878">
      <formula>LEN(TRIM(AH139))=0</formula>
    </cfRule>
    <cfRule type="containsBlanks" dxfId="1868" priority="1879">
      <formula>LEN(TRIM(AH139))=0</formula>
    </cfRule>
    <cfRule type="containsBlanks" dxfId="1867" priority="1880">
      <formula>LEN(TRIM(AH139))=0</formula>
    </cfRule>
    <cfRule type="containsBlanks" dxfId="1866" priority="1881">
      <formula>LEN(TRIM(AH139))=0</formula>
    </cfRule>
    <cfRule type="containsBlanks" dxfId="1865" priority="1882">
      <formula>LEN(TRIM(AH139))=0</formula>
    </cfRule>
    <cfRule type="containsBlanks" dxfId="1864" priority="1883">
      <formula>LEN(TRIM(AH139))=0</formula>
    </cfRule>
    <cfRule type="containsBlanks" dxfId="1863" priority="1884">
      <formula>LEN(TRIM(AH139))=0</formula>
    </cfRule>
    <cfRule type="containsBlanks" dxfId="1862" priority="1885">
      <formula>LEN(TRIM(AH139))=0</formula>
    </cfRule>
    <cfRule type="containsBlanks" dxfId="1861" priority="1886">
      <formula>LEN(TRIM(AH139))=0</formula>
    </cfRule>
    <cfRule type="containsBlanks" dxfId="1860" priority="1887">
      <formula>LEN(TRIM(AH139))=0</formula>
    </cfRule>
    <cfRule type="containsBlanks" dxfId="1859" priority="1888">
      <formula>LEN(TRIM(AH139))=0</formula>
    </cfRule>
    <cfRule type="containsBlanks" dxfId="1858" priority="1889">
      <formula>LEN(TRIM(AH139))=0</formula>
    </cfRule>
    <cfRule type="containsBlanks" dxfId="1857" priority="1890">
      <formula>LEN(TRIM(AH139))=0</formula>
    </cfRule>
    <cfRule type="containsBlanks" dxfId="1856" priority="1891">
      <formula>LEN(TRIM(AH139))=0</formula>
    </cfRule>
    <cfRule type="containsBlanks" dxfId="1855" priority="1892">
      <formula>LEN(TRIM(AH139))=0</formula>
    </cfRule>
    <cfRule type="containsBlanks" dxfId="1854" priority="1893">
      <formula>LEN(TRIM(AH139))=0</formula>
    </cfRule>
    <cfRule type="containsBlanks" dxfId="1853" priority="1894">
      <formula>LEN(TRIM(AH139))=0</formula>
    </cfRule>
    <cfRule type="containsBlanks" dxfId="1852" priority="1895">
      <formula>LEN(TRIM(AH139))=0</formula>
    </cfRule>
    <cfRule type="containsBlanks" dxfId="1851" priority="1896">
      <formula>LEN(TRIM(AH139))=0</formula>
    </cfRule>
    <cfRule type="containsBlanks" dxfId="1850" priority="1897">
      <formula>LEN(TRIM(AH139))=0</formula>
    </cfRule>
    <cfRule type="containsBlanks" dxfId="1849" priority="1898">
      <formula>LEN(TRIM(AH139))=0</formula>
    </cfRule>
    <cfRule type="containsBlanks" dxfId="1848" priority="1899">
      <formula>LEN(TRIM(AH139))=0</formula>
    </cfRule>
    <cfRule type="containsBlanks" dxfId="1847" priority="1900">
      <formula>LEN(TRIM(AH139))=0</formula>
    </cfRule>
    <cfRule type="containsBlanks" dxfId="1846" priority="1901">
      <formula>LEN(TRIM(AH139))=0</formula>
    </cfRule>
  </conditionalFormatting>
  <conditionalFormatting sqref="AH139">
    <cfRule type="containsBlanks" dxfId="1845" priority="1763">
      <formula>LEN(TRIM(AH139))=0</formula>
    </cfRule>
    <cfRule type="containsBlanks" dxfId="1844" priority="1764">
      <formula>LEN(TRIM(AH139))=0</formula>
    </cfRule>
    <cfRule type="containsBlanks" dxfId="1843" priority="1765">
      <formula>LEN(TRIM(AH139))=0</formula>
    </cfRule>
    <cfRule type="containsBlanks" dxfId="1842" priority="1766">
      <formula>LEN(TRIM(AH139))=0</formula>
    </cfRule>
    <cfRule type="containsBlanks" dxfId="1841" priority="1767">
      <formula>LEN(TRIM(AH139))=0</formula>
    </cfRule>
    <cfRule type="containsBlanks" dxfId="1840" priority="1768">
      <formula>LEN(TRIM(AH139))=0</formula>
    </cfRule>
    <cfRule type="containsBlanks" dxfId="1839" priority="1769">
      <formula>LEN(TRIM(AH139))=0</formula>
    </cfRule>
    <cfRule type="containsBlanks" dxfId="1838" priority="1770">
      <formula>LEN(TRIM(AH139))=0</formula>
    </cfRule>
    <cfRule type="containsBlanks" dxfId="1837" priority="1771">
      <formula>LEN(TRIM(AH139))=0</formula>
    </cfRule>
    <cfRule type="containsBlanks" dxfId="1836" priority="1772">
      <formula>LEN(TRIM(AH139))=0</formula>
    </cfRule>
    <cfRule type="containsBlanks" dxfId="1835" priority="1773">
      <formula>LEN(TRIM(AH139))=0</formula>
    </cfRule>
    <cfRule type="containsBlanks" dxfId="1834" priority="1774">
      <formula>LEN(TRIM(AH139))=0</formula>
    </cfRule>
    <cfRule type="containsBlanks" dxfId="1833" priority="1775">
      <formula>LEN(TRIM(AH139))=0</formula>
    </cfRule>
    <cfRule type="containsBlanks" dxfId="1832" priority="1776">
      <formula>LEN(TRIM(AH139))=0</formula>
    </cfRule>
    <cfRule type="containsBlanks" dxfId="1831" priority="1777">
      <formula>LEN(TRIM(AH139))=0</formula>
    </cfRule>
    <cfRule type="containsBlanks" dxfId="1830" priority="1778">
      <formula>LEN(TRIM(AH139))=0</formula>
    </cfRule>
    <cfRule type="containsBlanks" dxfId="1829" priority="1779">
      <formula>LEN(TRIM(AH139))=0</formula>
    </cfRule>
    <cfRule type="containsBlanks" dxfId="1828" priority="1780">
      <formula>LEN(TRIM(AH139))=0</formula>
    </cfRule>
    <cfRule type="containsBlanks" dxfId="1827" priority="1781">
      <formula>LEN(TRIM(AH139))=0</formula>
    </cfRule>
    <cfRule type="containsBlanks" dxfId="1826" priority="1782">
      <formula>LEN(TRIM(AH139))=0</formula>
    </cfRule>
    <cfRule type="containsBlanks" dxfId="1825" priority="1783">
      <formula>LEN(TRIM(AH139))=0</formula>
    </cfRule>
    <cfRule type="containsBlanks" dxfId="1824" priority="1784">
      <formula>LEN(TRIM(AH139))=0</formula>
    </cfRule>
    <cfRule type="containsBlanks" dxfId="1823" priority="1785">
      <formula>LEN(TRIM(AH139))=0</formula>
    </cfRule>
    <cfRule type="containsBlanks" dxfId="1822" priority="1786">
      <formula>LEN(TRIM(AH139))=0</formula>
    </cfRule>
    <cfRule type="containsBlanks" dxfId="1821" priority="1787">
      <formula>LEN(TRIM(AH139))=0</formula>
    </cfRule>
    <cfRule type="containsBlanks" dxfId="1820" priority="1788">
      <formula>LEN(TRIM(AH139))=0</formula>
    </cfRule>
    <cfRule type="containsBlanks" dxfId="1819" priority="1789">
      <formula>LEN(TRIM(AH139))=0</formula>
    </cfRule>
    <cfRule type="containsBlanks" dxfId="1818" priority="1790">
      <formula>LEN(TRIM(AH139))=0</formula>
    </cfRule>
    <cfRule type="containsBlanks" dxfId="1817" priority="1791">
      <formula>LEN(TRIM(AH139))=0</formula>
    </cfRule>
    <cfRule type="containsBlanks" dxfId="1816" priority="1792">
      <formula>LEN(TRIM(AH139))=0</formula>
    </cfRule>
    <cfRule type="containsBlanks" dxfId="1815" priority="1793">
      <formula>LEN(TRIM(AH139))=0</formula>
    </cfRule>
    <cfRule type="containsBlanks" dxfId="1814" priority="1794">
      <formula>LEN(TRIM(AH139))=0</formula>
    </cfRule>
    <cfRule type="containsBlanks" dxfId="1813" priority="1795">
      <formula>LEN(TRIM(AH139))=0</formula>
    </cfRule>
    <cfRule type="containsBlanks" dxfId="1812" priority="1796">
      <formula>LEN(TRIM(AH139))=0</formula>
    </cfRule>
    <cfRule type="containsBlanks" dxfId="1811" priority="1797">
      <formula>LEN(TRIM(AH139))=0</formula>
    </cfRule>
    <cfRule type="containsBlanks" dxfId="1810" priority="1798">
      <formula>LEN(TRIM(AH139))=0</formula>
    </cfRule>
    <cfRule type="containsBlanks" dxfId="1809" priority="1799">
      <formula>LEN(TRIM(AH139))=0</formula>
    </cfRule>
    <cfRule type="containsBlanks" dxfId="1808" priority="1800">
      <formula>LEN(TRIM(AH139))=0</formula>
    </cfRule>
    <cfRule type="containsBlanks" dxfId="1807" priority="1801">
      <formula>LEN(TRIM(AH139))=0</formula>
    </cfRule>
    <cfRule type="containsBlanks" dxfId="1806" priority="1802">
      <formula>LEN(TRIM(AH139))=0</formula>
    </cfRule>
    <cfRule type="containsBlanks" dxfId="1805" priority="1803">
      <formula>LEN(TRIM(AH139))=0</formula>
    </cfRule>
    <cfRule type="containsBlanks" dxfId="1804" priority="1804">
      <formula>LEN(TRIM(AH139))=0</formula>
    </cfRule>
    <cfRule type="containsBlanks" dxfId="1803" priority="1805">
      <formula>LEN(TRIM(AH139))=0</formula>
    </cfRule>
    <cfRule type="containsBlanks" dxfId="1802" priority="1806">
      <formula>LEN(TRIM(AH139))=0</formula>
    </cfRule>
    <cfRule type="containsBlanks" dxfId="1801" priority="1807">
      <formula>LEN(TRIM(AH139))=0</formula>
    </cfRule>
    <cfRule type="containsBlanks" dxfId="1800" priority="1808">
      <formula>LEN(TRIM(AH139))=0</formula>
    </cfRule>
    <cfRule type="containsBlanks" dxfId="1799" priority="1809">
      <formula>LEN(TRIM(AH139))=0</formula>
    </cfRule>
    <cfRule type="containsBlanks" dxfId="1798" priority="1810">
      <formula>LEN(TRIM(AH139))=0</formula>
    </cfRule>
    <cfRule type="containsBlanks" dxfId="1797" priority="1811">
      <formula>LEN(TRIM(AH139))=0</formula>
    </cfRule>
    <cfRule type="containsBlanks" dxfId="1796" priority="1812">
      <formula>LEN(TRIM(AH139))=0</formula>
    </cfRule>
    <cfRule type="containsBlanks" dxfId="1795" priority="1813">
      <formula>LEN(TRIM(AH139))=0</formula>
    </cfRule>
    <cfRule type="containsBlanks" dxfId="1794" priority="1814">
      <formula>LEN(TRIM(AH139))=0</formula>
    </cfRule>
    <cfRule type="containsBlanks" dxfId="1793" priority="1815">
      <formula>LEN(TRIM(AH139))=0</formula>
    </cfRule>
    <cfRule type="containsBlanks" dxfId="1792" priority="1816">
      <formula>LEN(TRIM(AH139))=0</formula>
    </cfRule>
    <cfRule type="containsBlanks" dxfId="1791" priority="1817">
      <formula>LEN(TRIM(AH139))=0</formula>
    </cfRule>
    <cfRule type="containsBlanks" dxfId="1790" priority="1818">
      <formula>LEN(TRIM(AH139))=0</formula>
    </cfRule>
    <cfRule type="containsBlanks" dxfId="1789" priority="1819">
      <formula>LEN(TRIM(AH139))=0</formula>
    </cfRule>
    <cfRule type="containsBlanks" dxfId="1788" priority="1820">
      <formula>LEN(TRIM(AH139))=0</formula>
    </cfRule>
    <cfRule type="containsBlanks" dxfId="1787" priority="1821">
      <formula>LEN(TRIM(AH139))=0</formula>
    </cfRule>
    <cfRule type="containsBlanks" dxfId="1786" priority="1822">
      <formula>LEN(TRIM(AH139))=0</formula>
    </cfRule>
    <cfRule type="containsBlanks" dxfId="1785" priority="1823">
      <formula>LEN(TRIM(AH139))=0</formula>
    </cfRule>
    <cfRule type="containsBlanks" dxfId="1784" priority="1824">
      <formula>LEN(TRIM(AH139))=0</formula>
    </cfRule>
    <cfRule type="containsBlanks" dxfId="1783" priority="1825">
      <formula>LEN(TRIM(AH139))=0</formula>
    </cfRule>
    <cfRule type="containsBlanks" dxfId="1782" priority="1826">
      <formula>LEN(TRIM(AH139))=0</formula>
    </cfRule>
    <cfRule type="containsBlanks" dxfId="1781" priority="1827">
      <formula>LEN(TRIM(AH139))=0</formula>
    </cfRule>
    <cfRule type="containsBlanks" dxfId="1780" priority="1828">
      <formula>LEN(TRIM(AH139))=0</formula>
    </cfRule>
    <cfRule type="containsBlanks" dxfId="1779" priority="1829">
      <formula>LEN(TRIM(AH139))=0</formula>
    </cfRule>
    <cfRule type="containsBlanks" dxfId="1778" priority="1830">
      <formula>LEN(TRIM(AH139))=0</formula>
    </cfRule>
    <cfRule type="containsBlanks" dxfId="1777" priority="1831">
      <formula>LEN(TRIM(AH139))=0</formula>
    </cfRule>
    <cfRule type="containsBlanks" dxfId="1776" priority="1832">
      <formula>LEN(TRIM(AH139))=0</formula>
    </cfRule>
    <cfRule type="containsBlanks" dxfId="1775" priority="1833">
      <formula>LEN(TRIM(AH139))=0</formula>
    </cfRule>
    <cfRule type="containsBlanks" dxfId="1774" priority="1834">
      <formula>LEN(TRIM(AH139))=0</formula>
    </cfRule>
    <cfRule type="containsBlanks" dxfId="1773" priority="1835">
      <formula>LEN(TRIM(AH139))=0</formula>
    </cfRule>
    <cfRule type="containsBlanks" dxfId="1772" priority="1836">
      <formula>LEN(TRIM(AH139))=0</formula>
    </cfRule>
    <cfRule type="containsBlanks" dxfId="1771" priority="1837">
      <formula>LEN(TRIM(AH139))=0</formula>
    </cfRule>
    <cfRule type="containsBlanks" dxfId="1770" priority="1838">
      <formula>LEN(TRIM(AH139))=0</formula>
    </cfRule>
    <cfRule type="containsBlanks" dxfId="1769" priority="1839">
      <formula>LEN(TRIM(AH139))=0</formula>
    </cfRule>
    <cfRule type="containsBlanks" dxfId="1768" priority="1840">
      <formula>LEN(TRIM(AH139))=0</formula>
    </cfRule>
    <cfRule type="containsBlanks" dxfId="1767" priority="1841">
      <formula>LEN(TRIM(AH139))=0</formula>
    </cfRule>
    <cfRule type="containsBlanks" dxfId="1766" priority="1842">
      <formula>LEN(TRIM(AH139))=0</formula>
    </cfRule>
    <cfRule type="containsBlanks" dxfId="1765" priority="1843">
      <formula>LEN(TRIM(AH139))=0</formula>
    </cfRule>
    <cfRule type="containsBlanks" dxfId="1764" priority="1844">
      <formula>LEN(TRIM(AH139))=0</formula>
    </cfRule>
    <cfRule type="containsBlanks" dxfId="1763" priority="1845">
      <formula>LEN(TRIM(AH139))=0</formula>
    </cfRule>
    <cfRule type="containsBlanks" dxfId="1762" priority="1846">
      <formula>LEN(TRIM(AH139))=0</formula>
    </cfRule>
  </conditionalFormatting>
  <conditionalFormatting sqref="AH141">
    <cfRule type="containsBlanks" dxfId="1761" priority="1762">
      <formula>LEN(TRIM(AH141))=0</formula>
    </cfRule>
  </conditionalFormatting>
  <conditionalFormatting sqref="AH141">
    <cfRule type="containsBlanks" dxfId="1760" priority="1761">
      <formula>LEN(TRIM(AH141))=0</formula>
    </cfRule>
  </conditionalFormatting>
  <conditionalFormatting sqref="AH141">
    <cfRule type="containsBlanks" dxfId="1759" priority="1759">
      <formula>LEN(TRIM(AH141))=0</formula>
    </cfRule>
    <cfRule type="containsBlanks" dxfId="1758" priority="1760">
      <formula>LEN(TRIM(AH141))=0</formula>
    </cfRule>
  </conditionalFormatting>
  <conditionalFormatting sqref="AH141">
    <cfRule type="containsBlanks" dxfId="1757" priority="1758">
      <formula>LEN(TRIM(AH141))=0</formula>
    </cfRule>
  </conditionalFormatting>
  <conditionalFormatting sqref="AH141">
    <cfRule type="containsBlanks" dxfId="1756" priority="1757">
      <formula>LEN(TRIM(AH141))=0</formula>
    </cfRule>
  </conditionalFormatting>
  <conditionalFormatting sqref="AH141">
    <cfRule type="containsBlanks" dxfId="1755" priority="1756">
      <formula>LEN(TRIM(AH141))=0</formula>
    </cfRule>
  </conditionalFormatting>
  <conditionalFormatting sqref="AH141">
    <cfRule type="containsBlanks" dxfId="1754" priority="1754">
      <formula>LEN(TRIM(AH141))=0</formula>
    </cfRule>
    <cfRule type="containsBlanks" dxfId="1753" priority="1755">
      <formula>LEN(TRIM(AH141))=0</formula>
    </cfRule>
  </conditionalFormatting>
  <conditionalFormatting sqref="AH141">
    <cfRule type="containsBlanks" dxfId="1752" priority="1752">
      <formula>LEN(TRIM(AH141))=0</formula>
    </cfRule>
    <cfRule type="containsBlanks" dxfId="1751" priority="1753">
      <formula>LEN(TRIM(AH141))=0</formula>
    </cfRule>
  </conditionalFormatting>
  <conditionalFormatting sqref="AH141">
    <cfRule type="containsBlanks" dxfId="1750" priority="1750">
      <formula>LEN(TRIM(AH141))=0</formula>
    </cfRule>
    <cfRule type="containsBlanks" dxfId="1749" priority="1751">
      <formula>LEN(TRIM(AH141))=0</formula>
    </cfRule>
  </conditionalFormatting>
  <conditionalFormatting sqref="AH141">
    <cfRule type="containsBlanks" dxfId="1748" priority="1748">
      <formula>LEN(TRIM(AH141))=0</formula>
    </cfRule>
    <cfRule type="containsBlanks" dxfId="1747" priority="1749">
      <formula>LEN(TRIM(AH141))=0</formula>
    </cfRule>
  </conditionalFormatting>
  <conditionalFormatting sqref="AH141">
    <cfRule type="containsBlanks" dxfId="1746" priority="1682">
      <formula>LEN(TRIM(AH141))=0</formula>
    </cfRule>
    <cfRule type="containsBlanks" dxfId="1745" priority="1683">
      <formula>LEN(TRIM(AH141))=0</formula>
    </cfRule>
    <cfRule type="containsBlanks" dxfId="1744" priority="1684">
      <formula>LEN(TRIM(AH141))=0</formula>
    </cfRule>
    <cfRule type="containsBlanks" dxfId="1743" priority="1685">
      <formula>LEN(TRIM(AH141))=0</formula>
    </cfRule>
    <cfRule type="containsBlanks" dxfId="1742" priority="1686">
      <formula>LEN(TRIM(AH141))=0</formula>
    </cfRule>
    <cfRule type="containsBlanks" dxfId="1741" priority="1687">
      <formula>LEN(TRIM(AH141))=0</formula>
    </cfRule>
    <cfRule type="containsBlanks" dxfId="1740" priority="1688">
      <formula>LEN(TRIM(AH141))=0</formula>
    </cfRule>
    <cfRule type="containsBlanks" dxfId="1739" priority="1689">
      <formula>LEN(TRIM(AH141))=0</formula>
    </cfRule>
    <cfRule type="containsBlanks" dxfId="1738" priority="1690">
      <formula>LEN(TRIM(AH141))=0</formula>
    </cfRule>
    <cfRule type="containsBlanks" dxfId="1737" priority="1691">
      <formula>LEN(TRIM(AH141))=0</formula>
    </cfRule>
    <cfRule type="containsBlanks" dxfId="1736" priority="1692">
      <formula>LEN(TRIM(AH141))=0</formula>
    </cfRule>
    <cfRule type="containsBlanks" dxfId="1735" priority="1693">
      <formula>LEN(TRIM(AH141))=0</formula>
    </cfRule>
    <cfRule type="containsBlanks" dxfId="1734" priority="1694">
      <formula>LEN(TRIM(AH141))=0</formula>
    </cfRule>
    <cfRule type="containsBlanks" dxfId="1733" priority="1695">
      <formula>LEN(TRIM(AH141))=0</formula>
    </cfRule>
    <cfRule type="containsBlanks" dxfId="1732" priority="1696">
      <formula>LEN(TRIM(AH141))=0</formula>
    </cfRule>
    <cfRule type="containsBlanks" dxfId="1731" priority="1697">
      <formula>LEN(TRIM(AH141))=0</formula>
    </cfRule>
    <cfRule type="containsBlanks" dxfId="1730" priority="1698">
      <formula>LEN(TRIM(AH141))=0</formula>
    </cfRule>
    <cfRule type="containsBlanks" dxfId="1729" priority="1699">
      <formula>LEN(TRIM(AH141))=0</formula>
    </cfRule>
    <cfRule type="containsBlanks" dxfId="1728" priority="1700">
      <formula>LEN(TRIM(AH141))=0</formula>
    </cfRule>
    <cfRule type="containsBlanks" dxfId="1727" priority="1701">
      <formula>LEN(TRIM(AH141))=0</formula>
    </cfRule>
    <cfRule type="containsBlanks" dxfId="1726" priority="1702">
      <formula>LEN(TRIM(AH141))=0</formula>
    </cfRule>
    <cfRule type="containsBlanks" dxfId="1725" priority="1703">
      <formula>LEN(TRIM(AH141))=0</formula>
    </cfRule>
    <cfRule type="containsBlanks" dxfId="1724" priority="1704">
      <formula>LEN(TRIM(AH141))=0</formula>
    </cfRule>
    <cfRule type="containsBlanks" dxfId="1723" priority="1705">
      <formula>LEN(TRIM(AH141))=0</formula>
    </cfRule>
    <cfRule type="containsBlanks" dxfId="1722" priority="1706">
      <formula>LEN(TRIM(AH141))=0</formula>
    </cfRule>
    <cfRule type="containsBlanks" dxfId="1721" priority="1707">
      <formula>LEN(TRIM(AH141))=0</formula>
    </cfRule>
    <cfRule type="containsBlanks" dxfId="1720" priority="1708">
      <formula>LEN(TRIM(AH141))=0</formula>
    </cfRule>
    <cfRule type="containsBlanks" dxfId="1719" priority="1709">
      <formula>LEN(TRIM(AH141))=0</formula>
    </cfRule>
    <cfRule type="containsBlanks" dxfId="1718" priority="1710">
      <formula>LEN(TRIM(AH141))=0</formula>
    </cfRule>
    <cfRule type="containsBlanks" dxfId="1717" priority="1711">
      <formula>LEN(TRIM(AH141))=0</formula>
    </cfRule>
    <cfRule type="containsBlanks" dxfId="1716" priority="1712">
      <formula>LEN(TRIM(AH141))=0</formula>
    </cfRule>
    <cfRule type="containsBlanks" dxfId="1715" priority="1713">
      <formula>LEN(TRIM(AH141))=0</formula>
    </cfRule>
    <cfRule type="containsBlanks" dxfId="1714" priority="1714">
      <formula>LEN(TRIM(AH141))=0</formula>
    </cfRule>
    <cfRule type="containsBlanks" dxfId="1713" priority="1715">
      <formula>LEN(TRIM(AH141))=0</formula>
    </cfRule>
    <cfRule type="containsBlanks" dxfId="1712" priority="1716">
      <formula>LEN(TRIM(AH141))=0</formula>
    </cfRule>
    <cfRule type="containsBlanks" dxfId="1711" priority="1717">
      <formula>LEN(TRIM(AH141))=0</formula>
    </cfRule>
    <cfRule type="containsBlanks" dxfId="1710" priority="1718">
      <formula>LEN(TRIM(AH141))=0</formula>
    </cfRule>
    <cfRule type="containsBlanks" dxfId="1709" priority="1719">
      <formula>LEN(TRIM(AH141))=0</formula>
    </cfRule>
    <cfRule type="containsBlanks" dxfId="1708" priority="1720">
      <formula>LEN(TRIM(AH141))=0</formula>
    </cfRule>
    <cfRule type="containsBlanks" dxfId="1707" priority="1721">
      <formula>LEN(TRIM(AH141))=0</formula>
    </cfRule>
    <cfRule type="containsBlanks" dxfId="1706" priority="1722">
      <formula>LEN(TRIM(AH141))=0</formula>
    </cfRule>
    <cfRule type="containsBlanks" dxfId="1705" priority="1723">
      <formula>LEN(TRIM(AH141))=0</formula>
    </cfRule>
    <cfRule type="containsBlanks" dxfId="1704" priority="1724">
      <formula>LEN(TRIM(AH141))=0</formula>
    </cfRule>
    <cfRule type="containsBlanks" dxfId="1703" priority="1725">
      <formula>LEN(TRIM(AH141))=0</formula>
    </cfRule>
    <cfRule type="containsBlanks" dxfId="1702" priority="1726">
      <formula>LEN(TRIM(AH141))=0</formula>
    </cfRule>
    <cfRule type="containsBlanks" dxfId="1701" priority="1727">
      <formula>LEN(TRIM(AH141))=0</formula>
    </cfRule>
    <cfRule type="containsBlanks" dxfId="1700" priority="1728">
      <formula>LEN(TRIM(AH141))=0</formula>
    </cfRule>
    <cfRule type="containsBlanks" dxfId="1699" priority="1729">
      <formula>LEN(TRIM(AH141))=0</formula>
    </cfRule>
    <cfRule type="containsBlanks" dxfId="1698" priority="1730">
      <formula>LEN(TRIM(AH141))=0</formula>
    </cfRule>
    <cfRule type="containsBlanks" dxfId="1697" priority="1731">
      <formula>LEN(TRIM(AH141))=0</formula>
    </cfRule>
    <cfRule type="containsBlanks" dxfId="1696" priority="1732">
      <formula>LEN(TRIM(AH141))=0</formula>
    </cfRule>
    <cfRule type="containsBlanks" dxfId="1695" priority="1733">
      <formula>LEN(TRIM(AH141))=0</formula>
    </cfRule>
    <cfRule type="containsBlanks" dxfId="1694" priority="1734">
      <formula>LEN(TRIM(AH141))=0</formula>
    </cfRule>
    <cfRule type="containsBlanks" dxfId="1693" priority="1735">
      <formula>LEN(TRIM(AH141))=0</formula>
    </cfRule>
    <cfRule type="containsBlanks" dxfId="1692" priority="1736">
      <formula>LEN(TRIM(AH141))=0</formula>
    </cfRule>
    <cfRule type="containsBlanks" dxfId="1691" priority="1737">
      <formula>LEN(TRIM(AH141))=0</formula>
    </cfRule>
    <cfRule type="containsBlanks" dxfId="1690" priority="1738">
      <formula>LEN(TRIM(AH141))=0</formula>
    </cfRule>
    <cfRule type="containsBlanks" dxfId="1689" priority="1739">
      <formula>LEN(TRIM(AH141))=0</formula>
    </cfRule>
    <cfRule type="containsBlanks" dxfId="1688" priority="1740">
      <formula>LEN(TRIM(AH141))=0</formula>
    </cfRule>
    <cfRule type="containsBlanks" dxfId="1687" priority="1741">
      <formula>LEN(TRIM(AH141))=0</formula>
    </cfRule>
    <cfRule type="containsBlanks" dxfId="1686" priority="1742">
      <formula>LEN(TRIM(AH141))=0</formula>
    </cfRule>
    <cfRule type="containsBlanks" dxfId="1685" priority="1743">
      <formula>LEN(TRIM(AH141))=0</formula>
    </cfRule>
    <cfRule type="containsBlanks" dxfId="1684" priority="1744">
      <formula>LEN(TRIM(AH141))=0</formula>
    </cfRule>
    <cfRule type="containsBlanks" dxfId="1683" priority="1745">
      <formula>LEN(TRIM(AH141))=0</formula>
    </cfRule>
    <cfRule type="containsBlanks" dxfId="1682" priority="1746">
      <formula>LEN(TRIM(AH141))=0</formula>
    </cfRule>
    <cfRule type="containsBlanks" dxfId="1681" priority="1747">
      <formula>LEN(TRIM(AH141))=0</formula>
    </cfRule>
  </conditionalFormatting>
  <conditionalFormatting sqref="AH141">
    <cfRule type="containsBlanks" dxfId="1680" priority="1627">
      <formula>LEN(TRIM(AH141))=0</formula>
    </cfRule>
    <cfRule type="containsBlanks" dxfId="1679" priority="1628">
      <formula>LEN(TRIM(AH141))=0</formula>
    </cfRule>
    <cfRule type="containsBlanks" dxfId="1678" priority="1629">
      <formula>LEN(TRIM(AH141))=0</formula>
    </cfRule>
    <cfRule type="containsBlanks" dxfId="1677" priority="1630">
      <formula>LEN(TRIM(AH141))=0</formula>
    </cfRule>
    <cfRule type="containsBlanks" dxfId="1676" priority="1631">
      <formula>LEN(TRIM(AH141))=0</formula>
    </cfRule>
    <cfRule type="containsBlanks" dxfId="1675" priority="1632">
      <formula>LEN(TRIM(AH141))=0</formula>
    </cfRule>
    <cfRule type="containsBlanks" dxfId="1674" priority="1633">
      <formula>LEN(TRIM(AH141))=0</formula>
    </cfRule>
    <cfRule type="containsBlanks" dxfId="1673" priority="1634">
      <formula>LEN(TRIM(AH141))=0</formula>
    </cfRule>
    <cfRule type="containsBlanks" dxfId="1672" priority="1635">
      <formula>LEN(TRIM(AH141))=0</formula>
    </cfRule>
    <cfRule type="containsBlanks" dxfId="1671" priority="1636">
      <formula>LEN(TRIM(AH141))=0</formula>
    </cfRule>
    <cfRule type="containsBlanks" dxfId="1670" priority="1637">
      <formula>LEN(TRIM(AH141))=0</formula>
    </cfRule>
    <cfRule type="containsBlanks" dxfId="1669" priority="1638">
      <formula>LEN(TRIM(AH141))=0</formula>
    </cfRule>
    <cfRule type="containsBlanks" dxfId="1668" priority="1639">
      <formula>LEN(TRIM(AH141))=0</formula>
    </cfRule>
    <cfRule type="containsBlanks" dxfId="1667" priority="1640">
      <formula>LEN(TRIM(AH141))=0</formula>
    </cfRule>
    <cfRule type="containsBlanks" dxfId="1666" priority="1641">
      <formula>LEN(TRIM(AH141))=0</formula>
    </cfRule>
    <cfRule type="containsBlanks" dxfId="1665" priority="1642">
      <formula>LEN(TRIM(AH141))=0</formula>
    </cfRule>
    <cfRule type="containsBlanks" dxfId="1664" priority="1643">
      <formula>LEN(TRIM(AH141))=0</formula>
    </cfRule>
    <cfRule type="containsBlanks" dxfId="1663" priority="1644">
      <formula>LEN(TRIM(AH141))=0</formula>
    </cfRule>
    <cfRule type="containsBlanks" dxfId="1662" priority="1645">
      <formula>LEN(TRIM(AH141))=0</formula>
    </cfRule>
    <cfRule type="containsBlanks" dxfId="1661" priority="1646">
      <formula>LEN(TRIM(AH141))=0</formula>
    </cfRule>
    <cfRule type="containsBlanks" dxfId="1660" priority="1647">
      <formula>LEN(TRIM(AH141))=0</formula>
    </cfRule>
    <cfRule type="containsBlanks" dxfId="1659" priority="1648">
      <formula>LEN(TRIM(AH141))=0</formula>
    </cfRule>
    <cfRule type="containsBlanks" dxfId="1658" priority="1649">
      <formula>LEN(TRIM(AH141))=0</formula>
    </cfRule>
    <cfRule type="containsBlanks" dxfId="1657" priority="1650">
      <formula>LEN(TRIM(AH141))=0</formula>
    </cfRule>
    <cfRule type="containsBlanks" dxfId="1656" priority="1651">
      <formula>LEN(TRIM(AH141))=0</formula>
    </cfRule>
    <cfRule type="containsBlanks" dxfId="1655" priority="1652">
      <formula>LEN(TRIM(AH141))=0</formula>
    </cfRule>
    <cfRule type="containsBlanks" dxfId="1654" priority="1653">
      <formula>LEN(TRIM(AH141))=0</formula>
    </cfRule>
    <cfRule type="containsBlanks" dxfId="1653" priority="1654">
      <formula>LEN(TRIM(AH141))=0</formula>
    </cfRule>
    <cfRule type="containsBlanks" dxfId="1652" priority="1655">
      <formula>LEN(TRIM(AH141))=0</formula>
    </cfRule>
    <cfRule type="containsBlanks" dxfId="1651" priority="1656">
      <formula>LEN(TRIM(AH141))=0</formula>
    </cfRule>
    <cfRule type="containsBlanks" dxfId="1650" priority="1657">
      <formula>LEN(TRIM(AH141))=0</formula>
    </cfRule>
    <cfRule type="containsBlanks" dxfId="1649" priority="1658">
      <formula>LEN(TRIM(AH141))=0</formula>
    </cfRule>
    <cfRule type="containsBlanks" dxfId="1648" priority="1659">
      <formula>LEN(TRIM(AH141))=0</formula>
    </cfRule>
    <cfRule type="containsBlanks" dxfId="1647" priority="1660">
      <formula>LEN(TRIM(AH141))=0</formula>
    </cfRule>
    <cfRule type="containsBlanks" dxfId="1646" priority="1661">
      <formula>LEN(TRIM(AH141))=0</formula>
    </cfRule>
    <cfRule type="containsBlanks" dxfId="1645" priority="1662">
      <formula>LEN(TRIM(AH141))=0</formula>
    </cfRule>
    <cfRule type="containsBlanks" dxfId="1644" priority="1663">
      <formula>LEN(TRIM(AH141))=0</formula>
    </cfRule>
    <cfRule type="containsBlanks" dxfId="1643" priority="1664">
      <formula>LEN(TRIM(AH141))=0</formula>
    </cfRule>
    <cfRule type="containsBlanks" dxfId="1642" priority="1665">
      <formula>LEN(TRIM(AH141))=0</formula>
    </cfRule>
    <cfRule type="containsBlanks" dxfId="1641" priority="1666">
      <formula>LEN(TRIM(AH141))=0</formula>
    </cfRule>
    <cfRule type="containsBlanks" dxfId="1640" priority="1667">
      <formula>LEN(TRIM(AH141))=0</formula>
    </cfRule>
    <cfRule type="containsBlanks" dxfId="1639" priority="1668">
      <formula>LEN(TRIM(AH141))=0</formula>
    </cfRule>
    <cfRule type="containsBlanks" dxfId="1638" priority="1669">
      <formula>LEN(TRIM(AH141))=0</formula>
    </cfRule>
    <cfRule type="containsBlanks" dxfId="1637" priority="1670">
      <formula>LEN(TRIM(AH141))=0</formula>
    </cfRule>
    <cfRule type="containsBlanks" dxfId="1636" priority="1671">
      <formula>LEN(TRIM(AH141))=0</formula>
    </cfRule>
    <cfRule type="containsBlanks" dxfId="1635" priority="1672">
      <formula>LEN(TRIM(AH141))=0</formula>
    </cfRule>
    <cfRule type="containsBlanks" dxfId="1634" priority="1673">
      <formula>LEN(TRIM(AH141))=0</formula>
    </cfRule>
    <cfRule type="containsBlanks" dxfId="1633" priority="1674">
      <formula>LEN(TRIM(AH141))=0</formula>
    </cfRule>
    <cfRule type="containsBlanks" dxfId="1632" priority="1675">
      <formula>LEN(TRIM(AH141))=0</formula>
    </cfRule>
    <cfRule type="containsBlanks" dxfId="1631" priority="1676">
      <formula>LEN(TRIM(AH141))=0</formula>
    </cfRule>
    <cfRule type="containsBlanks" dxfId="1630" priority="1677">
      <formula>LEN(TRIM(AH141))=0</formula>
    </cfRule>
    <cfRule type="containsBlanks" dxfId="1629" priority="1678">
      <formula>LEN(TRIM(AH141))=0</formula>
    </cfRule>
    <cfRule type="containsBlanks" dxfId="1628" priority="1679">
      <formula>LEN(TRIM(AH141))=0</formula>
    </cfRule>
    <cfRule type="containsBlanks" dxfId="1627" priority="1680">
      <formula>LEN(TRIM(AH141))=0</formula>
    </cfRule>
    <cfRule type="containsBlanks" dxfId="1626" priority="1681">
      <formula>LEN(TRIM(AH141))=0</formula>
    </cfRule>
  </conditionalFormatting>
  <conditionalFormatting sqref="AH141">
    <cfRule type="containsBlanks" dxfId="1625" priority="1543">
      <formula>LEN(TRIM(AH141))=0</formula>
    </cfRule>
    <cfRule type="containsBlanks" dxfId="1624" priority="1544">
      <formula>LEN(TRIM(AH141))=0</formula>
    </cfRule>
    <cfRule type="containsBlanks" dxfId="1623" priority="1545">
      <formula>LEN(TRIM(AH141))=0</formula>
    </cfRule>
    <cfRule type="containsBlanks" dxfId="1622" priority="1546">
      <formula>LEN(TRIM(AH141))=0</formula>
    </cfRule>
    <cfRule type="containsBlanks" dxfId="1621" priority="1547">
      <formula>LEN(TRIM(AH141))=0</formula>
    </cfRule>
    <cfRule type="containsBlanks" dxfId="1620" priority="1548">
      <formula>LEN(TRIM(AH141))=0</formula>
    </cfRule>
    <cfRule type="containsBlanks" dxfId="1619" priority="1549">
      <formula>LEN(TRIM(AH141))=0</formula>
    </cfRule>
    <cfRule type="containsBlanks" dxfId="1618" priority="1550">
      <formula>LEN(TRIM(AH141))=0</formula>
    </cfRule>
    <cfRule type="containsBlanks" dxfId="1617" priority="1551">
      <formula>LEN(TRIM(AH141))=0</formula>
    </cfRule>
    <cfRule type="containsBlanks" dxfId="1616" priority="1552">
      <formula>LEN(TRIM(AH141))=0</formula>
    </cfRule>
    <cfRule type="containsBlanks" dxfId="1615" priority="1553">
      <formula>LEN(TRIM(AH141))=0</formula>
    </cfRule>
    <cfRule type="containsBlanks" dxfId="1614" priority="1554">
      <formula>LEN(TRIM(AH141))=0</formula>
    </cfRule>
    <cfRule type="containsBlanks" dxfId="1613" priority="1555">
      <formula>LEN(TRIM(AH141))=0</formula>
    </cfRule>
    <cfRule type="containsBlanks" dxfId="1612" priority="1556">
      <formula>LEN(TRIM(AH141))=0</formula>
    </cfRule>
    <cfRule type="containsBlanks" dxfId="1611" priority="1557">
      <formula>LEN(TRIM(AH141))=0</formula>
    </cfRule>
    <cfRule type="containsBlanks" dxfId="1610" priority="1558">
      <formula>LEN(TRIM(AH141))=0</formula>
    </cfRule>
    <cfRule type="containsBlanks" dxfId="1609" priority="1559">
      <formula>LEN(TRIM(AH141))=0</formula>
    </cfRule>
    <cfRule type="containsBlanks" dxfId="1608" priority="1560">
      <formula>LEN(TRIM(AH141))=0</formula>
    </cfRule>
    <cfRule type="containsBlanks" dxfId="1607" priority="1561">
      <formula>LEN(TRIM(AH141))=0</formula>
    </cfRule>
    <cfRule type="containsBlanks" dxfId="1606" priority="1562">
      <formula>LEN(TRIM(AH141))=0</formula>
    </cfRule>
    <cfRule type="containsBlanks" dxfId="1605" priority="1563">
      <formula>LEN(TRIM(AH141))=0</formula>
    </cfRule>
    <cfRule type="containsBlanks" dxfId="1604" priority="1564">
      <formula>LEN(TRIM(AH141))=0</formula>
    </cfRule>
    <cfRule type="containsBlanks" dxfId="1603" priority="1565">
      <formula>LEN(TRIM(AH141))=0</formula>
    </cfRule>
    <cfRule type="containsBlanks" dxfId="1602" priority="1566">
      <formula>LEN(TRIM(AH141))=0</formula>
    </cfRule>
    <cfRule type="containsBlanks" dxfId="1601" priority="1567">
      <formula>LEN(TRIM(AH141))=0</formula>
    </cfRule>
    <cfRule type="containsBlanks" dxfId="1600" priority="1568">
      <formula>LEN(TRIM(AH141))=0</formula>
    </cfRule>
    <cfRule type="containsBlanks" dxfId="1599" priority="1569">
      <formula>LEN(TRIM(AH141))=0</formula>
    </cfRule>
    <cfRule type="containsBlanks" dxfId="1598" priority="1570">
      <formula>LEN(TRIM(AH141))=0</formula>
    </cfRule>
    <cfRule type="containsBlanks" dxfId="1597" priority="1571">
      <formula>LEN(TRIM(AH141))=0</formula>
    </cfRule>
    <cfRule type="containsBlanks" dxfId="1596" priority="1572">
      <formula>LEN(TRIM(AH141))=0</formula>
    </cfRule>
    <cfRule type="containsBlanks" dxfId="1595" priority="1573">
      <formula>LEN(TRIM(AH141))=0</formula>
    </cfRule>
    <cfRule type="containsBlanks" dxfId="1594" priority="1574">
      <formula>LEN(TRIM(AH141))=0</formula>
    </cfRule>
    <cfRule type="containsBlanks" dxfId="1593" priority="1575">
      <formula>LEN(TRIM(AH141))=0</formula>
    </cfRule>
    <cfRule type="containsBlanks" dxfId="1592" priority="1576">
      <formula>LEN(TRIM(AH141))=0</formula>
    </cfRule>
    <cfRule type="containsBlanks" dxfId="1591" priority="1577">
      <formula>LEN(TRIM(AH141))=0</formula>
    </cfRule>
    <cfRule type="containsBlanks" dxfId="1590" priority="1578">
      <formula>LEN(TRIM(AH141))=0</formula>
    </cfRule>
    <cfRule type="containsBlanks" dxfId="1589" priority="1579">
      <formula>LEN(TRIM(AH141))=0</formula>
    </cfRule>
    <cfRule type="containsBlanks" dxfId="1588" priority="1580">
      <formula>LEN(TRIM(AH141))=0</formula>
    </cfRule>
    <cfRule type="containsBlanks" dxfId="1587" priority="1581">
      <formula>LEN(TRIM(AH141))=0</formula>
    </cfRule>
    <cfRule type="containsBlanks" dxfId="1586" priority="1582">
      <formula>LEN(TRIM(AH141))=0</formula>
    </cfRule>
    <cfRule type="containsBlanks" dxfId="1585" priority="1583">
      <formula>LEN(TRIM(AH141))=0</formula>
    </cfRule>
    <cfRule type="containsBlanks" dxfId="1584" priority="1584">
      <formula>LEN(TRIM(AH141))=0</formula>
    </cfRule>
    <cfRule type="containsBlanks" dxfId="1583" priority="1585">
      <formula>LEN(TRIM(AH141))=0</formula>
    </cfRule>
    <cfRule type="containsBlanks" dxfId="1582" priority="1586">
      <formula>LEN(TRIM(AH141))=0</formula>
    </cfRule>
    <cfRule type="containsBlanks" dxfId="1581" priority="1587">
      <formula>LEN(TRIM(AH141))=0</formula>
    </cfRule>
    <cfRule type="containsBlanks" dxfId="1580" priority="1588">
      <formula>LEN(TRIM(AH141))=0</formula>
    </cfRule>
    <cfRule type="containsBlanks" dxfId="1579" priority="1589">
      <formula>LEN(TRIM(AH141))=0</formula>
    </cfRule>
    <cfRule type="containsBlanks" dxfId="1578" priority="1590">
      <formula>LEN(TRIM(AH141))=0</formula>
    </cfRule>
    <cfRule type="containsBlanks" dxfId="1577" priority="1591">
      <formula>LEN(TRIM(AH141))=0</formula>
    </cfRule>
    <cfRule type="containsBlanks" dxfId="1576" priority="1592">
      <formula>LEN(TRIM(AH141))=0</formula>
    </cfRule>
    <cfRule type="containsBlanks" dxfId="1575" priority="1593">
      <formula>LEN(TRIM(AH141))=0</formula>
    </cfRule>
    <cfRule type="containsBlanks" dxfId="1574" priority="1594">
      <formula>LEN(TRIM(AH141))=0</formula>
    </cfRule>
    <cfRule type="containsBlanks" dxfId="1573" priority="1595">
      <formula>LEN(TRIM(AH141))=0</formula>
    </cfRule>
    <cfRule type="containsBlanks" dxfId="1572" priority="1596">
      <formula>LEN(TRIM(AH141))=0</formula>
    </cfRule>
    <cfRule type="containsBlanks" dxfId="1571" priority="1597">
      <formula>LEN(TRIM(AH141))=0</formula>
    </cfRule>
    <cfRule type="containsBlanks" dxfId="1570" priority="1598">
      <formula>LEN(TRIM(AH141))=0</formula>
    </cfRule>
    <cfRule type="containsBlanks" dxfId="1569" priority="1599">
      <formula>LEN(TRIM(AH141))=0</formula>
    </cfRule>
    <cfRule type="containsBlanks" dxfId="1568" priority="1600">
      <formula>LEN(TRIM(AH141))=0</formula>
    </cfRule>
    <cfRule type="containsBlanks" dxfId="1567" priority="1601">
      <formula>LEN(TRIM(AH141))=0</formula>
    </cfRule>
    <cfRule type="containsBlanks" dxfId="1566" priority="1602">
      <formula>LEN(TRIM(AH141))=0</formula>
    </cfRule>
    <cfRule type="containsBlanks" dxfId="1565" priority="1603">
      <formula>LEN(TRIM(AH141))=0</formula>
    </cfRule>
    <cfRule type="containsBlanks" dxfId="1564" priority="1604">
      <formula>LEN(TRIM(AH141))=0</formula>
    </cfRule>
    <cfRule type="containsBlanks" dxfId="1563" priority="1605">
      <formula>LEN(TRIM(AH141))=0</formula>
    </cfRule>
    <cfRule type="containsBlanks" dxfId="1562" priority="1606">
      <formula>LEN(TRIM(AH141))=0</formula>
    </cfRule>
    <cfRule type="containsBlanks" dxfId="1561" priority="1607">
      <formula>LEN(TRIM(AH141))=0</formula>
    </cfRule>
    <cfRule type="containsBlanks" dxfId="1560" priority="1608">
      <formula>LEN(TRIM(AH141))=0</formula>
    </cfRule>
    <cfRule type="containsBlanks" dxfId="1559" priority="1609">
      <formula>LEN(TRIM(AH141))=0</formula>
    </cfRule>
    <cfRule type="containsBlanks" dxfId="1558" priority="1610">
      <formula>LEN(TRIM(AH141))=0</formula>
    </cfRule>
    <cfRule type="containsBlanks" dxfId="1557" priority="1611">
      <formula>LEN(TRIM(AH141))=0</formula>
    </cfRule>
    <cfRule type="containsBlanks" dxfId="1556" priority="1612">
      <formula>LEN(TRIM(AH141))=0</formula>
    </cfRule>
    <cfRule type="containsBlanks" dxfId="1555" priority="1613">
      <formula>LEN(TRIM(AH141))=0</formula>
    </cfRule>
    <cfRule type="containsBlanks" dxfId="1554" priority="1614">
      <formula>LEN(TRIM(AH141))=0</formula>
    </cfRule>
    <cfRule type="containsBlanks" dxfId="1553" priority="1615">
      <formula>LEN(TRIM(AH141))=0</formula>
    </cfRule>
    <cfRule type="containsBlanks" dxfId="1552" priority="1616">
      <formula>LEN(TRIM(AH141))=0</formula>
    </cfRule>
    <cfRule type="containsBlanks" dxfId="1551" priority="1617">
      <formula>LEN(TRIM(AH141))=0</formula>
    </cfRule>
    <cfRule type="containsBlanks" dxfId="1550" priority="1618">
      <formula>LEN(TRIM(AH141))=0</formula>
    </cfRule>
    <cfRule type="containsBlanks" dxfId="1549" priority="1619">
      <formula>LEN(TRIM(AH141))=0</formula>
    </cfRule>
    <cfRule type="containsBlanks" dxfId="1548" priority="1620">
      <formula>LEN(TRIM(AH141))=0</formula>
    </cfRule>
    <cfRule type="containsBlanks" dxfId="1547" priority="1621">
      <formula>LEN(TRIM(AH141))=0</formula>
    </cfRule>
    <cfRule type="containsBlanks" dxfId="1546" priority="1622">
      <formula>LEN(TRIM(AH141))=0</formula>
    </cfRule>
    <cfRule type="containsBlanks" dxfId="1545" priority="1623">
      <formula>LEN(TRIM(AH141))=0</formula>
    </cfRule>
    <cfRule type="containsBlanks" dxfId="1544" priority="1624">
      <formula>LEN(TRIM(AH141))=0</formula>
    </cfRule>
    <cfRule type="containsBlanks" dxfId="1543" priority="1625">
      <formula>LEN(TRIM(AH141))=0</formula>
    </cfRule>
    <cfRule type="containsBlanks" dxfId="1542" priority="1626">
      <formula>LEN(TRIM(AH141))=0</formula>
    </cfRule>
  </conditionalFormatting>
  <conditionalFormatting sqref="AH149">
    <cfRule type="containsBlanks" dxfId="1541" priority="1542">
      <formula>LEN(TRIM(AH149))=0</formula>
    </cfRule>
  </conditionalFormatting>
  <conditionalFormatting sqref="AH149">
    <cfRule type="containsBlanks" dxfId="1540" priority="1541">
      <formula>LEN(TRIM(AH149))=0</formula>
    </cfRule>
  </conditionalFormatting>
  <conditionalFormatting sqref="AH149">
    <cfRule type="containsBlanks" dxfId="1539" priority="1539">
      <formula>LEN(TRIM(AH149))=0</formula>
    </cfRule>
    <cfRule type="containsBlanks" dxfId="1538" priority="1540">
      <formula>LEN(TRIM(AH149))=0</formula>
    </cfRule>
  </conditionalFormatting>
  <conditionalFormatting sqref="AH149">
    <cfRule type="containsBlanks" dxfId="1537" priority="1538">
      <formula>LEN(TRIM(AH149))=0</formula>
    </cfRule>
  </conditionalFormatting>
  <conditionalFormatting sqref="AH149">
    <cfRule type="containsBlanks" dxfId="1536" priority="1537">
      <formula>LEN(TRIM(AH149))=0</formula>
    </cfRule>
  </conditionalFormatting>
  <conditionalFormatting sqref="AH149">
    <cfRule type="containsBlanks" dxfId="1535" priority="1536">
      <formula>LEN(TRIM(AH149))=0</formula>
    </cfRule>
  </conditionalFormatting>
  <conditionalFormatting sqref="AH149">
    <cfRule type="containsBlanks" dxfId="1534" priority="1534">
      <formula>LEN(TRIM(AH149))=0</formula>
    </cfRule>
    <cfRule type="containsBlanks" dxfId="1533" priority="1535">
      <formula>LEN(TRIM(AH149))=0</formula>
    </cfRule>
  </conditionalFormatting>
  <conditionalFormatting sqref="AH149">
    <cfRule type="containsBlanks" dxfId="1532" priority="1532">
      <formula>LEN(TRIM(AH149))=0</formula>
    </cfRule>
    <cfRule type="containsBlanks" dxfId="1531" priority="1533">
      <formula>LEN(TRIM(AH149))=0</formula>
    </cfRule>
  </conditionalFormatting>
  <conditionalFormatting sqref="AH149">
    <cfRule type="containsBlanks" dxfId="1530" priority="1530">
      <formula>LEN(TRIM(AH149))=0</formula>
    </cfRule>
    <cfRule type="containsBlanks" dxfId="1529" priority="1531">
      <formula>LEN(TRIM(AH149))=0</formula>
    </cfRule>
  </conditionalFormatting>
  <conditionalFormatting sqref="AH149">
    <cfRule type="containsBlanks" dxfId="1528" priority="1528">
      <formula>LEN(TRIM(AH149))=0</formula>
    </cfRule>
    <cfRule type="containsBlanks" dxfId="1527" priority="1529">
      <formula>LEN(TRIM(AH149))=0</formula>
    </cfRule>
  </conditionalFormatting>
  <conditionalFormatting sqref="AH149">
    <cfRule type="containsBlanks" dxfId="1526" priority="1462">
      <formula>LEN(TRIM(AH149))=0</formula>
    </cfRule>
    <cfRule type="containsBlanks" dxfId="1525" priority="1463">
      <formula>LEN(TRIM(AH149))=0</formula>
    </cfRule>
    <cfRule type="containsBlanks" dxfId="1524" priority="1464">
      <formula>LEN(TRIM(AH149))=0</formula>
    </cfRule>
    <cfRule type="containsBlanks" dxfId="1523" priority="1465">
      <formula>LEN(TRIM(AH149))=0</formula>
    </cfRule>
    <cfRule type="containsBlanks" dxfId="1522" priority="1466">
      <formula>LEN(TRIM(AH149))=0</formula>
    </cfRule>
    <cfRule type="containsBlanks" dxfId="1521" priority="1467">
      <formula>LEN(TRIM(AH149))=0</formula>
    </cfRule>
    <cfRule type="containsBlanks" dxfId="1520" priority="1468">
      <formula>LEN(TRIM(AH149))=0</formula>
    </cfRule>
    <cfRule type="containsBlanks" dxfId="1519" priority="1469">
      <formula>LEN(TRIM(AH149))=0</formula>
    </cfRule>
    <cfRule type="containsBlanks" dxfId="1518" priority="1470">
      <formula>LEN(TRIM(AH149))=0</formula>
    </cfRule>
    <cfRule type="containsBlanks" dxfId="1517" priority="1471">
      <formula>LEN(TRIM(AH149))=0</formula>
    </cfRule>
    <cfRule type="containsBlanks" dxfId="1516" priority="1472">
      <formula>LEN(TRIM(AH149))=0</formula>
    </cfRule>
    <cfRule type="containsBlanks" dxfId="1515" priority="1473">
      <formula>LEN(TRIM(AH149))=0</formula>
    </cfRule>
    <cfRule type="containsBlanks" dxfId="1514" priority="1474">
      <formula>LEN(TRIM(AH149))=0</formula>
    </cfRule>
    <cfRule type="containsBlanks" dxfId="1513" priority="1475">
      <formula>LEN(TRIM(AH149))=0</formula>
    </cfRule>
    <cfRule type="containsBlanks" dxfId="1512" priority="1476">
      <formula>LEN(TRIM(AH149))=0</formula>
    </cfRule>
    <cfRule type="containsBlanks" dxfId="1511" priority="1477">
      <formula>LEN(TRIM(AH149))=0</formula>
    </cfRule>
    <cfRule type="containsBlanks" dxfId="1510" priority="1478">
      <formula>LEN(TRIM(AH149))=0</formula>
    </cfRule>
    <cfRule type="containsBlanks" dxfId="1509" priority="1479">
      <formula>LEN(TRIM(AH149))=0</formula>
    </cfRule>
    <cfRule type="containsBlanks" dxfId="1508" priority="1480">
      <formula>LEN(TRIM(AH149))=0</formula>
    </cfRule>
    <cfRule type="containsBlanks" dxfId="1507" priority="1481">
      <formula>LEN(TRIM(AH149))=0</formula>
    </cfRule>
    <cfRule type="containsBlanks" dxfId="1506" priority="1482">
      <formula>LEN(TRIM(AH149))=0</formula>
    </cfRule>
    <cfRule type="containsBlanks" dxfId="1505" priority="1483">
      <formula>LEN(TRIM(AH149))=0</formula>
    </cfRule>
    <cfRule type="containsBlanks" dxfId="1504" priority="1484">
      <formula>LEN(TRIM(AH149))=0</formula>
    </cfRule>
    <cfRule type="containsBlanks" dxfId="1503" priority="1485">
      <formula>LEN(TRIM(AH149))=0</formula>
    </cfRule>
    <cfRule type="containsBlanks" dxfId="1502" priority="1486">
      <formula>LEN(TRIM(AH149))=0</formula>
    </cfRule>
    <cfRule type="containsBlanks" dxfId="1501" priority="1487">
      <formula>LEN(TRIM(AH149))=0</formula>
    </cfRule>
    <cfRule type="containsBlanks" dxfId="1500" priority="1488">
      <formula>LEN(TRIM(AH149))=0</formula>
    </cfRule>
    <cfRule type="containsBlanks" dxfId="1499" priority="1489">
      <formula>LEN(TRIM(AH149))=0</formula>
    </cfRule>
    <cfRule type="containsBlanks" dxfId="1498" priority="1490">
      <formula>LEN(TRIM(AH149))=0</formula>
    </cfRule>
    <cfRule type="containsBlanks" dxfId="1497" priority="1491">
      <formula>LEN(TRIM(AH149))=0</formula>
    </cfRule>
    <cfRule type="containsBlanks" dxfId="1496" priority="1492">
      <formula>LEN(TRIM(AH149))=0</formula>
    </cfRule>
    <cfRule type="containsBlanks" dxfId="1495" priority="1493">
      <formula>LEN(TRIM(AH149))=0</formula>
    </cfRule>
    <cfRule type="containsBlanks" dxfId="1494" priority="1494">
      <formula>LEN(TRIM(AH149))=0</formula>
    </cfRule>
    <cfRule type="containsBlanks" dxfId="1493" priority="1495">
      <formula>LEN(TRIM(AH149))=0</formula>
    </cfRule>
    <cfRule type="containsBlanks" dxfId="1492" priority="1496">
      <formula>LEN(TRIM(AH149))=0</formula>
    </cfRule>
    <cfRule type="containsBlanks" dxfId="1491" priority="1497">
      <formula>LEN(TRIM(AH149))=0</formula>
    </cfRule>
    <cfRule type="containsBlanks" dxfId="1490" priority="1498">
      <formula>LEN(TRIM(AH149))=0</formula>
    </cfRule>
    <cfRule type="containsBlanks" dxfId="1489" priority="1499">
      <formula>LEN(TRIM(AH149))=0</formula>
    </cfRule>
    <cfRule type="containsBlanks" dxfId="1488" priority="1500">
      <formula>LEN(TRIM(AH149))=0</formula>
    </cfRule>
    <cfRule type="containsBlanks" dxfId="1487" priority="1501">
      <formula>LEN(TRIM(AH149))=0</formula>
    </cfRule>
    <cfRule type="containsBlanks" dxfId="1486" priority="1502">
      <formula>LEN(TRIM(AH149))=0</formula>
    </cfRule>
    <cfRule type="containsBlanks" dxfId="1485" priority="1503">
      <formula>LEN(TRIM(AH149))=0</formula>
    </cfRule>
    <cfRule type="containsBlanks" dxfId="1484" priority="1504">
      <formula>LEN(TRIM(AH149))=0</formula>
    </cfRule>
    <cfRule type="containsBlanks" dxfId="1483" priority="1505">
      <formula>LEN(TRIM(AH149))=0</formula>
    </cfRule>
    <cfRule type="containsBlanks" dxfId="1482" priority="1506">
      <formula>LEN(TRIM(AH149))=0</formula>
    </cfRule>
    <cfRule type="containsBlanks" dxfId="1481" priority="1507">
      <formula>LEN(TRIM(AH149))=0</formula>
    </cfRule>
    <cfRule type="containsBlanks" dxfId="1480" priority="1508">
      <formula>LEN(TRIM(AH149))=0</formula>
    </cfRule>
    <cfRule type="containsBlanks" dxfId="1479" priority="1509">
      <formula>LEN(TRIM(AH149))=0</formula>
    </cfRule>
    <cfRule type="containsBlanks" dxfId="1478" priority="1510">
      <formula>LEN(TRIM(AH149))=0</formula>
    </cfRule>
    <cfRule type="containsBlanks" dxfId="1477" priority="1511">
      <formula>LEN(TRIM(AH149))=0</formula>
    </cfRule>
    <cfRule type="containsBlanks" dxfId="1476" priority="1512">
      <formula>LEN(TRIM(AH149))=0</formula>
    </cfRule>
    <cfRule type="containsBlanks" dxfId="1475" priority="1513">
      <formula>LEN(TRIM(AH149))=0</formula>
    </cfRule>
    <cfRule type="containsBlanks" dxfId="1474" priority="1514">
      <formula>LEN(TRIM(AH149))=0</formula>
    </cfRule>
    <cfRule type="containsBlanks" dxfId="1473" priority="1515">
      <formula>LEN(TRIM(AH149))=0</formula>
    </cfRule>
    <cfRule type="containsBlanks" dxfId="1472" priority="1516">
      <formula>LEN(TRIM(AH149))=0</formula>
    </cfRule>
    <cfRule type="containsBlanks" dxfId="1471" priority="1517">
      <formula>LEN(TRIM(AH149))=0</formula>
    </cfRule>
    <cfRule type="containsBlanks" dxfId="1470" priority="1518">
      <formula>LEN(TRIM(AH149))=0</formula>
    </cfRule>
    <cfRule type="containsBlanks" dxfId="1469" priority="1519">
      <formula>LEN(TRIM(AH149))=0</formula>
    </cfRule>
    <cfRule type="containsBlanks" dxfId="1468" priority="1520">
      <formula>LEN(TRIM(AH149))=0</formula>
    </cfRule>
    <cfRule type="containsBlanks" dxfId="1467" priority="1521">
      <formula>LEN(TRIM(AH149))=0</formula>
    </cfRule>
    <cfRule type="containsBlanks" dxfId="1466" priority="1522">
      <formula>LEN(TRIM(AH149))=0</formula>
    </cfRule>
    <cfRule type="containsBlanks" dxfId="1465" priority="1523">
      <formula>LEN(TRIM(AH149))=0</formula>
    </cfRule>
    <cfRule type="containsBlanks" dxfId="1464" priority="1524">
      <formula>LEN(TRIM(AH149))=0</formula>
    </cfRule>
    <cfRule type="containsBlanks" dxfId="1463" priority="1525">
      <formula>LEN(TRIM(AH149))=0</formula>
    </cfRule>
    <cfRule type="containsBlanks" dxfId="1462" priority="1526">
      <formula>LEN(TRIM(AH149))=0</formula>
    </cfRule>
    <cfRule type="containsBlanks" dxfId="1461" priority="1527">
      <formula>LEN(TRIM(AH149))=0</formula>
    </cfRule>
  </conditionalFormatting>
  <conditionalFormatting sqref="AH149">
    <cfRule type="containsBlanks" dxfId="1460" priority="1407">
      <formula>LEN(TRIM(AH149))=0</formula>
    </cfRule>
    <cfRule type="containsBlanks" dxfId="1459" priority="1408">
      <formula>LEN(TRIM(AH149))=0</formula>
    </cfRule>
    <cfRule type="containsBlanks" dxfId="1458" priority="1409">
      <formula>LEN(TRIM(AH149))=0</formula>
    </cfRule>
    <cfRule type="containsBlanks" dxfId="1457" priority="1410">
      <formula>LEN(TRIM(AH149))=0</formula>
    </cfRule>
    <cfRule type="containsBlanks" dxfId="1456" priority="1411">
      <formula>LEN(TRIM(AH149))=0</formula>
    </cfRule>
    <cfRule type="containsBlanks" dxfId="1455" priority="1412">
      <formula>LEN(TRIM(AH149))=0</formula>
    </cfRule>
    <cfRule type="containsBlanks" dxfId="1454" priority="1413">
      <formula>LEN(TRIM(AH149))=0</formula>
    </cfRule>
    <cfRule type="containsBlanks" dxfId="1453" priority="1414">
      <formula>LEN(TRIM(AH149))=0</formula>
    </cfRule>
    <cfRule type="containsBlanks" dxfId="1452" priority="1415">
      <formula>LEN(TRIM(AH149))=0</formula>
    </cfRule>
    <cfRule type="containsBlanks" dxfId="1451" priority="1416">
      <formula>LEN(TRIM(AH149))=0</formula>
    </cfRule>
    <cfRule type="containsBlanks" dxfId="1450" priority="1417">
      <formula>LEN(TRIM(AH149))=0</formula>
    </cfRule>
    <cfRule type="containsBlanks" dxfId="1449" priority="1418">
      <formula>LEN(TRIM(AH149))=0</formula>
    </cfRule>
    <cfRule type="containsBlanks" dxfId="1448" priority="1419">
      <formula>LEN(TRIM(AH149))=0</formula>
    </cfRule>
    <cfRule type="containsBlanks" dxfId="1447" priority="1420">
      <formula>LEN(TRIM(AH149))=0</formula>
    </cfRule>
    <cfRule type="containsBlanks" dxfId="1446" priority="1421">
      <formula>LEN(TRIM(AH149))=0</formula>
    </cfRule>
    <cfRule type="containsBlanks" dxfId="1445" priority="1422">
      <formula>LEN(TRIM(AH149))=0</formula>
    </cfRule>
    <cfRule type="containsBlanks" dxfId="1444" priority="1423">
      <formula>LEN(TRIM(AH149))=0</formula>
    </cfRule>
    <cfRule type="containsBlanks" dxfId="1443" priority="1424">
      <formula>LEN(TRIM(AH149))=0</formula>
    </cfRule>
    <cfRule type="containsBlanks" dxfId="1442" priority="1425">
      <formula>LEN(TRIM(AH149))=0</formula>
    </cfRule>
    <cfRule type="containsBlanks" dxfId="1441" priority="1426">
      <formula>LEN(TRIM(AH149))=0</formula>
    </cfRule>
    <cfRule type="containsBlanks" dxfId="1440" priority="1427">
      <formula>LEN(TRIM(AH149))=0</formula>
    </cfRule>
    <cfRule type="containsBlanks" dxfId="1439" priority="1428">
      <formula>LEN(TRIM(AH149))=0</formula>
    </cfRule>
    <cfRule type="containsBlanks" dxfId="1438" priority="1429">
      <formula>LEN(TRIM(AH149))=0</formula>
    </cfRule>
    <cfRule type="containsBlanks" dxfId="1437" priority="1430">
      <formula>LEN(TRIM(AH149))=0</formula>
    </cfRule>
    <cfRule type="containsBlanks" dxfId="1436" priority="1431">
      <formula>LEN(TRIM(AH149))=0</formula>
    </cfRule>
    <cfRule type="containsBlanks" dxfId="1435" priority="1432">
      <formula>LEN(TRIM(AH149))=0</formula>
    </cfRule>
    <cfRule type="containsBlanks" dxfId="1434" priority="1433">
      <formula>LEN(TRIM(AH149))=0</formula>
    </cfRule>
    <cfRule type="containsBlanks" dxfId="1433" priority="1434">
      <formula>LEN(TRIM(AH149))=0</formula>
    </cfRule>
    <cfRule type="containsBlanks" dxfId="1432" priority="1435">
      <formula>LEN(TRIM(AH149))=0</formula>
    </cfRule>
    <cfRule type="containsBlanks" dxfId="1431" priority="1436">
      <formula>LEN(TRIM(AH149))=0</formula>
    </cfRule>
    <cfRule type="containsBlanks" dxfId="1430" priority="1437">
      <formula>LEN(TRIM(AH149))=0</formula>
    </cfRule>
    <cfRule type="containsBlanks" dxfId="1429" priority="1438">
      <formula>LEN(TRIM(AH149))=0</formula>
    </cfRule>
    <cfRule type="containsBlanks" dxfId="1428" priority="1439">
      <formula>LEN(TRIM(AH149))=0</formula>
    </cfRule>
    <cfRule type="containsBlanks" dxfId="1427" priority="1440">
      <formula>LEN(TRIM(AH149))=0</formula>
    </cfRule>
    <cfRule type="containsBlanks" dxfId="1426" priority="1441">
      <formula>LEN(TRIM(AH149))=0</formula>
    </cfRule>
    <cfRule type="containsBlanks" dxfId="1425" priority="1442">
      <formula>LEN(TRIM(AH149))=0</formula>
    </cfRule>
    <cfRule type="containsBlanks" dxfId="1424" priority="1443">
      <formula>LEN(TRIM(AH149))=0</formula>
    </cfRule>
    <cfRule type="containsBlanks" dxfId="1423" priority="1444">
      <formula>LEN(TRIM(AH149))=0</formula>
    </cfRule>
    <cfRule type="containsBlanks" dxfId="1422" priority="1445">
      <formula>LEN(TRIM(AH149))=0</formula>
    </cfRule>
    <cfRule type="containsBlanks" dxfId="1421" priority="1446">
      <formula>LEN(TRIM(AH149))=0</formula>
    </cfRule>
    <cfRule type="containsBlanks" dxfId="1420" priority="1447">
      <formula>LEN(TRIM(AH149))=0</formula>
    </cfRule>
    <cfRule type="containsBlanks" dxfId="1419" priority="1448">
      <formula>LEN(TRIM(AH149))=0</formula>
    </cfRule>
    <cfRule type="containsBlanks" dxfId="1418" priority="1449">
      <formula>LEN(TRIM(AH149))=0</formula>
    </cfRule>
    <cfRule type="containsBlanks" dxfId="1417" priority="1450">
      <formula>LEN(TRIM(AH149))=0</formula>
    </cfRule>
    <cfRule type="containsBlanks" dxfId="1416" priority="1451">
      <formula>LEN(TRIM(AH149))=0</formula>
    </cfRule>
    <cfRule type="containsBlanks" dxfId="1415" priority="1452">
      <formula>LEN(TRIM(AH149))=0</formula>
    </cfRule>
    <cfRule type="containsBlanks" dxfId="1414" priority="1453">
      <formula>LEN(TRIM(AH149))=0</formula>
    </cfRule>
    <cfRule type="containsBlanks" dxfId="1413" priority="1454">
      <formula>LEN(TRIM(AH149))=0</formula>
    </cfRule>
    <cfRule type="containsBlanks" dxfId="1412" priority="1455">
      <formula>LEN(TRIM(AH149))=0</formula>
    </cfRule>
    <cfRule type="containsBlanks" dxfId="1411" priority="1456">
      <formula>LEN(TRIM(AH149))=0</formula>
    </cfRule>
    <cfRule type="containsBlanks" dxfId="1410" priority="1457">
      <formula>LEN(TRIM(AH149))=0</formula>
    </cfRule>
    <cfRule type="containsBlanks" dxfId="1409" priority="1458">
      <formula>LEN(TRIM(AH149))=0</formula>
    </cfRule>
    <cfRule type="containsBlanks" dxfId="1408" priority="1459">
      <formula>LEN(TRIM(AH149))=0</formula>
    </cfRule>
    <cfRule type="containsBlanks" dxfId="1407" priority="1460">
      <formula>LEN(TRIM(AH149))=0</formula>
    </cfRule>
    <cfRule type="containsBlanks" dxfId="1406" priority="1461">
      <formula>LEN(TRIM(AH149))=0</formula>
    </cfRule>
  </conditionalFormatting>
  <conditionalFormatting sqref="AH149">
    <cfRule type="containsBlanks" dxfId="1405" priority="1323">
      <formula>LEN(TRIM(AH149))=0</formula>
    </cfRule>
    <cfRule type="containsBlanks" dxfId="1404" priority="1324">
      <formula>LEN(TRIM(AH149))=0</formula>
    </cfRule>
    <cfRule type="containsBlanks" dxfId="1403" priority="1325">
      <formula>LEN(TRIM(AH149))=0</formula>
    </cfRule>
    <cfRule type="containsBlanks" dxfId="1402" priority="1326">
      <formula>LEN(TRIM(AH149))=0</formula>
    </cfRule>
    <cfRule type="containsBlanks" dxfId="1401" priority="1327">
      <formula>LEN(TRIM(AH149))=0</formula>
    </cfRule>
    <cfRule type="containsBlanks" dxfId="1400" priority="1328">
      <formula>LEN(TRIM(AH149))=0</formula>
    </cfRule>
    <cfRule type="containsBlanks" dxfId="1399" priority="1329">
      <formula>LEN(TRIM(AH149))=0</formula>
    </cfRule>
    <cfRule type="containsBlanks" dxfId="1398" priority="1330">
      <formula>LEN(TRIM(AH149))=0</formula>
    </cfRule>
    <cfRule type="containsBlanks" dxfId="1397" priority="1331">
      <formula>LEN(TRIM(AH149))=0</formula>
    </cfRule>
    <cfRule type="containsBlanks" dxfId="1396" priority="1332">
      <formula>LEN(TRIM(AH149))=0</formula>
    </cfRule>
    <cfRule type="containsBlanks" dxfId="1395" priority="1333">
      <formula>LEN(TRIM(AH149))=0</formula>
    </cfRule>
    <cfRule type="containsBlanks" dxfId="1394" priority="1334">
      <formula>LEN(TRIM(AH149))=0</formula>
    </cfRule>
    <cfRule type="containsBlanks" dxfId="1393" priority="1335">
      <formula>LEN(TRIM(AH149))=0</formula>
    </cfRule>
    <cfRule type="containsBlanks" dxfId="1392" priority="1336">
      <formula>LEN(TRIM(AH149))=0</formula>
    </cfRule>
    <cfRule type="containsBlanks" dxfId="1391" priority="1337">
      <formula>LEN(TRIM(AH149))=0</formula>
    </cfRule>
    <cfRule type="containsBlanks" dxfId="1390" priority="1338">
      <formula>LEN(TRIM(AH149))=0</formula>
    </cfRule>
    <cfRule type="containsBlanks" dxfId="1389" priority="1339">
      <formula>LEN(TRIM(AH149))=0</formula>
    </cfRule>
    <cfRule type="containsBlanks" dxfId="1388" priority="1340">
      <formula>LEN(TRIM(AH149))=0</formula>
    </cfRule>
    <cfRule type="containsBlanks" dxfId="1387" priority="1341">
      <formula>LEN(TRIM(AH149))=0</formula>
    </cfRule>
    <cfRule type="containsBlanks" dxfId="1386" priority="1342">
      <formula>LEN(TRIM(AH149))=0</formula>
    </cfRule>
    <cfRule type="containsBlanks" dxfId="1385" priority="1343">
      <formula>LEN(TRIM(AH149))=0</formula>
    </cfRule>
    <cfRule type="containsBlanks" dxfId="1384" priority="1344">
      <formula>LEN(TRIM(AH149))=0</formula>
    </cfRule>
    <cfRule type="containsBlanks" dxfId="1383" priority="1345">
      <formula>LEN(TRIM(AH149))=0</formula>
    </cfRule>
    <cfRule type="containsBlanks" dxfId="1382" priority="1346">
      <formula>LEN(TRIM(AH149))=0</formula>
    </cfRule>
    <cfRule type="containsBlanks" dxfId="1381" priority="1347">
      <formula>LEN(TRIM(AH149))=0</formula>
    </cfRule>
    <cfRule type="containsBlanks" dxfId="1380" priority="1348">
      <formula>LEN(TRIM(AH149))=0</formula>
    </cfRule>
    <cfRule type="containsBlanks" dxfId="1379" priority="1349">
      <formula>LEN(TRIM(AH149))=0</formula>
    </cfRule>
    <cfRule type="containsBlanks" dxfId="1378" priority="1350">
      <formula>LEN(TRIM(AH149))=0</formula>
    </cfRule>
    <cfRule type="containsBlanks" dxfId="1377" priority="1351">
      <formula>LEN(TRIM(AH149))=0</formula>
    </cfRule>
    <cfRule type="containsBlanks" dxfId="1376" priority="1352">
      <formula>LEN(TRIM(AH149))=0</formula>
    </cfRule>
    <cfRule type="containsBlanks" dxfId="1375" priority="1353">
      <formula>LEN(TRIM(AH149))=0</formula>
    </cfRule>
    <cfRule type="containsBlanks" dxfId="1374" priority="1354">
      <formula>LEN(TRIM(AH149))=0</formula>
    </cfRule>
    <cfRule type="containsBlanks" dxfId="1373" priority="1355">
      <formula>LEN(TRIM(AH149))=0</formula>
    </cfRule>
    <cfRule type="containsBlanks" dxfId="1372" priority="1356">
      <formula>LEN(TRIM(AH149))=0</formula>
    </cfRule>
    <cfRule type="containsBlanks" dxfId="1371" priority="1357">
      <formula>LEN(TRIM(AH149))=0</formula>
    </cfRule>
    <cfRule type="containsBlanks" dxfId="1370" priority="1358">
      <formula>LEN(TRIM(AH149))=0</formula>
    </cfRule>
    <cfRule type="containsBlanks" dxfId="1369" priority="1359">
      <formula>LEN(TRIM(AH149))=0</formula>
    </cfRule>
    <cfRule type="containsBlanks" dxfId="1368" priority="1360">
      <formula>LEN(TRIM(AH149))=0</formula>
    </cfRule>
    <cfRule type="containsBlanks" dxfId="1367" priority="1361">
      <formula>LEN(TRIM(AH149))=0</formula>
    </cfRule>
    <cfRule type="containsBlanks" dxfId="1366" priority="1362">
      <formula>LEN(TRIM(AH149))=0</formula>
    </cfRule>
    <cfRule type="containsBlanks" dxfId="1365" priority="1363">
      <formula>LEN(TRIM(AH149))=0</formula>
    </cfRule>
    <cfRule type="containsBlanks" dxfId="1364" priority="1364">
      <formula>LEN(TRIM(AH149))=0</formula>
    </cfRule>
    <cfRule type="containsBlanks" dxfId="1363" priority="1365">
      <formula>LEN(TRIM(AH149))=0</formula>
    </cfRule>
    <cfRule type="containsBlanks" dxfId="1362" priority="1366">
      <formula>LEN(TRIM(AH149))=0</formula>
    </cfRule>
    <cfRule type="containsBlanks" dxfId="1361" priority="1367">
      <formula>LEN(TRIM(AH149))=0</formula>
    </cfRule>
    <cfRule type="containsBlanks" dxfId="1360" priority="1368">
      <formula>LEN(TRIM(AH149))=0</formula>
    </cfRule>
    <cfRule type="containsBlanks" dxfId="1359" priority="1369">
      <formula>LEN(TRIM(AH149))=0</formula>
    </cfRule>
    <cfRule type="containsBlanks" dxfId="1358" priority="1370">
      <formula>LEN(TRIM(AH149))=0</formula>
    </cfRule>
    <cfRule type="containsBlanks" dxfId="1357" priority="1371">
      <formula>LEN(TRIM(AH149))=0</formula>
    </cfRule>
    <cfRule type="containsBlanks" dxfId="1356" priority="1372">
      <formula>LEN(TRIM(AH149))=0</formula>
    </cfRule>
    <cfRule type="containsBlanks" dxfId="1355" priority="1373">
      <formula>LEN(TRIM(AH149))=0</formula>
    </cfRule>
    <cfRule type="containsBlanks" dxfId="1354" priority="1374">
      <formula>LEN(TRIM(AH149))=0</formula>
    </cfRule>
    <cfRule type="containsBlanks" dxfId="1353" priority="1375">
      <formula>LEN(TRIM(AH149))=0</formula>
    </cfRule>
    <cfRule type="containsBlanks" dxfId="1352" priority="1376">
      <formula>LEN(TRIM(AH149))=0</formula>
    </cfRule>
    <cfRule type="containsBlanks" dxfId="1351" priority="1377">
      <formula>LEN(TRIM(AH149))=0</formula>
    </cfRule>
    <cfRule type="containsBlanks" dxfId="1350" priority="1378">
      <formula>LEN(TRIM(AH149))=0</formula>
    </cfRule>
    <cfRule type="containsBlanks" dxfId="1349" priority="1379">
      <formula>LEN(TRIM(AH149))=0</formula>
    </cfRule>
    <cfRule type="containsBlanks" dxfId="1348" priority="1380">
      <formula>LEN(TRIM(AH149))=0</formula>
    </cfRule>
    <cfRule type="containsBlanks" dxfId="1347" priority="1381">
      <formula>LEN(TRIM(AH149))=0</formula>
    </cfRule>
    <cfRule type="containsBlanks" dxfId="1346" priority="1382">
      <formula>LEN(TRIM(AH149))=0</formula>
    </cfRule>
    <cfRule type="containsBlanks" dxfId="1345" priority="1383">
      <formula>LEN(TRIM(AH149))=0</formula>
    </cfRule>
    <cfRule type="containsBlanks" dxfId="1344" priority="1384">
      <formula>LEN(TRIM(AH149))=0</formula>
    </cfRule>
    <cfRule type="containsBlanks" dxfId="1343" priority="1385">
      <formula>LEN(TRIM(AH149))=0</formula>
    </cfRule>
    <cfRule type="containsBlanks" dxfId="1342" priority="1386">
      <formula>LEN(TRIM(AH149))=0</formula>
    </cfRule>
    <cfRule type="containsBlanks" dxfId="1341" priority="1387">
      <formula>LEN(TRIM(AH149))=0</formula>
    </cfRule>
    <cfRule type="containsBlanks" dxfId="1340" priority="1388">
      <formula>LEN(TRIM(AH149))=0</formula>
    </cfRule>
    <cfRule type="containsBlanks" dxfId="1339" priority="1389">
      <formula>LEN(TRIM(AH149))=0</formula>
    </cfRule>
    <cfRule type="containsBlanks" dxfId="1338" priority="1390">
      <formula>LEN(TRIM(AH149))=0</formula>
    </cfRule>
    <cfRule type="containsBlanks" dxfId="1337" priority="1391">
      <formula>LEN(TRIM(AH149))=0</formula>
    </cfRule>
    <cfRule type="containsBlanks" dxfId="1336" priority="1392">
      <formula>LEN(TRIM(AH149))=0</formula>
    </cfRule>
    <cfRule type="containsBlanks" dxfId="1335" priority="1393">
      <formula>LEN(TRIM(AH149))=0</formula>
    </cfRule>
    <cfRule type="containsBlanks" dxfId="1334" priority="1394">
      <formula>LEN(TRIM(AH149))=0</formula>
    </cfRule>
    <cfRule type="containsBlanks" dxfId="1333" priority="1395">
      <formula>LEN(TRIM(AH149))=0</formula>
    </cfRule>
    <cfRule type="containsBlanks" dxfId="1332" priority="1396">
      <formula>LEN(TRIM(AH149))=0</formula>
    </cfRule>
    <cfRule type="containsBlanks" dxfId="1331" priority="1397">
      <formula>LEN(TRIM(AH149))=0</formula>
    </cfRule>
    <cfRule type="containsBlanks" dxfId="1330" priority="1398">
      <formula>LEN(TRIM(AH149))=0</formula>
    </cfRule>
    <cfRule type="containsBlanks" dxfId="1329" priority="1399">
      <formula>LEN(TRIM(AH149))=0</formula>
    </cfRule>
    <cfRule type="containsBlanks" dxfId="1328" priority="1400">
      <formula>LEN(TRIM(AH149))=0</formula>
    </cfRule>
    <cfRule type="containsBlanks" dxfId="1327" priority="1401">
      <formula>LEN(TRIM(AH149))=0</formula>
    </cfRule>
    <cfRule type="containsBlanks" dxfId="1326" priority="1402">
      <formula>LEN(TRIM(AH149))=0</formula>
    </cfRule>
    <cfRule type="containsBlanks" dxfId="1325" priority="1403">
      <formula>LEN(TRIM(AH149))=0</formula>
    </cfRule>
    <cfRule type="containsBlanks" dxfId="1324" priority="1404">
      <formula>LEN(TRIM(AH149))=0</formula>
    </cfRule>
    <cfRule type="containsBlanks" dxfId="1323" priority="1405">
      <formula>LEN(TRIM(AH149))=0</formula>
    </cfRule>
    <cfRule type="containsBlanks" dxfId="1322" priority="1406">
      <formula>LEN(TRIM(AH149))=0</formula>
    </cfRule>
  </conditionalFormatting>
  <conditionalFormatting sqref="AH152">
    <cfRule type="containsBlanks" dxfId="1321" priority="1322">
      <formula>LEN(TRIM(AH152))=0</formula>
    </cfRule>
  </conditionalFormatting>
  <conditionalFormatting sqref="AH152">
    <cfRule type="containsBlanks" dxfId="1320" priority="1321">
      <formula>LEN(TRIM(AH152))=0</formula>
    </cfRule>
  </conditionalFormatting>
  <conditionalFormatting sqref="AH152">
    <cfRule type="containsBlanks" dxfId="1319" priority="1319">
      <formula>LEN(TRIM(AH152))=0</formula>
    </cfRule>
    <cfRule type="containsBlanks" dxfId="1318" priority="1320">
      <formula>LEN(TRIM(AH152))=0</formula>
    </cfRule>
  </conditionalFormatting>
  <conditionalFormatting sqref="AH152">
    <cfRule type="containsBlanks" dxfId="1317" priority="1318">
      <formula>LEN(TRIM(AH152))=0</formula>
    </cfRule>
  </conditionalFormatting>
  <conditionalFormatting sqref="AH152">
    <cfRule type="containsBlanks" dxfId="1316" priority="1317">
      <formula>LEN(TRIM(AH152))=0</formula>
    </cfRule>
  </conditionalFormatting>
  <conditionalFormatting sqref="AH152">
    <cfRule type="containsBlanks" dxfId="1315" priority="1316">
      <formula>LEN(TRIM(AH152))=0</formula>
    </cfRule>
  </conditionalFormatting>
  <conditionalFormatting sqref="AH152">
    <cfRule type="containsBlanks" dxfId="1314" priority="1314">
      <formula>LEN(TRIM(AH152))=0</formula>
    </cfRule>
    <cfRule type="containsBlanks" dxfId="1313" priority="1315">
      <formula>LEN(TRIM(AH152))=0</formula>
    </cfRule>
  </conditionalFormatting>
  <conditionalFormatting sqref="AH152">
    <cfRule type="containsBlanks" dxfId="1312" priority="1312">
      <formula>LEN(TRIM(AH152))=0</formula>
    </cfRule>
    <cfRule type="containsBlanks" dxfId="1311" priority="1313">
      <formula>LEN(TRIM(AH152))=0</formula>
    </cfRule>
  </conditionalFormatting>
  <conditionalFormatting sqref="AH152">
    <cfRule type="containsBlanks" dxfId="1310" priority="1310">
      <formula>LEN(TRIM(AH152))=0</formula>
    </cfRule>
    <cfRule type="containsBlanks" dxfId="1309" priority="1311">
      <formula>LEN(TRIM(AH152))=0</formula>
    </cfRule>
  </conditionalFormatting>
  <conditionalFormatting sqref="AH152">
    <cfRule type="containsBlanks" dxfId="1308" priority="1308">
      <formula>LEN(TRIM(AH152))=0</formula>
    </cfRule>
    <cfRule type="containsBlanks" dxfId="1307" priority="1309">
      <formula>LEN(TRIM(AH152))=0</formula>
    </cfRule>
  </conditionalFormatting>
  <conditionalFormatting sqref="AH152">
    <cfRule type="containsBlanks" dxfId="1306" priority="1242">
      <formula>LEN(TRIM(AH152))=0</formula>
    </cfRule>
    <cfRule type="containsBlanks" dxfId="1305" priority="1243">
      <formula>LEN(TRIM(AH152))=0</formula>
    </cfRule>
    <cfRule type="containsBlanks" dxfId="1304" priority="1244">
      <formula>LEN(TRIM(AH152))=0</formula>
    </cfRule>
    <cfRule type="containsBlanks" dxfId="1303" priority="1245">
      <formula>LEN(TRIM(AH152))=0</formula>
    </cfRule>
    <cfRule type="containsBlanks" dxfId="1302" priority="1246">
      <formula>LEN(TRIM(AH152))=0</formula>
    </cfRule>
    <cfRule type="containsBlanks" dxfId="1301" priority="1247">
      <formula>LEN(TRIM(AH152))=0</formula>
    </cfRule>
    <cfRule type="containsBlanks" dxfId="1300" priority="1248">
      <formula>LEN(TRIM(AH152))=0</formula>
    </cfRule>
    <cfRule type="containsBlanks" dxfId="1299" priority="1249">
      <formula>LEN(TRIM(AH152))=0</formula>
    </cfRule>
    <cfRule type="containsBlanks" dxfId="1298" priority="1250">
      <formula>LEN(TRIM(AH152))=0</formula>
    </cfRule>
    <cfRule type="containsBlanks" dxfId="1297" priority="1251">
      <formula>LEN(TRIM(AH152))=0</formula>
    </cfRule>
    <cfRule type="containsBlanks" dxfId="1296" priority="1252">
      <formula>LEN(TRIM(AH152))=0</formula>
    </cfRule>
    <cfRule type="containsBlanks" dxfId="1295" priority="1253">
      <formula>LEN(TRIM(AH152))=0</formula>
    </cfRule>
    <cfRule type="containsBlanks" dxfId="1294" priority="1254">
      <formula>LEN(TRIM(AH152))=0</formula>
    </cfRule>
    <cfRule type="containsBlanks" dxfId="1293" priority="1255">
      <formula>LEN(TRIM(AH152))=0</formula>
    </cfRule>
    <cfRule type="containsBlanks" dxfId="1292" priority="1256">
      <formula>LEN(TRIM(AH152))=0</formula>
    </cfRule>
    <cfRule type="containsBlanks" dxfId="1291" priority="1257">
      <formula>LEN(TRIM(AH152))=0</formula>
    </cfRule>
    <cfRule type="containsBlanks" dxfId="1290" priority="1258">
      <formula>LEN(TRIM(AH152))=0</formula>
    </cfRule>
    <cfRule type="containsBlanks" dxfId="1289" priority="1259">
      <formula>LEN(TRIM(AH152))=0</formula>
    </cfRule>
    <cfRule type="containsBlanks" dxfId="1288" priority="1260">
      <formula>LEN(TRIM(AH152))=0</formula>
    </cfRule>
    <cfRule type="containsBlanks" dxfId="1287" priority="1261">
      <formula>LEN(TRIM(AH152))=0</formula>
    </cfRule>
    <cfRule type="containsBlanks" dxfId="1286" priority="1262">
      <formula>LEN(TRIM(AH152))=0</formula>
    </cfRule>
    <cfRule type="containsBlanks" dxfId="1285" priority="1263">
      <formula>LEN(TRIM(AH152))=0</formula>
    </cfRule>
    <cfRule type="containsBlanks" dxfId="1284" priority="1264">
      <formula>LEN(TRIM(AH152))=0</formula>
    </cfRule>
    <cfRule type="containsBlanks" dxfId="1283" priority="1265">
      <formula>LEN(TRIM(AH152))=0</formula>
    </cfRule>
    <cfRule type="containsBlanks" dxfId="1282" priority="1266">
      <formula>LEN(TRIM(AH152))=0</formula>
    </cfRule>
    <cfRule type="containsBlanks" dxfId="1281" priority="1267">
      <formula>LEN(TRIM(AH152))=0</formula>
    </cfRule>
    <cfRule type="containsBlanks" dxfId="1280" priority="1268">
      <formula>LEN(TRIM(AH152))=0</formula>
    </cfRule>
    <cfRule type="containsBlanks" dxfId="1279" priority="1269">
      <formula>LEN(TRIM(AH152))=0</formula>
    </cfRule>
    <cfRule type="containsBlanks" dxfId="1278" priority="1270">
      <formula>LEN(TRIM(AH152))=0</formula>
    </cfRule>
    <cfRule type="containsBlanks" dxfId="1277" priority="1271">
      <formula>LEN(TRIM(AH152))=0</formula>
    </cfRule>
    <cfRule type="containsBlanks" dxfId="1276" priority="1272">
      <formula>LEN(TRIM(AH152))=0</formula>
    </cfRule>
    <cfRule type="containsBlanks" dxfId="1275" priority="1273">
      <formula>LEN(TRIM(AH152))=0</formula>
    </cfRule>
    <cfRule type="containsBlanks" dxfId="1274" priority="1274">
      <formula>LEN(TRIM(AH152))=0</formula>
    </cfRule>
    <cfRule type="containsBlanks" dxfId="1273" priority="1275">
      <formula>LEN(TRIM(AH152))=0</formula>
    </cfRule>
    <cfRule type="containsBlanks" dxfId="1272" priority="1276">
      <formula>LEN(TRIM(AH152))=0</formula>
    </cfRule>
    <cfRule type="containsBlanks" dxfId="1271" priority="1277">
      <formula>LEN(TRIM(AH152))=0</formula>
    </cfRule>
    <cfRule type="containsBlanks" dxfId="1270" priority="1278">
      <formula>LEN(TRIM(AH152))=0</formula>
    </cfRule>
    <cfRule type="containsBlanks" dxfId="1269" priority="1279">
      <formula>LEN(TRIM(AH152))=0</formula>
    </cfRule>
    <cfRule type="containsBlanks" dxfId="1268" priority="1280">
      <formula>LEN(TRIM(AH152))=0</formula>
    </cfRule>
    <cfRule type="containsBlanks" dxfId="1267" priority="1281">
      <formula>LEN(TRIM(AH152))=0</formula>
    </cfRule>
    <cfRule type="containsBlanks" dxfId="1266" priority="1282">
      <formula>LEN(TRIM(AH152))=0</formula>
    </cfRule>
    <cfRule type="containsBlanks" dxfId="1265" priority="1283">
      <formula>LEN(TRIM(AH152))=0</formula>
    </cfRule>
    <cfRule type="containsBlanks" dxfId="1264" priority="1284">
      <formula>LEN(TRIM(AH152))=0</formula>
    </cfRule>
    <cfRule type="containsBlanks" dxfId="1263" priority="1285">
      <formula>LEN(TRIM(AH152))=0</formula>
    </cfRule>
    <cfRule type="containsBlanks" dxfId="1262" priority="1286">
      <formula>LEN(TRIM(AH152))=0</formula>
    </cfRule>
    <cfRule type="containsBlanks" dxfId="1261" priority="1287">
      <formula>LEN(TRIM(AH152))=0</formula>
    </cfRule>
    <cfRule type="containsBlanks" dxfId="1260" priority="1288">
      <formula>LEN(TRIM(AH152))=0</formula>
    </cfRule>
    <cfRule type="containsBlanks" dxfId="1259" priority="1289">
      <formula>LEN(TRIM(AH152))=0</formula>
    </cfRule>
    <cfRule type="containsBlanks" dxfId="1258" priority="1290">
      <formula>LEN(TRIM(AH152))=0</formula>
    </cfRule>
    <cfRule type="containsBlanks" dxfId="1257" priority="1291">
      <formula>LEN(TRIM(AH152))=0</formula>
    </cfRule>
    <cfRule type="containsBlanks" dxfId="1256" priority="1292">
      <formula>LEN(TRIM(AH152))=0</formula>
    </cfRule>
    <cfRule type="containsBlanks" dxfId="1255" priority="1293">
      <formula>LEN(TRIM(AH152))=0</formula>
    </cfRule>
    <cfRule type="containsBlanks" dxfId="1254" priority="1294">
      <formula>LEN(TRIM(AH152))=0</formula>
    </cfRule>
    <cfRule type="containsBlanks" dxfId="1253" priority="1295">
      <formula>LEN(TRIM(AH152))=0</formula>
    </cfRule>
    <cfRule type="containsBlanks" dxfId="1252" priority="1296">
      <formula>LEN(TRIM(AH152))=0</formula>
    </cfRule>
    <cfRule type="containsBlanks" dxfId="1251" priority="1297">
      <formula>LEN(TRIM(AH152))=0</formula>
    </cfRule>
    <cfRule type="containsBlanks" dxfId="1250" priority="1298">
      <formula>LEN(TRIM(AH152))=0</formula>
    </cfRule>
    <cfRule type="containsBlanks" dxfId="1249" priority="1299">
      <formula>LEN(TRIM(AH152))=0</formula>
    </cfRule>
    <cfRule type="containsBlanks" dxfId="1248" priority="1300">
      <formula>LEN(TRIM(AH152))=0</formula>
    </cfRule>
    <cfRule type="containsBlanks" dxfId="1247" priority="1301">
      <formula>LEN(TRIM(AH152))=0</formula>
    </cfRule>
    <cfRule type="containsBlanks" dxfId="1246" priority="1302">
      <formula>LEN(TRIM(AH152))=0</formula>
    </cfRule>
    <cfRule type="containsBlanks" dxfId="1245" priority="1303">
      <formula>LEN(TRIM(AH152))=0</formula>
    </cfRule>
    <cfRule type="containsBlanks" dxfId="1244" priority="1304">
      <formula>LEN(TRIM(AH152))=0</formula>
    </cfRule>
    <cfRule type="containsBlanks" dxfId="1243" priority="1305">
      <formula>LEN(TRIM(AH152))=0</formula>
    </cfRule>
    <cfRule type="containsBlanks" dxfId="1242" priority="1306">
      <formula>LEN(TRIM(AH152))=0</formula>
    </cfRule>
    <cfRule type="containsBlanks" dxfId="1241" priority="1307">
      <formula>LEN(TRIM(AH152))=0</formula>
    </cfRule>
  </conditionalFormatting>
  <conditionalFormatting sqref="AH152">
    <cfRule type="containsBlanks" dxfId="1240" priority="1187">
      <formula>LEN(TRIM(AH152))=0</formula>
    </cfRule>
    <cfRule type="containsBlanks" dxfId="1239" priority="1188">
      <formula>LEN(TRIM(AH152))=0</formula>
    </cfRule>
    <cfRule type="containsBlanks" dxfId="1238" priority="1189">
      <formula>LEN(TRIM(AH152))=0</formula>
    </cfRule>
    <cfRule type="containsBlanks" dxfId="1237" priority="1190">
      <formula>LEN(TRIM(AH152))=0</formula>
    </cfRule>
    <cfRule type="containsBlanks" dxfId="1236" priority="1191">
      <formula>LEN(TRIM(AH152))=0</formula>
    </cfRule>
    <cfRule type="containsBlanks" dxfId="1235" priority="1192">
      <formula>LEN(TRIM(AH152))=0</formula>
    </cfRule>
    <cfRule type="containsBlanks" dxfId="1234" priority="1193">
      <formula>LEN(TRIM(AH152))=0</formula>
    </cfRule>
    <cfRule type="containsBlanks" dxfId="1233" priority="1194">
      <formula>LEN(TRIM(AH152))=0</formula>
    </cfRule>
    <cfRule type="containsBlanks" dxfId="1232" priority="1195">
      <formula>LEN(TRIM(AH152))=0</formula>
    </cfRule>
    <cfRule type="containsBlanks" dxfId="1231" priority="1196">
      <formula>LEN(TRIM(AH152))=0</formula>
    </cfRule>
    <cfRule type="containsBlanks" dxfId="1230" priority="1197">
      <formula>LEN(TRIM(AH152))=0</formula>
    </cfRule>
    <cfRule type="containsBlanks" dxfId="1229" priority="1198">
      <formula>LEN(TRIM(AH152))=0</formula>
    </cfRule>
    <cfRule type="containsBlanks" dxfId="1228" priority="1199">
      <formula>LEN(TRIM(AH152))=0</formula>
    </cfRule>
    <cfRule type="containsBlanks" dxfId="1227" priority="1200">
      <formula>LEN(TRIM(AH152))=0</formula>
    </cfRule>
    <cfRule type="containsBlanks" dxfId="1226" priority="1201">
      <formula>LEN(TRIM(AH152))=0</formula>
    </cfRule>
    <cfRule type="containsBlanks" dxfId="1225" priority="1202">
      <formula>LEN(TRIM(AH152))=0</formula>
    </cfRule>
    <cfRule type="containsBlanks" dxfId="1224" priority="1203">
      <formula>LEN(TRIM(AH152))=0</formula>
    </cfRule>
    <cfRule type="containsBlanks" dxfId="1223" priority="1204">
      <formula>LEN(TRIM(AH152))=0</formula>
    </cfRule>
    <cfRule type="containsBlanks" dxfId="1222" priority="1205">
      <formula>LEN(TRIM(AH152))=0</formula>
    </cfRule>
    <cfRule type="containsBlanks" dxfId="1221" priority="1206">
      <formula>LEN(TRIM(AH152))=0</formula>
    </cfRule>
    <cfRule type="containsBlanks" dxfId="1220" priority="1207">
      <formula>LEN(TRIM(AH152))=0</formula>
    </cfRule>
    <cfRule type="containsBlanks" dxfId="1219" priority="1208">
      <formula>LEN(TRIM(AH152))=0</formula>
    </cfRule>
    <cfRule type="containsBlanks" dxfId="1218" priority="1209">
      <formula>LEN(TRIM(AH152))=0</formula>
    </cfRule>
    <cfRule type="containsBlanks" dxfId="1217" priority="1210">
      <formula>LEN(TRIM(AH152))=0</formula>
    </cfRule>
    <cfRule type="containsBlanks" dxfId="1216" priority="1211">
      <formula>LEN(TRIM(AH152))=0</formula>
    </cfRule>
    <cfRule type="containsBlanks" dxfId="1215" priority="1212">
      <formula>LEN(TRIM(AH152))=0</formula>
    </cfRule>
    <cfRule type="containsBlanks" dxfId="1214" priority="1213">
      <formula>LEN(TRIM(AH152))=0</formula>
    </cfRule>
    <cfRule type="containsBlanks" dxfId="1213" priority="1214">
      <formula>LEN(TRIM(AH152))=0</formula>
    </cfRule>
    <cfRule type="containsBlanks" dxfId="1212" priority="1215">
      <formula>LEN(TRIM(AH152))=0</formula>
    </cfRule>
    <cfRule type="containsBlanks" dxfId="1211" priority="1216">
      <formula>LEN(TRIM(AH152))=0</formula>
    </cfRule>
    <cfRule type="containsBlanks" dxfId="1210" priority="1217">
      <formula>LEN(TRIM(AH152))=0</formula>
    </cfRule>
    <cfRule type="containsBlanks" dxfId="1209" priority="1218">
      <formula>LEN(TRIM(AH152))=0</formula>
    </cfRule>
    <cfRule type="containsBlanks" dxfId="1208" priority="1219">
      <formula>LEN(TRIM(AH152))=0</formula>
    </cfRule>
    <cfRule type="containsBlanks" dxfId="1207" priority="1220">
      <formula>LEN(TRIM(AH152))=0</formula>
    </cfRule>
    <cfRule type="containsBlanks" dxfId="1206" priority="1221">
      <formula>LEN(TRIM(AH152))=0</formula>
    </cfRule>
    <cfRule type="containsBlanks" dxfId="1205" priority="1222">
      <formula>LEN(TRIM(AH152))=0</formula>
    </cfRule>
    <cfRule type="containsBlanks" dxfId="1204" priority="1223">
      <formula>LEN(TRIM(AH152))=0</formula>
    </cfRule>
    <cfRule type="containsBlanks" dxfId="1203" priority="1224">
      <formula>LEN(TRIM(AH152))=0</formula>
    </cfRule>
    <cfRule type="containsBlanks" dxfId="1202" priority="1225">
      <formula>LEN(TRIM(AH152))=0</formula>
    </cfRule>
    <cfRule type="containsBlanks" dxfId="1201" priority="1226">
      <formula>LEN(TRIM(AH152))=0</formula>
    </cfRule>
    <cfRule type="containsBlanks" dxfId="1200" priority="1227">
      <formula>LEN(TRIM(AH152))=0</formula>
    </cfRule>
    <cfRule type="containsBlanks" dxfId="1199" priority="1228">
      <formula>LEN(TRIM(AH152))=0</formula>
    </cfRule>
    <cfRule type="containsBlanks" dxfId="1198" priority="1229">
      <formula>LEN(TRIM(AH152))=0</formula>
    </cfRule>
    <cfRule type="containsBlanks" dxfId="1197" priority="1230">
      <formula>LEN(TRIM(AH152))=0</formula>
    </cfRule>
    <cfRule type="containsBlanks" dxfId="1196" priority="1231">
      <formula>LEN(TRIM(AH152))=0</formula>
    </cfRule>
    <cfRule type="containsBlanks" dxfId="1195" priority="1232">
      <formula>LEN(TRIM(AH152))=0</formula>
    </cfRule>
    <cfRule type="containsBlanks" dxfId="1194" priority="1233">
      <formula>LEN(TRIM(AH152))=0</formula>
    </cfRule>
    <cfRule type="containsBlanks" dxfId="1193" priority="1234">
      <formula>LEN(TRIM(AH152))=0</formula>
    </cfRule>
    <cfRule type="containsBlanks" dxfId="1192" priority="1235">
      <formula>LEN(TRIM(AH152))=0</formula>
    </cfRule>
    <cfRule type="containsBlanks" dxfId="1191" priority="1236">
      <formula>LEN(TRIM(AH152))=0</formula>
    </cfRule>
    <cfRule type="containsBlanks" dxfId="1190" priority="1237">
      <formula>LEN(TRIM(AH152))=0</formula>
    </cfRule>
    <cfRule type="containsBlanks" dxfId="1189" priority="1238">
      <formula>LEN(TRIM(AH152))=0</formula>
    </cfRule>
    <cfRule type="containsBlanks" dxfId="1188" priority="1239">
      <formula>LEN(TRIM(AH152))=0</formula>
    </cfRule>
    <cfRule type="containsBlanks" dxfId="1187" priority="1240">
      <formula>LEN(TRIM(AH152))=0</formula>
    </cfRule>
    <cfRule type="containsBlanks" dxfId="1186" priority="1241">
      <formula>LEN(TRIM(AH152))=0</formula>
    </cfRule>
  </conditionalFormatting>
  <conditionalFormatting sqref="AH152">
    <cfRule type="containsBlanks" dxfId="1185" priority="1103">
      <formula>LEN(TRIM(AH152))=0</formula>
    </cfRule>
    <cfRule type="containsBlanks" dxfId="1184" priority="1104">
      <formula>LEN(TRIM(AH152))=0</formula>
    </cfRule>
    <cfRule type="containsBlanks" dxfId="1183" priority="1105">
      <formula>LEN(TRIM(AH152))=0</formula>
    </cfRule>
    <cfRule type="containsBlanks" dxfId="1182" priority="1106">
      <formula>LEN(TRIM(AH152))=0</formula>
    </cfRule>
    <cfRule type="containsBlanks" dxfId="1181" priority="1107">
      <formula>LEN(TRIM(AH152))=0</formula>
    </cfRule>
    <cfRule type="containsBlanks" dxfId="1180" priority="1108">
      <formula>LEN(TRIM(AH152))=0</formula>
    </cfRule>
    <cfRule type="containsBlanks" dxfId="1179" priority="1109">
      <formula>LEN(TRIM(AH152))=0</formula>
    </cfRule>
    <cfRule type="containsBlanks" dxfId="1178" priority="1110">
      <formula>LEN(TRIM(AH152))=0</formula>
    </cfRule>
    <cfRule type="containsBlanks" dxfId="1177" priority="1111">
      <formula>LEN(TRIM(AH152))=0</formula>
    </cfRule>
    <cfRule type="containsBlanks" dxfId="1176" priority="1112">
      <formula>LEN(TRIM(AH152))=0</formula>
    </cfRule>
    <cfRule type="containsBlanks" dxfId="1175" priority="1113">
      <formula>LEN(TRIM(AH152))=0</formula>
    </cfRule>
    <cfRule type="containsBlanks" dxfId="1174" priority="1114">
      <formula>LEN(TRIM(AH152))=0</formula>
    </cfRule>
    <cfRule type="containsBlanks" dxfId="1173" priority="1115">
      <formula>LEN(TRIM(AH152))=0</formula>
    </cfRule>
    <cfRule type="containsBlanks" dxfId="1172" priority="1116">
      <formula>LEN(TRIM(AH152))=0</formula>
    </cfRule>
    <cfRule type="containsBlanks" dxfId="1171" priority="1117">
      <formula>LEN(TRIM(AH152))=0</formula>
    </cfRule>
    <cfRule type="containsBlanks" dxfId="1170" priority="1118">
      <formula>LEN(TRIM(AH152))=0</formula>
    </cfRule>
    <cfRule type="containsBlanks" dxfId="1169" priority="1119">
      <formula>LEN(TRIM(AH152))=0</formula>
    </cfRule>
    <cfRule type="containsBlanks" dxfId="1168" priority="1120">
      <formula>LEN(TRIM(AH152))=0</formula>
    </cfRule>
    <cfRule type="containsBlanks" dxfId="1167" priority="1121">
      <formula>LEN(TRIM(AH152))=0</formula>
    </cfRule>
    <cfRule type="containsBlanks" dxfId="1166" priority="1122">
      <formula>LEN(TRIM(AH152))=0</formula>
    </cfRule>
    <cfRule type="containsBlanks" dxfId="1165" priority="1123">
      <formula>LEN(TRIM(AH152))=0</formula>
    </cfRule>
    <cfRule type="containsBlanks" dxfId="1164" priority="1124">
      <formula>LEN(TRIM(AH152))=0</formula>
    </cfRule>
    <cfRule type="containsBlanks" dxfId="1163" priority="1125">
      <formula>LEN(TRIM(AH152))=0</formula>
    </cfRule>
    <cfRule type="containsBlanks" dxfId="1162" priority="1126">
      <formula>LEN(TRIM(AH152))=0</formula>
    </cfRule>
    <cfRule type="containsBlanks" dxfId="1161" priority="1127">
      <formula>LEN(TRIM(AH152))=0</formula>
    </cfRule>
    <cfRule type="containsBlanks" dxfId="1160" priority="1128">
      <formula>LEN(TRIM(AH152))=0</formula>
    </cfRule>
    <cfRule type="containsBlanks" dxfId="1159" priority="1129">
      <formula>LEN(TRIM(AH152))=0</formula>
    </cfRule>
    <cfRule type="containsBlanks" dxfId="1158" priority="1130">
      <formula>LEN(TRIM(AH152))=0</formula>
    </cfRule>
    <cfRule type="containsBlanks" dxfId="1157" priority="1131">
      <formula>LEN(TRIM(AH152))=0</formula>
    </cfRule>
    <cfRule type="containsBlanks" dxfId="1156" priority="1132">
      <formula>LEN(TRIM(AH152))=0</formula>
    </cfRule>
    <cfRule type="containsBlanks" dxfId="1155" priority="1133">
      <formula>LEN(TRIM(AH152))=0</formula>
    </cfRule>
    <cfRule type="containsBlanks" dxfId="1154" priority="1134">
      <formula>LEN(TRIM(AH152))=0</formula>
    </cfRule>
    <cfRule type="containsBlanks" dxfId="1153" priority="1135">
      <formula>LEN(TRIM(AH152))=0</formula>
    </cfRule>
    <cfRule type="containsBlanks" dxfId="1152" priority="1136">
      <formula>LEN(TRIM(AH152))=0</formula>
    </cfRule>
    <cfRule type="containsBlanks" dxfId="1151" priority="1137">
      <formula>LEN(TRIM(AH152))=0</formula>
    </cfRule>
    <cfRule type="containsBlanks" dxfId="1150" priority="1138">
      <formula>LEN(TRIM(AH152))=0</formula>
    </cfRule>
    <cfRule type="containsBlanks" dxfId="1149" priority="1139">
      <formula>LEN(TRIM(AH152))=0</formula>
    </cfRule>
    <cfRule type="containsBlanks" dxfId="1148" priority="1140">
      <formula>LEN(TRIM(AH152))=0</formula>
    </cfRule>
    <cfRule type="containsBlanks" dxfId="1147" priority="1141">
      <formula>LEN(TRIM(AH152))=0</formula>
    </cfRule>
    <cfRule type="containsBlanks" dxfId="1146" priority="1142">
      <formula>LEN(TRIM(AH152))=0</formula>
    </cfRule>
    <cfRule type="containsBlanks" dxfId="1145" priority="1143">
      <formula>LEN(TRIM(AH152))=0</formula>
    </cfRule>
    <cfRule type="containsBlanks" dxfId="1144" priority="1144">
      <formula>LEN(TRIM(AH152))=0</formula>
    </cfRule>
    <cfRule type="containsBlanks" dxfId="1143" priority="1145">
      <formula>LEN(TRIM(AH152))=0</formula>
    </cfRule>
    <cfRule type="containsBlanks" dxfId="1142" priority="1146">
      <formula>LEN(TRIM(AH152))=0</formula>
    </cfRule>
    <cfRule type="containsBlanks" dxfId="1141" priority="1147">
      <formula>LEN(TRIM(AH152))=0</formula>
    </cfRule>
    <cfRule type="containsBlanks" dxfId="1140" priority="1148">
      <formula>LEN(TRIM(AH152))=0</formula>
    </cfRule>
    <cfRule type="containsBlanks" dxfId="1139" priority="1149">
      <formula>LEN(TRIM(AH152))=0</formula>
    </cfRule>
    <cfRule type="containsBlanks" dxfId="1138" priority="1150">
      <formula>LEN(TRIM(AH152))=0</formula>
    </cfRule>
    <cfRule type="containsBlanks" dxfId="1137" priority="1151">
      <formula>LEN(TRIM(AH152))=0</formula>
    </cfRule>
    <cfRule type="containsBlanks" dxfId="1136" priority="1152">
      <formula>LEN(TRIM(AH152))=0</formula>
    </cfRule>
    <cfRule type="containsBlanks" dxfId="1135" priority="1153">
      <formula>LEN(TRIM(AH152))=0</formula>
    </cfRule>
    <cfRule type="containsBlanks" dxfId="1134" priority="1154">
      <formula>LEN(TRIM(AH152))=0</formula>
    </cfRule>
    <cfRule type="containsBlanks" dxfId="1133" priority="1155">
      <formula>LEN(TRIM(AH152))=0</formula>
    </cfRule>
    <cfRule type="containsBlanks" dxfId="1132" priority="1156">
      <formula>LEN(TRIM(AH152))=0</formula>
    </cfRule>
    <cfRule type="containsBlanks" dxfId="1131" priority="1157">
      <formula>LEN(TRIM(AH152))=0</formula>
    </cfRule>
    <cfRule type="containsBlanks" dxfId="1130" priority="1158">
      <formula>LEN(TRIM(AH152))=0</formula>
    </cfRule>
    <cfRule type="containsBlanks" dxfId="1129" priority="1159">
      <formula>LEN(TRIM(AH152))=0</formula>
    </cfRule>
    <cfRule type="containsBlanks" dxfId="1128" priority="1160">
      <formula>LEN(TRIM(AH152))=0</formula>
    </cfRule>
    <cfRule type="containsBlanks" dxfId="1127" priority="1161">
      <formula>LEN(TRIM(AH152))=0</formula>
    </cfRule>
    <cfRule type="containsBlanks" dxfId="1126" priority="1162">
      <formula>LEN(TRIM(AH152))=0</formula>
    </cfRule>
    <cfRule type="containsBlanks" dxfId="1125" priority="1163">
      <formula>LEN(TRIM(AH152))=0</formula>
    </cfRule>
    <cfRule type="containsBlanks" dxfId="1124" priority="1164">
      <formula>LEN(TRIM(AH152))=0</formula>
    </cfRule>
    <cfRule type="containsBlanks" dxfId="1123" priority="1165">
      <formula>LEN(TRIM(AH152))=0</formula>
    </cfRule>
    <cfRule type="containsBlanks" dxfId="1122" priority="1166">
      <formula>LEN(TRIM(AH152))=0</formula>
    </cfRule>
    <cfRule type="containsBlanks" dxfId="1121" priority="1167">
      <formula>LEN(TRIM(AH152))=0</formula>
    </cfRule>
    <cfRule type="containsBlanks" dxfId="1120" priority="1168">
      <formula>LEN(TRIM(AH152))=0</formula>
    </cfRule>
    <cfRule type="containsBlanks" dxfId="1119" priority="1169">
      <formula>LEN(TRIM(AH152))=0</formula>
    </cfRule>
    <cfRule type="containsBlanks" dxfId="1118" priority="1170">
      <formula>LEN(TRIM(AH152))=0</formula>
    </cfRule>
    <cfRule type="containsBlanks" dxfId="1117" priority="1171">
      <formula>LEN(TRIM(AH152))=0</formula>
    </cfRule>
    <cfRule type="containsBlanks" dxfId="1116" priority="1172">
      <formula>LEN(TRIM(AH152))=0</formula>
    </cfRule>
    <cfRule type="containsBlanks" dxfId="1115" priority="1173">
      <formula>LEN(TRIM(AH152))=0</formula>
    </cfRule>
    <cfRule type="containsBlanks" dxfId="1114" priority="1174">
      <formula>LEN(TRIM(AH152))=0</formula>
    </cfRule>
    <cfRule type="containsBlanks" dxfId="1113" priority="1175">
      <formula>LEN(TRIM(AH152))=0</formula>
    </cfRule>
    <cfRule type="containsBlanks" dxfId="1112" priority="1176">
      <formula>LEN(TRIM(AH152))=0</formula>
    </cfRule>
    <cfRule type="containsBlanks" dxfId="1111" priority="1177">
      <formula>LEN(TRIM(AH152))=0</formula>
    </cfRule>
    <cfRule type="containsBlanks" dxfId="1110" priority="1178">
      <formula>LEN(TRIM(AH152))=0</formula>
    </cfRule>
    <cfRule type="containsBlanks" dxfId="1109" priority="1179">
      <formula>LEN(TRIM(AH152))=0</formula>
    </cfRule>
    <cfRule type="containsBlanks" dxfId="1108" priority="1180">
      <formula>LEN(TRIM(AH152))=0</formula>
    </cfRule>
    <cfRule type="containsBlanks" dxfId="1107" priority="1181">
      <formula>LEN(TRIM(AH152))=0</formula>
    </cfRule>
    <cfRule type="containsBlanks" dxfId="1106" priority="1182">
      <formula>LEN(TRIM(AH152))=0</formula>
    </cfRule>
    <cfRule type="containsBlanks" dxfId="1105" priority="1183">
      <formula>LEN(TRIM(AH152))=0</formula>
    </cfRule>
    <cfRule type="containsBlanks" dxfId="1104" priority="1184">
      <formula>LEN(TRIM(AH152))=0</formula>
    </cfRule>
    <cfRule type="containsBlanks" dxfId="1103" priority="1185">
      <formula>LEN(TRIM(AH152))=0</formula>
    </cfRule>
    <cfRule type="containsBlanks" dxfId="1102" priority="1186">
      <formula>LEN(TRIM(AH152))=0</formula>
    </cfRule>
  </conditionalFormatting>
  <conditionalFormatting sqref="AH154">
    <cfRule type="containsBlanks" dxfId="1101" priority="1102">
      <formula>LEN(TRIM(AH154))=0</formula>
    </cfRule>
  </conditionalFormatting>
  <conditionalFormatting sqref="AH154">
    <cfRule type="containsBlanks" dxfId="1100" priority="1101">
      <formula>LEN(TRIM(AH154))=0</formula>
    </cfRule>
  </conditionalFormatting>
  <conditionalFormatting sqref="AH154">
    <cfRule type="containsBlanks" dxfId="1099" priority="1099">
      <formula>LEN(TRIM(AH154))=0</formula>
    </cfRule>
    <cfRule type="containsBlanks" dxfId="1098" priority="1100">
      <formula>LEN(TRIM(AH154))=0</formula>
    </cfRule>
  </conditionalFormatting>
  <conditionalFormatting sqref="AH154">
    <cfRule type="containsBlanks" dxfId="1097" priority="1098">
      <formula>LEN(TRIM(AH154))=0</formula>
    </cfRule>
  </conditionalFormatting>
  <conditionalFormatting sqref="AH154">
    <cfRule type="containsBlanks" dxfId="1096" priority="1097">
      <formula>LEN(TRIM(AH154))=0</formula>
    </cfRule>
  </conditionalFormatting>
  <conditionalFormatting sqref="AH154">
    <cfRule type="containsBlanks" dxfId="1095" priority="1096">
      <formula>LEN(TRIM(AH154))=0</formula>
    </cfRule>
  </conditionalFormatting>
  <conditionalFormatting sqref="AH154">
    <cfRule type="containsBlanks" dxfId="1094" priority="1094">
      <formula>LEN(TRIM(AH154))=0</formula>
    </cfRule>
    <cfRule type="containsBlanks" dxfId="1093" priority="1095">
      <formula>LEN(TRIM(AH154))=0</formula>
    </cfRule>
  </conditionalFormatting>
  <conditionalFormatting sqref="AH154">
    <cfRule type="containsBlanks" dxfId="1092" priority="1092">
      <formula>LEN(TRIM(AH154))=0</formula>
    </cfRule>
    <cfRule type="containsBlanks" dxfId="1091" priority="1093">
      <formula>LEN(TRIM(AH154))=0</formula>
    </cfRule>
  </conditionalFormatting>
  <conditionalFormatting sqref="AH154">
    <cfRule type="containsBlanks" dxfId="1090" priority="1090">
      <formula>LEN(TRIM(AH154))=0</formula>
    </cfRule>
    <cfRule type="containsBlanks" dxfId="1089" priority="1091">
      <formula>LEN(TRIM(AH154))=0</formula>
    </cfRule>
  </conditionalFormatting>
  <conditionalFormatting sqref="AH154">
    <cfRule type="containsBlanks" dxfId="1088" priority="1088">
      <formula>LEN(TRIM(AH154))=0</formula>
    </cfRule>
    <cfRule type="containsBlanks" dxfId="1087" priority="1089">
      <formula>LEN(TRIM(AH154))=0</formula>
    </cfRule>
  </conditionalFormatting>
  <conditionalFormatting sqref="AH154">
    <cfRule type="containsBlanks" dxfId="1086" priority="1022">
      <formula>LEN(TRIM(AH154))=0</formula>
    </cfRule>
    <cfRule type="containsBlanks" dxfId="1085" priority="1023">
      <formula>LEN(TRIM(AH154))=0</formula>
    </cfRule>
    <cfRule type="containsBlanks" dxfId="1084" priority="1024">
      <formula>LEN(TRIM(AH154))=0</formula>
    </cfRule>
    <cfRule type="containsBlanks" dxfId="1083" priority="1025">
      <formula>LEN(TRIM(AH154))=0</formula>
    </cfRule>
    <cfRule type="containsBlanks" dxfId="1082" priority="1026">
      <formula>LEN(TRIM(AH154))=0</formula>
    </cfRule>
    <cfRule type="containsBlanks" dxfId="1081" priority="1027">
      <formula>LEN(TRIM(AH154))=0</formula>
    </cfRule>
    <cfRule type="containsBlanks" dxfId="1080" priority="1028">
      <formula>LEN(TRIM(AH154))=0</formula>
    </cfRule>
    <cfRule type="containsBlanks" dxfId="1079" priority="1029">
      <formula>LEN(TRIM(AH154))=0</formula>
    </cfRule>
    <cfRule type="containsBlanks" dxfId="1078" priority="1030">
      <formula>LEN(TRIM(AH154))=0</formula>
    </cfRule>
    <cfRule type="containsBlanks" dxfId="1077" priority="1031">
      <formula>LEN(TRIM(AH154))=0</formula>
    </cfRule>
    <cfRule type="containsBlanks" dxfId="1076" priority="1032">
      <formula>LEN(TRIM(AH154))=0</formula>
    </cfRule>
    <cfRule type="containsBlanks" dxfId="1075" priority="1033">
      <formula>LEN(TRIM(AH154))=0</formula>
    </cfRule>
    <cfRule type="containsBlanks" dxfId="1074" priority="1034">
      <formula>LEN(TRIM(AH154))=0</formula>
    </cfRule>
    <cfRule type="containsBlanks" dxfId="1073" priority="1035">
      <formula>LEN(TRIM(AH154))=0</formula>
    </cfRule>
    <cfRule type="containsBlanks" dxfId="1072" priority="1036">
      <formula>LEN(TRIM(AH154))=0</formula>
    </cfRule>
    <cfRule type="containsBlanks" dxfId="1071" priority="1037">
      <formula>LEN(TRIM(AH154))=0</formula>
    </cfRule>
    <cfRule type="containsBlanks" dxfId="1070" priority="1038">
      <formula>LEN(TRIM(AH154))=0</formula>
    </cfRule>
    <cfRule type="containsBlanks" dxfId="1069" priority="1039">
      <formula>LEN(TRIM(AH154))=0</formula>
    </cfRule>
    <cfRule type="containsBlanks" dxfId="1068" priority="1040">
      <formula>LEN(TRIM(AH154))=0</formula>
    </cfRule>
    <cfRule type="containsBlanks" dxfId="1067" priority="1041">
      <formula>LEN(TRIM(AH154))=0</formula>
    </cfRule>
    <cfRule type="containsBlanks" dxfId="1066" priority="1042">
      <formula>LEN(TRIM(AH154))=0</formula>
    </cfRule>
    <cfRule type="containsBlanks" dxfId="1065" priority="1043">
      <formula>LEN(TRIM(AH154))=0</formula>
    </cfRule>
    <cfRule type="containsBlanks" dxfId="1064" priority="1044">
      <formula>LEN(TRIM(AH154))=0</formula>
    </cfRule>
    <cfRule type="containsBlanks" dxfId="1063" priority="1045">
      <formula>LEN(TRIM(AH154))=0</formula>
    </cfRule>
    <cfRule type="containsBlanks" dxfId="1062" priority="1046">
      <formula>LEN(TRIM(AH154))=0</formula>
    </cfRule>
    <cfRule type="containsBlanks" dxfId="1061" priority="1047">
      <formula>LEN(TRIM(AH154))=0</formula>
    </cfRule>
    <cfRule type="containsBlanks" dxfId="1060" priority="1048">
      <formula>LEN(TRIM(AH154))=0</formula>
    </cfRule>
    <cfRule type="containsBlanks" dxfId="1059" priority="1049">
      <formula>LEN(TRIM(AH154))=0</formula>
    </cfRule>
    <cfRule type="containsBlanks" dxfId="1058" priority="1050">
      <formula>LEN(TRIM(AH154))=0</formula>
    </cfRule>
    <cfRule type="containsBlanks" dxfId="1057" priority="1051">
      <formula>LEN(TRIM(AH154))=0</formula>
    </cfRule>
    <cfRule type="containsBlanks" dxfId="1056" priority="1052">
      <formula>LEN(TRIM(AH154))=0</formula>
    </cfRule>
    <cfRule type="containsBlanks" dxfId="1055" priority="1053">
      <formula>LEN(TRIM(AH154))=0</formula>
    </cfRule>
    <cfRule type="containsBlanks" dxfId="1054" priority="1054">
      <formula>LEN(TRIM(AH154))=0</formula>
    </cfRule>
    <cfRule type="containsBlanks" dxfId="1053" priority="1055">
      <formula>LEN(TRIM(AH154))=0</formula>
    </cfRule>
    <cfRule type="containsBlanks" dxfId="1052" priority="1056">
      <formula>LEN(TRIM(AH154))=0</formula>
    </cfRule>
    <cfRule type="containsBlanks" dxfId="1051" priority="1057">
      <formula>LEN(TRIM(AH154))=0</formula>
    </cfRule>
    <cfRule type="containsBlanks" dxfId="1050" priority="1058">
      <formula>LEN(TRIM(AH154))=0</formula>
    </cfRule>
    <cfRule type="containsBlanks" dxfId="1049" priority="1059">
      <formula>LEN(TRIM(AH154))=0</formula>
    </cfRule>
    <cfRule type="containsBlanks" dxfId="1048" priority="1060">
      <formula>LEN(TRIM(AH154))=0</formula>
    </cfRule>
    <cfRule type="containsBlanks" dxfId="1047" priority="1061">
      <formula>LEN(TRIM(AH154))=0</formula>
    </cfRule>
    <cfRule type="containsBlanks" dxfId="1046" priority="1062">
      <formula>LEN(TRIM(AH154))=0</formula>
    </cfRule>
    <cfRule type="containsBlanks" dxfId="1045" priority="1063">
      <formula>LEN(TRIM(AH154))=0</formula>
    </cfRule>
    <cfRule type="containsBlanks" dxfId="1044" priority="1064">
      <formula>LEN(TRIM(AH154))=0</formula>
    </cfRule>
    <cfRule type="containsBlanks" dxfId="1043" priority="1065">
      <formula>LEN(TRIM(AH154))=0</formula>
    </cfRule>
    <cfRule type="containsBlanks" dxfId="1042" priority="1066">
      <formula>LEN(TRIM(AH154))=0</formula>
    </cfRule>
    <cfRule type="containsBlanks" dxfId="1041" priority="1067">
      <formula>LEN(TRIM(AH154))=0</formula>
    </cfRule>
    <cfRule type="containsBlanks" dxfId="1040" priority="1068">
      <formula>LEN(TRIM(AH154))=0</formula>
    </cfRule>
    <cfRule type="containsBlanks" dxfId="1039" priority="1069">
      <formula>LEN(TRIM(AH154))=0</formula>
    </cfRule>
    <cfRule type="containsBlanks" dxfId="1038" priority="1070">
      <formula>LEN(TRIM(AH154))=0</formula>
    </cfRule>
    <cfRule type="containsBlanks" dxfId="1037" priority="1071">
      <formula>LEN(TRIM(AH154))=0</formula>
    </cfRule>
    <cfRule type="containsBlanks" dxfId="1036" priority="1072">
      <formula>LEN(TRIM(AH154))=0</formula>
    </cfRule>
    <cfRule type="containsBlanks" dxfId="1035" priority="1073">
      <formula>LEN(TRIM(AH154))=0</formula>
    </cfRule>
    <cfRule type="containsBlanks" dxfId="1034" priority="1074">
      <formula>LEN(TRIM(AH154))=0</formula>
    </cfRule>
    <cfRule type="containsBlanks" dxfId="1033" priority="1075">
      <formula>LEN(TRIM(AH154))=0</formula>
    </cfRule>
    <cfRule type="containsBlanks" dxfId="1032" priority="1076">
      <formula>LEN(TRIM(AH154))=0</formula>
    </cfRule>
    <cfRule type="containsBlanks" dxfId="1031" priority="1077">
      <formula>LEN(TRIM(AH154))=0</formula>
    </cfRule>
    <cfRule type="containsBlanks" dxfId="1030" priority="1078">
      <formula>LEN(TRIM(AH154))=0</formula>
    </cfRule>
    <cfRule type="containsBlanks" dxfId="1029" priority="1079">
      <formula>LEN(TRIM(AH154))=0</formula>
    </cfRule>
    <cfRule type="containsBlanks" dxfId="1028" priority="1080">
      <formula>LEN(TRIM(AH154))=0</formula>
    </cfRule>
    <cfRule type="containsBlanks" dxfId="1027" priority="1081">
      <formula>LEN(TRIM(AH154))=0</formula>
    </cfRule>
    <cfRule type="containsBlanks" dxfId="1026" priority="1082">
      <formula>LEN(TRIM(AH154))=0</formula>
    </cfRule>
    <cfRule type="containsBlanks" dxfId="1025" priority="1083">
      <formula>LEN(TRIM(AH154))=0</formula>
    </cfRule>
    <cfRule type="containsBlanks" dxfId="1024" priority="1084">
      <formula>LEN(TRIM(AH154))=0</formula>
    </cfRule>
    <cfRule type="containsBlanks" dxfId="1023" priority="1085">
      <formula>LEN(TRIM(AH154))=0</formula>
    </cfRule>
    <cfRule type="containsBlanks" dxfId="1022" priority="1086">
      <formula>LEN(TRIM(AH154))=0</formula>
    </cfRule>
    <cfRule type="containsBlanks" dxfId="1021" priority="1087">
      <formula>LEN(TRIM(AH154))=0</formula>
    </cfRule>
  </conditionalFormatting>
  <conditionalFormatting sqref="AH154">
    <cfRule type="containsBlanks" dxfId="1020" priority="967">
      <formula>LEN(TRIM(AH154))=0</formula>
    </cfRule>
    <cfRule type="containsBlanks" dxfId="1019" priority="968">
      <formula>LEN(TRIM(AH154))=0</formula>
    </cfRule>
    <cfRule type="containsBlanks" dxfId="1018" priority="969">
      <formula>LEN(TRIM(AH154))=0</formula>
    </cfRule>
    <cfRule type="containsBlanks" dxfId="1017" priority="970">
      <formula>LEN(TRIM(AH154))=0</formula>
    </cfRule>
    <cfRule type="containsBlanks" dxfId="1016" priority="971">
      <formula>LEN(TRIM(AH154))=0</formula>
    </cfRule>
    <cfRule type="containsBlanks" dxfId="1015" priority="972">
      <formula>LEN(TRIM(AH154))=0</formula>
    </cfRule>
    <cfRule type="containsBlanks" dxfId="1014" priority="973">
      <formula>LEN(TRIM(AH154))=0</formula>
    </cfRule>
    <cfRule type="containsBlanks" dxfId="1013" priority="974">
      <formula>LEN(TRIM(AH154))=0</formula>
    </cfRule>
    <cfRule type="containsBlanks" dxfId="1012" priority="975">
      <formula>LEN(TRIM(AH154))=0</formula>
    </cfRule>
    <cfRule type="containsBlanks" dxfId="1011" priority="976">
      <formula>LEN(TRIM(AH154))=0</formula>
    </cfRule>
    <cfRule type="containsBlanks" dxfId="1010" priority="977">
      <formula>LEN(TRIM(AH154))=0</formula>
    </cfRule>
    <cfRule type="containsBlanks" dxfId="1009" priority="978">
      <formula>LEN(TRIM(AH154))=0</formula>
    </cfRule>
    <cfRule type="containsBlanks" dxfId="1008" priority="979">
      <formula>LEN(TRIM(AH154))=0</formula>
    </cfRule>
    <cfRule type="containsBlanks" dxfId="1007" priority="980">
      <formula>LEN(TRIM(AH154))=0</formula>
    </cfRule>
    <cfRule type="containsBlanks" dxfId="1006" priority="981">
      <formula>LEN(TRIM(AH154))=0</formula>
    </cfRule>
    <cfRule type="containsBlanks" dxfId="1005" priority="982">
      <formula>LEN(TRIM(AH154))=0</formula>
    </cfRule>
    <cfRule type="containsBlanks" dxfId="1004" priority="983">
      <formula>LEN(TRIM(AH154))=0</formula>
    </cfRule>
    <cfRule type="containsBlanks" dxfId="1003" priority="984">
      <formula>LEN(TRIM(AH154))=0</formula>
    </cfRule>
    <cfRule type="containsBlanks" dxfId="1002" priority="985">
      <formula>LEN(TRIM(AH154))=0</formula>
    </cfRule>
    <cfRule type="containsBlanks" dxfId="1001" priority="986">
      <formula>LEN(TRIM(AH154))=0</formula>
    </cfRule>
    <cfRule type="containsBlanks" dxfId="1000" priority="987">
      <formula>LEN(TRIM(AH154))=0</formula>
    </cfRule>
    <cfRule type="containsBlanks" dxfId="999" priority="988">
      <formula>LEN(TRIM(AH154))=0</formula>
    </cfRule>
    <cfRule type="containsBlanks" dxfId="998" priority="989">
      <formula>LEN(TRIM(AH154))=0</formula>
    </cfRule>
    <cfRule type="containsBlanks" dxfId="997" priority="990">
      <formula>LEN(TRIM(AH154))=0</formula>
    </cfRule>
    <cfRule type="containsBlanks" dxfId="996" priority="991">
      <formula>LEN(TRIM(AH154))=0</formula>
    </cfRule>
    <cfRule type="containsBlanks" dxfId="995" priority="992">
      <formula>LEN(TRIM(AH154))=0</formula>
    </cfRule>
    <cfRule type="containsBlanks" dxfId="994" priority="993">
      <formula>LEN(TRIM(AH154))=0</formula>
    </cfRule>
    <cfRule type="containsBlanks" dxfId="993" priority="994">
      <formula>LEN(TRIM(AH154))=0</formula>
    </cfRule>
    <cfRule type="containsBlanks" dxfId="992" priority="995">
      <formula>LEN(TRIM(AH154))=0</formula>
    </cfRule>
    <cfRule type="containsBlanks" dxfId="991" priority="996">
      <formula>LEN(TRIM(AH154))=0</formula>
    </cfRule>
    <cfRule type="containsBlanks" dxfId="990" priority="997">
      <formula>LEN(TRIM(AH154))=0</formula>
    </cfRule>
    <cfRule type="containsBlanks" dxfId="989" priority="998">
      <formula>LEN(TRIM(AH154))=0</formula>
    </cfRule>
    <cfRule type="containsBlanks" dxfId="988" priority="999">
      <formula>LEN(TRIM(AH154))=0</formula>
    </cfRule>
    <cfRule type="containsBlanks" dxfId="987" priority="1000">
      <formula>LEN(TRIM(AH154))=0</formula>
    </cfRule>
    <cfRule type="containsBlanks" dxfId="986" priority="1001">
      <formula>LEN(TRIM(AH154))=0</formula>
    </cfRule>
    <cfRule type="containsBlanks" dxfId="985" priority="1002">
      <formula>LEN(TRIM(AH154))=0</formula>
    </cfRule>
    <cfRule type="containsBlanks" dxfId="984" priority="1003">
      <formula>LEN(TRIM(AH154))=0</formula>
    </cfRule>
    <cfRule type="containsBlanks" dxfId="983" priority="1004">
      <formula>LEN(TRIM(AH154))=0</formula>
    </cfRule>
    <cfRule type="containsBlanks" dxfId="982" priority="1005">
      <formula>LEN(TRIM(AH154))=0</formula>
    </cfRule>
    <cfRule type="containsBlanks" dxfId="981" priority="1006">
      <formula>LEN(TRIM(AH154))=0</formula>
    </cfRule>
    <cfRule type="containsBlanks" dxfId="980" priority="1007">
      <formula>LEN(TRIM(AH154))=0</formula>
    </cfRule>
    <cfRule type="containsBlanks" dxfId="979" priority="1008">
      <formula>LEN(TRIM(AH154))=0</formula>
    </cfRule>
    <cfRule type="containsBlanks" dxfId="978" priority="1009">
      <formula>LEN(TRIM(AH154))=0</formula>
    </cfRule>
    <cfRule type="containsBlanks" dxfId="977" priority="1010">
      <formula>LEN(TRIM(AH154))=0</formula>
    </cfRule>
    <cfRule type="containsBlanks" dxfId="976" priority="1011">
      <formula>LEN(TRIM(AH154))=0</formula>
    </cfRule>
    <cfRule type="containsBlanks" dxfId="975" priority="1012">
      <formula>LEN(TRIM(AH154))=0</formula>
    </cfRule>
    <cfRule type="containsBlanks" dxfId="974" priority="1013">
      <formula>LEN(TRIM(AH154))=0</formula>
    </cfRule>
    <cfRule type="containsBlanks" dxfId="973" priority="1014">
      <formula>LEN(TRIM(AH154))=0</formula>
    </cfRule>
    <cfRule type="containsBlanks" dxfId="972" priority="1015">
      <formula>LEN(TRIM(AH154))=0</formula>
    </cfRule>
    <cfRule type="containsBlanks" dxfId="971" priority="1016">
      <formula>LEN(TRIM(AH154))=0</formula>
    </cfRule>
    <cfRule type="containsBlanks" dxfId="970" priority="1017">
      <formula>LEN(TRIM(AH154))=0</formula>
    </cfRule>
    <cfRule type="containsBlanks" dxfId="969" priority="1018">
      <formula>LEN(TRIM(AH154))=0</formula>
    </cfRule>
    <cfRule type="containsBlanks" dxfId="968" priority="1019">
      <formula>LEN(TRIM(AH154))=0</formula>
    </cfRule>
    <cfRule type="containsBlanks" dxfId="967" priority="1020">
      <formula>LEN(TRIM(AH154))=0</formula>
    </cfRule>
    <cfRule type="containsBlanks" dxfId="966" priority="1021">
      <formula>LEN(TRIM(AH154))=0</formula>
    </cfRule>
  </conditionalFormatting>
  <conditionalFormatting sqref="AH154">
    <cfRule type="containsBlanks" dxfId="965" priority="883">
      <formula>LEN(TRIM(AH154))=0</formula>
    </cfRule>
    <cfRule type="containsBlanks" dxfId="964" priority="884">
      <formula>LEN(TRIM(AH154))=0</formula>
    </cfRule>
    <cfRule type="containsBlanks" dxfId="963" priority="885">
      <formula>LEN(TRIM(AH154))=0</formula>
    </cfRule>
    <cfRule type="containsBlanks" dxfId="962" priority="886">
      <formula>LEN(TRIM(AH154))=0</formula>
    </cfRule>
    <cfRule type="containsBlanks" dxfId="961" priority="887">
      <formula>LEN(TRIM(AH154))=0</formula>
    </cfRule>
    <cfRule type="containsBlanks" dxfId="960" priority="888">
      <formula>LEN(TRIM(AH154))=0</formula>
    </cfRule>
    <cfRule type="containsBlanks" dxfId="959" priority="889">
      <formula>LEN(TRIM(AH154))=0</formula>
    </cfRule>
    <cfRule type="containsBlanks" dxfId="958" priority="890">
      <formula>LEN(TRIM(AH154))=0</formula>
    </cfRule>
    <cfRule type="containsBlanks" dxfId="957" priority="891">
      <formula>LEN(TRIM(AH154))=0</formula>
    </cfRule>
    <cfRule type="containsBlanks" dxfId="956" priority="892">
      <formula>LEN(TRIM(AH154))=0</formula>
    </cfRule>
    <cfRule type="containsBlanks" dxfId="955" priority="893">
      <formula>LEN(TRIM(AH154))=0</formula>
    </cfRule>
    <cfRule type="containsBlanks" dxfId="954" priority="894">
      <formula>LEN(TRIM(AH154))=0</formula>
    </cfRule>
    <cfRule type="containsBlanks" dxfId="953" priority="895">
      <formula>LEN(TRIM(AH154))=0</formula>
    </cfRule>
    <cfRule type="containsBlanks" dxfId="952" priority="896">
      <formula>LEN(TRIM(AH154))=0</formula>
    </cfRule>
    <cfRule type="containsBlanks" dxfId="951" priority="897">
      <formula>LEN(TRIM(AH154))=0</formula>
    </cfRule>
    <cfRule type="containsBlanks" dxfId="950" priority="898">
      <formula>LEN(TRIM(AH154))=0</formula>
    </cfRule>
    <cfRule type="containsBlanks" dxfId="949" priority="899">
      <formula>LEN(TRIM(AH154))=0</formula>
    </cfRule>
    <cfRule type="containsBlanks" dxfId="948" priority="900">
      <formula>LEN(TRIM(AH154))=0</formula>
    </cfRule>
    <cfRule type="containsBlanks" dxfId="947" priority="901">
      <formula>LEN(TRIM(AH154))=0</formula>
    </cfRule>
    <cfRule type="containsBlanks" dxfId="946" priority="902">
      <formula>LEN(TRIM(AH154))=0</formula>
    </cfRule>
    <cfRule type="containsBlanks" dxfId="945" priority="903">
      <formula>LEN(TRIM(AH154))=0</formula>
    </cfRule>
    <cfRule type="containsBlanks" dxfId="944" priority="904">
      <formula>LEN(TRIM(AH154))=0</formula>
    </cfRule>
    <cfRule type="containsBlanks" dxfId="943" priority="905">
      <formula>LEN(TRIM(AH154))=0</formula>
    </cfRule>
    <cfRule type="containsBlanks" dxfId="942" priority="906">
      <formula>LEN(TRIM(AH154))=0</formula>
    </cfRule>
    <cfRule type="containsBlanks" dxfId="941" priority="907">
      <formula>LEN(TRIM(AH154))=0</formula>
    </cfRule>
    <cfRule type="containsBlanks" dxfId="940" priority="908">
      <formula>LEN(TRIM(AH154))=0</formula>
    </cfRule>
    <cfRule type="containsBlanks" dxfId="939" priority="909">
      <formula>LEN(TRIM(AH154))=0</formula>
    </cfRule>
    <cfRule type="containsBlanks" dxfId="938" priority="910">
      <formula>LEN(TRIM(AH154))=0</formula>
    </cfRule>
    <cfRule type="containsBlanks" dxfId="937" priority="911">
      <formula>LEN(TRIM(AH154))=0</formula>
    </cfRule>
    <cfRule type="containsBlanks" dxfId="936" priority="912">
      <formula>LEN(TRIM(AH154))=0</formula>
    </cfRule>
    <cfRule type="containsBlanks" dxfId="935" priority="913">
      <formula>LEN(TRIM(AH154))=0</formula>
    </cfRule>
    <cfRule type="containsBlanks" dxfId="934" priority="914">
      <formula>LEN(TRIM(AH154))=0</formula>
    </cfRule>
    <cfRule type="containsBlanks" dxfId="933" priority="915">
      <formula>LEN(TRIM(AH154))=0</formula>
    </cfRule>
    <cfRule type="containsBlanks" dxfId="932" priority="916">
      <formula>LEN(TRIM(AH154))=0</formula>
    </cfRule>
    <cfRule type="containsBlanks" dxfId="931" priority="917">
      <formula>LEN(TRIM(AH154))=0</formula>
    </cfRule>
    <cfRule type="containsBlanks" dxfId="930" priority="918">
      <formula>LEN(TRIM(AH154))=0</formula>
    </cfRule>
    <cfRule type="containsBlanks" dxfId="929" priority="919">
      <formula>LEN(TRIM(AH154))=0</formula>
    </cfRule>
    <cfRule type="containsBlanks" dxfId="928" priority="920">
      <formula>LEN(TRIM(AH154))=0</formula>
    </cfRule>
    <cfRule type="containsBlanks" dxfId="927" priority="921">
      <formula>LEN(TRIM(AH154))=0</formula>
    </cfRule>
    <cfRule type="containsBlanks" dxfId="926" priority="922">
      <formula>LEN(TRIM(AH154))=0</formula>
    </cfRule>
    <cfRule type="containsBlanks" dxfId="925" priority="923">
      <formula>LEN(TRIM(AH154))=0</formula>
    </cfRule>
    <cfRule type="containsBlanks" dxfId="924" priority="924">
      <formula>LEN(TRIM(AH154))=0</formula>
    </cfRule>
    <cfRule type="containsBlanks" dxfId="923" priority="925">
      <formula>LEN(TRIM(AH154))=0</formula>
    </cfRule>
    <cfRule type="containsBlanks" dxfId="922" priority="926">
      <formula>LEN(TRIM(AH154))=0</formula>
    </cfRule>
    <cfRule type="containsBlanks" dxfId="921" priority="927">
      <formula>LEN(TRIM(AH154))=0</formula>
    </cfRule>
    <cfRule type="containsBlanks" dxfId="920" priority="928">
      <formula>LEN(TRIM(AH154))=0</formula>
    </cfRule>
    <cfRule type="containsBlanks" dxfId="919" priority="929">
      <formula>LEN(TRIM(AH154))=0</formula>
    </cfRule>
    <cfRule type="containsBlanks" dxfId="918" priority="930">
      <formula>LEN(TRIM(AH154))=0</formula>
    </cfRule>
    <cfRule type="containsBlanks" dxfId="917" priority="931">
      <formula>LEN(TRIM(AH154))=0</formula>
    </cfRule>
    <cfRule type="containsBlanks" dxfId="916" priority="932">
      <formula>LEN(TRIM(AH154))=0</formula>
    </cfRule>
    <cfRule type="containsBlanks" dxfId="915" priority="933">
      <formula>LEN(TRIM(AH154))=0</formula>
    </cfRule>
    <cfRule type="containsBlanks" dxfId="914" priority="934">
      <formula>LEN(TRIM(AH154))=0</formula>
    </cfRule>
    <cfRule type="containsBlanks" dxfId="913" priority="935">
      <formula>LEN(TRIM(AH154))=0</formula>
    </cfRule>
    <cfRule type="containsBlanks" dxfId="912" priority="936">
      <formula>LEN(TRIM(AH154))=0</formula>
    </cfRule>
    <cfRule type="containsBlanks" dxfId="911" priority="937">
      <formula>LEN(TRIM(AH154))=0</formula>
    </cfRule>
    <cfRule type="containsBlanks" dxfId="910" priority="938">
      <formula>LEN(TRIM(AH154))=0</formula>
    </cfRule>
    <cfRule type="containsBlanks" dxfId="909" priority="939">
      <formula>LEN(TRIM(AH154))=0</formula>
    </cfRule>
    <cfRule type="containsBlanks" dxfId="908" priority="940">
      <formula>LEN(TRIM(AH154))=0</formula>
    </cfRule>
    <cfRule type="containsBlanks" dxfId="907" priority="941">
      <formula>LEN(TRIM(AH154))=0</formula>
    </cfRule>
    <cfRule type="containsBlanks" dxfId="906" priority="942">
      <formula>LEN(TRIM(AH154))=0</formula>
    </cfRule>
    <cfRule type="containsBlanks" dxfId="905" priority="943">
      <formula>LEN(TRIM(AH154))=0</formula>
    </cfRule>
    <cfRule type="containsBlanks" dxfId="904" priority="944">
      <formula>LEN(TRIM(AH154))=0</formula>
    </cfRule>
    <cfRule type="containsBlanks" dxfId="903" priority="945">
      <formula>LEN(TRIM(AH154))=0</formula>
    </cfRule>
    <cfRule type="containsBlanks" dxfId="902" priority="946">
      <formula>LEN(TRIM(AH154))=0</formula>
    </cfRule>
    <cfRule type="containsBlanks" dxfId="901" priority="947">
      <formula>LEN(TRIM(AH154))=0</formula>
    </cfRule>
    <cfRule type="containsBlanks" dxfId="900" priority="948">
      <formula>LEN(TRIM(AH154))=0</formula>
    </cfRule>
    <cfRule type="containsBlanks" dxfId="899" priority="949">
      <formula>LEN(TRIM(AH154))=0</formula>
    </cfRule>
    <cfRule type="containsBlanks" dxfId="898" priority="950">
      <formula>LEN(TRIM(AH154))=0</formula>
    </cfRule>
    <cfRule type="containsBlanks" dxfId="897" priority="951">
      <formula>LEN(TRIM(AH154))=0</formula>
    </cfRule>
    <cfRule type="containsBlanks" dxfId="896" priority="952">
      <formula>LEN(TRIM(AH154))=0</formula>
    </cfRule>
    <cfRule type="containsBlanks" dxfId="895" priority="953">
      <formula>LEN(TRIM(AH154))=0</formula>
    </cfRule>
    <cfRule type="containsBlanks" dxfId="894" priority="954">
      <formula>LEN(TRIM(AH154))=0</formula>
    </cfRule>
    <cfRule type="containsBlanks" dxfId="893" priority="955">
      <formula>LEN(TRIM(AH154))=0</formula>
    </cfRule>
    <cfRule type="containsBlanks" dxfId="892" priority="956">
      <formula>LEN(TRIM(AH154))=0</formula>
    </cfRule>
    <cfRule type="containsBlanks" dxfId="891" priority="957">
      <formula>LEN(TRIM(AH154))=0</formula>
    </cfRule>
    <cfRule type="containsBlanks" dxfId="890" priority="958">
      <formula>LEN(TRIM(AH154))=0</formula>
    </cfRule>
    <cfRule type="containsBlanks" dxfId="889" priority="959">
      <formula>LEN(TRIM(AH154))=0</formula>
    </cfRule>
    <cfRule type="containsBlanks" dxfId="888" priority="960">
      <formula>LEN(TRIM(AH154))=0</formula>
    </cfRule>
    <cfRule type="containsBlanks" dxfId="887" priority="961">
      <formula>LEN(TRIM(AH154))=0</formula>
    </cfRule>
    <cfRule type="containsBlanks" dxfId="886" priority="962">
      <formula>LEN(TRIM(AH154))=0</formula>
    </cfRule>
    <cfRule type="containsBlanks" dxfId="885" priority="963">
      <formula>LEN(TRIM(AH154))=0</formula>
    </cfRule>
    <cfRule type="containsBlanks" dxfId="884" priority="964">
      <formula>LEN(TRIM(AH154))=0</formula>
    </cfRule>
    <cfRule type="containsBlanks" dxfId="883" priority="965">
      <formula>LEN(TRIM(AH154))=0</formula>
    </cfRule>
    <cfRule type="containsBlanks" dxfId="882" priority="966">
      <formula>LEN(TRIM(AH154))=0</formula>
    </cfRule>
  </conditionalFormatting>
  <conditionalFormatting sqref="AH155">
    <cfRule type="containsBlanks" dxfId="881" priority="882">
      <formula>LEN(TRIM(AH155))=0</formula>
    </cfRule>
  </conditionalFormatting>
  <conditionalFormatting sqref="AH155">
    <cfRule type="containsBlanks" dxfId="880" priority="881">
      <formula>LEN(TRIM(AH155))=0</formula>
    </cfRule>
  </conditionalFormatting>
  <conditionalFormatting sqref="AH155">
    <cfRule type="containsBlanks" dxfId="879" priority="879">
      <formula>LEN(TRIM(AH155))=0</formula>
    </cfRule>
    <cfRule type="containsBlanks" dxfId="878" priority="880">
      <formula>LEN(TRIM(AH155))=0</formula>
    </cfRule>
  </conditionalFormatting>
  <conditionalFormatting sqref="AH155">
    <cfRule type="containsBlanks" dxfId="877" priority="878">
      <formula>LEN(TRIM(AH155))=0</formula>
    </cfRule>
  </conditionalFormatting>
  <conditionalFormatting sqref="AH155">
    <cfRule type="containsBlanks" dxfId="876" priority="877">
      <formula>LEN(TRIM(AH155))=0</formula>
    </cfRule>
  </conditionalFormatting>
  <conditionalFormatting sqref="AH155">
    <cfRule type="containsBlanks" dxfId="875" priority="876">
      <formula>LEN(TRIM(AH155))=0</formula>
    </cfRule>
  </conditionalFormatting>
  <conditionalFormatting sqref="AH155">
    <cfRule type="containsBlanks" dxfId="874" priority="874">
      <formula>LEN(TRIM(AH155))=0</formula>
    </cfRule>
    <cfRule type="containsBlanks" dxfId="873" priority="875">
      <formula>LEN(TRIM(AH155))=0</formula>
    </cfRule>
  </conditionalFormatting>
  <conditionalFormatting sqref="AH155">
    <cfRule type="containsBlanks" dxfId="872" priority="872">
      <formula>LEN(TRIM(AH155))=0</formula>
    </cfRule>
    <cfRule type="containsBlanks" dxfId="871" priority="873">
      <formula>LEN(TRIM(AH155))=0</formula>
    </cfRule>
  </conditionalFormatting>
  <conditionalFormatting sqref="AH155">
    <cfRule type="containsBlanks" dxfId="870" priority="870">
      <formula>LEN(TRIM(AH155))=0</formula>
    </cfRule>
    <cfRule type="containsBlanks" dxfId="869" priority="871">
      <formula>LEN(TRIM(AH155))=0</formula>
    </cfRule>
  </conditionalFormatting>
  <conditionalFormatting sqref="AH155">
    <cfRule type="containsBlanks" dxfId="868" priority="868">
      <formula>LEN(TRIM(AH155))=0</formula>
    </cfRule>
    <cfRule type="containsBlanks" dxfId="867" priority="869">
      <formula>LEN(TRIM(AH155))=0</formula>
    </cfRule>
  </conditionalFormatting>
  <conditionalFormatting sqref="AH155">
    <cfRule type="containsBlanks" dxfId="866" priority="802">
      <formula>LEN(TRIM(AH155))=0</formula>
    </cfRule>
    <cfRule type="containsBlanks" dxfId="865" priority="803">
      <formula>LEN(TRIM(AH155))=0</formula>
    </cfRule>
    <cfRule type="containsBlanks" dxfId="864" priority="804">
      <formula>LEN(TRIM(AH155))=0</formula>
    </cfRule>
    <cfRule type="containsBlanks" dxfId="863" priority="805">
      <formula>LEN(TRIM(AH155))=0</formula>
    </cfRule>
    <cfRule type="containsBlanks" dxfId="862" priority="806">
      <formula>LEN(TRIM(AH155))=0</formula>
    </cfRule>
    <cfRule type="containsBlanks" dxfId="861" priority="807">
      <formula>LEN(TRIM(AH155))=0</formula>
    </cfRule>
    <cfRule type="containsBlanks" dxfId="860" priority="808">
      <formula>LEN(TRIM(AH155))=0</formula>
    </cfRule>
    <cfRule type="containsBlanks" dxfId="859" priority="809">
      <formula>LEN(TRIM(AH155))=0</formula>
    </cfRule>
    <cfRule type="containsBlanks" dxfId="858" priority="810">
      <formula>LEN(TRIM(AH155))=0</formula>
    </cfRule>
    <cfRule type="containsBlanks" dxfId="857" priority="811">
      <formula>LEN(TRIM(AH155))=0</formula>
    </cfRule>
    <cfRule type="containsBlanks" dxfId="856" priority="812">
      <formula>LEN(TRIM(AH155))=0</formula>
    </cfRule>
    <cfRule type="containsBlanks" dxfId="855" priority="813">
      <formula>LEN(TRIM(AH155))=0</formula>
    </cfRule>
    <cfRule type="containsBlanks" dxfId="854" priority="814">
      <formula>LEN(TRIM(AH155))=0</formula>
    </cfRule>
    <cfRule type="containsBlanks" dxfId="853" priority="815">
      <formula>LEN(TRIM(AH155))=0</formula>
    </cfRule>
    <cfRule type="containsBlanks" dxfId="852" priority="816">
      <formula>LEN(TRIM(AH155))=0</formula>
    </cfRule>
    <cfRule type="containsBlanks" dxfId="851" priority="817">
      <formula>LEN(TRIM(AH155))=0</formula>
    </cfRule>
    <cfRule type="containsBlanks" dxfId="850" priority="818">
      <formula>LEN(TRIM(AH155))=0</formula>
    </cfRule>
    <cfRule type="containsBlanks" dxfId="849" priority="819">
      <formula>LEN(TRIM(AH155))=0</formula>
    </cfRule>
    <cfRule type="containsBlanks" dxfId="848" priority="820">
      <formula>LEN(TRIM(AH155))=0</formula>
    </cfRule>
    <cfRule type="containsBlanks" dxfId="847" priority="821">
      <formula>LEN(TRIM(AH155))=0</formula>
    </cfRule>
    <cfRule type="containsBlanks" dxfId="846" priority="822">
      <formula>LEN(TRIM(AH155))=0</formula>
    </cfRule>
    <cfRule type="containsBlanks" dxfId="845" priority="823">
      <formula>LEN(TRIM(AH155))=0</formula>
    </cfRule>
    <cfRule type="containsBlanks" dxfId="844" priority="824">
      <formula>LEN(TRIM(AH155))=0</formula>
    </cfRule>
    <cfRule type="containsBlanks" dxfId="843" priority="825">
      <formula>LEN(TRIM(AH155))=0</formula>
    </cfRule>
    <cfRule type="containsBlanks" dxfId="842" priority="826">
      <formula>LEN(TRIM(AH155))=0</formula>
    </cfRule>
    <cfRule type="containsBlanks" dxfId="841" priority="827">
      <formula>LEN(TRIM(AH155))=0</formula>
    </cfRule>
    <cfRule type="containsBlanks" dxfId="840" priority="828">
      <formula>LEN(TRIM(AH155))=0</formula>
    </cfRule>
    <cfRule type="containsBlanks" dxfId="839" priority="829">
      <formula>LEN(TRIM(AH155))=0</formula>
    </cfRule>
    <cfRule type="containsBlanks" dxfId="838" priority="830">
      <formula>LEN(TRIM(AH155))=0</formula>
    </cfRule>
    <cfRule type="containsBlanks" dxfId="837" priority="831">
      <formula>LEN(TRIM(AH155))=0</formula>
    </cfRule>
    <cfRule type="containsBlanks" dxfId="836" priority="832">
      <formula>LEN(TRIM(AH155))=0</formula>
    </cfRule>
    <cfRule type="containsBlanks" dxfId="835" priority="833">
      <formula>LEN(TRIM(AH155))=0</formula>
    </cfRule>
    <cfRule type="containsBlanks" dxfId="834" priority="834">
      <formula>LEN(TRIM(AH155))=0</formula>
    </cfRule>
    <cfRule type="containsBlanks" dxfId="833" priority="835">
      <formula>LEN(TRIM(AH155))=0</formula>
    </cfRule>
    <cfRule type="containsBlanks" dxfId="832" priority="836">
      <formula>LEN(TRIM(AH155))=0</formula>
    </cfRule>
    <cfRule type="containsBlanks" dxfId="831" priority="837">
      <formula>LEN(TRIM(AH155))=0</formula>
    </cfRule>
    <cfRule type="containsBlanks" dxfId="830" priority="838">
      <formula>LEN(TRIM(AH155))=0</formula>
    </cfRule>
    <cfRule type="containsBlanks" dxfId="829" priority="839">
      <formula>LEN(TRIM(AH155))=0</formula>
    </cfRule>
    <cfRule type="containsBlanks" dxfId="828" priority="840">
      <formula>LEN(TRIM(AH155))=0</formula>
    </cfRule>
    <cfRule type="containsBlanks" dxfId="827" priority="841">
      <formula>LEN(TRIM(AH155))=0</formula>
    </cfRule>
    <cfRule type="containsBlanks" dxfId="826" priority="842">
      <formula>LEN(TRIM(AH155))=0</formula>
    </cfRule>
    <cfRule type="containsBlanks" dxfId="825" priority="843">
      <formula>LEN(TRIM(AH155))=0</formula>
    </cfRule>
    <cfRule type="containsBlanks" dxfId="824" priority="844">
      <formula>LEN(TRIM(AH155))=0</formula>
    </cfRule>
    <cfRule type="containsBlanks" dxfId="823" priority="845">
      <formula>LEN(TRIM(AH155))=0</formula>
    </cfRule>
    <cfRule type="containsBlanks" dxfId="822" priority="846">
      <formula>LEN(TRIM(AH155))=0</formula>
    </cfRule>
    <cfRule type="containsBlanks" dxfId="821" priority="847">
      <formula>LEN(TRIM(AH155))=0</formula>
    </cfRule>
    <cfRule type="containsBlanks" dxfId="820" priority="848">
      <formula>LEN(TRIM(AH155))=0</formula>
    </cfRule>
    <cfRule type="containsBlanks" dxfId="819" priority="849">
      <formula>LEN(TRIM(AH155))=0</formula>
    </cfRule>
    <cfRule type="containsBlanks" dxfId="818" priority="850">
      <formula>LEN(TRIM(AH155))=0</formula>
    </cfRule>
    <cfRule type="containsBlanks" dxfId="817" priority="851">
      <formula>LEN(TRIM(AH155))=0</formula>
    </cfRule>
    <cfRule type="containsBlanks" dxfId="816" priority="852">
      <formula>LEN(TRIM(AH155))=0</formula>
    </cfRule>
    <cfRule type="containsBlanks" dxfId="815" priority="853">
      <formula>LEN(TRIM(AH155))=0</formula>
    </cfRule>
    <cfRule type="containsBlanks" dxfId="814" priority="854">
      <formula>LEN(TRIM(AH155))=0</formula>
    </cfRule>
    <cfRule type="containsBlanks" dxfId="813" priority="855">
      <formula>LEN(TRIM(AH155))=0</formula>
    </cfRule>
    <cfRule type="containsBlanks" dxfId="812" priority="856">
      <formula>LEN(TRIM(AH155))=0</formula>
    </cfRule>
    <cfRule type="containsBlanks" dxfId="811" priority="857">
      <formula>LEN(TRIM(AH155))=0</formula>
    </cfRule>
    <cfRule type="containsBlanks" dxfId="810" priority="858">
      <formula>LEN(TRIM(AH155))=0</formula>
    </cfRule>
    <cfRule type="containsBlanks" dxfId="809" priority="859">
      <formula>LEN(TRIM(AH155))=0</formula>
    </cfRule>
    <cfRule type="containsBlanks" dxfId="808" priority="860">
      <formula>LEN(TRIM(AH155))=0</formula>
    </cfRule>
    <cfRule type="containsBlanks" dxfId="807" priority="861">
      <formula>LEN(TRIM(AH155))=0</formula>
    </cfRule>
    <cfRule type="containsBlanks" dxfId="806" priority="862">
      <formula>LEN(TRIM(AH155))=0</formula>
    </cfRule>
    <cfRule type="containsBlanks" dxfId="805" priority="863">
      <formula>LEN(TRIM(AH155))=0</formula>
    </cfRule>
    <cfRule type="containsBlanks" dxfId="804" priority="864">
      <formula>LEN(TRIM(AH155))=0</formula>
    </cfRule>
    <cfRule type="containsBlanks" dxfId="803" priority="865">
      <formula>LEN(TRIM(AH155))=0</formula>
    </cfRule>
    <cfRule type="containsBlanks" dxfId="802" priority="866">
      <formula>LEN(TRIM(AH155))=0</formula>
    </cfRule>
    <cfRule type="containsBlanks" dxfId="801" priority="867">
      <formula>LEN(TRIM(AH155))=0</formula>
    </cfRule>
  </conditionalFormatting>
  <conditionalFormatting sqref="AH155">
    <cfRule type="containsBlanks" dxfId="800" priority="747">
      <formula>LEN(TRIM(AH155))=0</formula>
    </cfRule>
    <cfRule type="containsBlanks" dxfId="799" priority="748">
      <formula>LEN(TRIM(AH155))=0</formula>
    </cfRule>
    <cfRule type="containsBlanks" dxfId="798" priority="749">
      <formula>LEN(TRIM(AH155))=0</formula>
    </cfRule>
    <cfRule type="containsBlanks" dxfId="797" priority="750">
      <formula>LEN(TRIM(AH155))=0</formula>
    </cfRule>
    <cfRule type="containsBlanks" dxfId="796" priority="751">
      <formula>LEN(TRIM(AH155))=0</formula>
    </cfRule>
    <cfRule type="containsBlanks" dxfId="795" priority="752">
      <formula>LEN(TRIM(AH155))=0</formula>
    </cfRule>
    <cfRule type="containsBlanks" dxfId="794" priority="753">
      <formula>LEN(TRIM(AH155))=0</formula>
    </cfRule>
    <cfRule type="containsBlanks" dxfId="793" priority="754">
      <formula>LEN(TRIM(AH155))=0</formula>
    </cfRule>
    <cfRule type="containsBlanks" dxfId="792" priority="755">
      <formula>LEN(TRIM(AH155))=0</formula>
    </cfRule>
    <cfRule type="containsBlanks" dxfId="791" priority="756">
      <formula>LEN(TRIM(AH155))=0</formula>
    </cfRule>
    <cfRule type="containsBlanks" dxfId="790" priority="757">
      <formula>LEN(TRIM(AH155))=0</formula>
    </cfRule>
    <cfRule type="containsBlanks" dxfId="789" priority="758">
      <formula>LEN(TRIM(AH155))=0</formula>
    </cfRule>
    <cfRule type="containsBlanks" dxfId="788" priority="759">
      <formula>LEN(TRIM(AH155))=0</formula>
    </cfRule>
    <cfRule type="containsBlanks" dxfId="787" priority="760">
      <formula>LEN(TRIM(AH155))=0</formula>
    </cfRule>
    <cfRule type="containsBlanks" dxfId="786" priority="761">
      <formula>LEN(TRIM(AH155))=0</formula>
    </cfRule>
    <cfRule type="containsBlanks" dxfId="785" priority="762">
      <formula>LEN(TRIM(AH155))=0</formula>
    </cfRule>
    <cfRule type="containsBlanks" dxfId="784" priority="763">
      <formula>LEN(TRIM(AH155))=0</formula>
    </cfRule>
    <cfRule type="containsBlanks" dxfId="783" priority="764">
      <formula>LEN(TRIM(AH155))=0</formula>
    </cfRule>
    <cfRule type="containsBlanks" dxfId="782" priority="765">
      <formula>LEN(TRIM(AH155))=0</formula>
    </cfRule>
    <cfRule type="containsBlanks" dxfId="781" priority="766">
      <formula>LEN(TRIM(AH155))=0</formula>
    </cfRule>
    <cfRule type="containsBlanks" dxfId="780" priority="767">
      <formula>LEN(TRIM(AH155))=0</formula>
    </cfRule>
    <cfRule type="containsBlanks" dxfId="779" priority="768">
      <formula>LEN(TRIM(AH155))=0</formula>
    </cfRule>
    <cfRule type="containsBlanks" dxfId="778" priority="769">
      <formula>LEN(TRIM(AH155))=0</formula>
    </cfRule>
    <cfRule type="containsBlanks" dxfId="777" priority="770">
      <formula>LEN(TRIM(AH155))=0</formula>
    </cfRule>
    <cfRule type="containsBlanks" dxfId="776" priority="771">
      <formula>LEN(TRIM(AH155))=0</formula>
    </cfRule>
    <cfRule type="containsBlanks" dxfId="775" priority="772">
      <formula>LEN(TRIM(AH155))=0</formula>
    </cfRule>
    <cfRule type="containsBlanks" dxfId="774" priority="773">
      <formula>LEN(TRIM(AH155))=0</formula>
    </cfRule>
    <cfRule type="containsBlanks" dxfId="773" priority="774">
      <formula>LEN(TRIM(AH155))=0</formula>
    </cfRule>
    <cfRule type="containsBlanks" dxfId="772" priority="775">
      <formula>LEN(TRIM(AH155))=0</formula>
    </cfRule>
    <cfRule type="containsBlanks" dxfId="771" priority="776">
      <formula>LEN(TRIM(AH155))=0</formula>
    </cfRule>
    <cfRule type="containsBlanks" dxfId="770" priority="777">
      <formula>LEN(TRIM(AH155))=0</formula>
    </cfRule>
    <cfRule type="containsBlanks" dxfId="769" priority="778">
      <formula>LEN(TRIM(AH155))=0</formula>
    </cfRule>
    <cfRule type="containsBlanks" dxfId="768" priority="779">
      <formula>LEN(TRIM(AH155))=0</formula>
    </cfRule>
    <cfRule type="containsBlanks" dxfId="767" priority="780">
      <formula>LEN(TRIM(AH155))=0</formula>
    </cfRule>
    <cfRule type="containsBlanks" dxfId="766" priority="781">
      <formula>LEN(TRIM(AH155))=0</formula>
    </cfRule>
    <cfRule type="containsBlanks" dxfId="765" priority="782">
      <formula>LEN(TRIM(AH155))=0</formula>
    </cfRule>
    <cfRule type="containsBlanks" dxfId="764" priority="783">
      <formula>LEN(TRIM(AH155))=0</formula>
    </cfRule>
    <cfRule type="containsBlanks" dxfId="763" priority="784">
      <formula>LEN(TRIM(AH155))=0</formula>
    </cfRule>
    <cfRule type="containsBlanks" dxfId="762" priority="785">
      <formula>LEN(TRIM(AH155))=0</formula>
    </cfRule>
    <cfRule type="containsBlanks" dxfId="761" priority="786">
      <formula>LEN(TRIM(AH155))=0</formula>
    </cfRule>
    <cfRule type="containsBlanks" dxfId="760" priority="787">
      <formula>LEN(TRIM(AH155))=0</formula>
    </cfRule>
    <cfRule type="containsBlanks" dxfId="759" priority="788">
      <formula>LEN(TRIM(AH155))=0</formula>
    </cfRule>
    <cfRule type="containsBlanks" dxfId="758" priority="789">
      <formula>LEN(TRIM(AH155))=0</formula>
    </cfRule>
    <cfRule type="containsBlanks" dxfId="757" priority="790">
      <formula>LEN(TRIM(AH155))=0</formula>
    </cfRule>
    <cfRule type="containsBlanks" dxfId="756" priority="791">
      <formula>LEN(TRIM(AH155))=0</formula>
    </cfRule>
    <cfRule type="containsBlanks" dxfId="755" priority="792">
      <formula>LEN(TRIM(AH155))=0</formula>
    </cfRule>
    <cfRule type="containsBlanks" dxfId="754" priority="793">
      <formula>LEN(TRIM(AH155))=0</formula>
    </cfRule>
    <cfRule type="containsBlanks" dxfId="753" priority="794">
      <formula>LEN(TRIM(AH155))=0</formula>
    </cfRule>
    <cfRule type="containsBlanks" dxfId="752" priority="795">
      <formula>LEN(TRIM(AH155))=0</formula>
    </cfRule>
    <cfRule type="containsBlanks" dxfId="751" priority="796">
      <formula>LEN(TRIM(AH155))=0</formula>
    </cfRule>
    <cfRule type="containsBlanks" dxfId="750" priority="797">
      <formula>LEN(TRIM(AH155))=0</formula>
    </cfRule>
    <cfRule type="containsBlanks" dxfId="749" priority="798">
      <formula>LEN(TRIM(AH155))=0</formula>
    </cfRule>
    <cfRule type="containsBlanks" dxfId="748" priority="799">
      <formula>LEN(TRIM(AH155))=0</formula>
    </cfRule>
    <cfRule type="containsBlanks" dxfId="747" priority="800">
      <formula>LEN(TRIM(AH155))=0</formula>
    </cfRule>
    <cfRule type="containsBlanks" dxfId="746" priority="801">
      <formula>LEN(TRIM(AH155))=0</formula>
    </cfRule>
  </conditionalFormatting>
  <conditionalFormatting sqref="AH155">
    <cfRule type="containsBlanks" dxfId="745" priority="663">
      <formula>LEN(TRIM(AH155))=0</formula>
    </cfRule>
    <cfRule type="containsBlanks" dxfId="744" priority="664">
      <formula>LEN(TRIM(AH155))=0</formula>
    </cfRule>
    <cfRule type="containsBlanks" dxfId="743" priority="665">
      <formula>LEN(TRIM(AH155))=0</formula>
    </cfRule>
    <cfRule type="containsBlanks" dxfId="742" priority="666">
      <formula>LEN(TRIM(AH155))=0</formula>
    </cfRule>
    <cfRule type="containsBlanks" dxfId="741" priority="667">
      <formula>LEN(TRIM(AH155))=0</formula>
    </cfRule>
    <cfRule type="containsBlanks" dxfId="740" priority="668">
      <formula>LEN(TRIM(AH155))=0</formula>
    </cfRule>
    <cfRule type="containsBlanks" dxfId="739" priority="669">
      <formula>LEN(TRIM(AH155))=0</formula>
    </cfRule>
    <cfRule type="containsBlanks" dxfId="738" priority="670">
      <formula>LEN(TRIM(AH155))=0</formula>
    </cfRule>
    <cfRule type="containsBlanks" dxfId="737" priority="671">
      <formula>LEN(TRIM(AH155))=0</formula>
    </cfRule>
    <cfRule type="containsBlanks" dxfId="736" priority="672">
      <formula>LEN(TRIM(AH155))=0</formula>
    </cfRule>
    <cfRule type="containsBlanks" dxfId="735" priority="673">
      <formula>LEN(TRIM(AH155))=0</formula>
    </cfRule>
    <cfRule type="containsBlanks" dxfId="734" priority="674">
      <formula>LEN(TRIM(AH155))=0</formula>
    </cfRule>
    <cfRule type="containsBlanks" dxfId="733" priority="675">
      <formula>LEN(TRIM(AH155))=0</formula>
    </cfRule>
    <cfRule type="containsBlanks" dxfId="732" priority="676">
      <formula>LEN(TRIM(AH155))=0</formula>
    </cfRule>
    <cfRule type="containsBlanks" dxfId="731" priority="677">
      <formula>LEN(TRIM(AH155))=0</formula>
    </cfRule>
    <cfRule type="containsBlanks" dxfId="730" priority="678">
      <formula>LEN(TRIM(AH155))=0</formula>
    </cfRule>
    <cfRule type="containsBlanks" dxfId="729" priority="679">
      <formula>LEN(TRIM(AH155))=0</formula>
    </cfRule>
    <cfRule type="containsBlanks" dxfId="728" priority="680">
      <formula>LEN(TRIM(AH155))=0</formula>
    </cfRule>
    <cfRule type="containsBlanks" dxfId="727" priority="681">
      <formula>LEN(TRIM(AH155))=0</formula>
    </cfRule>
    <cfRule type="containsBlanks" dxfId="726" priority="682">
      <formula>LEN(TRIM(AH155))=0</formula>
    </cfRule>
    <cfRule type="containsBlanks" dxfId="725" priority="683">
      <formula>LEN(TRIM(AH155))=0</formula>
    </cfRule>
    <cfRule type="containsBlanks" dxfId="724" priority="684">
      <formula>LEN(TRIM(AH155))=0</formula>
    </cfRule>
    <cfRule type="containsBlanks" dxfId="723" priority="685">
      <formula>LEN(TRIM(AH155))=0</formula>
    </cfRule>
    <cfRule type="containsBlanks" dxfId="722" priority="686">
      <formula>LEN(TRIM(AH155))=0</formula>
    </cfRule>
    <cfRule type="containsBlanks" dxfId="721" priority="687">
      <formula>LEN(TRIM(AH155))=0</formula>
    </cfRule>
    <cfRule type="containsBlanks" dxfId="720" priority="688">
      <formula>LEN(TRIM(AH155))=0</formula>
    </cfRule>
    <cfRule type="containsBlanks" dxfId="719" priority="689">
      <formula>LEN(TRIM(AH155))=0</formula>
    </cfRule>
    <cfRule type="containsBlanks" dxfId="718" priority="690">
      <formula>LEN(TRIM(AH155))=0</formula>
    </cfRule>
    <cfRule type="containsBlanks" dxfId="717" priority="691">
      <formula>LEN(TRIM(AH155))=0</formula>
    </cfRule>
    <cfRule type="containsBlanks" dxfId="716" priority="692">
      <formula>LEN(TRIM(AH155))=0</formula>
    </cfRule>
    <cfRule type="containsBlanks" dxfId="715" priority="693">
      <formula>LEN(TRIM(AH155))=0</formula>
    </cfRule>
    <cfRule type="containsBlanks" dxfId="714" priority="694">
      <formula>LEN(TRIM(AH155))=0</formula>
    </cfRule>
    <cfRule type="containsBlanks" dxfId="713" priority="695">
      <formula>LEN(TRIM(AH155))=0</formula>
    </cfRule>
    <cfRule type="containsBlanks" dxfId="712" priority="696">
      <formula>LEN(TRIM(AH155))=0</formula>
    </cfRule>
    <cfRule type="containsBlanks" dxfId="711" priority="697">
      <formula>LEN(TRIM(AH155))=0</formula>
    </cfRule>
    <cfRule type="containsBlanks" dxfId="710" priority="698">
      <formula>LEN(TRIM(AH155))=0</formula>
    </cfRule>
    <cfRule type="containsBlanks" dxfId="709" priority="699">
      <formula>LEN(TRIM(AH155))=0</formula>
    </cfRule>
    <cfRule type="containsBlanks" dxfId="708" priority="700">
      <formula>LEN(TRIM(AH155))=0</formula>
    </cfRule>
    <cfRule type="containsBlanks" dxfId="707" priority="701">
      <formula>LEN(TRIM(AH155))=0</formula>
    </cfRule>
    <cfRule type="containsBlanks" dxfId="706" priority="702">
      <formula>LEN(TRIM(AH155))=0</formula>
    </cfRule>
    <cfRule type="containsBlanks" dxfId="705" priority="703">
      <formula>LEN(TRIM(AH155))=0</formula>
    </cfRule>
    <cfRule type="containsBlanks" dxfId="704" priority="704">
      <formula>LEN(TRIM(AH155))=0</formula>
    </cfRule>
    <cfRule type="containsBlanks" dxfId="703" priority="705">
      <formula>LEN(TRIM(AH155))=0</formula>
    </cfRule>
    <cfRule type="containsBlanks" dxfId="702" priority="706">
      <formula>LEN(TRIM(AH155))=0</formula>
    </cfRule>
    <cfRule type="containsBlanks" dxfId="701" priority="707">
      <formula>LEN(TRIM(AH155))=0</formula>
    </cfRule>
    <cfRule type="containsBlanks" dxfId="700" priority="708">
      <formula>LEN(TRIM(AH155))=0</formula>
    </cfRule>
    <cfRule type="containsBlanks" dxfId="699" priority="709">
      <formula>LEN(TRIM(AH155))=0</formula>
    </cfRule>
    <cfRule type="containsBlanks" dxfId="698" priority="710">
      <formula>LEN(TRIM(AH155))=0</formula>
    </cfRule>
    <cfRule type="containsBlanks" dxfId="697" priority="711">
      <formula>LEN(TRIM(AH155))=0</formula>
    </cfRule>
    <cfRule type="containsBlanks" dxfId="696" priority="712">
      <formula>LEN(TRIM(AH155))=0</formula>
    </cfRule>
    <cfRule type="containsBlanks" dxfId="695" priority="713">
      <formula>LEN(TRIM(AH155))=0</formula>
    </cfRule>
    <cfRule type="containsBlanks" dxfId="694" priority="714">
      <formula>LEN(TRIM(AH155))=0</formula>
    </cfRule>
    <cfRule type="containsBlanks" dxfId="693" priority="715">
      <formula>LEN(TRIM(AH155))=0</formula>
    </cfRule>
    <cfRule type="containsBlanks" dxfId="692" priority="716">
      <formula>LEN(TRIM(AH155))=0</formula>
    </cfRule>
    <cfRule type="containsBlanks" dxfId="691" priority="717">
      <formula>LEN(TRIM(AH155))=0</formula>
    </cfRule>
    <cfRule type="containsBlanks" dxfId="690" priority="718">
      <formula>LEN(TRIM(AH155))=0</formula>
    </cfRule>
    <cfRule type="containsBlanks" dxfId="689" priority="719">
      <formula>LEN(TRIM(AH155))=0</formula>
    </cfRule>
    <cfRule type="containsBlanks" dxfId="688" priority="720">
      <formula>LEN(TRIM(AH155))=0</formula>
    </cfRule>
    <cfRule type="containsBlanks" dxfId="687" priority="721">
      <formula>LEN(TRIM(AH155))=0</formula>
    </cfRule>
    <cfRule type="containsBlanks" dxfId="686" priority="722">
      <formula>LEN(TRIM(AH155))=0</formula>
    </cfRule>
    <cfRule type="containsBlanks" dxfId="685" priority="723">
      <formula>LEN(TRIM(AH155))=0</formula>
    </cfRule>
    <cfRule type="containsBlanks" dxfId="684" priority="724">
      <formula>LEN(TRIM(AH155))=0</formula>
    </cfRule>
    <cfRule type="containsBlanks" dxfId="683" priority="725">
      <formula>LEN(TRIM(AH155))=0</formula>
    </cfRule>
    <cfRule type="containsBlanks" dxfId="682" priority="726">
      <formula>LEN(TRIM(AH155))=0</formula>
    </cfRule>
    <cfRule type="containsBlanks" dxfId="681" priority="727">
      <formula>LEN(TRIM(AH155))=0</formula>
    </cfRule>
    <cfRule type="containsBlanks" dxfId="680" priority="728">
      <formula>LEN(TRIM(AH155))=0</formula>
    </cfRule>
    <cfRule type="containsBlanks" dxfId="679" priority="729">
      <formula>LEN(TRIM(AH155))=0</formula>
    </cfRule>
    <cfRule type="containsBlanks" dxfId="678" priority="730">
      <formula>LEN(TRIM(AH155))=0</formula>
    </cfRule>
    <cfRule type="containsBlanks" dxfId="677" priority="731">
      <formula>LEN(TRIM(AH155))=0</formula>
    </cfRule>
    <cfRule type="containsBlanks" dxfId="676" priority="732">
      <formula>LEN(TRIM(AH155))=0</formula>
    </cfRule>
    <cfRule type="containsBlanks" dxfId="675" priority="733">
      <formula>LEN(TRIM(AH155))=0</formula>
    </cfRule>
    <cfRule type="containsBlanks" dxfId="674" priority="734">
      <formula>LEN(TRIM(AH155))=0</formula>
    </cfRule>
    <cfRule type="containsBlanks" dxfId="673" priority="735">
      <formula>LEN(TRIM(AH155))=0</formula>
    </cfRule>
    <cfRule type="containsBlanks" dxfId="672" priority="736">
      <formula>LEN(TRIM(AH155))=0</formula>
    </cfRule>
    <cfRule type="containsBlanks" dxfId="671" priority="737">
      <formula>LEN(TRIM(AH155))=0</formula>
    </cfRule>
    <cfRule type="containsBlanks" dxfId="670" priority="738">
      <formula>LEN(TRIM(AH155))=0</formula>
    </cfRule>
    <cfRule type="containsBlanks" dxfId="669" priority="739">
      <formula>LEN(TRIM(AH155))=0</formula>
    </cfRule>
    <cfRule type="containsBlanks" dxfId="668" priority="740">
      <formula>LEN(TRIM(AH155))=0</formula>
    </cfRule>
    <cfRule type="containsBlanks" dxfId="667" priority="741">
      <formula>LEN(TRIM(AH155))=0</formula>
    </cfRule>
    <cfRule type="containsBlanks" dxfId="666" priority="742">
      <formula>LEN(TRIM(AH155))=0</formula>
    </cfRule>
    <cfRule type="containsBlanks" dxfId="665" priority="743">
      <formula>LEN(TRIM(AH155))=0</formula>
    </cfRule>
    <cfRule type="containsBlanks" dxfId="664" priority="744">
      <formula>LEN(TRIM(AH155))=0</formula>
    </cfRule>
    <cfRule type="containsBlanks" dxfId="663" priority="745">
      <formula>LEN(TRIM(AH155))=0</formula>
    </cfRule>
    <cfRule type="containsBlanks" dxfId="662" priority="746">
      <formula>LEN(TRIM(AH155))=0</formula>
    </cfRule>
  </conditionalFormatting>
  <conditionalFormatting sqref="AH159:AH160">
    <cfRule type="containsBlanks" dxfId="661" priority="662">
      <formula>LEN(TRIM(AH159))=0</formula>
    </cfRule>
  </conditionalFormatting>
  <conditionalFormatting sqref="AH159:AH160">
    <cfRule type="containsBlanks" dxfId="660" priority="661">
      <formula>LEN(TRIM(AH159))=0</formula>
    </cfRule>
  </conditionalFormatting>
  <conditionalFormatting sqref="AH159:AH160">
    <cfRule type="containsBlanks" dxfId="659" priority="659">
      <formula>LEN(TRIM(AH159))=0</formula>
    </cfRule>
    <cfRule type="containsBlanks" dxfId="658" priority="660">
      <formula>LEN(TRIM(AH159))=0</formula>
    </cfRule>
  </conditionalFormatting>
  <conditionalFormatting sqref="AH159:AH160">
    <cfRule type="containsBlanks" dxfId="657" priority="658">
      <formula>LEN(TRIM(AH159))=0</formula>
    </cfRule>
  </conditionalFormatting>
  <conditionalFormatting sqref="AH159:AH160">
    <cfRule type="containsBlanks" dxfId="656" priority="657">
      <formula>LEN(TRIM(AH159))=0</formula>
    </cfRule>
  </conditionalFormatting>
  <conditionalFormatting sqref="AH159:AH160">
    <cfRule type="containsBlanks" dxfId="655" priority="656">
      <formula>LEN(TRIM(AH159))=0</formula>
    </cfRule>
  </conditionalFormatting>
  <conditionalFormatting sqref="AH159:AH160">
    <cfRule type="containsBlanks" dxfId="654" priority="654">
      <formula>LEN(TRIM(AH159))=0</formula>
    </cfRule>
    <cfRule type="containsBlanks" dxfId="653" priority="655">
      <formula>LEN(TRIM(AH159))=0</formula>
    </cfRule>
  </conditionalFormatting>
  <conditionalFormatting sqref="AH159:AH160">
    <cfRule type="containsBlanks" dxfId="652" priority="652">
      <formula>LEN(TRIM(AH159))=0</formula>
    </cfRule>
    <cfRule type="containsBlanks" dxfId="651" priority="653">
      <formula>LEN(TRIM(AH159))=0</formula>
    </cfRule>
  </conditionalFormatting>
  <conditionalFormatting sqref="AH159:AH160">
    <cfRule type="containsBlanks" dxfId="650" priority="650">
      <formula>LEN(TRIM(AH159))=0</formula>
    </cfRule>
    <cfRule type="containsBlanks" dxfId="649" priority="651">
      <formula>LEN(TRIM(AH159))=0</formula>
    </cfRule>
  </conditionalFormatting>
  <conditionalFormatting sqref="AH159:AH160">
    <cfRule type="containsBlanks" dxfId="648" priority="648">
      <formula>LEN(TRIM(AH159))=0</formula>
    </cfRule>
    <cfRule type="containsBlanks" dxfId="647" priority="649">
      <formula>LEN(TRIM(AH159))=0</formula>
    </cfRule>
  </conditionalFormatting>
  <conditionalFormatting sqref="AH159:AH160">
    <cfRule type="containsBlanks" dxfId="646" priority="582">
      <formula>LEN(TRIM(AH159))=0</formula>
    </cfRule>
    <cfRule type="containsBlanks" dxfId="645" priority="583">
      <formula>LEN(TRIM(AH159))=0</formula>
    </cfRule>
    <cfRule type="containsBlanks" dxfId="644" priority="584">
      <formula>LEN(TRIM(AH159))=0</formula>
    </cfRule>
    <cfRule type="containsBlanks" dxfId="643" priority="585">
      <formula>LEN(TRIM(AH159))=0</formula>
    </cfRule>
    <cfRule type="containsBlanks" dxfId="642" priority="586">
      <formula>LEN(TRIM(AH159))=0</formula>
    </cfRule>
    <cfRule type="containsBlanks" dxfId="641" priority="587">
      <formula>LEN(TRIM(AH159))=0</formula>
    </cfRule>
    <cfRule type="containsBlanks" dxfId="640" priority="588">
      <formula>LEN(TRIM(AH159))=0</formula>
    </cfRule>
    <cfRule type="containsBlanks" dxfId="639" priority="589">
      <formula>LEN(TRIM(AH159))=0</formula>
    </cfRule>
    <cfRule type="containsBlanks" dxfId="638" priority="590">
      <formula>LEN(TRIM(AH159))=0</formula>
    </cfRule>
    <cfRule type="containsBlanks" dxfId="637" priority="591">
      <formula>LEN(TRIM(AH159))=0</formula>
    </cfRule>
    <cfRule type="containsBlanks" dxfId="636" priority="592">
      <formula>LEN(TRIM(AH159))=0</formula>
    </cfRule>
    <cfRule type="containsBlanks" dxfId="635" priority="593">
      <formula>LEN(TRIM(AH159))=0</formula>
    </cfRule>
    <cfRule type="containsBlanks" dxfId="634" priority="594">
      <formula>LEN(TRIM(AH159))=0</formula>
    </cfRule>
    <cfRule type="containsBlanks" dxfId="633" priority="595">
      <formula>LEN(TRIM(AH159))=0</formula>
    </cfRule>
    <cfRule type="containsBlanks" dxfId="632" priority="596">
      <formula>LEN(TRIM(AH159))=0</formula>
    </cfRule>
    <cfRule type="containsBlanks" dxfId="631" priority="597">
      <formula>LEN(TRIM(AH159))=0</formula>
    </cfRule>
    <cfRule type="containsBlanks" dxfId="630" priority="598">
      <formula>LEN(TRIM(AH159))=0</formula>
    </cfRule>
    <cfRule type="containsBlanks" dxfId="629" priority="599">
      <formula>LEN(TRIM(AH159))=0</formula>
    </cfRule>
    <cfRule type="containsBlanks" dxfId="628" priority="600">
      <formula>LEN(TRIM(AH159))=0</formula>
    </cfRule>
    <cfRule type="containsBlanks" dxfId="627" priority="601">
      <formula>LEN(TRIM(AH159))=0</formula>
    </cfRule>
    <cfRule type="containsBlanks" dxfId="626" priority="602">
      <formula>LEN(TRIM(AH159))=0</formula>
    </cfRule>
    <cfRule type="containsBlanks" dxfId="625" priority="603">
      <formula>LEN(TRIM(AH159))=0</formula>
    </cfRule>
    <cfRule type="containsBlanks" dxfId="624" priority="604">
      <formula>LEN(TRIM(AH159))=0</formula>
    </cfRule>
    <cfRule type="containsBlanks" dxfId="623" priority="605">
      <formula>LEN(TRIM(AH159))=0</formula>
    </cfRule>
    <cfRule type="containsBlanks" dxfId="622" priority="606">
      <formula>LEN(TRIM(AH159))=0</formula>
    </cfRule>
    <cfRule type="containsBlanks" dxfId="621" priority="607">
      <formula>LEN(TRIM(AH159))=0</formula>
    </cfRule>
    <cfRule type="containsBlanks" dxfId="620" priority="608">
      <formula>LEN(TRIM(AH159))=0</formula>
    </cfRule>
    <cfRule type="containsBlanks" dxfId="619" priority="609">
      <formula>LEN(TRIM(AH159))=0</formula>
    </cfRule>
    <cfRule type="containsBlanks" dxfId="618" priority="610">
      <formula>LEN(TRIM(AH159))=0</formula>
    </cfRule>
    <cfRule type="containsBlanks" dxfId="617" priority="611">
      <formula>LEN(TRIM(AH159))=0</formula>
    </cfRule>
    <cfRule type="containsBlanks" dxfId="616" priority="612">
      <formula>LEN(TRIM(AH159))=0</formula>
    </cfRule>
    <cfRule type="containsBlanks" dxfId="615" priority="613">
      <formula>LEN(TRIM(AH159))=0</formula>
    </cfRule>
    <cfRule type="containsBlanks" dxfId="614" priority="614">
      <formula>LEN(TRIM(AH159))=0</formula>
    </cfRule>
    <cfRule type="containsBlanks" dxfId="613" priority="615">
      <formula>LEN(TRIM(AH159))=0</formula>
    </cfRule>
    <cfRule type="containsBlanks" dxfId="612" priority="616">
      <formula>LEN(TRIM(AH159))=0</formula>
    </cfRule>
    <cfRule type="containsBlanks" dxfId="611" priority="617">
      <formula>LEN(TRIM(AH159))=0</formula>
    </cfRule>
    <cfRule type="containsBlanks" dxfId="610" priority="618">
      <formula>LEN(TRIM(AH159))=0</formula>
    </cfRule>
    <cfRule type="containsBlanks" dxfId="609" priority="619">
      <formula>LEN(TRIM(AH159))=0</formula>
    </cfRule>
    <cfRule type="containsBlanks" dxfId="608" priority="620">
      <formula>LEN(TRIM(AH159))=0</formula>
    </cfRule>
    <cfRule type="containsBlanks" dxfId="607" priority="621">
      <formula>LEN(TRIM(AH159))=0</formula>
    </cfRule>
    <cfRule type="containsBlanks" dxfId="606" priority="622">
      <formula>LEN(TRIM(AH159))=0</formula>
    </cfRule>
    <cfRule type="containsBlanks" dxfId="605" priority="623">
      <formula>LEN(TRIM(AH159))=0</formula>
    </cfRule>
    <cfRule type="containsBlanks" dxfId="604" priority="624">
      <formula>LEN(TRIM(AH159))=0</formula>
    </cfRule>
    <cfRule type="containsBlanks" dxfId="603" priority="625">
      <formula>LEN(TRIM(AH159))=0</formula>
    </cfRule>
    <cfRule type="containsBlanks" dxfId="602" priority="626">
      <formula>LEN(TRIM(AH159))=0</formula>
    </cfRule>
    <cfRule type="containsBlanks" dxfId="601" priority="627">
      <formula>LEN(TRIM(AH159))=0</formula>
    </cfRule>
    <cfRule type="containsBlanks" dxfId="600" priority="628">
      <formula>LEN(TRIM(AH159))=0</formula>
    </cfRule>
    <cfRule type="containsBlanks" dxfId="599" priority="629">
      <formula>LEN(TRIM(AH159))=0</formula>
    </cfRule>
    <cfRule type="containsBlanks" dxfId="598" priority="630">
      <formula>LEN(TRIM(AH159))=0</formula>
    </cfRule>
    <cfRule type="containsBlanks" dxfId="597" priority="631">
      <formula>LEN(TRIM(AH159))=0</formula>
    </cfRule>
    <cfRule type="containsBlanks" dxfId="596" priority="632">
      <formula>LEN(TRIM(AH159))=0</formula>
    </cfRule>
    <cfRule type="containsBlanks" dxfId="595" priority="633">
      <formula>LEN(TRIM(AH159))=0</formula>
    </cfRule>
    <cfRule type="containsBlanks" dxfId="594" priority="634">
      <formula>LEN(TRIM(AH159))=0</formula>
    </cfRule>
    <cfRule type="containsBlanks" dxfId="593" priority="635">
      <formula>LEN(TRIM(AH159))=0</formula>
    </cfRule>
    <cfRule type="containsBlanks" dxfId="592" priority="636">
      <formula>LEN(TRIM(AH159))=0</formula>
    </cfRule>
    <cfRule type="containsBlanks" dxfId="591" priority="637">
      <formula>LEN(TRIM(AH159))=0</formula>
    </cfRule>
    <cfRule type="containsBlanks" dxfId="590" priority="638">
      <formula>LEN(TRIM(AH159))=0</formula>
    </cfRule>
    <cfRule type="containsBlanks" dxfId="589" priority="639">
      <formula>LEN(TRIM(AH159))=0</formula>
    </cfRule>
    <cfRule type="containsBlanks" dxfId="588" priority="640">
      <formula>LEN(TRIM(AH159))=0</formula>
    </cfRule>
    <cfRule type="containsBlanks" dxfId="587" priority="641">
      <formula>LEN(TRIM(AH159))=0</formula>
    </cfRule>
    <cfRule type="containsBlanks" dxfId="586" priority="642">
      <formula>LEN(TRIM(AH159))=0</formula>
    </cfRule>
    <cfRule type="containsBlanks" dxfId="585" priority="643">
      <formula>LEN(TRIM(AH159))=0</formula>
    </cfRule>
    <cfRule type="containsBlanks" dxfId="584" priority="644">
      <formula>LEN(TRIM(AH159))=0</formula>
    </cfRule>
    <cfRule type="containsBlanks" dxfId="583" priority="645">
      <formula>LEN(TRIM(AH159))=0</formula>
    </cfRule>
    <cfRule type="containsBlanks" dxfId="582" priority="646">
      <formula>LEN(TRIM(AH159))=0</formula>
    </cfRule>
    <cfRule type="containsBlanks" dxfId="581" priority="647">
      <formula>LEN(TRIM(AH159))=0</formula>
    </cfRule>
  </conditionalFormatting>
  <conditionalFormatting sqref="AH159:AH160">
    <cfRule type="containsBlanks" dxfId="580" priority="527">
      <formula>LEN(TRIM(AH159))=0</formula>
    </cfRule>
    <cfRule type="containsBlanks" dxfId="579" priority="528">
      <formula>LEN(TRIM(AH159))=0</formula>
    </cfRule>
    <cfRule type="containsBlanks" dxfId="578" priority="529">
      <formula>LEN(TRIM(AH159))=0</formula>
    </cfRule>
    <cfRule type="containsBlanks" dxfId="577" priority="530">
      <formula>LEN(TRIM(AH159))=0</formula>
    </cfRule>
    <cfRule type="containsBlanks" dxfId="576" priority="531">
      <formula>LEN(TRIM(AH159))=0</formula>
    </cfRule>
    <cfRule type="containsBlanks" dxfId="575" priority="532">
      <formula>LEN(TRIM(AH159))=0</formula>
    </cfRule>
    <cfRule type="containsBlanks" dxfId="574" priority="533">
      <formula>LEN(TRIM(AH159))=0</formula>
    </cfRule>
    <cfRule type="containsBlanks" dxfId="573" priority="534">
      <formula>LEN(TRIM(AH159))=0</formula>
    </cfRule>
    <cfRule type="containsBlanks" dxfId="572" priority="535">
      <formula>LEN(TRIM(AH159))=0</formula>
    </cfRule>
    <cfRule type="containsBlanks" dxfId="571" priority="536">
      <formula>LEN(TRIM(AH159))=0</formula>
    </cfRule>
    <cfRule type="containsBlanks" dxfId="570" priority="537">
      <formula>LEN(TRIM(AH159))=0</formula>
    </cfRule>
    <cfRule type="containsBlanks" dxfId="569" priority="538">
      <formula>LEN(TRIM(AH159))=0</formula>
    </cfRule>
    <cfRule type="containsBlanks" dxfId="568" priority="539">
      <formula>LEN(TRIM(AH159))=0</formula>
    </cfRule>
    <cfRule type="containsBlanks" dxfId="567" priority="540">
      <formula>LEN(TRIM(AH159))=0</formula>
    </cfRule>
    <cfRule type="containsBlanks" dxfId="566" priority="541">
      <formula>LEN(TRIM(AH159))=0</formula>
    </cfRule>
    <cfRule type="containsBlanks" dxfId="565" priority="542">
      <formula>LEN(TRIM(AH159))=0</formula>
    </cfRule>
    <cfRule type="containsBlanks" dxfId="564" priority="543">
      <formula>LEN(TRIM(AH159))=0</formula>
    </cfRule>
    <cfRule type="containsBlanks" dxfId="563" priority="544">
      <formula>LEN(TRIM(AH159))=0</formula>
    </cfRule>
    <cfRule type="containsBlanks" dxfId="562" priority="545">
      <formula>LEN(TRIM(AH159))=0</formula>
    </cfRule>
    <cfRule type="containsBlanks" dxfId="561" priority="546">
      <formula>LEN(TRIM(AH159))=0</formula>
    </cfRule>
    <cfRule type="containsBlanks" dxfId="560" priority="547">
      <formula>LEN(TRIM(AH159))=0</formula>
    </cfRule>
    <cfRule type="containsBlanks" dxfId="559" priority="548">
      <formula>LEN(TRIM(AH159))=0</formula>
    </cfRule>
    <cfRule type="containsBlanks" dxfId="558" priority="549">
      <formula>LEN(TRIM(AH159))=0</formula>
    </cfRule>
    <cfRule type="containsBlanks" dxfId="557" priority="550">
      <formula>LEN(TRIM(AH159))=0</formula>
    </cfRule>
    <cfRule type="containsBlanks" dxfId="556" priority="551">
      <formula>LEN(TRIM(AH159))=0</formula>
    </cfRule>
    <cfRule type="containsBlanks" dxfId="555" priority="552">
      <formula>LEN(TRIM(AH159))=0</formula>
    </cfRule>
    <cfRule type="containsBlanks" dxfId="554" priority="553">
      <formula>LEN(TRIM(AH159))=0</formula>
    </cfRule>
    <cfRule type="containsBlanks" dxfId="553" priority="554">
      <formula>LEN(TRIM(AH159))=0</formula>
    </cfRule>
    <cfRule type="containsBlanks" dxfId="552" priority="555">
      <formula>LEN(TRIM(AH159))=0</formula>
    </cfRule>
    <cfRule type="containsBlanks" dxfId="551" priority="556">
      <formula>LEN(TRIM(AH159))=0</formula>
    </cfRule>
    <cfRule type="containsBlanks" dxfId="550" priority="557">
      <formula>LEN(TRIM(AH159))=0</formula>
    </cfRule>
    <cfRule type="containsBlanks" dxfId="549" priority="558">
      <formula>LEN(TRIM(AH159))=0</formula>
    </cfRule>
    <cfRule type="containsBlanks" dxfId="548" priority="559">
      <formula>LEN(TRIM(AH159))=0</formula>
    </cfRule>
    <cfRule type="containsBlanks" dxfId="547" priority="560">
      <formula>LEN(TRIM(AH159))=0</formula>
    </cfRule>
    <cfRule type="containsBlanks" dxfId="546" priority="561">
      <formula>LEN(TRIM(AH159))=0</formula>
    </cfRule>
    <cfRule type="containsBlanks" dxfId="545" priority="562">
      <formula>LEN(TRIM(AH159))=0</formula>
    </cfRule>
    <cfRule type="containsBlanks" dxfId="544" priority="563">
      <formula>LEN(TRIM(AH159))=0</formula>
    </cfRule>
    <cfRule type="containsBlanks" dxfId="543" priority="564">
      <formula>LEN(TRIM(AH159))=0</formula>
    </cfRule>
    <cfRule type="containsBlanks" dxfId="542" priority="565">
      <formula>LEN(TRIM(AH159))=0</formula>
    </cfRule>
    <cfRule type="containsBlanks" dxfId="541" priority="566">
      <formula>LEN(TRIM(AH159))=0</formula>
    </cfRule>
    <cfRule type="containsBlanks" dxfId="540" priority="567">
      <formula>LEN(TRIM(AH159))=0</formula>
    </cfRule>
    <cfRule type="containsBlanks" dxfId="539" priority="568">
      <formula>LEN(TRIM(AH159))=0</formula>
    </cfRule>
    <cfRule type="containsBlanks" dxfId="538" priority="569">
      <formula>LEN(TRIM(AH159))=0</formula>
    </cfRule>
    <cfRule type="containsBlanks" dxfId="537" priority="570">
      <formula>LEN(TRIM(AH159))=0</formula>
    </cfRule>
    <cfRule type="containsBlanks" dxfId="536" priority="571">
      <formula>LEN(TRIM(AH159))=0</formula>
    </cfRule>
    <cfRule type="containsBlanks" dxfId="535" priority="572">
      <formula>LEN(TRIM(AH159))=0</formula>
    </cfRule>
    <cfRule type="containsBlanks" dxfId="534" priority="573">
      <formula>LEN(TRIM(AH159))=0</formula>
    </cfRule>
    <cfRule type="containsBlanks" dxfId="533" priority="574">
      <formula>LEN(TRIM(AH159))=0</formula>
    </cfRule>
    <cfRule type="containsBlanks" dxfId="532" priority="575">
      <formula>LEN(TRIM(AH159))=0</formula>
    </cfRule>
    <cfRule type="containsBlanks" dxfId="531" priority="576">
      <formula>LEN(TRIM(AH159))=0</formula>
    </cfRule>
    <cfRule type="containsBlanks" dxfId="530" priority="577">
      <formula>LEN(TRIM(AH159))=0</formula>
    </cfRule>
    <cfRule type="containsBlanks" dxfId="529" priority="578">
      <formula>LEN(TRIM(AH159))=0</formula>
    </cfRule>
    <cfRule type="containsBlanks" dxfId="528" priority="579">
      <formula>LEN(TRIM(AH159))=0</formula>
    </cfRule>
    <cfRule type="containsBlanks" dxfId="527" priority="580">
      <formula>LEN(TRIM(AH159))=0</formula>
    </cfRule>
    <cfRule type="containsBlanks" dxfId="526" priority="581">
      <formula>LEN(TRIM(AH159))=0</formula>
    </cfRule>
  </conditionalFormatting>
  <conditionalFormatting sqref="AH159:AH160">
    <cfRule type="containsBlanks" dxfId="525" priority="443">
      <formula>LEN(TRIM(AH159))=0</formula>
    </cfRule>
    <cfRule type="containsBlanks" dxfId="524" priority="444">
      <formula>LEN(TRIM(AH159))=0</formula>
    </cfRule>
    <cfRule type="containsBlanks" dxfId="523" priority="445">
      <formula>LEN(TRIM(AH159))=0</formula>
    </cfRule>
    <cfRule type="containsBlanks" dxfId="522" priority="446">
      <formula>LEN(TRIM(AH159))=0</formula>
    </cfRule>
    <cfRule type="containsBlanks" dxfId="521" priority="447">
      <formula>LEN(TRIM(AH159))=0</formula>
    </cfRule>
    <cfRule type="containsBlanks" dxfId="520" priority="448">
      <formula>LEN(TRIM(AH159))=0</formula>
    </cfRule>
    <cfRule type="containsBlanks" dxfId="519" priority="449">
      <formula>LEN(TRIM(AH159))=0</formula>
    </cfRule>
    <cfRule type="containsBlanks" dxfId="518" priority="450">
      <formula>LEN(TRIM(AH159))=0</formula>
    </cfRule>
    <cfRule type="containsBlanks" dxfId="517" priority="451">
      <formula>LEN(TRIM(AH159))=0</formula>
    </cfRule>
    <cfRule type="containsBlanks" dxfId="516" priority="452">
      <formula>LEN(TRIM(AH159))=0</formula>
    </cfRule>
    <cfRule type="containsBlanks" dxfId="515" priority="453">
      <formula>LEN(TRIM(AH159))=0</formula>
    </cfRule>
    <cfRule type="containsBlanks" dxfId="514" priority="454">
      <formula>LEN(TRIM(AH159))=0</formula>
    </cfRule>
    <cfRule type="containsBlanks" dxfId="513" priority="455">
      <formula>LEN(TRIM(AH159))=0</formula>
    </cfRule>
    <cfRule type="containsBlanks" dxfId="512" priority="456">
      <formula>LEN(TRIM(AH159))=0</formula>
    </cfRule>
    <cfRule type="containsBlanks" dxfId="511" priority="457">
      <formula>LEN(TRIM(AH159))=0</formula>
    </cfRule>
    <cfRule type="containsBlanks" dxfId="510" priority="458">
      <formula>LEN(TRIM(AH159))=0</formula>
    </cfRule>
    <cfRule type="containsBlanks" dxfId="509" priority="459">
      <formula>LEN(TRIM(AH159))=0</formula>
    </cfRule>
    <cfRule type="containsBlanks" dxfId="508" priority="460">
      <formula>LEN(TRIM(AH159))=0</formula>
    </cfRule>
    <cfRule type="containsBlanks" dxfId="507" priority="461">
      <formula>LEN(TRIM(AH159))=0</formula>
    </cfRule>
    <cfRule type="containsBlanks" dxfId="506" priority="462">
      <formula>LEN(TRIM(AH159))=0</formula>
    </cfRule>
    <cfRule type="containsBlanks" dxfId="505" priority="463">
      <formula>LEN(TRIM(AH159))=0</formula>
    </cfRule>
    <cfRule type="containsBlanks" dxfId="504" priority="464">
      <formula>LEN(TRIM(AH159))=0</formula>
    </cfRule>
    <cfRule type="containsBlanks" dxfId="503" priority="465">
      <formula>LEN(TRIM(AH159))=0</formula>
    </cfRule>
    <cfRule type="containsBlanks" dxfId="502" priority="466">
      <formula>LEN(TRIM(AH159))=0</formula>
    </cfRule>
    <cfRule type="containsBlanks" dxfId="501" priority="467">
      <formula>LEN(TRIM(AH159))=0</formula>
    </cfRule>
    <cfRule type="containsBlanks" dxfId="500" priority="468">
      <formula>LEN(TRIM(AH159))=0</formula>
    </cfRule>
    <cfRule type="containsBlanks" dxfId="499" priority="469">
      <formula>LEN(TRIM(AH159))=0</formula>
    </cfRule>
    <cfRule type="containsBlanks" dxfId="498" priority="470">
      <formula>LEN(TRIM(AH159))=0</formula>
    </cfRule>
    <cfRule type="containsBlanks" dxfId="497" priority="471">
      <formula>LEN(TRIM(AH159))=0</formula>
    </cfRule>
    <cfRule type="containsBlanks" dxfId="496" priority="472">
      <formula>LEN(TRIM(AH159))=0</formula>
    </cfRule>
    <cfRule type="containsBlanks" dxfId="495" priority="473">
      <formula>LEN(TRIM(AH159))=0</formula>
    </cfRule>
    <cfRule type="containsBlanks" dxfId="494" priority="474">
      <formula>LEN(TRIM(AH159))=0</formula>
    </cfRule>
    <cfRule type="containsBlanks" dxfId="493" priority="475">
      <formula>LEN(TRIM(AH159))=0</formula>
    </cfRule>
    <cfRule type="containsBlanks" dxfId="492" priority="476">
      <formula>LEN(TRIM(AH159))=0</formula>
    </cfRule>
    <cfRule type="containsBlanks" dxfId="491" priority="477">
      <formula>LEN(TRIM(AH159))=0</formula>
    </cfRule>
    <cfRule type="containsBlanks" dxfId="490" priority="478">
      <formula>LEN(TRIM(AH159))=0</formula>
    </cfRule>
    <cfRule type="containsBlanks" dxfId="489" priority="479">
      <formula>LEN(TRIM(AH159))=0</formula>
    </cfRule>
    <cfRule type="containsBlanks" dxfId="488" priority="480">
      <formula>LEN(TRIM(AH159))=0</formula>
    </cfRule>
    <cfRule type="containsBlanks" dxfId="487" priority="481">
      <formula>LEN(TRIM(AH159))=0</formula>
    </cfRule>
    <cfRule type="containsBlanks" dxfId="486" priority="482">
      <formula>LEN(TRIM(AH159))=0</formula>
    </cfRule>
    <cfRule type="containsBlanks" dxfId="485" priority="483">
      <formula>LEN(TRIM(AH159))=0</formula>
    </cfRule>
    <cfRule type="containsBlanks" dxfId="484" priority="484">
      <formula>LEN(TRIM(AH159))=0</formula>
    </cfRule>
    <cfRule type="containsBlanks" dxfId="483" priority="485">
      <formula>LEN(TRIM(AH159))=0</formula>
    </cfRule>
    <cfRule type="containsBlanks" dxfId="482" priority="486">
      <formula>LEN(TRIM(AH159))=0</formula>
    </cfRule>
    <cfRule type="containsBlanks" dxfId="481" priority="487">
      <formula>LEN(TRIM(AH159))=0</formula>
    </cfRule>
    <cfRule type="containsBlanks" dxfId="480" priority="488">
      <formula>LEN(TRIM(AH159))=0</formula>
    </cfRule>
    <cfRule type="containsBlanks" dxfId="479" priority="489">
      <formula>LEN(TRIM(AH159))=0</formula>
    </cfRule>
    <cfRule type="containsBlanks" dxfId="478" priority="490">
      <formula>LEN(TRIM(AH159))=0</formula>
    </cfRule>
    <cfRule type="containsBlanks" dxfId="477" priority="491">
      <formula>LEN(TRIM(AH159))=0</formula>
    </cfRule>
    <cfRule type="containsBlanks" dxfId="476" priority="492">
      <formula>LEN(TRIM(AH159))=0</formula>
    </cfRule>
    <cfRule type="containsBlanks" dxfId="475" priority="493">
      <formula>LEN(TRIM(AH159))=0</formula>
    </cfRule>
    <cfRule type="containsBlanks" dxfId="474" priority="494">
      <formula>LEN(TRIM(AH159))=0</formula>
    </cfRule>
    <cfRule type="containsBlanks" dxfId="473" priority="495">
      <formula>LEN(TRIM(AH159))=0</formula>
    </cfRule>
    <cfRule type="containsBlanks" dxfId="472" priority="496">
      <formula>LEN(TRIM(AH159))=0</formula>
    </cfRule>
    <cfRule type="containsBlanks" dxfId="471" priority="497">
      <formula>LEN(TRIM(AH159))=0</formula>
    </cfRule>
    <cfRule type="containsBlanks" dxfId="470" priority="498">
      <formula>LEN(TRIM(AH159))=0</formula>
    </cfRule>
    <cfRule type="containsBlanks" dxfId="469" priority="499">
      <formula>LEN(TRIM(AH159))=0</formula>
    </cfRule>
    <cfRule type="containsBlanks" dxfId="468" priority="500">
      <formula>LEN(TRIM(AH159))=0</formula>
    </cfRule>
    <cfRule type="containsBlanks" dxfId="467" priority="501">
      <formula>LEN(TRIM(AH159))=0</formula>
    </cfRule>
    <cfRule type="containsBlanks" dxfId="466" priority="502">
      <formula>LEN(TRIM(AH159))=0</formula>
    </cfRule>
    <cfRule type="containsBlanks" dxfId="465" priority="503">
      <formula>LEN(TRIM(AH159))=0</formula>
    </cfRule>
    <cfRule type="containsBlanks" dxfId="464" priority="504">
      <formula>LEN(TRIM(AH159))=0</formula>
    </cfRule>
    <cfRule type="containsBlanks" dxfId="463" priority="505">
      <formula>LEN(TRIM(AH159))=0</formula>
    </cfRule>
    <cfRule type="containsBlanks" dxfId="462" priority="506">
      <formula>LEN(TRIM(AH159))=0</formula>
    </cfRule>
    <cfRule type="containsBlanks" dxfId="461" priority="507">
      <formula>LEN(TRIM(AH159))=0</formula>
    </cfRule>
    <cfRule type="containsBlanks" dxfId="460" priority="508">
      <formula>LEN(TRIM(AH159))=0</formula>
    </cfRule>
    <cfRule type="containsBlanks" dxfId="459" priority="509">
      <formula>LEN(TRIM(AH159))=0</formula>
    </cfRule>
    <cfRule type="containsBlanks" dxfId="458" priority="510">
      <formula>LEN(TRIM(AH159))=0</formula>
    </cfRule>
    <cfRule type="containsBlanks" dxfId="457" priority="511">
      <formula>LEN(TRIM(AH159))=0</formula>
    </cfRule>
    <cfRule type="containsBlanks" dxfId="456" priority="512">
      <formula>LEN(TRIM(AH159))=0</formula>
    </cfRule>
    <cfRule type="containsBlanks" dxfId="455" priority="513">
      <formula>LEN(TRIM(AH159))=0</formula>
    </cfRule>
    <cfRule type="containsBlanks" dxfId="454" priority="514">
      <formula>LEN(TRIM(AH159))=0</formula>
    </cfRule>
    <cfRule type="containsBlanks" dxfId="453" priority="515">
      <formula>LEN(TRIM(AH159))=0</formula>
    </cfRule>
    <cfRule type="containsBlanks" dxfId="452" priority="516">
      <formula>LEN(TRIM(AH159))=0</formula>
    </cfRule>
    <cfRule type="containsBlanks" dxfId="451" priority="517">
      <formula>LEN(TRIM(AH159))=0</formula>
    </cfRule>
    <cfRule type="containsBlanks" dxfId="450" priority="518">
      <formula>LEN(TRIM(AH159))=0</formula>
    </cfRule>
    <cfRule type="containsBlanks" dxfId="449" priority="519">
      <formula>LEN(TRIM(AH159))=0</formula>
    </cfRule>
    <cfRule type="containsBlanks" dxfId="448" priority="520">
      <formula>LEN(TRIM(AH159))=0</formula>
    </cfRule>
    <cfRule type="containsBlanks" dxfId="447" priority="521">
      <formula>LEN(TRIM(AH159))=0</formula>
    </cfRule>
    <cfRule type="containsBlanks" dxfId="446" priority="522">
      <formula>LEN(TRIM(AH159))=0</formula>
    </cfRule>
    <cfRule type="containsBlanks" dxfId="445" priority="523">
      <formula>LEN(TRIM(AH159))=0</formula>
    </cfRule>
    <cfRule type="containsBlanks" dxfId="444" priority="524">
      <formula>LEN(TRIM(AH159))=0</formula>
    </cfRule>
    <cfRule type="containsBlanks" dxfId="443" priority="525">
      <formula>LEN(TRIM(AH159))=0</formula>
    </cfRule>
    <cfRule type="containsBlanks" dxfId="442" priority="526">
      <formula>LEN(TRIM(AH159))=0</formula>
    </cfRule>
  </conditionalFormatting>
  <conditionalFormatting sqref="AH167">
    <cfRule type="containsBlanks" dxfId="441" priority="442">
      <formula>LEN(TRIM(AH167))=0</formula>
    </cfRule>
  </conditionalFormatting>
  <conditionalFormatting sqref="AH167">
    <cfRule type="containsBlanks" dxfId="440" priority="441">
      <formula>LEN(TRIM(AH167))=0</formula>
    </cfRule>
  </conditionalFormatting>
  <conditionalFormatting sqref="AH167">
    <cfRule type="containsBlanks" dxfId="439" priority="439">
      <formula>LEN(TRIM(AH167))=0</formula>
    </cfRule>
    <cfRule type="containsBlanks" dxfId="438" priority="440">
      <formula>LEN(TRIM(AH167))=0</formula>
    </cfRule>
  </conditionalFormatting>
  <conditionalFormatting sqref="AH167">
    <cfRule type="containsBlanks" dxfId="437" priority="438">
      <formula>LEN(TRIM(AH167))=0</formula>
    </cfRule>
  </conditionalFormatting>
  <conditionalFormatting sqref="AH167">
    <cfRule type="containsBlanks" dxfId="436" priority="437">
      <formula>LEN(TRIM(AH167))=0</formula>
    </cfRule>
  </conditionalFormatting>
  <conditionalFormatting sqref="AH167">
    <cfRule type="containsBlanks" dxfId="435" priority="436">
      <formula>LEN(TRIM(AH167))=0</formula>
    </cfRule>
  </conditionalFormatting>
  <conditionalFormatting sqref="AH167">
    <cfRule type="containsBlanks" dxfId="434" priority="434">
      <formula>LEN(TRIM(AH167))=0</formula>
    </cfRule>
    <cfRule type="containsBlanks" dxfId="433" priority="435">
      <formula>LEN(TRIM(AH167))=0</formula>
    </cfRule>
  </conditionalFormatting>
  <conditionalFormatting sqref="AH167">
    <cfRule type="containsBlanks" dxfId="432" priority="432">
      <formula>LEN(TRIM(AH167))=0</formula>
    </cfRule>
    <cfRule type="containsBlanks" dxfId="431" priority="433">
      <formula>LEN(TRIM(AH167))=0</formula>
    </cfRule>
  </conditionalFormatting>
  <conditionalFormatting sqref="AH167">
    <cfRule type="containsBlanks" dxfId="430" priority="430">
      <formula>LEN(TRIM(AH167))=0</formula>
    </cfRule>
    <cfRule type="containsBlanks" dxfId="429" priority="431">
      <formula>LEN(TRIM(AH167))=0</formula>
    </cfRule>
  </conditionalFormatting>
  <conditionalFormatting sqref="AH167">
    <cfRule type="containsBlanks" dxfId="428" priority="428">
      <formula>LEN(TRIM(AH167))=0</formula>
    </cfRule>
    <cfRule type="containsBlanks" dxfId="427" priority="429">
      <formula>LEN(TRIM(AH167))=0</formula>
    </cfRule>
  </conditionalFormatting>
  <conditionalFormatting sqref="AH167">
    <cfRule type="containsBlanks" dxfId="426" priority="362">
      <formula>LEN(TRIM(AH167))=0</formula>
    </cfRule>
    <cfRule type="containsBlanks" dxfId="425" priority="363">
      <formula>LEN(TRIM(AH167))=0</formula>
    </cfRule>
    <cfRule type="containsBlanks" dxfId="424" priority="364">
      <formula>LEN(TRIM(AH167))=0</formula>
    </cfRule>
    <cfRule type="containsBlanks" dxfId="423" priority="365">
      <formula>LEN(TRIM(AH167))=0</formula>
    </cfRule>
    <cfRule type="containsBlanks" dxfId="422" priority="366">
      <formula>LEN(TRIM(AH167))=0</formula>
    </cfRule>
    <cfRule type="containsBlanks" dxfId="421" priority="367">
      <formula>LEN(TRIM(AH167))=0</formula>
    </cfRule>
    <cfRule type="containsBlanks" dxfId="420" priority="368">
      <formula>LEN(TRIM(AH167))=0</formula>
    </cfRule>
    <cfRule type="containsBlanks" dxfId="419" priority="369">
      <formula>LEN(TRIM(AH167))=0</formula>
    </cfRule>
    <cfRule type="containsBlanks" dxfId="418" priority="370">
      <formula>LEN(TRIM(AH167))=0</formula>
    </cfRule>
    <cfRule type="containsBlanks" dxfId="417" priority="371">
      <formula>LEN(TRIM(AH167))=0</formula>
    </cfRule>
    <cfRule type="containsBlanks" dxfId="416" priority="372">
      <formula>LEN(TRIM(AH167))=0</formula>
    </cfRule>
    <cfRule type="containsBlanks" dxfId="415" priority="373">
      <formula>LEN(TRIM(AH167))=0</formula>
    </cfRule>
    <cfRule type="containsBlanks" dxfId="414" priority="374">
      <formula>LEN(TRIM(AH167))=0</formula>
    </cfRule>
    <cfRule type="containsBlanks" dxfId="413" priority="375">
      <formula>LEN(TRIM(AH167))=0</formula>
    </cfRule>
    <cfRule type="containsBlanks" dxfId="412" priority="376">
      <formula>LEN(TRIM(AH167))=0</formula>
    </cfRule>
    <cfRule type="containsBlanks" dxfId="411" priority="377">
      <formula>LEN(TRIM(AH167))=0</formula>
    </cfRule>
    <cfRule type="containsBlanks" dxfId="410" priority="378">
      <formula>LEN(TRIM(AH167))=0</formula>
    </cfRule>
    <cfRule type="containsBlanks" dxfId="409" priority="379">
      <formula>LEN(TRIM(AH167))=0</formula>
    </cfRule>
    <cfRule type="containsBlanks" dxfId="408" priority="380">
      <formula>LEN(TRIM(AH167))=0</formula>
    </cfRule>
    <cfRule type="containsBlanks" dxfId="407" priority="381">
      <formula>LEN(TRIM(AH167))=0</formula>
    </cfRule>
    <cfRule type="containsBlanks" dxfId="406" priority="382">
      <formula>LEN(TRIM(AH167))=0</formula>
    </cfRule>
    <cfRule type="containsBlanks" dxfId="405" priority="383">
      <formula>LEN(TRIM(AH167))=0</formula>
    </cfRule>
    <cfRule type="containsBlanks" dxfId="404" priority="384">
      <formula>LEN(TRIM(AH167))=0</formula>
    </cfRule>
    <cfRule type="containsBlanks" dxfId="403" priority="385">
      <formula>LEN(TRIM(AH167))=0</formula>
    </cfRule>
    <cfRule type="containsBlanks" dxfId="402" priority="386">
      <formula>LEN(TRIM(AH167))=0</formula>
    </cfRule>
    <cfRule type="containsBlanks" dxfId="401" priority="387">
      <formula>LEN(TRIM(AH167))=0</formula>
    </cfRule>
    <cfRule type="containsBlanks" dxfId="400" priority="388">
      <formula>LEN(TRIM(AH167))=0</formula>
    </cfRule>
    <cfRule type="containsBlanks" dxfId="399" priority="389">
      <formula>LEN(TRIM(AH167))=0</formula>
    </cfRule>
    <cfRule type="containsBlanks" dxfId="398" priority="390">
      <formula>LEN(TRIM(AH167))=0</formula>
    </cfRule>
    <cfRule type="containsBlanks" dxfId="397" priority="391">
      <formula>LEN(TRIM(AH167))=0</formula>
    </cfRule>
    <cfRule type="containsBlanks" dxfId="396" priority="392">
      <formula>LEN(TRIM(AH167))=0</formula>
    </cfRule>
    <cfRule type="containsBlanks" dxfId="395" priority="393">
      <formula>LEN(TRIM(AH167))=0</formula>
    </cfRule>
    <cfRule type="containsBlanks" dxfId="394" priority="394">
      <formula>LEN(TRIM(AH167))=0</formula>
    </cfRule>
    <cfRule type="containsBlanks" dxfId="393" priority="395">
      <formula>LEN(TRIM(AH167))=0</formula>
    </cfRule>
    <cfRule type="containsBlanks" dxfId="392" priority="396">
      <formula>LEN(TRIM(AH167))=0</formula>
    </cfRule>
    <cfRule type="containsBlanks" dxfId="391" priority="397">
      <formula>LEN(TRIM(AH167))=0</formula>
    </cfRule>
    <cfRule type="containsBlanks" dxfId="390" priority="398">
      <formula>LEN(TRIM(AH167))=0</formula>
    </cfRule>
    <cfRule type="containsBlanks" dxfId="389" priority="399">
      <formula>LEN(TRIM(AH167))=0</formula>
    </cfRule>
    <cfRule type="containsBlanks" dxfId="388" priority="400">
      <formula>LEN(TRIM(AH167))=0</formula>
    </cfRule>
    <cfRule type="containsBlanks" dxfId="387" priority="401">
      <formula>LEN(TRIM(AH167))=0</formula>
    </cfRule>
    <cfRule type="containsBlanks" dxfId="386" priority="402">
      <formula>LEN(TRIM(AH167))=0</formula>
    </cfRule>
    <cfRule type="containsBlanks" dxfId="385" priority="403">
      <formula>LEN(TRIM(AH167))=0</formula>
    </cfRule>
    <cfRule type="containsBlanks" dxfId="384" priority="404">
      <formula>LEN(TRIM(AH167))=0</formula>
    </cfRule>
    <cfRule type="containsBlanks" dxfId="383" priority="405">
      <formula>LEN(TRIM(AH167))=0</formula>
    </cfRule>
    <cfRule type="containsBlanks" dxfId="382" priority="406">
      <formula>LEN(TRIM(AH167))=0</formula>
    </cfRule>
    <cfRule type="containsBlanks" dxfId="381" priority="407">
      <formula>LEN(TRIM(AH167))=0</formula>
    </cfRule>
    <cfRule type="containsBlanks" dxfId="380" priority="408">
      <formula>LEN(TRIM(AH167))=0</formula>
    </cfRule>
    <cfRule type="containsBlanks" dxfId="379" priority="409">
      <formula>LEN(TRIM(AH167))=0</formula>
    </cfRule>
    <cfRule type="containsBlanks" dxfId="378" priority="410">
      <formula>LEN(TRIM(AH167))=0</formula>
    </cfRule>
    <cfRule type="containsBlanks" dxfId="377" priority="411">
      <formula>LEN(TRIM(AH167))=0</formula>
    </cfRule>
    <cfRule type="containsBlanks" dxfId="376" priority="412">
      <formula>LEN(TRIM(AH167))=0</formula>
    </cfRule>
    <cfRule type="containsBlanks" dxfId="375" priority="413">
      <formula>LEN(TRIM(AH167))=0</formula>
    </cfRule>
    <cfRule type="containsBlanks" dxfId="374" priority="414">
      <formula>LEN(TRIM(AH167))=0</formula>
    </cfRule>
    <cfRule type="containsBlanks" dxfId="373" priority="415">
      <formula>LEN(TRIM(AH167))=0</formula>
    </cfRule>
    <cfRule type="containsBlanks" dxfId="372" priority="416">
      <formula>LEN(TRIM(AH167))=0</formula>
    </cfRule>
    <cfRule type="containsBlanks" dxfId="371" priority="417">
      <formula>LEN(TRIM(AH167))=0</formula>
    </cfRule>
    <cfRule type="containsBlanks" dxfId="370" priority="418">
      <formula>LEN(TRIM(AH167))=0</formula>
    </cfRule>
    <cfRule type="containsBlanks" dxfId="369" priority="419">
      <formula>LEN(TRIM(AH167))=0</formula>
    </cfRule>
    <cfRule type="containsBlanks" dxfId="368" priority="420">
      <formula>LEN(TRIM(AH167))=0</formula>
    </cfRule>
    <cfRule type="containsBlanks" dxfId="367" priority="421">
      <formula>LEN(TRIM(AH167))=0</formula>
    </cfRule>
    <cfRule type="containsBlanks" dxfId="366" priority="422">
      <formula>LEN(TRIM(AH167))=0</formula>
    </cfRule>
    <cfRule type="containsBlanks" dxfId="365" priority="423">
      <formula>LEN(TRIM(AH167))=0</formula>
    </cfRule>
    <cfRule type="containsBlanks" dxfId="364" priority="424">
      <formula>LEN(TRIM(AH167))=0</formula>
    </cfRule>
    <cfRule type="containsBlanks" dxfId="363" priority="425">
      <formula>LEN(TRIM(AH167))=0</formula>
    </cfRule>
    <cfRule type="containsBlanks" dxfId="362" priority="426">
      <formula>LEN(TRIM(AH167))=0</formula>
    </cfRule>
    <cfRule type="containsBlanks" dxfId="361" priority="427">
      <formula>LEN(TRIM(AH167))=0</formula>
    </cfRule>
  </conditionalFormatting>
  <conditionalFormatting sqref="AH167">
    <cfRule type="containsBlanks" dxfId="360" priority="307">
      <formula>LEN(TRIM(AH167))=0</formula>
    </cfRule>
    <cfRule type="containsBlanks" dxfId="359" priority="308">
      <formula>LEN(TRIM(AH167))=0</formula>
    </cfRule>
    <cfRule type="containsBlanks" dxfId="358" priority="309">
      <formula>LEN(TRIM(AH167))=0</formula>
    </cfRule>
    <cfRule type="containsBlanks" dxfId="357" priority="310">
      <formula>LEN(TRIM(AH167))=0</formula>
    </cfRule>
    <cfRule type="containsBlanks" dxfId="356" priority="311">
      <formula>LEN(TRIM(AH167))=0</formula>
    </cfRule>
    <cfRule type="containsBlanks" dxfId="355" priority="312">
      <formula>LEN(TRIM(AH167))=0</formula>
    </cfRule>
    <cfRule type="containsBlanks" dxfId="354" priority="313">
      <formula>LEN(TRIM(AH167))=0</formula>
    </cfRule>
    <cfRule type="containsBlanks" dxfId="353" priority="314">
      <formula>LEN(TRIM(AH167))=0</formula>
    </cfRule>
    <cfRule type="containsBlanks" dxfId="352" priority="315">
      <formula>LEN(TRIM(AH167))=0</formula>
    </cfRule>
    <cfRule type="containsBlanks" dxfId="351" priority="316">
      <formula>LEN(TRIM(AH167))=0</formula>
    </cfRule>
    <cfRule type="containsBlanks" dxfId="350" priority="317">
      <formula>LEN(TRIM(AH167))=0</formula>
    </cfRule>
    <cfRule type="containsBlanks" dxfId="349" priority="318">
      <formula>LEN(TRIM(AH167))=0</formula>
    </cfRule>
    <cfRule type="containsBlanks" dxfId="348" priority="319">
      <formula>LEN(TRIM(AH167))=0</formula>
    </cfRule>
    <cfRule type="containsBlanks" dxfId="347" priority="320">
      <formula>LEN(TRIM(AH167))=0</formula>
    </cfRule>
    <cfRule type="containsBlanks" dxfId="346" priority="321">
      <formula>LEN(TRIM(AH167))=0</formula>
    </cfRule>
    <cfRule type="containsBlanks" dxfId="345" priority="322">
      <formula>LEN(TRIM(AH167))=0</formula>
    </cfRule>
    <cfRule type="containsBlanks" dxfId="344" priority="323">
      <formula>LEN(TRIM(AH167))=0</formula>
    </cfRule>
    <cfRule type="containsBlanks" dxfId="343" priority="324">
      <formula>LEN(TRIM(AH167))=0</formula>
    </cfRule>
    <cfRule type="containsBlanks" dxfId="342" priority="325">
      <formula>LEN(TRIM(AH167))=0</formula>
    </cfRule>
    <cfRule type="containsBlanks" dxfId="341" priority="326">
      <formula>LEN(TRIM(AH167))=0</formula>
    </cfRule>
    <cfRule type="containsBlanks" dxfId="340" priority="327">
      <formula>LEN(TRIM(AH167))=0</formula>
    </cfRule>
    <cfRule type="containsBlanks" dxfId="339" priority="328">
      <formula>LEN(TRIM(AH167))=0</formula>
    </cfRule>
    <cfRule type="containsBlanks" dxfId="338" priority="329">
      <formula>LEN(TRIM(AH167))=0</formula>
    </cfRule>
    <cfRule type="containsBlanks" dxfId="337" priority="330">
      <formula>LEN(TRIM(AH167))=0</formula>
    </cfRule>
    <cfRule type="containsBlanks" dxfId="336" priority="331">
      <formula>LEN(TRIM(AH167))=0</formula>
    </cfRule>
    <cfRule type="containsBlanks" dxfId="335" priority="332">
      <formula>LEN(TRIM(AH167))=0</formula>
    </cfRule>
    <cfRule type="containsBlanks" dxfId="334" priority="333">
      <formula>LEN(TRIM(AH167))=0</formula>
    </cfRule>
    <cfRule type="containsBlanks" dxfId="333" priority="334">
      <formula>LEN(TRIM(AH167))=0</formula>
    </cfRule>
    <cfRule type="containsBlanks" dxfId="332" priority="335">
      <formula>LEN(TRIM(AH167))=0</formula>
    </cfRule>
    <cfRule type="containsBlanks" dxfId="331" priority="336">
      <formula>LEN(TRIM(AH167))=0</formula>
    </cfRule>
    <cfRule type="containsBlanks" dxfId="330" priority="337">
      <formula>LEN(TRIM(AH167))=0</formula>
    </cfRule>
    <cfRule type="containsBlanks" dxfId="329" priority="338">
      <formula>LEN(TRIM(AH167))=0</formula>
    </cfRule>
    <cfRule type="containsBlanks" dxfId="328" priority="339">
      <formula>LEN(TRIM(AH167))=0</formula>
    </cfRule>
    <cfRule type="containsBlanks" dxfId="327" priority="340">
      <formula>LEN(TRIM(AH167))=0</formula>
    </cfRule>
    <cfRule type="containsBlanks" dxfId="326" priority="341">
      <formula>LEN(TRIM(AH167))=0</formula>
    </cfRule>
    <cfRule type="containsBlanks" dxfId="325" priority="342">
      <formula>LEN(TRIM(AH167))=0</formula>
    </cfRule>
    <cfRule type="containsBlanks" dxfId="324" priority="343">
      <formula>LEN(TRIM(AH167))=0</formula>
    </cfRule>
    <cfRule type="containsBlanks" dxfId="323" priority="344">
      <formula>LEN(TRIM(AH167))=0</formula>
    </cfRule>
    <cfRule type="containsBlanks" dxfId="322" priority="345">
      <formula>LEN(TRIM(AH167))=0</formula>
    </cfRule>
    <cfRule type="containsBlanks" dxfId="321" priority="346">
      <formula>LEN(TRIM(AH167))=0</formula>
    </cfRule>
    <cfRule type="containsBlanks" dxfId="320" priority="347">
      <formula>LEN(TRIM(AH167))=0</formula>
    </cfRule>
    <cfRule type="containsBlanks" dxfId="319" priority="348">
      <formula>LEN(TRIM(AH167))=0</formula>
    </cfRule>
    <cfRule type="containsBlanks" dxfId="318" priority="349">
      <formula>LEN(TRIM(AH167))=0</formula>
    </cfRule>
    <cfRule type="containsBlanks" dxfId="317" priority="350">
      <formula>LEN(TRIM(AH167))=0</formula>
    </cfRule>
    <cfRule type="containsBlanks" dxfId="316" priority="351">
      <formula>LEN(TRIM(AH167))=0</formula>
    </cfRule>
    <cfRule type="containsBlanks" dxfId="315" priority="352">
      <formula>LEN(TRIM(AH167))=0</formula>
    </cfRule>
    <cfRule type="containsBlanks" dxfId="314" priority="353">
      <formula>LEN(TRIM(AH167))=0</formula>
    </cfRule>
    <cfRule type="containsBlanks" dxfId="313" priority="354">
      <formula>LEN(TRIM(AH167))=0</formula>
    </cfRule>
    <cfRule type="containsBlanks" dxfId="312" priority="355">
      <formula>LEN(TRIM(AH167))=0</formula>
    </cfRule>
    <cfRule type="containsBlanks" dxfId="311" priority="356">
      <formula>LEN(TRIM(AH167))=0</formula>
    </cfRule>
    <cfRule type="containsBlanks" dxfId="310" priority="357">
      <formula>LEN(TRIM(AH167))=0</formula>
    </cfRule>
    <cfRule type="containsBlanks" dxfId="309" priority="358">
      <formula>LEN(TRIM(AH167))=0</formula>
    </cfRule>
    <cfRule type="containsBlanks" dxfId="308" priority="359">
      <formula>LEN(TRIM(AH167))=0</formula>
    </cfRule>
    <cfRule type="containsBlanks" dxfId="307" priority="360">
      <formula>LEN(TRIM(AH167))=0</formula>
    </cfRule>
    <cfRule type="containsBlanks" dxfId="306" priority="361">
      <formula>LEN(TRIM(AH167))=0</formula>
    </cfRule>
  </conditionalFormatting>
  <conditionalFormatting sqref="AH167">
    <cfRule type="containsBlanks" dxfId="305" priority="223">
      <formula>LEN(TRIM(AH167))=0</formula>
    </cfRule>
    <cfRule type="containsBlanks" dxfId="304" priority="224">
      <formula>LEN(TRIM(AH167))=0</formula>
    </cfRule>
    <cfRule type="containsBlanks" dxfId="303" priority="225">
      <formula>LEN(TRIM(AH167))=0</formula>
    </cfRule>
    <cfRule type="containsBlanks" dxfId="302" priority="226">
      <formula>LEN(TRIM(AH167))=0</formula>
    </cfRule>
    <cfRule type="containsBlanks" dxfId="301" priority="227">
      <formula>LEN(TRIM(AH167))=0</formula>
    </cfRule>
    <cfRule type="containsBlanks" dxfId="300" priority="228">
      <formula>LEN(TRIM(AH167))=0</formula>
    </cfRule>
    <cfRule type="containsBlanks" dxfId="299" priority="229">
      <formula>LEN(TRIM(AH167))=0</formula>
    </cfRule>
    <cfRule type="containsBlanks" dxfId="298" priority="230">
      <formula>LEN(TRIM(AH167))=0</formula>
    </cfRule>
    <cfRule type="containsBlanks" dxfId="297" priority="231">
      <formula>LEN(TRIM(AH167))=0</formula>
    </cfRule>
    <cfRule type="containsBlanks" dxfId="296" priority="232">
      <formula>LEN(TRIM(AH167))=0</formula>
    </cfRule>
    <cfRule type="containsBlanks" dxfId="295" priority="233">
      <formula>LEN(TRIM(AH167))=0</formula>
    </cfRule>
    <cfRule type="containsBlanks" dxfId="294" priority="234">
      <formula>LEN(TRIM(AH167))=0</formula>
    </cfRule>
    <cfRule type="containsBlanks" dxfId="293" priority="235">
      <formula>LEN(TRIM(AH167))=0</formula>
    </cfRule>
    <cfRule type="containsBlanks" dxfId="292" priority="236">
      <formula>LEN(TRIM(AH167))=0</formula>
    </cfRule>
    <cfRule type="containsBlanks" dxfId="291" priority="237">
      <formula>LEN(TRIM(AH167))=0</formula>
    </cfRule>
    <cfRule type="containsBlanks" dxfId="290" priority="238">
      <formula>LEN(TRIM(AH167))=0</formula>
    </cfRule>
    <cfRule type="containsBlanks" dxfId="289" priority="239">
      <formula>LEN(TRIM(AH167))=0</formula>
    </cfRule>
    <cfRule type="containsBlanks" dxfId="288" priority="240">
      <formula>LEN(TRIM(AH167))=0</formula>
    </cfRule>
    <cfRule type="containsBlanks" dxfId="287" priority="241">
      <formula>LEN(TRIM(AH167))=0</formula>
    </cfRule>
    <cfRule type="containsBlanks" dxfId="286" priority="242">
      <formula>LEN(TRIM(AH167))=0</formula>
    </cfRule>
    <cfRule type="containsBlanks" dxfId="285" priority="243">
      <formula>LEN(TRIM(AH167))=0</formula>
    </cfRule>
    <cfRule type="containsBlanks" dxfId="284" priority="244">
      <formula>LEN(TRIM(AH167))=0</formula>
    </cfRule>
    <cfRule type="containsBlanks" dxfId="283" priority="245">
      <formula>LEN(TRIM(AH167))=0</formula>
    </cfRule>
    <cfRule type="containsBlanks" dxfId="282" priority="246">
      <formula>LEN(TRIM(AH167))=0</formula>
    </cfRule>
    <cfRule type="containsBlanks" dxfId="281" priority="247">
      <formula>LEN(TRIM(AH167))=0</formula>
    </cfRule>
    <cfRule type="containsBlanks" dxfId="280" priority="248">
      <formula>LEN(TRIM(AH167))=0</formula>
    </cfRule>
    <cfRule type="containsBlanks" dxfId="279" priority="249">
      <formula>LEN(TRIM(AH167))=0</formula>
    </cfRule>
    <cfRule type="containsBlanks" dxfId="278" priority="250">
      <formula>LEN(TRIM(AH167))=0</formula>
    </cfRule>
    <cfRule type="containsBlanks" dxfId="277" priority="251">
      <formula>LEN(TRIM(AH167))=0</formula>
    </cfRule>
    <cfRule type="containsBlanks" dxfId="276" priority="252">
      <formula>LEN(TRIM(AH167))=0</formula>
    </cfRule>
    <cfRule type="containsBlanks" dxfId="275" priority="253">
      <formula>LEN(TRIM(AH167))=0</formula>
    </cfRule>
    <cfRule type="containsBlanks" dxfId="274" priority="254">
      <formula>LEN(TRIM(AH167))=0</formula>
    </cfRule>
    <cfRule type="containsBlanks" dxfId="273" priority="255">
      <formula>LEN(TRIM(AH167))=0</formula>
    </cfRule>
    <cfRule type="containsBlanks" dxfId="272" priority="256">
      <formula>LEN(TRIM(AH167))=0</formula>
    </cfRule>
    <cfRule type="containsBlanks" dxfId="271" priority="257">
      <formula>LEN(TRIM(AH167))=0</formula>
    </cfRule>
    <cfRule type="containsBlanks" dxfId="270" priority="258">
      <formula>LEN(TRIM(AH167))=0</formula>
    </cfRule>
    <cfRule type="containsBlanks" dxfId="269" priority="259">
      <formula>LEN(TRIM(AH167))=0</formula>
    </cfRule>
    <cfRule type="containsBlanks" dxfId="268" priority="260">
      <formula>LEN(TRIM(AH167))=0</formula>
    </cfRule>
    <cfRule type="containsBlanks" dxfId="267" priority="261">
      <formula>LEN(TRIM(AH167))=0</formula>
    </cfRule>
    <cfRule type="containsBlanks" dxfId="266" priority="262">
      <formula>LEN(TRIM(AH167))=0</formula>
    </cfRule>
    <cfRule type="containsBlanks" dxfId="265" priority="263">
      <formula>LEN(TRIM(AH167))=0</formula>
    </cfRule>
    <cfRule type="containsBlanks" dxfId="264" priority="264">
      <formula>LEN(TRIM(AH167))=0</formula>
    </cfRule>
    <cfRule type="containsBlanks" dxfId="263" priority="265">
      <formula>LEN(TRIM(AH167))=0</formula>
    </cfRule>
    <cfRule type="containsBlanks" dxfId="262" priority="266">
      <formula>LEN(TRIM(AH167))=0</formula>
    </cfRule>
    <cfRule type="containsBlanks" dxfId="261" priority="267">
      <formula>LEN(TRIM(AH167))=0</formula>
    </cfRule>
    <cfRule type="containsBlanks" dxfId="260" priority="268">
      <formula>LEN(TRIM(AH167))=0</formula>
    </cfRule>
    <cfRule type="containsBlanks" dxfId="259" priority="269">
      <formula>LEN(TRIM(AH167))=0</formula>
    </cfRule>
    <cfRule type="containsBlanks" dxfId="258" priority="270">
      <formula>LEN(TRIM(AH167))=0</formula>
    </cfRule>
    <cfRule type="containsBlanks" dxfId="257" priority="271">
      <formula>LEN(TRIM(AH167))=0</formula>
    </cfRule>
    <cfRule type="containsBlanks" dxfId="256" priority="272">
      <formula>LEN(TRIM(AH167))=0</formula>
    </cfRule>
    <cfRule type="containsBlanks" dxfId="255" priority="273">
      <formula>LEN(TRIM(AH167))=0</formula>
    </cfRule>
    <cfRule type="containsBlanks" dxfId="254" priority="274">
      <formula>LEN(TRIM(AH167))=0</formula>
    </cfRule>
    <cfRule type="containsBlanks" dxfId="253" priority="275">
      <formula>LEN(TRIM(AH167))=0</formula>
    </cfRule>
    <cfRule type="containsBlanks" dxfId="252" priority="276">
      <formula>LEN(TRIM(AH167))=0</formula>
    </cfRule>
    <cfRule type="containsBlanks" dxfId="251" priority="277">
      <formula>LEN(TRIM(AH167))=0</formula>
    </cfRule>
    <cfRule type="containsBlanks" dxfId="250" priority="278">
      <formula>LEN(TRIM(AH167))=0</formula>
    </cfRule>
    <cfRule type="containsBlanks" dxfId="249" priority="279">
      <formula>LEN(TRIM(AH167))=0</formula>
    </cfRule>
    <cfRule type="containsBlanks" dxfId="248" priority="280">
      <formula>LEN(TRIM(AH167))=0</formula>
    </cfRule>
    <cfRule type="containsBlanks" dxfId="247" priority="281">
      <formula>LEN(TRIM(AH167))=0</formula>
    </cfRule>
    <cfRule type="containsBlanks" dxfId="246" priority="282">
      <formula>LEN(TRIM(AH167))=0</formula>
    </cfRule>
    <cfRule type="containsBlanks" dxfId="245" priority="283">
      <formula>LEN(TRIM(AH167))=0</formula>
    </cfRule>
    <cfRule type="containsBlanks" dxfId="244" priority="284">
      <formula>LEN(TRIM(AH167))=0</formula>
    </cfRule>
    <cfRule type="containsBlanks" dxfId="243" priority="285">
      <formula>LEN(TRIM(AH167))=0</formula>
    </cfRule>
    <cfRule type="containsBlanks" dxfId="242" priority="286">
      <formula>LEN(TRIM(AH167))=0</formula>
    </cfRule>
    <cfRule type="containsBlanks" dxfId="241" priority="287">
      <formula>LEN(TRIM(AH167))=0</formula>
    </cfRule>
    <cfRule type="containsBlanks" dxfId="240" priority="288">
      <formula>LEN(TRIM(AH167))=0</formula>
    </cfRule>
    <cfRule type="containsBlanks" dxfId="239" priority="289">
      <formula>LEN(TRIM(AH167))=0</formula>
    </cfRule>
    <cfRule type="containsBlanks" dxfId="238" priority="290">
      <formula>LEN(TRIM(AH167))=0</formula>
    </cfRule>
    <cfRule type="containsBlanks" dxfId="237" priority="291">
      <formula>LEN(TRIM(AH167))=0</formula>
    </cfRule>
    <cfRule type="containsBlanks" dxfId="236" priority="292">
      <formula>LEN(TRIM(AH167))=0</formula>
    </cfRule>
    <cfRule type="containsBlanks" dxfId="235" priority="293">
      <formula>LEN(TRIM(AH167))=0</formula>
    </cfRule>
    <cfRule type="containsBlanks" dxfId="234" priority="294">
      <formula>LEN(TRIM(AH167))=0</formula>
    </cfRule>
    <cfRule type="containsBlanks" dxfId="233" priority="295">
      <formula>LEN(TRIM(AH167))=0</formula>
    </cfRule>
    <cfRule type="containsBlanks" dxfId="232" priority="296">
      <formula>LEN(TRIM(AH167))=0</formula>
    </cfRule>
    <cfRule type="containsBlanks" dxfId="231" priority="297">
      <formula>LEN(TRIM(AH167))=0</formula>
    </cfRule>
    <cfRule type="containsBlanks" dxfId="230" priority="298">
      <formula>LEN(TRIM(AH167))=0</formula>
    </cfRule>
    <cfRule type="containsBlanks" dxfId="229" priority="299">
      <formula>LEN(TRIM(AH167))=0</formula>
    </cfRule>
    <cfRule type="containsBlanks" dxfId="228" priority="300">
      <formula>LEN(TRIM(AH167))=0</formula>
    </cfRule>
    <cfRule type="containsBlanks" dxfId="227" priority="301">
      <formula>LEN(TRIM(AH167))=0</formula>
    </cfRule>
    <cfRule type="containsBlanks" dxfId="226" priority="302">
      <formula>LEN(TRIM(AH167))=0</formula>
    </cfRule>
    <cfRule type="containsBlanks" dxfId="225" priority="303">
      <formula>LEN(TRIM(AH167))=0</formula>
    </cfRule>
    <cfRule type="containsBlanks" dxfId="224" priority="304">
      <formula>LEN(TRIM(AH167))=0</formula>
    </cfRule>
    <cfRule type="containsBlanks" dxfId="223" priority="305">
      <formula>LEN(TRIM(AH167))=0</formula>
    </cfRule>
    <cfRule type="containsBlanks" dxfId="222" priority="306">
      <formula>LEN(TRIM(AH167))=0</formula>
    </cfRule>
  </conditionalFormatting>
  <conditionalFormatting sqref="AH168">
    <cfRule type="containsBlanks" dxfId="221" priority="222">
      <formula>LEN(TRIM(AH168))=0</formula>
    </cfRule>
  </conditionalFormatting>
  <conditionalFormatting sqref="AH168">
    <cfRule type="containsBlanks" dxfId="220" priority="221">
      <formula>LEN(TRIM(AH168))=0</formula>
    </cfRule>
  </conditionalFormatting>
  <conditionalFormatting sqref="AH168">
    <cfRule type="containsBlanks" dxfId="219" priority="219">
      <formula>LEN(TRIM(AH168))=0</formula>
    </cfRule>
    <cfRule type="containsBlanks" dxfId="218" priority="220">
      <formula>LEN(TRIM(AH168))=0</formula>
    </cfRule>
  </conditionalFormatting>
  <conditionalFormatting sqref="AH168">
    <cfRule type="containsBlanks" dxfId="217" priority="218">
      <formula>LEN(TRIM(AH168))=0</formula>
    </cfRule>
  </conditionalFormatting>
  <conditionalFormatting sqref="AH168">
    <cfRule type="containsBlanks" dxfId="216" priority="217">
      <formula>LEN(TRIM(AH168))=0</formula>
    </cfRule>
  </conditionalFormatting>
  <conditionalFormatting sqref="AH168">
    <cfRule type="containsBlanks" dxfId="215" priority="216">
      <formula>LEN(TRIM(AH168))=0</formula>
    </cfRule>
  </conditionalFormatting>
  <conditionalFormatting sqref="AH168">
    <cfRule type="containsBlanks" dxfId="214" priority="214">
      <formula>LEN(TRIM(AH168))=0</formula>
    </cfRule>
    <cfRule type="containsBlanks" dxfId="213" priority="215">
      <formula>LEN(TRIM(AH168))=0</formula>
    </cfRule>
  </conditionalFormatting>
  <conditionalFormatting sqref="AH168">
    <cfRule type="containsBlanks" dxfId="212" priority="212">
      <formula>LEN(TRIM(AH168))=0</formula>
    </cfRule>
    <cfRule type="containsBlanks" dxfId="211" priority="213">
      <formula>LEN(TRIM(AH168))=0</formula>
    </cfRule>
  </conditionalFormatting>
  <conditionalFormatting sqref="AH168">
    <cfRule type="containsBlanks" dxfId="210" priority="210">
      <formula>LEN(TRIM(AH168))=0</formula>
    </cfRule>
    <cfRule type="containsBlanks" dxfId="209" priority="211">
      <formula>LEN(TRIM(AH168))=0</formula>
    </cfRule>
  </conditionalFormatting>
  <conditionalFormatting sqref="AH168">
    <cfRule type="containsBlanks" dxfId="208" priority="208">
      <formula>LEN(TRIM(AH168))=0</formula>
    </cfRule>
    <cfRule type="containsBlanks" dxfId="207" priority="209">
      <formula>LEN(TRIM(AH168))=0</formula>
    </cfRule>
  </conditionalFormatting>
  <conditionalFormatting sqref="AH168">
    <cfRule type="containsBlanks" dxfId="206" priority="142">
      <formula>LEN(TRIM(AH168))=0</formula>
    </cfRule>
    <cfRule type="containsBlanks" dxfId="205" priority="143">
      <formula>LEN(TRIM(AH168))=0</formula>
    </cfRule>
    <cfRule type="containsBlanks" dxfId="204" priority="144">
      <formula>LEN(TRIM(AH168))=0</formula>
    </cfRule>
    <cfRule type="containsBlanks" dxfId="203" priority="145">
      <formula>LEN(TRIM(AH168))=0</formula>
    </cfRule>
    <cfRule type="containsBlanks" dxfId="202" priority="146">
      <formula>LEN(TRIM(AH168))=0</formula>
    </cfRule>
    <cfRule type="containsBlanks" dxfId="201" priority="147">
      <formula>LEN(TRIM(AH168))=0</formula>
    </cfRule>
    <cfRule type="containsBlanks" dxfId="200" priority="148">
      <formula>LEN(TRIM(AH168))=0</formula>
    </cfRule>
    <cfRule type="containsBlanks" dxfId="199" priority="149">
      <formula>LEN(TRIM(AH168))=0</formula>
    </cfRule>
    <cfRule type="containsBlanks" dxfId="198" priority="150">
      <formula>LEN(TRIM(AH168))=0</formula>
    </cfRule>
    <cfRule type="containsBlanks" dxfId="197" priority="151">
      <formula>LEN(TRIM(AH168))=0</formula>
    </cfRule>
    <cfRule type="containsBlanks" dxfId="196" priority="152">
      <formula>LEN(TRIM(AH168))=0</formula>
    </cfRule>
    <cfRule type="containsBlanks" dxfId="195" priority="153">
      <formula>LEN(TRIM(AH168))=0</formula>
    </cfRule>
    <cfRule type="containsBlanks" dxfId="194" priority="154">
      <formula>LEN(TRIM(AH168))=0</formula>
    </cfRule>
    <cfRule type="containsBlanks" dxfId="193" priority="155">
      <formula>LEN(TRIM(AH168))=0</formula>
    </cfRule>
    <cfRule type="containsBlanks" dxfId="192" priority="156">
      <formula>LEN(TRIM(AH168))=0</formula>
    </cfRule>
    <cfRule type="containsBlanks" dxfId="191" priority="157">
      <formula>LEN(TRIM(AH168))=0</formula>
    </cfRule>
    <cfRule type="containsBlanks" dxfId="190" priority="158">
      <formula>LEN(TRIM(AH168))=0</formula>
    </cfRule>
    <cfRule type="containsBlanks" dxfId="189" priority="159">
      <formula>LEN(TRIM(AH168))=0</formula>
    </cfRule>
    <cfRule type="containsBlanks" dxfId="188" priority="160">
      <formula>LEN(TRIM(AH168))=0</formula>
    </cfRule>
    <cfRule type="containsBlanks" dxfId="187" priority="161">
      <formula>LEN(TRIM(AH168))=0</formula>
    </cfRule>
    <cfRule type="containsBlanks" dxfId="186" priority="162">
      <formula>LEN(TRIM(AH168))=0</formula>
    </cfRule>
    <cfRule type="containsBlanks" dxfId="185" priority="163">
      <formula>LEN(TRIM(AH168))=0</formula>
    </cfRule>
    <cfRule type="containsBlanks" dxfId="184" priority="164">
      <formula>LEN(TRIM(AH168))=0</formula>
    </cfRule>
    <cfRule type="containsBlanks" dxfId="183" priority="165">
      <formula>LEN(TRIM(AH168))=0</formula>
    </cfRule>
    <cfRule type="containsBlanks" dxfId="182" priority="166">
      <formula>LEN(TRIM(AH168))=0</formula>
    </cfRule>
    <cfRule type="containsBlanks" dxfId="181" priority="167">
      <formula>LEN(TRIM(AH168))=0</formula>
    </cfRule>
    <cfRule type="containsBlanks" dxfId="180" priority="168">
      <formula>LEN(TRIM(AH168))=0</formula>
    </cfRule>
    <cfRule type="containsBlanks" dxfId="179" priority="169">
      <formula>LEN(TRIM(AH168))=0</formula>
    </cfRule>
    <cfRule type="containsBlanks" dxfId="178" priority="170">
      <formula>LEN(TRIM(AH168))=0</formula>
    </cfRule>
    <cfRule type="containsBlanks" dxfId="177" priority="171">
      <formula>LEN(TRIM(AH168))=0</formula>
    </cfRule>
    <cfRule type="containsBlanks" dxfId="176" priority="172">
      <formula>LEN(TRIM(AH168))=0</formula>
    </cfRule>
    <cfRule type="containsBlanks" dxfId="175" priority="173">
      <formula>LEN(TRIM(AH168))=0</formula>
    </cfRule>
    <cfRule type="containsBlanks" dxfId="174" priority="174">
      <formula>LEN(TRIM(AH168))=0</formula>
    </cfRule>
    <cfRule type="containsBlanks" dxfId="173" priority="175">
      <formula>LEN(TRIM(AH168))=0</formula>
    </cfRule>
    <cfRule type="containsBlanks" dxfId="172" priority="176">
      <formula>LEN(TRIM(AH168))=0</formula>
    </cfRule>
    <cfRule type="containsBlanks" dxfId="171" priority="177">
      <formula>LEN(TRIM(AH168))=0</formula>
    </cfRule>
    <cfRule type="containsBlanks" dxfId="170" priority="178">
      <formula>LEN(TRIM(AH168))=0</formula>
    </cfRule>
    <cfRule type="containsBlanks" dxfId="169" priority="179">
      <formula>LEN(TRIM(AH168))=0</formula>
    </cfRule>
    <cfRule type="containsBlanks" dxfId="168" priority="180">
      <formula>LEN(TRIM(AH168))=0</formula>
    </cfRule>
    <cfRule type="containsBlanks" dxfId="167" priority="181">
      <formula>LEN(TRIM(AH168))=0</formula>
    </cfRule>
    <cfRule type="containsBlanks" dxfId="166" priority="182">
      <formula>LEN(TRIM(AH168))=0</formula>
    </cfRule>
    <cfRule type="containsBlanks" dxfId="165" priority="183">
      <formula>LEN(TRIM(AH168))=0</formula>
    </cfRule>
    <cfRule type="containsBlanks" dxfId="164" priority="184">
      <formula>LEN(TRIM(AH168))=0</formula>
    </cfRule>
    <cfRule type="containsBlanks" dxfId="163" priority="185">
      <formula>LEN(TRIM(AH168))=0</formula>
    </cfRule>
    <cfRule type="containsBlanks" dxfId="162" priority="186">
      <formula>LEN(TRIM(AH168))=0</formula>
    </cfRule>
    <cfRule type="containsBlanks" dxfId="161" priority="187">
      <formula>LEN(TRIM(AH168))=0</formula>
    </cfRule>
    <cfRule type="containsBlanks" dxfId="160" priority="188">
      <formula>LEN(TRIM(AH168))=0</formula>
    </cfRule>
    <cfRule type="containsBlanks" dxfId="159" priority="189">
      <formula>LEN(TRIM(AH168))=0</formula>
    </cfRule>
    <cfRule type="containsBlanks" dxfId="158" priority="190">
      <formula>LEN(TRIM(AH168))=0</formula>
    </cfRule>
    <cfRule type="containsBlanks" dxfId="157" priority="191">
      <formula>LEN(TRIM(AH168))=0</formula>
    </cfRule>
    <cfRule type="containsBlanks" dxfId="156" priority="192">
      <formula>LEN(TRIM(AH168))=0</formula>
    </cfRule>
    <cfRule type="containsBlanks" dxfId="155" priority="193">
      <formula>LEN(TRIM(AH168))=0</formula>
    </cfRule>
    <cfRule type="containsBlanks" dxfId="154" priority="194">
      <formula>LEN(TRIM(AH168))=0</formula>
    </cfRule>
    <cfRule type="containsBlanks" dxfId="153" priority="195">
      <formula>LEN(TRIM(AH168))=0</formula>
    </cfRule>
    <cfRule type="containsBlanks" dxfId="152" priority="196">
      <formula>LEN(TRIM(AH168))=0</formula>
    </cfRule>
    <cfRule type="containsBlanks" dxfId="151" priority="197">
      <formula>LEN(TRIM(AH168))=0</formula>
    </cfRule>
    <cfRule type="containsBlanks" dxfId="150" priority="198">
      <formula>LEN(TRIM(AH168))=0</formula>
    </cfRule>
    <cfRule type="containsBlanks" dxfId="149" priority="199">
      <formula>LEN(TRIM(AH168))=0</formula>
    </cfRule>
    <cfRule type="containsBlanks" dxfId="148" priority="200">
      <formula>LEN(TRIM(AH168))=0</formula>
    </cfRule>
    <cfRule type="containsBlanks" dxfId="147" priority="201">
      <formula>LEN(TRIM(AH168))=0</formula>
    </cfRule>
    <cfRule type="containsBlanks" dxfId="146" priority="202">
      <formula>LEN(TRIM(AH168))=0</formula>
    </cfRule>
    <cfRule type="containsBlanks" dxfId="145" priority="203">
      <formula>LEN(TRIM(AH168))=0</formula>
    </cfRule>
    <cfRule type="containsBlanks" dxfId="144" priority="204">
      <formula>LEN(TRIM(AH168))=0</formula>
    </cfRule>
    <cfRule type="containsBlanks" dxfId="143" priority="205">
      <formula>LEN(TRIM(AH168))=0</formula>
    </cfRule>
    <cfRule type="containsBlanks" dxfId="142" priority="206">
      <formula>LEN(TRIM(AH168))=0</formula>
    </cfRule>
    <cfRule type="containsBlanks" dxfId="141" priority="207">
      <formula>LEN(TRIM(AH168))=0</formula>
    </cfRule>
  </conditionalFormatting>
  <conditionalFormatting sqref="AH168">
    <cfRule type="containsBlanks" dxfId="140" priority="87">
      <formula>LEN(TRIM(AH168))=0</formula>
    </cfRule>
    <cfRule type="containsBlanks" dxfId="139" priority="88">
      <formula>LEN(TRIM(AH168))=0</formula>
    </cfRule>
    <cfRule type="containsBlanks" dxfId="138" priority="89">
      <formula>LEN(TRIM(AH168))=0</formula>
    </cfRule>
    <cfRule type="containsBlanks" dxfId="137" priority="90">
      <formula>LEN(TRIM(AH168))=0</formula>
    </cfRule>
    <cfRule type="containsBlanks" dxfId="136" priority="91">
      <formula>LEN(TRIM(AH168))=0</formula>
    </cfRule>
    <cfRule type="containsBlanks" dxfId="135" priority="92">
      <formula>LEN(TRIM(AH168))=0</formula>
    </cfRule>
    <cfRule type="containsBlanks" dxfId="134" priority="93">
      <formula>LEN(TRIM(AH168))=0</formula>
    </cfRule>
    <cfRule type="containsBlanks" dxfId="133" priority="94">
      <formula>LEN(TRIM(AH168))=0</formula>
    </cfRule>
    <cfRule type="containsBlanks" dxfId="132" priority="95">
      <formula>LEN(TRIM(AH168))=0</formula>
    </cfRule>
    <cfRule type="containsBlanks" dxfId="131" priority="96">
      <formula>LEN(TRIM(AH168))=0</formula>
    </cfRule>
    <cfRule type="containsBlanks" dxfId="130" priority="97">
      <formula>LEN(TRIM(AH168))=0</formula>
    </cfRule>
    <cfRule type="containsBlanks" dxfId="129" priority="98">
      <formula>LEN(TRIM(AH168))=0</formula>
    </cfRule>
    <cfRule type="containsBlanks" dxfId="128" priority="99">
      <formula>LEN(TRIM(AH168))=0</formula>
    </cfRule>
    <cfRule type="containsBlanks" dxfId="127" priority="100">
      <formula>LEN(TRIM(AH168))=0</formula>
    </cfRule>
    <cfRule type="containsBlanks" dxfId="126" priority="101">
      <formula>LEN(TRIM(AH168))=0</formula>
    </cfRule>
    <cfRule type="containsBlanks" dxfId="125" priority="102">
      <formula>LEN(TRIM(AH168))=0</formula>
    </cfRule>
    <cfRule type="containsBlanks" dxfId="124" priority="103">
      <formula>LEN(TRIM(AH168))=0</formula>
    </cfRule>
    <cfRule type="containsBlanks" dxfId="123" priority="104">
      <formula>LEN(TRIM(AH168))=0</formula>
    </cfRule>
    <cfRule type="containsBlanks" dxfId="122" priority="105">
      <formula>LEN(TRIM(AH168))=0</formula>
    </cfRule>
    <cfRule type="containsBlanks" dxfId="121" priority="106">
      <formula>LEN(TRIM(AH168))=0</formula>
    </cfRule>
    <cfRule type="containsBlanks" dxfId="120" priority="107">
      <formula>LEN(TRIM(AH168))=0</formula>
    </cfRule>
    <cfRule type="containsBlanks" dxfId="119" priority="108">
      <formula>LEN(TRIM(AH168))=0</formula>
    </cfRule>
    <cfRule type="containsBlanks" dxfId="118" priority="109">
      <formula>LEN(TRIM(AH168))=0</formula>
    </cfRule>
    <cfRule type="containsBlanks" dxfId="117" priority="110">
      <formula>LEN(TRIM(AH168))=0</formula>
    </cfRule>
    <cfRule type="containsBlanks" dxfId="116" priority="111">
      <formula>LEN(TRIM(AH168))=0</formula>
    </cfRule>
    <cfRule type="containsBlanks" dxfId="115" priority="112">
      <formula>LEN(TRIM(AH168))=0</formula>
    </cfRule>
    <cfRule type="containsBlanks" dxfId="114" priority="113">
      <formula>LEN(TRIM(AH168))=0</formula>
    </cfRule>
    <cfRule type="containsBlanks" dxfId="113" priority="114">
      <formula>LEN(TRIM(AH168))=0</formula>
    </cfRule>
    <cfRule type="containsBlanks" dxfId="112" priority="115">
      <formula>LEN(TRIM(AH168))=0</formula>
    </cfRule>
    <cfRule type="containsBlanks" dxfId="111" priority="116">
      <formula>LEN(TRIM(AH168))=0</formula>
    </cfRule>
    <cfRule type="containsBlanks" dxfId="110" priority="117">
      <formula>LEN(TRIM(AH168))=0</formula>
    </cfRule>
    <cfRule type="containsBlanks" dxfId="109" priority="118">
      <formula>LEN(TRIM(AH168))=0</formula>
    </cfRule>
    <cfRule type="containsBlanks" dxfId="108" priority="119">
      <formula>LEN(TRIM(AH168))=0</formula>
    </cfRule>
    <cfRule type="containsBlanks" dxfId="107" priority="120">
      <formula>LEN(TRIM(AH168))=0</formula>
    </cfRule>
    <cfRule type="containsBlanks" dxfId="106" priority="121">
      <formula>LEN(TRIM(AH168))=0</formula>
    </cfRule>
    <cfRule type="containsBlanks" dxfId="105" priority="122">
      <formula>LEN(TRIM(AH168))=0</formula>
    </cfRule>
    <cfRule type="containsBlanks" dxfId="104" priority="123">
      <formula>LEN(TRIM(AH168))=0</formula>
    </cfRule>
    <cfRule type="containsBlanks" dxfId="103" priority="124">
      <formula>LEN(TRIM(AH168))=0</formula>
    </cfRule>
    <cfRule type="containsBlanks" dxfId="102" priority="125">
      <formula>LEN(TRIM(AH168))=0</formula>
    </cfRule>
    <cfRule type="containsBlanks" dxfId="101" priority="126">
      <formula>LEN(TRIM(AH168))=0</formula>
    </cfRule>
    <cfRule type="containsBlanks" dxfId="100" priority="127">
      <formula>LEN(TRIM(AH168))=0</formula>
    </cfRule>
    <cfRule type="containsBlanks" dxfId="99" priority="128">
      <formula>LEN(TRIM(AH168))=0</formula>
    </cfRule>
    <cfRule type="containsBlanks" dxfId="98" priority="129">
      <formula>LEN(TRIM(AH168))=0</formula>
    </cfRule>
    <cfRule type="containsBlanks" dxfId="97" priority="130">
      <formula>LEN(TRIM(AH168))=0</formula>
    </cfRule>
    <cfRule type="containsBlanks" dxfId="96" priority="131">
      <formula>LEN(TRIM(AH168))=0</formula>
    </cfRule>
    <cfRule type="containsBlanks" dxfId="95" priority="132">
      <formula>LEN(TRIM(AH168))=0</formula>
    </cfRule>
    <cfRule type="containsBlanks" dxfId="94" priority="133">
      <formula>LEN(TRIM(AH168))=0</formula>
    </cfRule>
    <cfRule type="containsBlanks" dxfId="93" priority="134">
      <formula>LEN(TRIM(AH168))=0</formula>
    </cfRule>
    <cfRule type="containsBlanks" dxfId="92" priority="135">
      <formula>LEN(TRIM(AH168))=0</formula>
    </cfRule>
    <cfRule type="containsBlanks" dxfId="91" priority="136">
      <formula>LEN(TRIM(AH168))=0</formula>
    </cfRule>
    <cfRule type="containsBlanks" dxfId="90" priority="137">
      <formula>LEN(TRIM(AH168))=0</formula>
    </cfRule>
    <cfRule type="containsBlanks" dxfId="89" priority="138">
      <formula>LEN(TRIM(AH168))=0</formula>
    </cfRule>
    <cfRule type="containsBlanks" dxfId="88" priority="139">
      <formula>LEN(TRIM(AH168))=0</formula>
    </cfRule>
    <cfRule type="containsBlanks" dxfId="87" priority="140">
      <formula>LEN(TRIM(AH168))=0</formula>
    </cfRule>
    <cfRule type="containsBlanks" dxfId="86" priority="141">
      <formula>LEN(TRIM(AH168))=0</formula>
    </cfRule>
  </conditionalFormatting>
  <conditionalFormatting sqref="AH168">
    <cfRule type="containsBlanks" dxfId="85" priority="3">
      <formula>LEN(TRIM(AH168))=0</formula>
    </cfRule>
    <cfRule type="containsBlanks" dxfId="84" priority="4">
      <formula>LEN(TRIM(AH168))=0</formula>
    </cfRule>
    <cfRule type="containsBlanks" dxfId="83" priority="5">
      <formula>LEN(TRIM(AH168))=0</formula>
    </cfRule>
    <cfRule type="containsBlanks" dxfId="82" priority="6">
      <formula>LEN(TRIM(AH168))=0</formula>
    </cfRule>
    <cfRule type="containsBlanks" dxfId="81" priority="7">
      <formula>LEN(TRIM(AH168))=0</formula>
    </cfRule>
    <cfRule type="containsBlanks" dxfId="80" priority="8">
      <formula>LEN(TRIM(AH168))=0</formula>
    </cfRule>
    <cfRule type="containsBlanks" dxfId="79" priority="9">
      <formula>LEN(TRIM(AH168))=0</formula>
    </cfRule>
    <cfRule type="containsBlanks" dxfId="78" priority="10">
      <formula>LEN(TRIM(AH168))=0</formula>
    </cfRule>
    <cfRule type="containsBlanks" dxfId="77" priority="11">
      <formula>LEN(TRIM(AH168))=0</formula>
    </cfRule>
    <cfRule type="containsBlanks" dxfId="76" priority="12">
      <formula>LEN(TRIM(AH168))=0</formula>
    </cfRule>
    <cfRule type="containsBlanks" dxfId="75" priority="13">
      <formula>LEN(TRIM(AH168))=0</formula>
    </cfRule>
    <cfRule type="containsBlanks" dxfId="74" priority="14">
      <formula>LEN(TRIM(AH168))=0</formula>
    </cfRule>
    <cfRule type="containsBlanks" dxfId="73" priority="15">
      <formula>LEN(TRIM(AH168))=0</formula>
    </cfRule>
    <cfRule type="containsBlanks" dxfId="72" priority="16">
      <formula>LEN(TRIM(AH168))=0</formula>
    </cfRule>
    <cfRule type="containsBlanks" dxfId="71" priority="17">
      <formula>LEN(TRIM(AH168))=0</formula>
    </cfRule>
    <cfRule type="containsBlanks" dxfId="70" priority="18">
      <formula>LEN(TRIM(AH168))=0</formula>
    </cfRule>
    <cfRule type="containsBlanks" dxfId="69" priority="19">
      <formula>LEN(TRIM(AH168))=0</formula>
    </cfRule>
    <cfRule type="containsBlanks" dxfId="68" priority="20">
      <formula>LEN(TRIM(AH168))=0</formula>
    </cfRule>
    <cfRule type="containsBlanks" dxfId="67" priority="21">
      <formula>LEN(TRIM(AH168))=0</formula>
    </cfRule>
    <cfRule type="containsBlanks" dxfId="66" priority="22">
      <formula>LEN(TRIM(AH168))=0</formula>
    </cfRule>
    <cfRule type="containsBlanks" dxfId="65" priority="23">
      <formula>LEN(TRIM(AH168))=0</formula>
    </cfRule>
    <cfRule type="containsBlanks" dxfId="64" priority="24">
      <formula>LEN(TRIM(AH168))=0</formula>
    </cfRule>
    <cfRule type="containsBlanks" dxfId="63" priority="25">
      <formula>LEN(TRIM(AH168))=0</formula>
    </cfRule>
    <cfRule type="containsBlanks" dxfId="62" priority="26">
      <formula>LEN(TRIM(AH168))=0</formula>
    </cfRule>
    <cfRule type="containsBlanks" dxfId="61" priority="27">
      <formula>LEN(TRIM(AH168))=0</formula>
    </cfRule>
    <cfRule type="containsBlanks" dxfId="60" priority="28">
      <formula>LEN(TRIM(AH168))=0</formula>
    </cfRule>
    <cfRule type="containsBlanks" dxfId="59" priority="29">
      <formula>LEN(TRIM(AH168))=0</formula>
    </cfRule>
    <cfRule type="containsBlanks" dxfId="58" priority="30">
      <formula>LEN(TRIM(AH168))=0</formula>
    </cfRule>
    <cfRule type="containsBlanks" dxfId="57" priority="31">
      <formula>LEN(TRIM(AH168))=0</formula>
    </cfRule>
    <cfRule type="containsBlanks" dxfId="56" priority="32">
      <formula>LEN(TRIM(AH168))=0</formula>
    </cfRule>
    <cfRule type="containsBlanks" dxfId="55" priority="33">
      <formula>LEN(TRIM(AH168))=0</formula>
    </cfRule>
    <cfRule type="containsBlanks" dxfId="54" priority="34">
      <formula>LEN(TRIM(AH168))=0</formula>
    </cfRule>
    <cfRule type="containsBlanks" dxfId="53" priority="35">
      <formula>LEN(TRIM(AH168))=0</formula>
    </cfRule>
    <cfRule type="containsBlanks" dxfId="52" priority="36">
      <formula>LEN(TRIM(AH168))=0</formula>
    </cfRule>
    <cfRule type="containsBlanks" dxfId="51" priority="37">
      <formula>LEN(TRIM(AH168))=0</formula>
    </cfRule>
    <cfRule type="containsBlanks" dxfId="50" priority="38">
      <formula>LEN(TRIM(AH168))=0</formula>
    </cfRule>
    <cfRule type="containsBlanks" dxfId="49" priority="39">
      <formula>LEN(TRIM(AH168))=0</formula>
    </cfRule>
    <cfRule type="containsBlanks" dxfId="48" priority="40">
      <formula>LEN(TRIM(AH168))=0</formula>
    </cfRule>
    <cfRule type="containsBlanks" dxfId="47" priority="41">
      <formula>LEN(TRIM(AH168))=0</formula>
    </cfRule>
    <cfRule type="containsBlanks" dxfId="46" priority="42">
      <formula>LEN(TRIM(AH168))=0</formula>
    </cfRule>
    <cfRule type="containsBlanks" dxfId="45" priority="43">
      <formula>LEN(TRIM(AH168))=0</formula>
    </cfRule>
    <cfRule type="containsBlanks" dxfId="44" priority="44">
      <formula>LEN(TRIM(AH168))=0</formula>
    </cfRule>
    <cfRule type="containsBlanks" dxfId="43" priority="45">
      <formula>LEN(TRIM(AH168))=0</formula>
    </cfRule>
    <cfRule type="containsBlanks" dxfId="42" priority="46">
      <formula>LEN(TRIM(AH168))=0</formula>
    </cfRule>
    <cfRule type="containsBlanks" dxfId="41" priority="47">
      <formula>LEN(TRIM(AH168))=0</formula>
    </cfRule>
    <cfRule type="containsBlanks" dxfId="40" priority="48">
      <formula>LEN(TRIM(AH168))=0</formula>
    </cfRule>
    <cfRule type="containsBlanks" dxfId="39" priority="49">
      <formula>LEN(TRIM(AH168))=0</formula>
    </cfRule>
    <cfRule type="containsBlanks" dxfId="38" priority="50">
      <formula>LEN(TRIM(AH168))=0</formula>
    </cfRule>
    <cfRule type="containsBlanks" dxfId="37" priority="51">
      <formula>LEN(TRIM(AH168))=0</formula>
    </cfRule>
    <cfRule type="containsBlanks" dxfId="36" priority="52">
      <formula>LEN(TRIM(AH168))=0</formula>
    </cfRule>
    <cfRule type="containsBlanks" dxfId="35" priority="53">
      <formula>LEN(TRIM(AH168))=0</formula>
    </cfRule>
    <cfRule type="containsBlanks" dxfId="34" priority="54">
      <formula>LEN(TRIM(AH168))=0</formula>
    </cfRule>
    <cfRule type="containsBlanks" dxfId="33" priority="55">
      <formula>LEN(TRIM(AH168))=0</formula>
    </cfRule>
    <cfRule type="containsBlanks" dxfId="32" priority="56">
      <formula>LEN(TRIM(AH168))=0</formula>
    </cfRule>
    <cfRule type="containsBlanks" dxfId="31" priority="57">
      <formula>LEN(TRIM(AH168))=0</formula>
    </cfRule>
    <cfRule type="containsBlanks" dxfId="30" priority="58">
      <formula>LEN(TRIM(AH168))=0</formula>
    </cfRule>
    <cfRule type="containsBlanks" dxfId="29" priority="59">
      <formula>LEN(TRIM(AH168))=0</formula>
    </cfRule>
    <cfRule type="containsBlanks" dxfId="28" priority="60">
      <formula>LEN(TRIM(AH168))=0</formula>
    </cfRule>
    <cfRule type="containsBlanks" dxfId="27" priority="61">
      <formula>LEN(TRIM(AH168))=0</formula>
    </cfRule>
    <cfRule type="containsBlanks" dxfId="26" priority="62">
      <formula>LEN(TRIM(AH168))=0</formula>
    </cfRule>
    <cfRule type="containsBlanks" dxfId="25" priority="63">
      <formula>LEN(TRIM(AH168))=0</formula>
    </cfRule>
    <cfRule type="containsBlanks" dxfId="24" priority="64">
      <formula>LEN(TRIM(AH168))=0</formula>
    </cfRule>
    <cfRule type="containsBlanks" dxfId="23" priority="65">
      <formula>LEN(TRIM(AH168))=0</formula>
    </cfRule>
    <cfRule type="containsBlanks" dxfId="22" priority="66">
      <formula>LEN(TRIM(AH168))=0</formula>
    </cfRule>
    <cfRule type="containsBlanks" dxfId="21" priority="67">
      <formula>LEN(TRIM(AH168))=0</formula>
    </cfRule>
    <cfRule type="containsBlanks" dxfId="20" priority="68">
      <formula>LEN(TRIM(AH168))=0</formula>
    </cfRule>
    <cfRule type="containsBlanks" dxfId="19" priority="69">
      <formula>LEN(TRIM(AH168))=0</formula>
    </cfRule>
    <cfRule type="containsBlanks" dxfId="18" priority="70">
      <formula>LEN(TRIM(AH168))=0</formula>
    </cfRule>
    <cfRule type="containsBlanks" dxfId="17" priority="71">
      <formula>LEN(TRIM(AH168))=0</formula>
    </cfRule>
    <cfRule type="containsBlanks" dxfId="16" priority="72">
      <formula>LEN(TRIM(AH168))=0</formula>
    </cfRule>
    <cfRule type="containsBlanks" dxfId="15" priority="73">
      <formula>LEN(TRIM(AH168))=0</formula>
    </cfRule>
    <cfRule type="containsBlanks" dxfId="14" priority="74">
      <formula>LEN(TRIM(AH168))=0</formula>
    </cfRule>
    <cfRule type="containsBlanks" dxfId="13" priority="75">
      <formula>LEN(TRIM(AH168))=0</formula>
    </cfRule>
    <cfRule type="containsBlanks" dxfId="12" priority="76">
      <formula>LEN(TRIM(AH168))=0</formula>
    </cfRule>
    <cfRule type="containsBlanks" dxfId="11" priority="77">
      <formula>LEN(TRIM(AH168))=0</formula>
    </cfRule>
    <cfRule type="containsBlanks" dxfId="10" priority="78">
      <formula>LEN(TRIM(AH168))=0</formula>
    </cfRule>
    <cfRule type="containsBlanks" dxfId="9" priority="79">
      <formula>LEN(TRIM(AH168))=0</formula>
    </cfRule>
    <cfRule type="containsBlanks" dxfId="8" priority="80">
      <formula>LEN(TRIM(AH168))=0</formula>
    </cfRule>
    <cfRule type="containsBlanks" dxfId="7" priority="81">
      <formula>LEN(TRIM(AH168))=0</formula>
    </cfRule>
    <cfRule type="containsBlanks" dxfId="6" priority="82">
      <formula>LEN(TRIM(AH168))=0</formula>
    </cfRule>
    <cfRule type="containsBlanks" dxfId="5" priority="83">
      <formula>LEN(TRIM(AH168))=0</formula>
    </cfRule>
    <cfRule type="containsBlanks" dxfId="4" priority="84">
      <formula>LEN(TRIM(AH168))=0</formula>
    </cfRule>
    <cfRule type="containsBlanks" dxfId="3" priority="85">
      <formula>LEN(TRIM(AH168))=0</formula>
    </cfRule>
    <cfRule type="containsBlanks" dxfId="2" priority="86">
      <formula>LEN(TRIM(AH168))=0</formula>
    </cfRule>
  </conditionalFormatting>
  <conditionalFormatting sqref="F88 H88:AG88">
    <cfRule type="expression" dxfId="1" priority="2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2" manualBreakCount="2">
    <brk id="55" max="38" man="1"/>
    <brk id="151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D15:K15 H16:K84 F16:F87 D16:E88 G16:G88 H85:AG87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4" zoomScale="25" zoomScaleNormal="25" zoomScaleSheetLayoutView="25" zoomScalePageLayoutView="40" workbookViewId="0">
      <selection activeCell="AE20" sqref="AE20"/>
    </sheetView>
  </sheetViews>
  <sheetFormatPr defaultColWidth="5.28515625" defaultRowHeight="15"/>
  <cols>
    <col min="1" max="1" width="8.42578125" style="892" customWidth="1"/>
    <col min="2" max="2" width="35.5703125" style="892" customWidth="1"/>
    <col min="3" max="30" width="14.28515625" style="892" customWidth="1"/>
    <col min="31" max="31" width="31.28515625" style="892" customWidth="1"/>
    <col min="32" max="32" width="31.140625" style="892" customWidth="1"/>
    <col min="33" max="33" width="30.85546875" style="892" hidden="1" customWidth="1"/>
    <col min="34" max="34" width="30.85546875" style="892" customWidth="1"/>
    <col min="35" max="35" width="31" style="892" customWidth="1"/>
    <col min="36" max="36" width="34.85546875" style="892" customWidth="1"/>
    <col min="37" max="37" width="14.85546875" style="892" hidden="1" customWidth="1"/>
    <col min="38" max="38" width="31.42578125" style="891" customWidth="1"/>
    <col min="39" max="39" width="5.28515625" style="891"/>
    <col min="40" max="40" width="14.5703125" style="891" customWidth="1"/>
    <col min="41" max="16384" width="5.28515625" style="892"/>
  </cols>
  <sheetData>
    <row r="2" spans="1:40" ht="44.25" customHeight="1">
      <c r="A2" s="1926" t="s">
        <v>90</v>
      </c>
      <c r="B2" s="1926"/>
      <c r="C2" s="1926"/>
      <c r="D2" s="1926"/>
      <c r="E2" s="1926"/>
      <c r="F2" s="1926"/>
      <c r="G2" s="1926"/>
      <c r="H2" s="1926"/>
      <c r="I2" s="1926"/>
      <c r="J2" s="1926"/>
      <c r="K2" s="1926"/>
      <c r="L2" s="1926"/>
      <c r="M2" s="1926"/>
      <c r="N2" s="1926"/>
      <c r="O2" s="1926"/>
      <c r="P2" s="1926"/>
      <c r="Q2" s="1926"/>
      <c r="R2" s="1926"/>
      <c r="S2" s="1926"/>
      <c r="T2" s="1926"/>
      <c r="U2" s="1926"/>
      <c r="V2" s="1926"/>
      <c r="W2" s="1926"/>
      <c r="X2" s="1926"/>
      <c r="Y2" s="1926"/>
      <c r="Z2" s="1926"/>
      <c r="AA2" s="1926"/>
      <c r="AB2" s="1926"/>
      <c r="AC2" s="1926"/>
      <c r="AD2" s="1926"/>
      <c r="AE2" s="1926"/>
      <c r="AF2" s="1926"/>
      <c r="AG2" s="1926"/>
      <c r="AH2" s="1926"/>
      <c r="AI2" s="1926"/>
      <c r="AJ2" s="1926"/>
      <c r="AK2" s="1926"/>
      <c r="AL2" s="1926"/>
      <c r="AM2" s="892"/>
      <c r="AN2" s="892"/>
    </row>
    <row r="3" spans="1:40" ht="40.5" customHeight="1">
      <c r="A3" s="1926" t="s">
        <v>91</v>
      </c>
      <c r="B3" s="1926"/>
      <c r="C3" s="1926"/>
      <c r="D3" s="1926"/>
      <c r="E3" s="1926"/>
      <c r="F3" s="1926"/>
      <c r="G3" s="1926"/>
      <c r="H3" s="1926"/>
      <c r="I3" s="1926"/>
      <c r="J3" s="1926"/>
      <c r="K3" s="1926"/>
      <c r="L3" s="1926"/>
      <c r="M3" s="1926"/>
      <c r="N3" s="1926"/>
      <c r="O3" s="1926"/>
      <c r="P3" s="1926"/>
      <c r="Q3" s="1926"/>
      <c r="R3" s="1926"/>
      <c r="S3" s="1926"/>
      <c r="T3" s="1926"/>
      <c r="U3" s="1926"/>
      <c r="V3" s="1926"/>
      <c r="W3" s="1926"/>
      <c r="X3" s="1926"/>
      <c r="Y3" s="1926"/>
      <c r="Z3" s="1926"/>
      <c r="AA3" s="1926"/>
      <c r="AB3" s="1926"/>
      <c r="AC3" s="1926"/>
      <c r="AD3" s="1926"/>
      <c r="AE3" s="1926"/>
      <c r="AF3" s="1926"/>
      <c r="AG3" s="1926"/>
      <c r="AH3" s="1926"/>
      <c r="AI3" s="1926"/>
      <c r="AJ3" s="1926"/>
      <c r="AK3" s="1926"/>
      <c r="AL3" s="1926"/>
      <c r="AM3" s="892"/>
      <c r="AN3" s="892"/>
    </row>
    <row r="4" spans="1:40" ht="36.75" customHeight="1">
      <c r="A4" s="1965" t="s">
        <v>604</v>
      </c>
      <c r="B4" s="1965"/>
      <c r="C4" s="1965"/>
      <c r="D4" s="1965"/>
      <c r="E4" s="1965"/>
      <c r="F4" s="1965"/>
      <c r="G4" s="1965"/>
      <c r="H4" s="1965"/>
      <c r="I4" s="1965"/>
      <c r="J4" s="1965"/>
      <c r="K4" s="1965"/>
      <c r="L4" s="1965"/>
      <c r="M4" s="1965"/>
      <c r="N4" s="1965"/>
      <c r="O4" s="1965"/>
      <c r="P4" s="1965"/>
      <c r="Q4" s="1965"/>
      <c r="R4" s="1965"/>
      <c r="S4" s="1965"/>
      <c r="T4" s="1965"/>
      <c r="U4" s="1965"/>
      <c r="V4" s="1965"/>
      <c r="W4" s="1965"/>
      <c r="X4" s="1965"/>
      <c r="Y4" s="1965"/>
      <c r="Z4" s="1965"/>
      <c r="AA4" s="1965"/>
      <c r="AB4" s="1965"/>
      <c r="AC4" s="1965"/>
      <c r="AD4" s="1965"/>
      <c r="AE4" s="1965"/>
      <c r="AF4" s="1965"/>
      <c r="AG4" s="1965"/>
      <c r="AH4" s="1965"/>
      <c r="AI4" s="1965"/>
      <c r="AJ4" s="1965"/>
      <c r="AK4" s="1965"/>
      <c r="AL4" s="1965"/>
      <c r="AM4" s="892"/>
      <c r="AN4" s="892"/>
    </row>
    <row r="5" spans="1:40" ht="16.5" customHeight="1">
      <c r="A5" s="1525"/>
      <c r="B5" s="1525"/>
      <c r="C5" s="1525"/>
      <c r="D5" s="1525"/>
      <c r="E5" s="1525"/>
      <c r="F5" s="1525"/>
      <c r="G5" s="1525"/>
      <c r="H5" s="1525"/>
      <c r="I5" s="1525"/>
      <c r="J5" s="1525"/>
      <c r="K5" s="1525"/>
      <c r="L5" s="1525"/>
      <c r="M5" s="1526"/>
      <c r="N5" s="1526"/>
      <c r="O5" s="1526"/>
      <c r="P5" s="1526"/>
      <c r="Q5" s="1526"/>
      <c r="R5" s="1526"/>
      <c r="S5" s="1526"/>
      <c r="T5" s="1526"/>
      <c r="U5" s="1526"/>
      <c r="V5" s="1526"/>
      <c r="W5" s="1526"/>
      <c r="X5" s="1526"/>
      <c r="Y5" s="1526"/>
      <c r="Z5" s="1526"/>
      <c r="AA5" s="1526"/>
      <c r="AB5" s="1526"/>
      <c r="AC5" s="1526"/>
      <c r="AD5" s="1526"/>
      <c r="AE5" s="1526"/>
      <c r="AF5" s="1526"/>
      <c r="AG5" s="1526"/>
      <c r="AH5" s="1526"/>
      <c r="AI5" s="1526"/>
      <c r="AJ5" s="936"/>
      <c r="AK5" s="937"/>
      <c r="AL5" s="937"/>
      <c r="AM5" s="892"/>
      <c r="AN5" s="892"/>
    </row>
    <row r="6" spans="1:40" ht="42" customHeight="1">
      <c r="A6" s="1926" t="s">
        <v>479</v>
      </c>
      <c r="B6" s="1926"/>
      <c r="C6" s="1926"/>
      <c r="D6" s="1926"/>
      <c r="E6" s="1926"/>
      <c r="F6" s="1926"/>
      <c r="G6" s="1926"/>
      <c r="H6" s="1926"/>
      <c r="I6" s="1926"/>
      <c r="J6" s="1926"/>
      <c r="K6" s="1926"/>
      <c r="L6" s="1926"/>
      <c r="M6" s="1926"/>
      <c r="N6" s="1926"/>
      <c r="O6" s="1926"/>
      <c r="P6" s="1526"/>
      <c r="Q6" s="1526"/>
      <c r="R6" s="1526"/>
      <c r="S6" s="1526"/>
      <c r="T6" s="1526"/>
      <c r="U6" s="1526"/>
      <c r="V6" s="1526"/>
      <c r="W6" s="1526"/>
      <c r="X6" s="1526"/>
      <c r="Y6" s="1526"/>
      <c r="Z6" s="1526"/>
      <c r="AA6" s="1526"/>
      <c r="AB6" s="1526"/>
      <c r="AC6" s="1526"/>
      <c r="AD6" s="1526"/>
      <c r="AE6" s="1526"/>
      <c r="AF6" s="1526"/>
      <c r="AG6" s="1526"/>
      <c r="AH6" s="1526"/>
      <c r="AI6" s="1526"/>
      <c r="AJ6" s="936"/>
      <c r="AK6" s="937"/>
      <c r="AL6" s="937"/>
      <c r="AM6" s="892"/>
      <c r="AN6" s="892"/>
    </row>
    <row r="7" spans="1:40" ht="39" customHeight="1">
      <c r="A7" s="1926" t="s">
        <v>101</v>
      </c>
      <c r="B7" s="1926"/>
      <c r="C7" s="1926"/>
      <c r="D7" s="1926"/>
      <c r="E7" s="1926"/>
      <c r="F7" s="1926"/>
      <c r="G7" s="1926"/>
      <c r="H7" s="1926"/>
      <c r="I7" s="1926"/>
      <c r="J7" s="1926"/>
      <c r="K7" s="1926"/>
      <c r="L7" s="1926"/>
      <c r="M7" s="1926"/>
      <c r="N7" s="1926"/>
      <c r="O7" s="1926"/>
      <c r="P7" s="1526"/>
      <c r="Q7" s="1526"/>
      <c r="R7" s="1526"/>
      <c r="S7" s="1526"/>
      <c r="T7" s="1526"/>
      <c r="U7" s="1526"/>
      <c r="V7" s="1526"/>
      <c r="W7" s="1526"/>
      <c r="X7" s="1526"/>
      <c r="Y7" s="1526"/>
      <c r="Z7" s="1526"/>
      <c r="AA7" s="1526"/>
      <c r="AB7" s="1526"/>
      <c r="AC7" s="1526"/>
      <c r="AD7" s="1526"/>
      <c r="AE7" s="1526"/>
      <c r="AF7" s="1526"/>
      <c r="AG7" s="1526"/>
      <c r="AH7" s="1526"/>
      <c r="AI7" s="1526"/>
      <c r="AJ7" s="936"/>
      <c r="AK7" s="937"/>
      <c r="AL7" s="937"/>
      <c r="AM7" s="892"/>
      <c r="AN7" s="892"/>
    </row>
    <row r="8" spans="1:40" ht="15" customHeight="1">
      <c r="A8" s="1926"/>
      <c r="B8" s="1926"/>
      <c r="C8" s="1926"/>
      <c r="D8" s="1926"/>
      <c r="E8" s="1926"/>
      <c r="F8" s="1926"/>
      <c r="G8" s="1926"/>
      <c r="H8" s="1926"/>
      <c r="I8" s="1926"/>
      <c r="J8" s="1926"/>
      <c r="K8" s="1926"/>
      <c r="L8" s="1926"/>
      <c r="M8" s="1926"/>
      <c r="N8" s="1926"/>
      <c r="O8" s="1926"/>
      <c r="P8" s="1926"/>
      <c r="Q8" s="1926"/>
      <c r="R8" s="1926"/>
      <c r="S8" s="1926"/>
      <c r="T8" s="1926"/>
      <c r="U8" s="1926"/>
      <c r="V8" s="1926"/>
      <c r="W8" s="1926"/>
      <c r="X8" s="1926"/>
      <c r="Y8" s="1926"/>
      <c r="Z8" s="1926"/>
      <c r="AA8" s="1926"/>
      <c r="AB8" s="1926"/>
      <c r="AC8" s="1926"/>
      <c r="AD8" s="1926"/>
      <c r="AE8" s="1926"/>
      <c r="AF8" s="1926"/>
      <c r="AG8" s="1926"/>
      <c r="AH8" s="1926"/>
      <c r="AI8" s="1926"/>
      <c r="AJ8" s="1926"/>
      <c r="AK8" s="937"/>
      <c r="AL8" s="937"/>
      <c r="AM8" s="892"/>
      <c r="AN8" s="892"/>
    </row>
    <row r="9" spans="1:40" ht="89.25" customHeight="1">
      <c r="A9" s="1967" t="s">
        <v>1151</v>
      </c>
      <c r="B9" s="1967"/>
      <c r="C9" s="1967"/>
      <c r="D9" s="1967"/>
      <c r="E9" s="1967"/>
      <c r="F9" s="1967"/>
      <c r="G9" s="1967"/>
      <c r="H9" s="1967"/>
      <c r="I9" s="1967"/>
      <c r="J9" s="1967"/>
      <c r="K9" s="1967"/>
      <c r="L9" s="1967"/>
      <c r="M9" s="1967"/>
      <c r="N9" s="1967"/>
      <c r="O9" s="1967"/>
      <c r="P9" s="1967"/>
      <c r="Q9" s="1967"/>
      <c r="R9" s="1967"/>
      <c r="S9" s="1967"/>
      <c r="T9" s="1967"/>
      <c r="U9" s="1967"/>
      <c r="V9" s="1967"/>
      <c r="W9" s="1967"/>
      <c r="X9" s="1967"/>
      <c r="Y9" s="1967"/>
      <c r="Z9" s="1967"/>
      <c r="AA9" s="1967"/>
      <c r="AB9" s="1967"/>
      <c r="AC9" s="1967"/>
      <c r="AD9" s="1967"/>
      <c r="AE9" s="1967"/>
      <c r="AF9" s="1967"/>
      <c r="AG9" s="1967"/>
      <c r="AH9" s="1967"/>
      <c r="AI9" s="1967"/>
      <c r="AJ9" s="1967"/>
      <c r="AL9" s="892"/>
      <c r="AM9" s="892"/>
      <c r="AN9" s="892"/>
    </row>
    <row r="10" spans="1:40" ht="36.75" customHeight="1">
      <c r="A10" s="894"/>
      <c r="B10" s="894"/>
      <c r="C10" s="894"/>
      <c r="D10" s="894"/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4"/>
      <c r="R10" s="894"/>
      <c r="S10" s="894"/>
      <c r="T10" s="894"/>
      <c r="U10" s="894"/>
      <c r="V10" s="894"/>
      <c r="W10" s="894"/>
      <c r="X10" s="894"/>
      <c r="Y10" s="894"/>
      <c r="Z10" s="894"/>
      <c r="AA10" s="894"/>
      <c r="AB10" s="894"/>
      <c r="AC10" s="894"/>
      <c r="AD10" s="894"/>
      <c r="AE10" s="894"/>
      <c r="AF10" s="894"/>
      <c r="AG10" s="894"/>
      <c r="AH10" s="1934"/>
      <c r="AI10" s="1934"/>
      <c r="AJ10" s="1036"/>
      <c r="AK10" s="1216" t="s">
        <v>974</v>
      </c>
      <c r="AL10" s="1217"/>
      <c r="AM10" s="892"/>
      <c r="AN10" s="892"/>
    </row>
    <row r="11" spans="1:40" ht="48" customHeight="1">
      <c r="A11" s="1964" t="s">
        <v>28</v>
      </c>
      <c r="B11" s="1964" t="s">
        <v>29</v>
      </c>
      <c r="C11" s="1964" t="s">
        <v>85</v>
      </c>
      <c r="D11" s="1964"/>
      <c r="E11" s="1964"/>
      <c r="F11" s="1964"/>
      <c r="G11" s="1964"/>
      <c r="H11" s="1964"/>
      <c r="I11" s="1964"/>
      <c r="J11" s="1964"/>
      <c r="K11" s="1964"/>
      <c r="L11" s="1964"/>
      <c r="M11" s="1964"/>
      <c r="N11" s="1964"/>
      <c r="O11" s="1964"/>
      <c r="P11" s="1964"/>
      <c r="Q11" s="1964"/>
      <c r="R11" s="1964"/>
      <c r="S11" s="1964"/>
      <c r="T11" s="1964"/>
      <c r="U11" s="1964"/>
      <c r="V11" s="1964"/>
      <c r="W11" s="1964"/>
      <c r="X11" s="1964"/>
      <c r="Y11" s="1964"/>
      <c r="Z11" s="1964"/>
      <c r="AA11" s="1964"/>
      <c r="AB11" s="1964"/>
      <c r="AC11" s="1964"/>
      <c r="AD11" s="1964"/>
      <c r="AE11" s="1964"/>
      <c r="AF11" s="1964"/>
      <c r="AG11" s="1964"/>
      <c r="AH11" s="1966" t="s">
        <v>1016</v>
      </c>
      <c r="AI11" s="1966" t="s">
        <v>839</v>
      </c>
      <c r="AJ11" s="1966" t="s">
        <v>195</v>
      </c>
      <c r="AK11" s="1966" t="s">
        <v>793</v>
      </c>
      <c r="AL11" s="1964" t="s">
        <v>803</v>
      </c>
      <c r="AM11" s="892"/>
      <c r="AN11" s="892"/>
    </row>
    <row r="12" spans="1:40" ht="99" customHeight="1">
      <c r="A12" s="1964"/>
      <c r="B12" s="1964"/>
      <c r="C12" s="1527">
        <v>1</v>
      </c>
      <c r="D12" s="1527">
        <v>2</v>
      </c>
      <c r="E12" s="1527">
        <v>3</v>
      </c>
      <c r="F12" s="1527">
        <v>4</v>
      </c>
      <c r="G12" s="1527">
        <v>5</v>
      </c>
      <c r="H12" s="1527">
        <v>6</v>
      </c>
      <c r="I12" s="1527">
        <v>7</v>
      </c>
      <c r="J12" s="1527">
        <v>8</v>
      </c>
      <c r="K12" s="1527">
        <v>9</v>
      </c>
      <c r="L12" s="1527">
        <v>10</v>
      </c>
      <c r="M12" s="1527">
        <v>11</v>
      </c>
      <c r="N12" s="1527">
        <v>12</v>
      </c>
      <c r="O12" s="1527">
        <v>13</v>
      </c>
      <c r="P12" s="1527">
        <v>14</v>
      </c>
      <c r="Q12" s="1527">
        <v>15</v>
      </c>
      <c r="R12" s="1527">
        <v>16</v>
      </c>
      <c r="S12" s="1527">
        <v>17</v>
      </c>
      <c r="T12" s="1527">
        <v>18</v>
      </c>
      <c r="U12" s="1527">
        <v>19</v>
      </c>
      <c r="V12" s="1527">
        <v>20</v>
      </c>
      <c r="W12" s="1527">
        <v>21</v>
      </c>
      <c r="X12" s="1527">
        <v>22</v>
      </c>
      <c r="Y12" s="1527">
        <v>23</v>
      </c>
      <c r="Z12" s="1527">
        <v>24</v>
      </c>
      <c r="AA12" s="1527">
        <v>25</v>
      </c>
      <c r="AB12" s="1527">
        <v>26</v>
      </c>
      <c r="AC12" s="1527">
        <v>27</v>
      </c>
      <c r="AD12" s="1527">
        <v>28</v>
      </c>
      <c r="AE12" s="1691">
        <v>45717</v>
      </c>
      <c r="AF12" s="1691">
        <v>45718</v>
      </c>
      <c r="AG12" s="1527"/>
      <c r="AH12" s="1966"/>
      <c r="AI12" s="1966"/>
      <c r="AJ12" s="1966"/>
      <c r="AK12" s="1966"/>
      <c r="AL12" s="1964"/>
      <c r="AM12" s="892"/>
      <c r="AN12" s="892"/>
    </row>
    <row r="13" spans="1:40" ht="99" customHeight="1">
      <c r="A13" s="1963" t="s">
        <v>1017</v>
      </c>
      <c r="B13" s="1963"/>
      <c r="C13" s="1528">
        <f>C14</f>
        <v>0</v>
      </c>
      <c r="D13" s="1528">
        <f t="shared" ref="D13:AD13" si="0">D14</f>
        <v>0</v>
      </c>
      <c r="E13" s="1528">
        <f t="shared" si="0"/>
        <v>0</v>
      </c>
      <c r="F13" s="1528">
        <f t="shared" si="0"/>
        <v>0</v>
      </c>
      <c r="G13" s="1528">
        <f t="shared" si="0"/>
        <v>0</v>
      </c>
      <c r="H13" s="1528">
        <f t="shared" si="0"/>
        <v>0</v>
      </c>
      <c r="I13" s="1529">
        <f t="shared" si="0"/>
        <v>0</v>
      </c>
      <c r="J13" s="1529">
        <f t="shared" si="0"/>
        <v>0</v>
      </c>
      <c r="K13" s="1529">
        <f t="shared" si="0"/>
        <v>0</v>
      </c>
      <c r="L13" s="1529">
        <f t="shared" si="0"/>
        <v>0</v>
      </c>
      <c r="M13" s="1529">
        <f t="shared" si="0"/>
        <v>0</v>
      </c>
      <c r="N13" s="1529">
        <f t="shared" si="0"/>
        <v>0</v>
      </c>
      <c r="O13" s="1529">
        <f t="shared" si="0"/>
        <v>0</v>
      </c>
      <c r="P13" s="1529">
        <f t="shared" si="0"/>
        <v>0</v>
      </c>
      <c r="Q13" s="1529">
        <f t="shared" si="0"/>
        <v>0</v>
      </c>
      <c r="R13" s="1529">
        <f t="shared" si="0"/>
        <v>0</v>
      </c>
      <c r="S13" s="1529">
        <f t="shared" si="0"/>
        <v>0</v>
      </c>
      <c r="T13" s="1529">
        <f t="shared" si="0"/>
        <v>0</v>
      </c>
      <c r="U13" s="1529">
        <f t="shared" si="0"/>
        <v>0</v>
      </c>
      <c r="V13" s="1529">
        <f t="shared" si="0"/>
        <v>0</v>
      </c>
      <c r="W13" s="1529">
        <f t="shared" si="0"/>
        <v>0</v>
      </c>
      <c r="X13" s="1529">
        <f t="shared" si="0"/>
        <v>0</v>
      </c>
      <c r="Y13" s="1529">
        <f t="shared" si="0"/>
        <v>0</v>
      </c>
      <c r="Z13" s="1529">
        <f t="shared" si="0"/>
        <v>0</v>
      </c>
      <c r="AA13" s="1529">
        <f t="shared" si="0"/>
        <v>0</v>
      </c>
      <c r="AB13" s="1529">
        <f t="shared" si="0"/>
        <v>0</v>
      </c>
      <c r="AC13" s="1529">
        <f t="shared" si="0"/>
        <v>0</v>
      </c>
      <c r="AD13" s="1529">
        <f t="shared" si="0"/>
        <v>0</v>
      </c>
      <c r="AE13" s="1529">
        <f>AE14</f>
        <v>0</v>
      </c>
      <c r="AF13" s="1529">
        <f t="shared" ref="AF13" si="1">AF14</f>
        <v>0</v>
      </c>
      <c r="AG13" s="1529"/>
      <c r="AH13" s="1529">
        <f>AH14</f>
        <v>0</v>
      </c>
      <c r="AI13" s="1692"/>
      <c r="AJ13" s="1529">
        <f t="shared" ref="AJ13:AK13" si="2">AJ14</f>
        <v>0</v>
      </c>
      <c r="AK13" s="1530">
        <f t="shared" si="2"/>
        <v>0</v>
      </c>
      <c r="AL13" s="1527"/>
      <c r="AM13" s="892"/>
      <c r="AN13" s="892"/>
    </row>
    <row r="14" spans="1:40" ht="99" customHeight="1">
      <c r="A14" s="1531">
        <v>1</v>
      </c>
      <c r="B14" s="1532" t="s">
        <v>843</v>
      </c>
      <c r="C14" s="1531"/>
      <c r="D14" s="1531"/>
      <c r="E14" s="1531"/>
      <c r="F14" s="1531"/>
      <c r="G14" s="1531"/>
      <c r="H14" s="1531"/>
      <c r="I14" s="1533"/>
      <c r="J14" s="1533"/>
      <c r="K14" s="1533"/>
      <c r="L14" s="1533"/>
      <c r="M14" s="1533"/>
      <c r="N14" s="1533"/>
      <c r="O14" s="1533"/>
      <c r="P14" s="1533"/>
      <c r="Q14" s="1533"/>
      <c r="R14" s="1533"/>
      <c r="S14" s="1533"/>
      <c r="T14" s="1533"/>
      <c r="U14" s="1533"/>
      <c r="V14" s="1533"/>
      <c r="W14" s="1533"/>
      <c r="X14" s="1533"/>
      <c r="Y14" s="1533"/>
      <c r="Z14" s="1533"/>
      <c r="AA14" s="1533"/>
      <c r="AB14" s="1533"/>
      <c r="AC14" s="1533"/>
      <c r="AD14" s="1533"/>
      <c r="AE14" s="1533"/>
      <c r="AF14" s="1538"/>
      <c r="AG14" s="1533"/>
      <c r="AH14" s="1534">
        <f>SUM(C14:AG14)</f>
        <v>0</v>
      </c>
      <c r="AI14" s="1535">
        <v>48.216842105263161</v>
      </c>
      <c r="AJ14" s="1536">
        <f>AH14*AI14/100</f>
        <v>0</v>
      </c>
      <c r="AK14" s="1537"/>
      <c r="AL14" s="1527"/>
      <c r="AM14" s="892"/>
      <c r="AN14" s="892"/>
    </row>
    <row r="15" spans="1:40" s="893" customFormat="1" ht="99" customHeight="1">
      <c r="A15" s="1963" t="s">
        <v>1018</v>
      </c>
      <c r="B15" s="1963"/>
      <c r="C15" s="1528">
        <f>C16</f>
        <v>0</v>
      </c>
      <c r="D15" s="1528">
        <f t="shared" ref="D15:AJ15" si="3">D16</f>
        <v>0</v>
      </c>
      <c r="E15" s="1528">
        <f t="shared" si="3"/>
        <v>0</v>
      </c>
      <c r="F15" s="1528">
        <f t="shared" si="3"/>
        <v>0</v>
      </c>
      <c r="G15" s="1528">
        <f t="shared" si="3"/>
        <v>0</v>
      </c>
      <c r="H15" s="1528">
        <f t="shared" si="3"/>
        <v>0</v>
      </c>
      <c r="I15" s="1529">
        <f t="shared" si="3"/>
        <v>0</v>
      </c>
      <c r="J15" s="1529">
        <f t="shared" si="3"/>
        <v>0</v>
      </c>
      <c r="K15" s="1529">
        <f t="shared" si="3"/>
        <v>0</v>
      </c>
      <c r="L15" s="1529">
        <f t="shared" si="3"/>
        <v>0</v>
      </c>
      <c r="M15" s="1529">
        <f t="shared" si="3"/>
        <v>0</v>
      </c>
      <c r="N15" s="1529">
        <f t="shared" si="3"/>
        <v>0</v>
      </c>
      <c r="O15" s="1529">
        <f t="shared" si="3"/>
        <v>0</v>
      </c>
      <c r="P15" s="1529">
        <f t="shared" si="3"/>
        <v>0</v>
      </c>
      <c r="Q15" s="1529">
        <f t="shared" si="3"/>
        <v>0</v>
      </c>
      <c r="R15" s="1529">
        <f t="shared" si="3"/>
        <v>0</v>
      </c>
      <c r="S15" s="1529">
        <f t="shared" si="3"/>
        <v>0</v>
      </c>
      <c r="T15" s="1529">
        <f t="shared" si="3"/>
        <v>0</v>
      </c>
      <c r="U15" s="1529">
        <f t="shared" si="3"/>
        <v>0</v>
      </c>
      <c r="V15" s="1529">
        <f t="shared" si="3"/>
        <v>0</v>
      </c>
      <c r="W15" s="1529">
        <f t="shared" si="3"/>
        <v>0</v>
      </c>
      <c r="X15" s="1529">
        <f t="shared" si="3"/>
        <v>0</v>
      </c>
      <c r="Y15" s="1529">
        <f t="shared" si="3"/>
        <v>0</v>
      </c>
      <c r="Z15" s="1529">
        <f t="shared" si="3"/>
        <v>0</v>
      </c>
      <c r="AA15" s="1529">
        <f t="shared" si="3"/>
        <v>0</v>
      </c>
      <c r="AB15" s="1529">
        <f t="shared" si="3"/>
        <v>0</v>
      </c>
      <c r="AC15" s="1529">
        <f t="shared" si="3"/>
        <v>0</v>
      </c>
      <c r="AD15" s="1529">
        <f t="shared" si="3"/>
        <v>0</v>
      </c>
      <c r="AE15" s="1529">
        <f t="shared" si="3"/>
        <v>0</v>
      </c>
      <c r="AF15" s="1529">
        <f t="shared" si="3"/>
        <v>0</v>
      </c>
      <c r="AG15" s="1529"/>
      <c r="AH15" s="1529">
        <f t="shared" si="3"/>
        <v>0</v>
      </c>
      <c r="AI15" s="1692"/>
      <c r="AJ15" s="1529">
        <f t="shared" si="3"/>
        <v>0</v>
      </c>
      <c r="AK15" s="1537"/>
      <c r="AL15" s="1527"/>
    </row>
    <row r="16" spans="1:40" ht="99" customHeight="1">
      <c r="A16" s="1532">
        <v>1</v>
      </c>
      <c r="B16" s="1532" t="s">
        <v>843</v>
      </c>
      <c r="C16" s="1532"/>
      <c r="D16" s="1532"/>
      <c r="E16" s="1532"/>
      <c r="F16" s="1532"/>
      <c r="G16" s="1532"/>
      <c r="H16" s="1532"/>
      <c r="I16" s="1538"/>
      <c r="J16" s="1538"/>
      <c r="K16" s="1538"/>
      <c r="L16" s="1538"/>
      <c r="M16" s="1538"/>
      <c r="N16" s="1538"/>
      <c r="O16" s="1538"/>
      <c r="P16" s="1538"/>
      <c r="Q16" s="1538"/>
      <c r="R16" s="1538"/>
      <c r="S16" s="1538"/>
      <c r="T16" s="1538"/>
      <c r="U16" s="1538"/>
      <c r="V16" s="1538"/>
      <c r="W16" s="1538"/>
      <c r="X16" s="1538"/>
      <c r="Y16" s="1538"/>
      <c r="Z16" s="1538"/>
      <c r="AA16" s="1538"/>
      <c r="AB16" s="1538"/>
      <c r="AC16" s="1538"/>
      <c r="AD16" s="1538"/>
      <c r="AE16" s="1538"/>
      <c r="AF16" s="1538"/>
      <c r="AG16" s="1538"/>
      <c r="AH16" s="1534">
        <f>SUM(C16:AG16)</f>
        <v>0</v>
      </c>
      <c r="AI16" s="1535">
        <v>44.234999999999999</v>
      </c>
      <c r="AJ16" s="1536">
        <f>AH16*AI16/100</f>
        <v>0</v>
      </c>
      <c r="AK16" s="1537"/>
      <c r="AL16" s="1527"/>
      <c r="AM16" s="892"/>
      <c r="AN16" s="892"/>
    </row>
    <row r="17" spans="1:44" s="893" customFormat="1" ht="99" customHeight="1">
      <c r="A17" s="1963" t="s">
        <v>1019</v>
      </c>
      <c r="B17" s="1963"/>
      <c r="C17" s="1528">
        <f>C18</f>
        <v>0</v>
      </c>
      <c r="D17" s="1528">
        <f t="shared" ref="D17:AK17" si="4">D18</f>
        <v>0</v>
      </c>
      <c r="E17" s="1528">
        <f t="shared" si="4"/>
        <v>0</v>
      </c>
      <c r="F17" s="1528">
        <f t="shared" si="4"/>
        <v>0</v>
      </c>
      <c r="G17" s="1528">
        <f t="shared" si="4"/>
        <v>0</v>
      </c>
      <c r="H17" s="1528">
        <f t="shared" si="4"/>
        <v>0</v>
      </c>
      <c r="I17" s="1529">
        <f t="shared" si="4"/>
        <v>0</v>
      </c>
      <c r="J17" s="1529">
        <f t="shared" si="4"/>
        <v>0</v>
      </c>
      <c r="K17" s="1529">
        <f t="shared" si="4"/>
        <v>0</v>
      </c>
      <c r="L17" s="1529">
        <f t="shared" si="4"/>
        <v>0</v>
      </c>
      <c r="M17" s="1529">
        <f t="shared" si="4"/>
        <v>0</v>
      </c>
      <c r="N17" s="1529">
        <f t="shared" si="4"/>
        <v>0</v>
      </c>
      <c r="O17" s="1529">
        <f t="shared" si="4"/>
        <v>0</v>
      </c>
      <c r="P17" s="1529">
        <f t="shared" si="4"/>
        <v>0</v>
      </c>
      <c r="Q17" s="1529">
        <f t="shared" si="4"/>
        <v>0</v>
      </c>
      <c r="R17" s="1529">
        <f t="shared" si="4"/>
        <v>0</v>
      </c>
      <c r="S17" s="1529">
        <f t="shared" si="4"/>
        <v>0</v>
      </c>
      <c r="T17" s="1529">
        <f t="shared" si="4"/>
        <v>0</v>
      </c>
      <c r="U17" s="1529">
        <f t="shared" si="4"/>
        <v>0</v>
      </c>
      <c r="V17" s="1529">
        <f t="shared" si="4"/>
        <v>0</v>
      </c>
      <c r="W17" s="1529">
        <f t="shared" si="4"/>
        <v>0</v>
      </c>
      <c r="X17" s="1529">
        <f t="shared" si="4"/>
        <v>0</v>
      </c>
      <c r="Y17" s="1529">
        <f t="shared" si="4"/>
        <v>0</v>
      </c>
      <c r="Z17" s="1529">
        <f t="shared" si="4"/>
        <v>0</v>
      </c>
      <c r="AA17" s="1529">
        <f t="shared" si="4"/>
        <v>0</v>
      </c>
      <c r="AB17" s="1529">
        <f t="shared" si="4"/>
        <v>0</v>
      </c>
      <c r="AC17" s="1529">
        <f t="shared" si="4"/>
        <v>0</v>
      </c>
      <c r="AD17" s="1529">
        <f t="shared" si="4"/>
        <v>0</v>
      </c>
      <c r="AE17" s="1529">
        <f t="shared" si="4"/>
        <v>0</v>
      </c>
      <c r="AF17" s="1529">
        <f t="shared" si="4"/>
        <v>0</v>
      </c>
      <c r="AG17" s="1529"/>
      <c r="AH17" s="1529">
        <f t="shared" si="4"/>
        <v>0</v>
      </c>
      <c r="AI17" s="1692"/>
      <c r="AJ17" s="1529">
        <f t="shared" si="4"/>
        <v>0</v>
      </c>
      <c r="AK17" s="1528">
        <f t="shared" si="4"/>
        <v>0</v>
      </c>
      <c r="AL17" s="1527"/>
    </row>
    <row r="18" spans="1:44" ht="99" customHeight="1">
      <c r="A18" s="1532">
        <v>1</v>
      </c>
      <c r="B18" s="1532" t="s">
        <v>843</v>
      </c>
      <c r="C18" s="1532"/>
      <c r="D18" s="1532"/>
      <c r="E18" s="1532"/>
      <c r="F18" s="1532"/>
      <c r="G18" s="1532"/>
      <c r="H18" s="1532"/>
      <c r="I18" s="1538"/>
      <c r="J18" s="1538"/>
      <c r="K18" s="1538"/>
      <c r="L18" s="1538"/>
      <c r="M18" s="1538"/>
      <c r="N18" s="1538"/>
      <c r="O18" s="1538"/>
      <c r="P18" s="1538"/>
      <c r="Q18" s="1538"/>
      <c r="R18" s="1538"/>
      <c r="S18" s="1538"/>
      <c r="T18" s="1538"/>
      <c r="U18" s="1538"/>
      <c r="V18" s="1538"/>
      <c r="W18" s="1538"/>
      <c r="X18" s="1538"/>
      <c r="Y18" s="1538"/>
      <c r="Z18" s="1538"/>
      <c r="AA18" s="1538"/>
      <c r="AB18" s="1538"/>
      <c r="AC18" s="1538"/>
      <c r="AD18" s="1538"/>
      <c r="AE18" s="1538"/>
      <c r="AF18" s="1538"/>
      <c r="AG18" s="1538"/>
      <c r="AH18" s="1534">
        <f>SUM(C18:AG18)</f>
        <v>0</v>
      </c>
      <c r="AI18" s="1535">
        <v>47.395652173913042</v>
      </c>
      <c r="AJ18" s="1536">
        <f>AH18*AI18/100</f>
        <v>0</v>
      </c>
      <c r="AK18" s="1537"/>
      <c r="AL18" s="1527"/>
      <c r="AM18" s="892"/>
      <c r="AN18" s="892"/>
    </row>
    <row r="19" spans="1:44" s="893" customFormat="1" ht="85.5" customHeight="1">
      <c r="A19" s="1963" t="s">
        <v>609</v>
      </c>
      <c r="B19" s="1963"/>
      <c r="C19" s="1528">
        <f>C20</f>
        <v>0</v>
      </c>
      <c r="D19" s="1528">
        <f t="shared" ref="D19:AJ19" si="5">D20</f>
        <v>0</v>
      </c>
      <c r="E19" s="1528">
        <f t="shared" si="5"/>
        <v>0</v>
      </c>
      <c r="F19" s="1528">
        <f t="shared" si="5"/>
        <v>0</v>
      </c>
      <c r="G19" s="1528">
        <f t="shared" si="5"/>
        <v>0</v>
      </c>
      <c r="H19" s="1528">
        <f t="shared" si="5"/>
        <v>0</v>
      </c>
      <c r="I19" s="1529">
        <f t="shared" si="5"/>
        <v>0</v>
      </c>
      <c r="J19" s="1529">
        <f t="shared" si="5"/>
        <v>0</v>
      </c>
      <c r="K19" s="1529">
        <f t="shared" si="5"/>
        <v>0</v>
      </c>
      <c r="L19" s="1529">
        <f t="shared" si="5"/>
        <v>0</v>
      </c>
      <c r="M19" s="1529">
        <f t="shared" si="5"/>
        <v>0</v>
      </c>
      <c r="N19" s="1529">
        <f t="shared" si="5"/>
        <v>0</v>
      </c>
      <c r="O19" s="1529">
        <f t="shared" si="5"/>
        <v>0</v>
      </c>
      <c r="P19" s="1529">
        <f t="shared" si="5"/>
        <v>0</v>
      </c>
      <c r="Q19" s="1529">
        <f t="shared" si="5"/>
        <v>0</v>
      </c>
      <c r="R19" s="1529">
        <f t="shared" si="5"/>
        <v>0</v>
      </c>
      <c r="S19" s="1529">
        <f t="shared" si="5"/>
        <v>0</v>
      </c>
      <c r="T19" s="1529">
        <f t="shared" si="5"/>
        <v>0</v>
      </c>
      <c r="U19" s="1529">
        <f t="shared" si="5"/>
        <v>0</v>
      </c>
      <c r="V19" s="1529">
        <f t="shared" si="5"/>
        <v>0</v>
      </c>
      <c r="W19" s="1529">
        <f t="shared" si="5"/>
        <v>0</v>
      </c>
      <c r="X19" s="1529">
        <f t="shared" si="5"/>
        <v>0</v>
      </c>
      <c r="Y19" s="1529">
        <f t="shared" si="5"/>
        <v>0</v>
      </c>
      <c r="Z19" s="1529">
        <f t="shared" si="5"/>
        <v>0</v>
      </c>
      <c r="AA19" s="1529">
        <f t="shared" si="5"/>
        <v>0</v>
      </c>
      <c r="AB19" s="1529">
        <f t="shared" si="5"/>
        <v>0</v>
      </c>
      <c r="AC19" s="1529">
        <f t="shared" si="5"/>
        <v>0</v>
      </c>
      <c r="AD19" s="1529">
        <f t="shared" si="5"/>
        <v>0</v>
      </c>
      <c r="AE19" s="1529">
        <f t="shared" si="5"/>
        <v>0</v>
      </c>
      <c r="AF19" s="1529">
        <f t="shared" si="5"/>
        <v>0</v>
      </c>
      <c r="AG19" s="1529"/>
      <c r="AH19" s="1529">
        <f t="shared" si="5"/>
        <v>0</v>
      </c>
      <c r="AI19" s="1692"/>
      <c r="AJ19" s="1529">
        <f t="shared" si="5"/>
        <v>0</v>
      </c>
      <c r="AK19" s="1547"/>
      <c r="AL19" s="1547"/>
      <c r="AN19" s="1548" t="e">
        <f>SUM(#REF!)</f>
        <v>#REF!</v>
      </c>
    </row>
    <row r="20" spans="1:44" s="1140" customFormat="1" ht="116.25" customHeight="1">
      <c r="A20" s="1532">
        <v>1</v>
      </c>
      <c r="B20" s="1532" t="s">
        <v>843</v>
      </c>
      <c r="C20" s="1540"/>
      <c r="D20" s="1540"/>
      <c r="E20" s="1540"/>
      <c r="F20" s="1540"/>
      <c r="G20" s="1540"/>
      <c r="H20" s="1540"/>
      <c r="I20" s="1541"/>
      <c r="J20" s="1541"/>
      <c r="K20" s="1541"/>
      <c r="L20" s="1541"/>
      <c r="M20" s="1541"/>
      <c r="N20" s="1541"/>
      <c r="O20" s="1541"/>
      <c r="P20" s="1541"/>
      <c r="Q20" s="1541"/>
      <c r="R20" s="1541"/>
      <c r="S20" s="1541"/>
      <c r="T20" s="1541"/>
      <c r="U20" s="1541"/>
      <c r="V20" s="1541"/>
      <c r="W20" s="1541"/>
      <c r="X20" s="1541"/>
      <c r="Y20" s="1541"/>
      <c r="Z20" s="1541"/>
      <c r="AA20" s="1541"/>
      <c r="AB20" s="1541"/>
      <c r="AC20" s="1541"/>
      <c r="AD20" s="1541"/>
      <c r="AE20" s="1541"/>
      <c r="AF20" s="1541"/>
      <c r="AG20" s="1541"/>
      <c r="AH20" s="1534">
        <f>SUM(C20:AG20)</f>
        <v>0</v>
      </c>
      <c r="AI20" s="1693">
        <v>47.340606060606056</v>
      </c>
      <c r="AJ20" s="1536">
        <f>AH20*AI20/100</f>
        <v>0</v>
      </c>
      <c r="AK20" s="1527"/>
      <c r="AL20" s="1539"/>
      <c r="AM20" s="892"/>
      <c r="AN20" s="892"/>
      <c r="AO20" s="892"/>
      <c r="AP20" s="892"/>
      <c r="AQ20" s="892"/>
      <c r="AR20" s="892"/>
    </row>
    <row r="21" spans="1:44" s="1140" customFormat="1" ht="80.25" customHeight="1">
      <c r="A21" s="1964" t="s">
        <v>256</v>
      </c>
      <c r="B21" s="1964"/>
      <c r="C21" s="1542"/>
      <c r="D21" s="1542"/>
      <c r="E21" s="1542"/>
      <c r="F21" s="1542"/>
      <c r="G21" s="1542"/>
      <c r="H21" s="1542"/>
      <c r="I21" s="1543"/>
      <c r="J21" s="1543"/>
      <c r="K21" s="1543"/>
      <c r="L21" s="1543"/>
      <c r="M21" s="1543"/>
      <c r="N21" s="1543"/>
      <c r="O21" s="1543"/>
      <c r="P21" s="1543"/>
      <c r="Q21" s="1543"/>
      <c r="R21" s="1543"/>
      <c r="S21" s="1543"/>
      <c r="T21" s="1543"/>
      <c r="U21" s="1543"/>
      <c r="V21" s="1543"/>
      <c r="W21" s="1543"/>
      <c r="X21" s="1543"/>
      <c r="Y21" s="1543"/>
      <c r="Z21" s="1543"/>
      <c r="AA21" s="1543"/>
      <c r="AB21" s="1543"/>
      <c r="AC21" s="1543"/>
      <c r="AD21" s="1543"/>
      <c r="AE21" s="1545">
        <f t="shared" ref="AE21:AF21" si="6">AE13+AE15+AE17+AE19</f>
        <v>0</v>
      </c>
      <c r="AF21" s="1545">
        <f t="shared" si="6"/>
        <v>0</v>
      </c>
      <c r="AG21" s="1545"/>
      <c r="AH21" s="1545">
        <f>AH13+AH15+AH17+AH19</f>
        <v>0</v>
      </c>
      <c r="AI21" s="1544"/>
      <c r="AJ21" s="1543">
        <f t="shared" ref="AJ21:AK21" si="7">AJ13+AJ15+AJ17+AJ19</f>
        <v>0</v>
      </c>
      <c r="AK21" s="1546">
        <f t="shared" si="7"/>
        <v>0</v>
      </c>
      <c r="AL21" s="1547"/>
      <c r="AM21" s="892"/>
      <c r="AN21" s="892"/>
      <c r="AO21" s="892"/>
      <c r="AP21" s="892"/>
      <c r="AQ21" s="892"/>
      <c r="AR21" s="892"/>
    </row>
    <row r="22" spans="1:44" ht="41.25" customHeight="1">
      <c r="A22" s="922"/>
      <c r="B22" s="922"/>
      <c r="C22" s="922"/>
      <c r="D22" s="922"/>
      <c r="E22" s="922"/>
      <c r="F22" s="922"/>
      <c r="G22" s="922"/>
      <c r="H22" s="922"/>
      <c r="I22" s="922"/>
      <c r="J22" s="922"/>
      <c r="K22" s="922"/>
      <c r="L22" s="922"/>
      <c r="M22" s="922"/>
      <c r="N22" s="922"/>
      <c r="O22" s="922"/>
      <c r="P22" s="922"/>
      <c r="Q22" s="922"/>
      <c r="R22" s="922"/>
      <c r="S22" s="922"/>
      <c r="T22" s="922"/>
      <c r="U22" s="922"/>
      <c r="V22" s="922"/>
      <c r="W22" s="922"/>
      <c r="X22" s="921"/>
      <c r="Y22" s="921"/>
      <c r="Z22" s="921"/>
      <c r="AA22" s="921"/>
      <c r="AB22" s="921"/>
      <c r="AC22" s="921"/>
      <c r="AD22" s="921"/>
      <c r="AE22" s="921"/>
      <c r="AF22" s="921"/>
      <c r="AG22" s="921"/>
      <c r="AH22" s="921"/>
      <c r="AI22" s="921"/>
      <c r="AJ22" s="921"/>
      <c r="AK22" s="921"/>
      <c r="AL22" s="892"/>
      <c r="AM22" s="892"/>
      <c r="AN22" s="892"/>
    </row>
    <row r="23" spans="1:44" ht="79.5" customHeight="1">
      <c r="A23" s="922"/>
      <c r="B23" s="935"/>
      <c r="C23" s="935"/>
      <c r="D23" s="935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5"/>
      <c r="W23" s="935"/>
      <c r="X23" s="1919" t="s">
        <v>1119</v>
      </c>
      <c r="Y23" s="1919"/>
      <c r="Z23" s="1919"/>
      <c r="AA23" s="1919"/>
      <c r="AB23" s="1919"/>
      <c r="AC23" s="1919"/>
      <c r="AD23" s="1919"/>
      <c r="AE23" s="1919"/>
      <c r="AF23" s="1919"/>
      <c r="AG23" s="1919"/>
      <c r="AH23" s="1919"/>
      <c r="AI23" s="1919"/>
      <c r="AJ23" s="1919"/>
      <c r="AK23" s="1919"/>
      <c r="AL23" s="892"/>
      <c r="AM23" s="892"/>
      <c r="AN23" s="892"/>
    </row>
    <row r="24" spans="1:44" ht="106.5" customHeight="1">
      <c r="A24" s="922"/>
      <c r="B24" s="1926" t="s">
        <v>47</v>
      </c>
      <c r="C24" s="1926"/>
      <c r="D24" s="1926"/>
      <c r="E24" s="1926"/>
      <c r="F24" s="936"/>
      <c r="G24" s="936"/>
      <c r="H24" s="937"/>
      <c r="I24" s="938"/>
      <c r="J24" s="936" t="s">
        <v>508</v>
      </c>
      <c r="K24" s="938"/>
      <c r="L24" s="936"/>
      <c r="M24" s="937"/>
      <c r="N24" s="938"/>
      <c r="O24" s="938"/>
      <c r="Q24" s="938"/>
      <c r="R24" s="938" t="s">
        <v>197</v>
      </c>
      <c r="S24" s="938"/>
      <c r="T24" s="938"/>
      <c r="U24" s="937"/>
      <c r="V24" s="937"/>
      <c r="W24" s="936"/>
      <c r="Y24" s="936"/>
      <c r="Z24" s="936" t="s">
        <v>789</v>
      </c>
      <c r="AA24" s="936"/>
      <c r="AB24" s="936"/>
      <c r="AC24" s="938"/>
      <c r="AE24" s="938"/>
      <c r="AG24" s="938"/>
      <c r="AH24" s="1926" t="s">
        <v>826</v>
      </c>
      <c r="AI24" s="1926"/>
      <c r="AJ24" s="1926"/>
      <c r="AK24" s="1926"/>
      <c r="AL24" s="938"/>
      <c r="AM24" s="892"/>
      <c r="AN24" s="892"/>
    </row>
    <row r="25" spans="1:44" ht="28.5" customHeight="1">
      <c r="A25" s="922"/>
      <c r="B25" s="935"/>
      <c r="C25" s="935"/>
      <c r="D25" s="935"/>
      <c r="E25" s="935"/>
      <c r="F25" s="935"/>
      <c r="G25" s="935"/>
      <c r="H25" s="935"/>
      <c r="I25" s="935"/>
      <c r="J25" s="935"/>
      <c r="K25" s="935"/>
      <c r="L25" s="935"/>
      <c r="M25" s="935"/>
      <c r="N25" s="935"/>
      <c r="O25" s="935"/>
      <c r="P25" s="935"/>
      <c r="Q25" s="935"/>
      <c r="R25" s="935"/>
      <c r="S25" s="935"/>
      <c r="T25" s="935"/>
      <c r="U25" s="935"/>
      <c r="V25" s="935"/>
      <c r="W25" s="935"/>
      <c r="X25" s="1475"/>
      <c r="Y25" s="1475"/>
      <c r="Z25" s="1475"/>
      <c r="AA25" s="1475"/>
      <c r="AB25" s="1475"/>
      <c r="AC25" s="1475"/>
      <c r="AD25" s="1475"/>
      <c r="AE25" s="1475"/>
      <c r="AF25" s="1475"/>
      <c r="AG25" s="1475"/>
      <c r="AH25" s="1475"/>
      <c r="AI25" s="1475"/>
      <c r="AJ25" s="1475"/>
      <c r="AK25" s="937"/>
      <c r="AL25" s="892"/>
      <c r="AM25" s="892"/>
      <c r="AN25" s="892"/>
    </row>
    <row r="26" spans="1:44" ht="28.5" customHeight="1">
      <c r="A26" s="922"/>
      <c r="B26" s="935"/>
      <c r="C26" s="935"/>
      <c r="D26" s="935"/>
      <c r="E26" s="935"/>
      <c r="F26" s="935"/>
      <c r="G26" s="935"/>
      <c r="H26" s="935"/>
      <c r="I26" s="935"/>
      <c r="J26" s="935"/>
      <c r="K26" s="935"/>
      <c r="L26" s="935"/>
      <c r="M26" s="935"/>
      <c r="N26" s="935"/>
      <c r="O26" s="935"/>
      <c r="P26" s="935"/>
      <c r="Q26" s="935"/>
      <c r="R26" s="935"/>
      <c r="S26" s="935"/>
      <c r="T26" s="935"/>
      <c r="U26" s="935"/>
      <c r="V26" s="935"/>
      <c r="W26" s="935"/>
      <c r="X26" s="1475"/>
      <c r="Y26" s="1475"/>
      <c r="Z26" s="1475"/>
      <c r="AA26" s="1475"/>
      <c r="AB26" s="1475"/>
      <c r="AC26" s="1475"/>
      <c r="AD26" s="1475"/>
      <c r="AE26" s="1475"/>
      <c r="AF26" s="1475"/>
      <c r="AG26" s="1475"/>
      <c r="AH26" s="1475"/>
      <c r="AI26" s="1475"/>
      <c r="AJ26" s="1475"/>
      <c r="AK26" s="937"/>
      <c r="AL26" s="892"/>
      <c r="AM26" s="892"/>
      <c r="AN26" s="892"/>
    </row>
    <row r="27" spans="1:44" ht="28.5" customHeight="1">
      <c r="A27" s="922"/>
      <c r="B27" s="935"/>
      <c r="C27" s="935"/>
      <c r="D27" s="935"/>
      <c r="E27" s="935"/>
      <c r="F27" s="935"/>
      <c r="G27" s="935"/>
      <c r="H27" s="935"/>
      <c r="I27" s="935"/>
      <c r="J27" s="935"/>
      <c r="K27" s="935"/>
      <c r="L27" s="935"/>
      <c r="M27" s="935"/>
      <c r="N27" s="935"/>
      <c r="O27" s="935"/>
      <c r="P27" s="935"/>
      <c r="Q27" s="935"/>
      <c r="R27" s="935"/>
      <c r="S27" s="935"/>
      <c r="T27" s="935"/>
      <c r="U27" s="935"/>
      <c r="V27" s="935"/>
      <c r="W27" s="935"/>
      <c r="X27" s="1475"/>
      <c r="Y27" s="1475"/>
      <c r="Z27" s="1475"/>
      <c r="AA27" s="1475"/>
      <c r="AB27" s="1475"/>
      <c r="AC27" s="1475"/>
      <c r="AD27" s="1475"/>
      <c r="AE27" s="1475"/>
      <c r="AF27" s="1475"/>
      <c r="AG27" s="1475"/>
      <c r="AH27" s="1475"/>
      <c r="AI27" s="1475"/>
      <c r="AJ27" s="1475"/>
      <c r="AK27" s="937"/>
      <c r="AL27" s="892"/>
      <c r="AM27" s="892"/>
      <c r="AN27" s="892"/>
    </row>
    <row r="28" spans="1:44" ht="28.5" customHeight="1">
      <c r="A28" s="922"/>
      <c r="B28" s="935"/>
      <c r="C28" s="935"/>
      <c r="D28" s="935"/>
      <c r="E28" s="935"/>
      <c r="F28" s="935"/>
      <c r="G28" s="935"/>
      <c r="H28" s="935"/>
      <c r="I28" s="935"/>
      <c r="J28" s="935"/>
      <c r="K28" s="935"/>
      <c r="L28" s="935"/>
      <c r="M28" s="935"/>
      <c r="N28" s="935"/>
      <c r="O28" s="935"/>
      <c r="P28" s="935"/>
      <c r="Q28" s="935"/>
      <c r="R28" s="935"/>
      <c r="S28" s="935"/>
      <c r="T28" s="935"/>
      <c r="U28" s="935"/>
      <c r="V28" s="935"/>
      <c r="W28" s="935"/>
      <c r="X28" s="1475"/>
      <c r="Y28" s="1475"/>
      <c r="Z28" s="1475"/>
      <c r="AA28" s="1475"/>
      <c r="AB28" s="1475"/>
      <c r="AC28" s="1475"/>
      <c r="AD28" s="1475"/>
      <c r="AE28" s="1475"/>
      <c r="AF28" s="1475"/>
      <c r="AG28" s="1475"/>
      <c r="AH28" s="1475"/>
      <c r="AI28" s="1475"/>
      <c r="AJ28" s="1475"/>
      <c r="AK28" s="937"/>
      <c r="AL28" s="892"/>
      <c r="AM28" s="892"/>
      <c r="AN28" s="892"/>
    </row>
    <row r="29" spans="1:44" ht="28.5" customHeight="1">
      <c r="A29" s="922"/>
      <c r="B29" s="935"/>
      <c r="C29" s="935"/>
      <c r="D29" s="935"/>
      <c r="E29" s="935"/>
      <c r="F29" s="935"/>
      <c r="G29" s="935"/>
      <c r="H29" s="935"/>
      <c r="I29" s="935"/>
      <c r="J29" s="935"/>
      <c r="K29" s="935"/>
      <c r="L29" s="935"/>
      <c r="M29" s="935"/>
      <c r="N29" s="935"/>
      <c r="O29" s="935"/>
      <c r="P29" s="935"/>
      <c r="Q29" s="935"/>
      <c r="R29" s="935"/>
      <c r="S29" s="935"/>
      <c r="T29" s="935"/>
      <c r="U29" s="935"/>
      <c r="V29" s="935"/>
      <c r="W29" s="935"/>
      <c r="X29" s="1475"/>
      <c r="Y29" s="1475"/>
      <c r="Z29" s="1475"/>
      <c r="AA29" s="1475"/>
      <c r="AB29" s="1475"/>
      <c r="AC29" s="1475"/>
      <c r="AD29" s="1475"/>
      <c r="AE29" s="1475"/>
      <c r="AF29" s="1475"/>
      <c r="AG29" s="1475"/>
      <c r="AH29" s="1475"/>
      <c r="AI29" s="1475"/>
      <c r="AJ29" s="1475"/>
      <c r="AK29" s="937"/>
      <c r="AL29" s="892"/>
      <c r="AM29" s="892"/>
      <c r="AN29" s="892"/>
    </row>
    <row r="30" spans="1:44" ht="28.5" customHeight="1">
      <c r="A30" s="922"/>
      <c r="B30" s="935"/>
      <c r="C30" s="935"/>
      <c r="D30" s="935"/>
      <c r="E30" s="935"/>
      <c r="F30" s="935"/>
      <c r="G30" s="935"/>
      <c r="H30" s="935"/>
      <c r="I30" s="935"/>
      <c r="J30" s="935"/>
      <c r="K30" s="935"/>
      <c r="L30" s="935"/>
      <c r="M30" s="935"/>
      <c r="N30" s="935"/>
      <c r="O30" s="935"/>
      <c r="P30" s="935"/>
      <c r="Q30" s="935"/>
      <c r="R30" s="935"/>
      <c r="S30" s="935"/>
      <c r="T30" s="935"/>
      <c r="U30" s="935"/>
      <c r="V30" s="935"/>
      <c r="W30" s="935"/>
      <c r="X30" s="1475"/>
      <c r="Y30" s="1475"/>
      <c r="Z30" s="1475"/>
      <c r="AA30" s="1475"/>
      <c r="AB30" s="1475"/>
      <c r="AC30" s="1475"/>
      <c r="AD30" s="1475"/>
      <c r="AE30" s="1475"/>
      <c r="AF30" s="1475"/>
      <c r="AG30" s="1475"/>
      <c r="AH30" s="1475"/>
      <c r="AI30" s="1475"/>
      <c r="AJ30" s="1475"/>
      <c r="AK30" s="937"/>
      <c r="AL30" s="892"/>
      <c r="AM30" s="892"/>
      <c r="AN30" s="892"/>
    </row>
    <row r="31" spans="1:44" ht="28.5" customHeight="1">
      <c r="A31" s="922"/>
      <c r="B31" s="935"/>
      <c r="C31" s="935"/>
      <c r="D31" s="935"/>
      <c r="E31" s="935"/>
      <c r="F31" s="935"/>
      <c r="G31" s="935"/>
      <c r="H31" s="935"/>
      <c r="I31" s="935"/>
      <c r="J31" s="935"/>
      <c r="K31" s="935"/>
      <c r="L31" s="935"/>
      <c r="M31" s="935"/>
      <c r="N31" s="935"/>
      <c r="O31" s="935"/>
      <c r="P31" s="935"/>
      <c r="Q31" s="935"/>
      <c r="R31" s="935"/>
      <c r="S31" s="935"/>
      <c r="T31" s="935"/>
      <c r="U31" s="935"/>
      <c r="V31" s="935"/>
      <c r="W31" s="935"/>
      <c r="X31" s="1475"/>
      <c r="Y31" s="1475"/>
      <c r="Z31" s="1475"/>
      <c r="AA31" s="1475"/>
      <c r="AB31" s="1475"/>
      <c r="AC31" s="1475"/>
      <c r="AD31" s="1475"/>
      <c r="AE31" s="1475"/>
      <c r="AF31" s="1475"/>
      <c r="AG31" s="1475"/>
      <c r="AH31" s="1475"/>
      <c r="AI31" s="1475"/>
      <c r="AJ31" s="1475"/>
      <c r="AK31" s="937"/>
      <c r="AL31" s="892"/>
      <c r="AM31" s="892"/>
      <c r="AN31" s="892"/>
    </row>
    <row r="32" spans="1:44" ht="85.5" customHeight="1">
      <c r="A32" s="922"/>
      <c r="B32" s="935"/>
      <c r="C32" s="935"/>
      <c r="D32" s="935"/>
      <c r="E32" s="935"/>
      <c r="F32" s="935"/>
      <c r="G32" s="935"/>
      <c r="H32" s="935"/>
      <c r="I32" s="935"/>
      <c r="J32" s="935"/>
      <c r="K32" s="935"/>
      <c r="L32" s="935"/>
      <c r="M32" s="935"/>
      <c r="N32" s="935"/>
      <c r="O32" s="935"/>
      <c r="P32" s="935"/>
      <c r="Q32" s="935"/>
      <c r="R32" s="935"/>
      <c r="S32" s="935"/>
      <c r="T32" s="935"/>
      <c r="U32" s="935"/>
      <c r="V32" s="935"/>
      <c r="W32" s="935"/>
      <c r="X32" s="1475"/>
      <c r="Y32" s="1475"/>
      <c r="Z32" s="1475"/>
      <c r="AA32" s="1475"/>
      <c r="AB32" s="1475"/>
      <c r="AC32" s="1475"/>
      <c r="AE32" s="937"/>
      <c r="AG32" s="937"/>
      <c r="AH32" s="1952" t="s">
        <v>76</v>
      </c>
      <c r="AI32" s="1952"/>
      <c r="AJ32" s="1952"/>
      <c r="AK32" s="1952"/>
      <c r="AL32" s="892"/>
      <c r="AM32" s="892"/>
      <c r="AN32" s="892"/>
    </row>
    <row r="33" spans="1:40" ht="28.5" customHeight="1">
      <c r="A33" s="922"/>
      <c r="B33" s="935"/>
      <c r="C33" s="935"/>
      <c r="D33" s="935"/>
      <c r="E33" s="935"/>
      <c r="F33" s="935"/>
      <c r="G33" s="935"/>
      <c r="H33" s="935"/>
      <c r="I33" s="935"/>
      <c r="J33" s="935"/>
      <c r="K33" s="935"/>
      <c r="L33" s="935"/>
      <c r="M33" s="935"/>
      <c r="N33" s="935"/>
      <c r="O33" s="935"/>
      <c r="P33" s="935"/>
      <c r="Q33" s="935"/>
      <c r="R33" s="935"/>
      <c r="S33" s="935"/>
      <c r="T33" s="935"/>
      <c r="U33" s="935"/>
      <c r="V33" s="935"/>
      <c r="W33" s="935"/>
      <c r="X33" s="1475"/>
      <c r="Y33" s="1475"/>
      <c r="Z33" s="1475"/>
      <c r="AA33" s="1475"/>
      <c r="AB33" s="1475"/>
      <c r="AC33" s="1475"/>
      <c r="AD33" s="1475"/>
      <c r="AE33" s="1475"/>
      <c r="AF33" s="1475"/>
      <c r="AG33" s="1475"/>
      <c r="AH33" s="1475"/>
      <c r="AI33" s="1475"/>
      <c r="AJ33" s="1475"/>
      <c r="AK33" s="937"/>
      <c r="AL33" s="892"/>
      <c r="AM33" s="892"/>
      <c r="AN33" s="892"/>
    </row>
    <row r="34" spans="1:40" ht="28.5" customHeight="1">
      <c r="A34" s="900"/>
      <c r="B34" s="935"/>
      <c r="C34" s="935"/>
      <c r="D34" s="935"/>
      <c r="E34" s="935"/>
      <c r="F34" s="935"/>
      <c r="G34" s="935"/>
      <c r="H34" s="935"/>
      <c r="I34" s="935"/>
      <c r="J34" s="935"/>
      <c r="K34" s="935"/>
      <c r="L34" s="935"/>
      <c r="M34" s="935"/>
      <c r="N34" s="935"/>
      <c r="O34" s="935"/>
      <c r="P34" s="935"/>
      <c r="Q34" s="935"/>
      <c r="R34" s="935"/>
      <c r="S34" s="935"/>
      <c r="T34" s="935"/>
      <c r="U34" s="935"/>
      <c r="V34" s="935"/>
      <c r="W34" s="935"/>
      <c r="X34" s="1475"/>
      <c r="Y34" s="1475"/>
      <c r="Z34" s="1475"/>
      <c r="AA34" s="1475"/>
      <c r="AB34" s="1475"/>
      <c r="AC34" s="1475"/>
      <c r="AD34" s="1475"/>
      <c r="AE34" s="1475"/>
      <c r="AF34" s="1475"/>
      <c r="AG34" s="1475"/>
      <c r="AH34" s="1475"/>
      <c r="AI34" s="1475"/>
      <c r="AJ34" s="1475"/>
      <c r="AK34" s="937"/>
      <c r="AL34" s="892"/>
      <c r="AM34" s="892"/>
      <c r="AN34" s="892"/>
    </row>
    <row r="35" spans="1:40" ht="28.5" customHeight="1">
      <c r="A35" s="900"/>
      <c r="B35" s="935"/>
      <c r="C35" s="935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5"/>
      <c r="S35" s="935"/>
      <c r="T35" s="935"/>
      <c r="U35" s="935"/>
      <c r="V35" s="935"/>
      <c r="W35" s="935"/>
      <c r="X35" s="1475"/>
      <c r="Y35" s="1475"/>
      <c r="Z35" s="1475"/>
      <c r="AA35" s="1475"/>
      <c r="AB35" s="1919"/>
      <c r="AC35" s="1919"/>
      <c r="AD35" s="1475"/>
      <c r="AE35" s="1475"/>
      <c r="AF35" s="1475"/>
      <c r="AG35" s="1475"/>
      <c r="AH35" s="1475"/>
      <c r="AI35" s="1475"/>
      <c r="AJ35" s="1475"/>
      <c r="AK35" s="937"/>
      <c r="AL35" s="892"/>
      <c r="AM35" s="892"/>
      <c r="AN35" s="892"/>
    </row>
    <row r="36" spans="1:40" ht="28.5" customHeight="1">
      <c r="A36" s="900"/>
      <c r="B36" s="935"/>
      <c r="C36" s="935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5"/>
      <c r="S36" s="935"/>
      <c r="T36" s="935"/>
      <c r="U36" s="935"/>
      <c r="V36" s="935"/>
      <c r="W36" s="935"/>
      <c r="X36" s="1475"/>
      <c r="Y36" s="1475"/>
      <c r="Z36" s="1475"/>
      <c r="AA36" s="1475"/>
      <c r="AB36" s="1475"/>
      <c r="AC36" s="1475"/>
      <c r="AD36" s="1475"/>
      <c r="AE36" s="1475"/>
      <c r="AF36" s="1475"/>
      <c r="AG36" s="1475"/>
      <c r="AH36" s="1475"/>
      <c r="AI36" s="1475"/>
      <c r="AJ36" s="1475"/>
      <c r="AK36" s="937"/>
      <c r="AL36" s="892"/>
      <c r="AM36" s="892"/>
      <c r="AN36" s="892"/>
    </row>
    <row r="37" spans="1:40" ht="28.5" customHeight="1">
      <c r="A37" s="900"/>
      <c r="B37" s="900"/>
      <c r="C37" s="900"/>
      <c r="D37" s="900"/>
      <c r="E37" s="900"/>
      <c r="F37" s="900"/>
      <c r="G37" s="900"/>
      <c r="H37" s="900"/>
      <c r="I37" s="900"/>
      <c r="J37" s="900"/>
      <c r="K37" s="900"/>
      <c r="L37" s="900"/>
      <c r="M37" s="900"/>
      <c r="N37" s="900"/>
      <c r="O37" s="900"/>
      <c r="P37" s="900"/>
      <c r="Q37" s="900"/>
      <c r="R37" s="900"/>
      <c r="S37" s="900"/>
      <c r="T37" s="900"/>
      <c r="U37" s="900"/>
      <c r="V37" s="900"/>
      <c r="W37" s="900"/>
      <c r="X37" s="1040"/>
      <c r="Y37" s="1040"/>
      <c r="Z37" s="1040"/>
      <c r="AA37" s="1040"/>
      <c r="AB37" s="1040"/>
      <c r="AC37" s="1040"/>
      <c r="AD37" s="1040"/>
      <c r="AE37" s="1040"/>
      <c r="AF37" s="1040"/>
      <c r="AG37" s="1040"/>
      <c r="AH37" s="1040"/>
      <c r="AI37" s="1040"/>
      <c r="AJ37" s="1040"/>
      <c r="AK37" s="899"/>
      <c r="AL37" s="892"/>
      <c r="AM37" s="892"/>
      <c r="AN37" s="892"/>
    </row>
    <row r="38" spans="1:40" ht="28.5" customHeight="1">
      <c r="A38" s="900"/>
      <c r="B38" s="900"/>
      <c r="C38" s="900"/>
      <c r="D38" s="900"/>
      <c r="E38" s="900"/>
      <c r="F38" s="900"/>
      <c r="G38" s="900"/>
      <c r="H38" s="900"/>
      <c r="I38" s="900"/>
      <c r="J38" s="900"/>
      <c r="K38" s="900"/>
      <c r="L38" s="900"/>
      <c r="M38" s="900"/>
      <c r="N38" s="900"/>
      <c r="O38" s="900"/>
      <c r="P38" s="900"/>
      <c r="Q38" s="900"/>
      <c r="R38" s="900"/>
      <c r="S38" s="900"/>
      <c r="T38" s="900"/>
      <c r="U38" s="900"/>
      <c r="V38" s="900"/>
      <c r="W38" s="900"/>
      <c r="X38" s="1040"/>
      <c r="Y38" s="1040"/>
      <c r="Z38" s="1040"/>
      <c r="AA38" s="1040"/>
      <c r="AB38" s="1040"/>
      <c r="AC38" s="1040"/>
      <c r="AD38" s="1040"/>
      <c r="AE38" s="1040"/>
      <c r="AF38" s="1040"/>
      <c r="AG38" s="1040"/>
      <c r="AH38" s="1040"/>
      <c r="AI38" s="1040"/>
      <c r="AJ38" s="1040"/>
      <c r="AK38" s="899"/>
      <c r="AL38" s="892"/>
      <c r="AM38" s="892"/>
      <c r="AN38" s="892"/>
    </row>
    <row r="39" spans="1:40" ht="28.5" customHeight="1">
      <c r="A39" s="900"/>
      <c r="B39" s="900"/>
      <c r="C39" s="900"/>
      <c r="D39" s="900"/>
      <c r="E39" s="900"/>
      <c r="F39" s="900"/>
      <c r="G39" s="900"/>
      <c r="H39" s="900"/>
      <c r="I39" s="900"/>
      <c r="J39" s="900"/>
      <c r="K39" s="900"/>
      <c r="L39" s="900"/>
      <c r="M39" s="900"/>
      <c r="N39" s="900"/>
      <c r="O39" s="900"/>
      <c r="P39" s="900"/>
      <c r="Q39" s="900"/>
      <c r="R39" s="900"/>
      <c r="S39" s="900"/>
      <c r="T39" s="900"/>
      <c r="U39" s="900"/>
      <c r="V39" s="900"/>
      <c r="W39" s="900"/>
      <c r="X39" s="1040"/>
      <c r="Y39" s="1040"/>
      <c r="Z39" s="1040"/>
      <c r="AA39" s="1040"/>
      <c r="AB39" s="1040"/>
      <c r="AC39" s="1040"/>
      <c r="AD39" s="1040"/>
      <c r="AE39" s="1040"/>
      <c r="AF39" s="1040"/>
      <c r="AG39" s="1040"/>
      <c r="AH39" s="1040"/>
      <c r="AI39" s="1040"/>
      <c r="AJ39" s="1040"/>
      <c r="AK39" s="899"/>
      <c r="AL39" s="892"/>
      <c r="AM39" s="892"/>
      <c r="AN39" s="892"/>
    </row>
    <row r="40" spans="1:40" ht="28.5" customHeight="1">
      <c r="A40" s="900"/>
      <c r="B40" s="900"/>
      <c r="C40" s="900"/>
      <c r="D40" s="900"/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0"/>
      <c r="S40" s="900"/>
      <c r="T40" s="900"/>
      <c r="U40" s="900"/>
      <c r="V40" s="900"/>
      <c r="W40" s="900"/>
      <c r="X40" s="1040"/>
      <c r="Y40" s="1040"/>
      <c r="Z40" s="1040"/>
      <c r="AA40" s="1040"/>
      <c r="AB40" s="1040"/>
      <c r="AC40" s="1040"/>
      <c r="AD40" s="1040"/>
      <c r="AE40" s="1040"/>
      <c r="AF40" s="1040"/>
      <c r="AG40" s="1040"/>
      <c r="AH40" s="1040"/>
      <c r="AI40" s="1040"/>
      <c r="AJ40" s="1040"/>
      <c r="AK40" s="899"/>
      <c r="AL40" s="892"/>
      <c r="AM40" s="892"/>
      <c r="AN40" s="892"/>
    </row>
    <row r="41" spans="1:40" ht="28.5" customHeight="1">
      <c r="A41" s="900"/>
      <c r="B41" s="900"/>
      <c r="C41" s="900"/>
      <c r="D41" s="900"/>
      <c r="E41" s="900"/>
      <c r="F41" s="900"/>
      <c r="G41" s="900"/>
      <c r="H41" s="900"/>
      <c r="I41" s="900"/>
      <c r="J41" s="900"/>
      <c r="K41" s="900"/>
      <c r="L41" s="900"/>
      <c r="M41" s="900"/>
      <c r="N41" s="900"/>
      <c r="O41" s="900"/>
      <c r="P41" s="900"/>
      <c r="Q41" s="900"/>
      <c r="R41" s="900"/>
      <c r="S41" s="900"/>
      <c r="T41" s="900"/>
      <c r="U41" s="900"/>
      <c r="V41" s="900"/>
      <c r="W41" s="900"/>
      <c r="X41" s="1040"/>
      <c r="Y41" s="1040"/>
      <c r="Z41" s="1040"/>
      <c r="AA41" s="1040"/>
      <c r="AB41" s="1040"/>
      <c r="AC41" s="1040"/>
      <c r="AD41" s="1040"/>
      <c r="AE41" s="1040"/>
      <c r="AF41" s="1040"/>
      <c r="AG41" s="1040"/>
      <c r="AH41" s="1040"/>
      <c r="AI41" s="1040"/>
      <c r="AJ41" s="1040"/>
      <c r="AK41" s="899"/>
      <c r="AL41" s="892"/>
      <c r="AM41" s="892"/>
      <c r="AN41" s="892"/>
    </row>
    <row r="42" spans="1:40" ht="28.5" customHeight="1">
      <c r="A42" s="900"/>
      <c r="B42" s="900"/>
      <c r="C42" s="900"/>
      <c r="D42" s="900"/>
      <c r="E42" s="900"/>
      <c r="F42" s="900"/>
      <c r="G42" s="900"/>
      <c r="H42" s="900"/>
      <c r="I42" s="900"/>
      <c r="J42" s="900"/>
      <c r="K42" s="900"/>
      <c r="L42" s="900"/>
      <c r="M42" s="900"/>
      <c r="N42" s="900"/>
      <c r="O42" s="900"/>
      <c r="P42" s="900"/>
      <c r="Q42" s="900"/>
      <c r="R42" s="900"/>
      <c r="S42" s="900"/>
      <c r="T42" s="900"/>
      <c r="U42" s="900"/>
      <c r="V42" s="900"/>
      <c r="W42" s="900"/>
      <c r="X42" s="1040"/>
      <c r="Y42" s="1040"/>
      <c r="Z42" s="1040"/>
      <c r="AA42" s="1040"/>
      <c r="AB42" s="1040"/>
      <c r="AC42" s="1040"/>
      <c r="AD42" s="1040"/>
      <c r="AE42" s="1040"/>
      <c r="AF42" s="1040"/>
      <c r="AG42" s="1040"/>
      <c r="AH42" s="1040"/>
      <c r="AI42" s="1040"/>
      <c r="AJ42" s="1040"/>
      <c r="AK42" s="899"/>
      <c r="AL42" s="892"/>
      <c r="AM42" s="892"/>
      <c r="AN42" s="892"/>
    </row>
    <row r="43" spans="1:40" ht="28.5" customHeight="1">
      <c r="A43" s="900"/>
      <c r="B43" s="900"/>
      <c r="C43" s="900"/>
      <c r="D43" s="900"/>
      <c r="E43" s="900"/>
      <c r="F43" s="900"/>
      <c r="G43" s="900"/>
      <c r="H43" s="900"/>
      <c r="I43" s="900"/>
      <c r="J43" s="900"/>
      <c r="K43" s="900"/>
      <c r="L43" s="900"/>
      <c r="M43" s="900"/>
      <c r="N43" s="900"/>
      <c r="O43" s="900"/>
      <c r="P43" s="900"/>
      <c r="Q43" s="900"/>
      <c r="R43" s="900"/>
      <c r="S43" s="900"/>
      <c r="T43" s="900"/>
      <c r="U43" s="900"/>
      <c r="V43" s="900"/>
      <c r="W43" s="900"/>
      <c r="X43" s="1040"/>
      <c r="Y43" s="1040"/>
      <c r="Z43" s="1040"/>
      <c r="AA43" s="1040"/>
      <c r="AB43" s="1040"/>
      <c r="AC43" s="1040"/>
      <c r="AD43" s="1040"/>
      <c r="AE43" s="1040"/>
      <c r="AF43" s="1040"/>
      <c r="AG43" s="1040"/>
      <c r="AH43" s="1040"/>
      <c r="AI43" s="1040"/>
      <c r="AJ43" s="1040"/>
      <c r="AK43" s="899"/>
      <c r="AL43" s="892"/>
      <c r="AM43" s="892"/>
      <c r="AN43" s="892"/>
    </row>
    <row r="44" spans="1:40" ht="28.5" customHeight="1">
      <c r="A44" s="900"/>
      <c r="B44" s="900"/>
      <c r="C44" s="900"/>
      <c r="D44" s="900"/>
      <c r="E44" s="900"/>
      <c r="F44" s="900"/>
      <c r="G44" s="900"/>
      <c r="H44" s="900"/>
      <c r="I44" s="900"/>
      <c r="J44" s="900"/>
      <c r="K44" s="900"/>
      <c r="L44" s="900"/>
      <c r="M44" s="900"/>
      <c r="N44" s="900"/>
      <c r="O44" s="900"/>
      <c r="P44" s="900"/>
      <c r="Q44" s="900"/>
      <c r="R44" s="900"/>
      <c r="S44" s="900"/>
      <c r="T44" s="900"/>
      <c r="U44" s="900"/>
      <c r="V44" s="900"/>
      <c r="W44" s="900"/>
      <c r="X44" s="1040"/>
      <c r="Y44" s="1040"/>
      <c r="Z44" s="1040"/>
      <c r="AA44" s="1040"/>
      <c r="AB44" s="1040"/>
      <c r="AC44" s="1040"/>
      <c r="AD44" s="1040"/>
      <c r="AE44" s="1040"/>
      <c r="AF44" s="1040"/>
      <c r="AG44" s="1040"/>
      <c r="AH44" s="1040"/>
      <c r="AI44" s="1040"/>
      <c r="AJ44" s="1040"/>
      <c r="AK44" s="899"/>
      <c r="AL44" s="892"/>
      <c r="AM44" s="892"/>
      <c r="AN44" s="892"/>
    </row>
    <row r="45" spans="1:40" ht="28.5" customHeight="1">
      <c r="A45" s="900"/>
      <c r="B45" s="900"/>
      <c r="C45" s="900"/>
      <c r="D45" s="900"/>
      <c r="E45" s="900"/>
      <c r="F45" s="900"/>
      <c r="G45" s="900"/>
      <c r="H45" s="900"/>
      <c r="I45" s="900"/>
      <c r="J45" s="900"/>
      <c r="K45" s="900"/>
      <c r="L45" s="900"/>
      <c r="M45" s="900"/>
      <c r="N45" s="900"/>
      <c r="O45" s="900"/>
      <c r="P45" s="900"/>
      <c r="Q45" s="900"/>
      <c r="R45" s="900"/>
      <c r="S45" s="900"/>
      <c r="T45" s="900"/>
      <c r="U45" s="900"/>
      <c r="V45" s="900"/>
      <c r="W45" s="900"/>
      <c r="X45" s="1040"/>
      <c r="Y45" s="1040"/>
      <c r="Z45" s="1040"/>
      <c r="AA45" s="1040"/>
      <c r="AB45" s="1040"/>
      <c r="AC45" s="1040"/>
      <c r="AD45" s="1040"/>
      <c r="AE45" s="1040"/>
      <c r="AF45" s="1040"/>
      <c r="AG45" s="1040"/>
      <c r="AH45" s="1040"/>
      <c r="AI45" s="1040"/>
      <c r="AJ45" s="1040"/>
      <c r="AK45" s="899"/>
      <c r="AL45" s="892"/>
      <c r="AM45" s="892"/>
      <c r="AN45" s="892"/>
    </row>
    <row r="46" spans="1:40" ht="28.5" customHeight="1">
      <c r="A46" s="900"/>
      <c r="B46" s="900"/>
      <c r="C46" s="900"/>
      <c r="D46" s="900"/>
      <c r="E46" s="900"/>
      <c r="F46" s="900"/>
      <c r="G46" s="900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1040"/>
      <c r="Y46" s="1040"/>
      <c r="Z46" s="1040"/>
      <c r="AA46" s="1040"/>
      <c r="AB46" s="1040"/>
      <c r="AC46" s="1040"/>
      <c r="AD46" s="1040"/>
      <c r="AE46" s="1040"/>
      <c r="AF46" s="1040"/>
      <c r="AG46" s="1040"/>
      <c r="AH46" s="1040"/>
      <c r="AI46" s="1040"/>
      <c r="AJ46" s="1040"/>
      <c r="AK46" s="899"/>
      <c r="AL46" s="892"/>
      <c r="AM46" s="892"/>
      <c r="AN46" s="892"/>
    </row>
    <row r="47" spans="1:40" ht="28.5" customHeight="1">
      <c r="A47" s="900"/>
      <c r="B47" s="900"/>
      <c r="C47" s="900"/>
      <c r="D47" s="900"/>
      <c r="E47" s="900"/>
      <c r="F47" s="900"/>
      <c r="G47" s="900"/>
      <c r="H47" s="900"/>
      <c r="I47" s="900"/>
      <c r="J47" s="900"/>
      <c r="K47" s="900"/>
      <c r="L47" s="900"/>
      <c r="M47" s="900"/>
      <c r="N47" s="900"/>
      <c r="O47" s="900"/>
      <c r="P47" s="900"/>
      <c r="Q47" s="900"/>
      <c r="R47" s="900"/>
      <c r="S47" s="900"/>
      <c r="T47" s="900"/>
      <c r="U47" s="900"/>
      <c r="V47" s="900"/>
      <c r="W47" s="900"/>
      <c r="X47" s="1040"/>
      <c r="Y47" s="1040"/>
      <c r="Z47" s="1040"/>
      <c r="AA47" s="1040"/>
      <c r="AB47" s="1040"/>
      <c r="AC47" s="1040"/>
      <c r="AD47" s="1040"/>
      <c r="AE47" s="1040"/>
      <c r="AF47" s="1040"/>
      <c r="AG47" s="1040"/>
      <c r="AH47" s="1040"/>
      <c r="AI47" s="1040"/>
      <c r="AJ47" s="1040"/>
      <c r="AK47" s="899"/>
      <c r="AL47" s="892"/>
      <c r="AM47" s="892"/>
      <c r="AN47" s="892"/>
    </row>
    <row r="48" spans="1:40">
      <c r="AL48" s="892"/>
      <c r="AM48" s="892"/>
      <c r="AN48" s="892"/>
    </row>
    <row r="49" spans="1:40" ht="16.5">
      <c r="A49" s="1476"/>
      <c r="B49" s="1476"/>
      <c r="C49" s="899"/>
      <c r="D49" s="899"/>
      <c r="E49" s="899"/>
      <c r="F49" s="899"/>
      <c r="G49" s="899"/>
      <c r="H49" s="899"/>
      <c r="I49" s="899"/>
      <c r="J49" s="899"/>
      <c r="K49" s="899"/>
      <c r="L49" s="899"/>
      <c r="M49" s="899"/>
      <c r="N49" s="899"/>
      <c r="O49" s="899"/>
      <c r="P49" s="899"/>
      <c r="Q49" s="899"/>
      <c r="R49" s="899"/>
      <c r="S49" s="899"/>
      <c r="T49" s="899"/>
      <c r="U49" s="899"/>
      <c r="V49" s="899"/>
      <c r="W49" s="899"/>
      <c r="X49" s="899"/>
      <c r="Y49" s="899"/>
      <c r="Z49" s="899"/>
      <c r="AA49" s="899"/>
      <c r="AB49" s="899"/>
      <c r="AC49" s="899"/>
      <c r="AD49" s="899"/>
      <c r="AE49" s="899"/>
      <c r="AF49" s="899"/>
      <c r="AG49" s="899"/>
      <c r="AH49" s="899"/>
      <c r="AI49" s="899"/>
      <c r="AJ49" s="899"/>
      <c r="AK49" s="899"/>
      <c r="AL49" s="892"/>
      <c r="AM49" s="892"/>
      <c r="AN49" s="892"/>
    </row>
    <row r="50" spans="1:40" ht="16.5">
      <c r="A50" s="1476"/>
      <c r="B50" s="1476"/>
      <c r="C50" s="899"/>
      <c r="D50" s="899"/>
      <c r="E50" s="899"/>
      <c r="F50" s="899"/>
      <c r="G50" s="899"/>
      <c r="H50" s="899"/>
      <c r="I50" s="899"/>
      <c r="J50" s="899"/>
      <c r="K50" s="899"/>
      <c r="L50" s="899"/>
      <c r="M50" s="899"/>
      <c r="N50" s="899"/>
      <c r="O50" s="899"/>
      <c r="P50" s="899"/>
      <c r="Q50" s="899"/>
      <c r="R50" s="899"/>
      <c r="S50" s="899"/>
      <c r="T50" s="899"/>
      <c r="U50" s="899"/>
      <c r="V50" s="899"/>
      <c r="W50" s="899"/>
      <c r="X50" s="899"/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2"/>
      <c r="AM50" s="892"/>
      <c r="AN50" s="892"/>
    </row>
    <row r="51" spans="1:40" ht="16.5">
      <c r="A51" s="1476"/>
      <c r="B51" s="1476"/>
      <c r="C51" s="899"/>
      <c r="D51" s="899"/>
      <c r="E51" s="899"/>
      <c r="F51" s="899"/>
      <c r="G51" s="899"/>
      <c r="H51" s="899"/>
      <c r="I51" s="899"/>
      <c r="J51" s="899"/>
      <c r="K51" s="899"/>
      <c r="L51" s="899"/>
      <c r="M51" s="899"/>
      <c r="N51" s="899"/>
      <c r="O51" s="899"/>
      <c r="P51" s="899"/>
      <c r="Q51" s="899"/>
      <c r="R51" s="899"/>
      <c r="S51" s="899"/>
      <c r="T51" s="899"/>
      <c r="U51" s="899"/>
      <c r="V51" s="899"/>
      <c r="W51" s="899"/>
      <c r="X51" s="899"/>
      <c r="Y51" s="899"/>
      <c r="Z51" s="899"/>
      <c r="AA51" s="899"/>
      <c r="AB51" s="899"/>
      <c r="AC51" s="899"/>
      <c r="AD51" s="899"/>
      <c r="AE51" s="899"/>
      <c r="AF51" s="899"/>
      <c r="AG51" s="899"/>
      <c r="AH51" s="899"/>
      <c r="AI51" s="899"/>
      <c r="AJ51" s="899"/>
      <c r="AK51" s="899"/>
      <c r="AL51" s="892"/>
      <c r="AM51" s="892"/>
      <c r="AN51" s="892"/>
    </row>
    <row r="52" spans="1:40" ht="16.5">
      <c r="A52" s="899"/>
      <c r="B52" s="899"/>
      <c r="C52" s="899"/>
      <c r="D52" s="899"/>
      <c r="E52" s="899"/>
      <c r="F52" s="899"/>
      <c r="G52" s="899"/>
      <c r="H52" s="899"/>
      <c r="I52" s="899"/>
      <c r="J52" s="899"/>
      <c r="K52" s="899"/>
      <c r="L52" s="899"/>
      <c r="M52" s="899"/>
      <c r="N52" s="899"/>
      <c r="O52" s="899"/>
      <c r="P52" s="899"/>
      <c r="Q52" s="899"/>
      <c r="R52" s="899"/>
      <c r="S52" s="899"/>
      <c r="T52" s="899"/>
      <c r="U52" s="899"/>
      <c r="V52" s="899"/>
      <c r="W52" s="899"/>
      <c r="X52" s="899"/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2"/>
      <c r="AM52" s="892"/>
      <c r="AN52" s="892"/>
    </row>
    <row r="53" spans="1:40" ht="15.75" customHeight="1">
      <c r="A53" s="899"/>
      <c r="B53" s="899"/>
      <c r="C53" s="899"/>
      <c r="D53" s="899"/>
      <c r="E53" s="899"/>
      <c r="F53" s="899"/>
      <c r="G53" s="899"/>
      <c r="H53" s="899"/>
      <c r="I53" s="899"/>
      <c r="J53" s="899"/>
      <c r="K53" s="899"/>
      <c r="L53" s="899"/>
      <c r="M53" s="899"/>
      <c r="N53" s="899"/>
      <c r="O53" s="899"/>
      <c r="P53" s="899"/>
      <c r="Q53" s="899"/>
      <c r="R53" s="899"/>
      <c r="S53" s="899"/>
      <c r="T53" s="899"/>
      <c r="U53" s="899"/>
      <c r="V53" s="899"/>
      <c r="W53" s="899"/>
      <c r="X53" s="899"/>
      <c r="Y53" s="899"/>
      <c r="Z53" s="899"/>
      <c r="AA53" s="899"/>
      <c r="AB53" s="899"/>
      <c r="AC53" s="899"/>
      <c r="AD53" s="899"/>
      <c r="AE53" s="899"/>
      <c r="AF53" s="899"/>
      <c r="AG53" s="899"/>
      <c r="AH53" s="899"/>
      <c r="AI53" s="899"/>
      <c r="AJ53" s="899"/>
      <c r="AK53" s="899"/>
      <c r="AL53" s="892"/>
      <c r="AM53" s="892"/>
      <c r="AN53" s="892"/>
    </row>
    <row r="54" spans="1:40" ht="16.5">
      <c r="A54" s="899"/>
      <c r="B54" s="899"/>
      <c r="C54" s="899"/>
      <c r="D54" s="899"/>
      <c r="E54" s="899"/>
      <c r="F54" s="899"/>
      <c r="G54" s="899"/>
      <c r="H54" s="899"/>
      <c r="I54" s="899"/>
      <c r="J54" s="899"/>
      <c r="K54" s="899"/>
      <c r="L54" s="899"/>
      <c r="M54" s="899"/>
      <c r="N54" s="899"/>
      <c r="O54" s="899"/>
      <c r="P54" s="899"/>
      <c r="Q54" s="899"/>
      <c r="R54" s="899"/>
      <c r="S54" s="899"/>
      <c r="T54" s="899"/>
      <c r="U54" s="899"/>
      <c r="V54" s="899"/>
      <c r="W54" s="899"/>
      <c r="X54" s="899"/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2"/>
      <c r="AM54" s="892"/>
      <c r="AN54" s="892"/>
    </row>
    <row r="55" spans="1:40" ht="16.5">
      <c r="A55" s="899"/>
      <c r="B55" s="899"/>
      <c r="C55" s="899"/>
      <c r="D55" s="1949"/>
      <c r="E55" s="1949"/>
      <c r="F55" s="1949"/>
      <c r="G55" s="1949"/>
      <c r="H55" s="1949"/>
      <c r="I55" s="899"/>
      <c r="J55" s="899"/>
      <c r="K55" s="899"/>
      <c r="L55" s="899"/>
      <c r="M55" s="1949"/>
      <c r="N55" s="1949"/>
      <c r="O55" s="1949"/>
      <c r="P55" s="1949"/>
      <c r="Q55" s="1949"/>
      <c r="R55" s="1949"/>
      <c r="S55" s="1949"/>
      <c r="T55" s="899"/>
      <c r="U55" s="1949"/>
      <c r="V55" s="1949"/>
      <c r="W55" s="1949"/>
      <c r="X55" s="1949"/>
      <c r="Y55" s="1949"/>
      <c r="Z55" s="1949"/>
      <c r="AA55" s="1949"/>
      <c r="AB55" s="1949"/>
      <c r="AC55" s="899"/>
      <c r="AK55" s="899"/>
      <c r="AL55" s="892"/>
      <c r="AM55" s="892"/>
      <c r="AN55" s="892"/>
    </row>
    <row r="56" spans="1:40">
      <c r="L56" s="898"/>
      <c r="M56" s="898"/>
      <c r="N56" s="898"/>
      <c r="O56" s="898"/>
      <c r="P56" s="898"/>
      <c r="AL56" s="892"/>
      <c r="AM56" s="892"/>
      <c r="AN56" s="892"/>
    </row>
    <row r="60" spans="1:40">
      <c r="A60" s="1951"/>
      <c r="B60" s="1951"/>
      <c r="C60" s="1951"/>
      <c r="AL60" s="892"/>
      <c r="AM60" s="892"/>
      <c r="AN60" s="892"/>
    </row>
    <row r="61" spans="1:40">
      <c r="A61" s="895"/>
      <c r="B61" s="897"/>
      <c r="C61" s="1951"/>
      <c r="D61" s="1951"/>
      <c r="E61" s="1951"/>
      <c r="F61" s="1951"/>
      <c r="G61" s="1951"/>
      <c r="H61" s="1951"/>
      <c r="AL61" s="892"/>
      <c r="AM61" s="892"/>
      <c r="AN61" s="892"/>
    </row>
    <row r="62" spans="1:40">
      <c r="A62" s="894"/>
      <c r="B62" s="898"/>
      <c r="C62" s="1950"/>
      <c r="D62" s="1950"/>
      <c r="E62" s="1950"/>
      <c r="F62" s="1950"/>
      <c r="G62" s="1950"/>
      <c r="H62" s="1950"/>
      <c r="AL62" s="892"/>
      <c r="AM62" s="892"/>
      <c r="AN62" s="892"/>
    </row>
    <row r="63" spans="1:40">
      <c r="A63" s="894"/>
      <c r="B63" s="898"/>
      <c r="C63" s="1950"/>
      <c r="D63" s="1950"/>
      <c r="E63" s="1950"/>
      <c r="F63" s="1950"/>
      <c r="G63" s="1950"/>
      <c r="H63" s="1950"/>
      <c r="AL63" s="892"/>
      <c r="AM63" s="892"/>
      <c r="AN63" s="892"/>
    </row>
    <row r="64" spans="1:40">
      <c r="A64" s="894"/>
      <c r="B64" s="898"/>
      <c r="C64" s="1950"/>
      <c r="D64" s="1950"/>
      <c r="E64" s="1950"/>
      <c r="F64" s="1950"/>
      <c r="G64" s="1950"/>
      <c r="H64" s="1950"/>
      <c r="AL64" s="892"/>
      <c r="AM64" s="892"/>
      <c r="AN64" s="892"/>
    </row>
    <row r="65" spans="1:40">
      <c r="A65" s="893"/>
      <c r="C65" s="1950"/>
      <c r="D65" s="1950"/>
      <c r="E65" s="1950"/>
      <c r="F65" s="1950"/>
      <c r="G65" s="1950"/>
      <c r="H65" s="1950"/>
      <c r="AL65" s="892"/>
      <c r="AM65" s="892"/>
      <c r="AN65" s="892"/>
    </row>
    <row r="66" spans="1:40">
      <c r="A66" s="893"/>
      <c r="C66" s="1950"/>
      <c r="D66" s="1950"/>
      <c r="E66" s="1950"/>
      <c r="F66" s="1950"/>
      <c r="G66" s="1950"/>
      <c r="H66" s="1950"/>
      <c r="AL66" s="892"/>
      <c r="AM66" s="892"/>
      <c r="AN66" s="892"/>
    </row>
    <row r="67" spans="1:40">
      <c r="A67" s="893"/>
      <c r="C67" s="1950"/>
      <c r="D67" s="1950"/>
      <c r="E67" s="1950"/>
      <c r="F67" s="1950"/>
      <c r="G67" s="1950"/>
      <c r="H67" s="1950"/>
      <c r="AL67" s="892"/>
      <c r="AM67" s="892"/>
      <c r="AN67" s="892"/>
    </row>
    <row r="68" spans="1:40">
      <c r="A68" s="893"/>
      <c r="C68" s="1950"/>
      <c r="D68" s="1950"/>
      <c r="E68" s="1950"/>
      <c r="F68" s="1950"/>
      <c r="G68" s="1950"/>
      <c r="H68" s="1950"/>
      <c r="AL68" s="892"/>
      <c r="AM68" s="892"/>
      <c r="AN68" s="892"/>
    </row>
  </sheetData>
  <mergeCells count="38"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13:B13"/>
    <mergeCell ref="A17:B17"/>
    <mergeCell ref="A6:O6"/>
    <mergeCell ref="A7:O7"/>
    <mergeCell ref="A8:AJ8"/>
    <mergeCell ref="A15:B15"/>
    <mergeCell ref="U55:AB55"/>
    <mergeCell ref="A60:C60"/>
    <mergeCell ref="C63:H63"/>
    <mergeCell ref="C64:H64"/>
    <mergeCell ref="A19:B19"/>
    <mergeCell ref="A21:B21"/>
    <mergeCell ref="X23:AK23"/>
    <mergeCell ref="B24:E24"/>
    <mergeCell ref="AH24:AK24"/>
    <mergeCell ref="C61:H61"/>
    <mergeCell ref="C62:H62"/>
    <mergeCell ref="D55:H55"/>
    <mergeCell ref="AH32:AK32"/>
    <mergeCell ref="AB35:AC35"/>
    <mergeCell ref="C65:H65"/>
    <mergeCell ref="C66:H66"/>
    <mergeCell ref="C67:H67"/>
    <mergeCell ref="C68:H68"/>
    <mergeCell ref="M55:S5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368"/>
  <sheetViews>
    <sheetView zoomScale="55" zoomScaleNormal="55" workbookViewId="0">
      <pane ySplit="9" topLeftCell="A301" activePane="bottomLeft" state="frozen"/>
      <selection activeCell="K303" sqref="K303:O303"/>
      <selection pane="bottomLeft" activeCell="A252" sqref="A252:A319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50" customWidth="1"/>
    <col min="8" max="8" width="11.7109375" style="50" customWidth="1"/>
    <col min="9" max="9" width="8.7109375" style="50" customWidth="1"/>
    <col min="10" max="10" width="12.5703125" style="50" customWidth="1"/>
    <col min="11" max="12" width="12.7109375" style="50" customWidth="1"/>
    <col min="13" max="13" width="9.42578125" style="50" customWidth="1"/>
    <col min="14" max="15" width="9.5703125" style="50" customWidth="1"/>
    <col min="16" max="16" width="10.28515625" style="50" customWidth="1"/>
    <col min="17" max="17" width="14" style="2" customWidth="1"/>
    <col min="18" max="18" width="16.42578125" style="70" bestFit="1" customWidth="1"/>
    <col min="19" max="19" width="12.85546875" style="68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71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978" t="s">
        <v>10</v>
      </c>
      <c r="B2" s="1978"/>
      <c r="C2" s="1978"/>
      <c r="D2" s="1978"/>
      <c r="E2" s="1978"/>
      <c r="F2" s="1978"/>
      <c r="G2" s="1978"/>
      <c r="H2" s="1198"/>
      <c r="I2" s="1198"/>
      <c r="J2" s="1198"/>
      <c r="K2" s="1461"/>
      <c r="L2" s="1461"/>
      <c r="M2" s="1661"/>
      <c r="N2" s="1198"/>
      <c r="O2" s="1198"/>
      <c r="P2" s="1198"/>
      <c r="R2" s="1977" t="s">
        <v>90</v>
      </c>
      <c r="S2" s="1977"/>
      <c r="T2" s="1977"/>
      <c r="U2" s="1977"/>
      <c r="V2" s="1977"/>
      <c r="W2" s="1977"/>
      <c r="X2" s="1977"/>
      <c r="Y2" s="1977"/>
      <c r="Z2" s="1977"/>
      <c r="AA2" s="1977"/>
      <c r="AB2" s="1977"/>
      <c r="AC2" s="1977"/>
      <c r="AD2" s="1977"/>
      <c r="AE2" s="1977"/>
    </row>
    <row r="3" spans="1:46" ht="15.75">
      <c r="A3" s="1979" t="s">
        <v>101</v>
      </c>
      <c r="B3" s="1979"/>
      <c r="C3" s="1979"/>
      <c r="D3" s="1979"/>
      <c r="E3" s="1979"/>
      <c r="F3" s="1979"/>
      <c r="G3" s="1979"/>
      <c r="H3" s="1199"/>
      <c r="I3" s="1199"/>
      <c r="J3" s="828"/>
      <c r="K3" s="1462"/>
      <c r="L3" s="1462"/>
      <c r="M3" s="1662"/>
      <c r="N3" s="1199">
        <f>144/0.67</f>
        <v>214.92537313432834</v>
      </c>
      <c r="O3" s="1199"/>
      <c r="P3" s="1199"/>
      <c r="Q3" s="72"/>
      <c r="R3" s="1981" t="s">
        <v>56</v>
      </c>
      <c r="S3" s="1981"/>
      <c r="T3" s="1981"/>
      <c r="U3" s="1981"/>
      <c r="V3" s="1981"/>
      <c r="W3" s="1981"/>
      <c r="X3" s="1981"/>
      <c r="Y3" s="1981"/>
      <c r="Z3" s="1981"/>
      <c r="AA3" s="1981"/>
      <c r="AB3" s="1981"/>
      <c r="AC3" s="1981"/>
      <c r="AD3" s="1981"/>
      <c r="AE3" s="1981"/>
    </row>
    <row r="4" spans="1:46" ht="15.75">
      <c r="A4" s="1980" t="s">
        <v>170</v>
      </c>
      <c r="B4" s="1980"/>
      <c r="C4" s="1980"/>
      <c r="D4" s="1980"/>
      <c r="E4" s="1980"/>
      <c r="F4" s="1980"/>
      <c r="G4" s="1980"/>
      <c r="H4" s="1200"/>
      <c r="I4" s="1200"/>
      <c r="J4" s="1200">
        <f>F11*25000</f>
        <v>0</v>
      </c>
      <c r="K4" s="829">
        <f>G11*25000</f>
        <v>0</v>
      </c>
      <c r="L4" s="1463"/>
      <c r="M4" s="1663"/>
      <c r="N4" s="1200"/>
      <c r="O4" s="1200"/>
      <c r="P4" s="1200"/>
      <c r="Q4" s="73"/>
      <c r="R4" s="74"/>
      <c r="S4" s="75"/>
      <c r="T4" s="1136">
        <f>Q9-19035.02</f>
        <v>-5308.4400000000005</v>
      </c>
      <c r="U4" s="76"/>
      <c r="V4" s="76"/>
      <c r="W4" s="76"/>
      <c r="X4" s="76"/>
      <c r="Y4" s="76"/>
      <c r="Z4" s="76"/>
      <c r="AA4" s="76"/>
      <c r="AB4" s="76"/>
      <c r="AC4" s="77"/>
      <c r="AD4" s="76"/>
      <c r="AE4" s="6"/>
    </row>
    <row r="5" spans="1:46" ht="19.5" customHeight="1">
      <c r="A5" s="1982" t="s">
        <v>1013</v>
      </c>
      <c r="B5" s="1982"/>
      <c r="C5" s="1982"/>
      <c r="D5" s="1982"/>
      <c r="E5" s="1982"/>
      <c r="F5" s="1982"/>
      <c r="G5" s="1982"/>
      <c r="H5" s="1982"/>
      <c r="I5" s="1982"/>
      <c r="J5" s="1982"/>
      <c r="K5" s="1982"/>
      <c r="L5" s="1982"/>
      <c r="M5" s="1982"/>
      <c r="N5" s="1982"/>
      <c r="O5" s="1982"/>
      <c r="P5" s="1982"/>
      <c r="Q5" s="1982"/>
      <c r="R5" s="1982"/>
      <c r="S5" s="1982"/>
      <c r="T5" s="1982"/>
      <c r="U5" s="1982"/>
      <c r="V5" s="1982"/>
      <c r="W5" s="1982"/>
      <c r="X5" s="1982"/>
      <c r="Y5" s="1982"/>
      <c r="Z5" s="1982"/>
      <c r="AA5" s="1982"/>
      <c r="AB5" s="1982"/>
      <c r="AC5" s="1982"/>
      <c r="AD5" s="1982"/>
      <c r="AE5" s="1982"/>
      <c r="AG5" s="57"/>
    </row>
    <row r="6" spans="1:46" ht="16.5" customHeight="1">
      <c r="A6" s="1891" t="s">
        <v>11</v>
      </c>
      <c r="B6" s="1973" t="s">
        <v>145</v>
      </c>
      <c r="C6" s="1891" t="s">
        <v>48</v>
      </c>
      <c r="D6" s="1973" t="s">
        <v>15</v>
      </c>
      <c r="E6" s="1973"/>
      <c r="F6" s="1973"/>
      <c r="G6" s="1973"/>
      <c r="H6" s="1973"/>
      <c r="I6" s="1973"/>
      <c r="J6" s="1973"/>
      <c r="K6" s="1973"/>
      <c r="L6" s="1973"/>
      <c r="M6" s="1973"/>
      <c r="N6" s="1973"/>
      <c r="O6" s="1973"/>
      <c r="P6" s="1973"/>
      <c r="Q6" s="1973"/>
      <c r="R6" s="1973"/>
      <c r="S6" s="1973"/>
      <c r="T6" s="1973"/>
      <c r="U6" s="1973"/>
      <c r="V6" s="1973"/>
      <c r="W6" s="1973"/>
      <c r="X6" s="1973"/>
      <c r="Y6" s="1973"/>
      <c r="Z6" s="1973"/>
      <c r="AA6" s="1973"/>
      <c r="AB6" s="1973"/>
      <c r="AC6" s="1973"/>
      <c r="AD6" s="1973"/>
      <c r="AE6" s="1973"/>
    </row>
    <row r="7" spans="1:46" ht="15.75" customHeight="1">
      <c r="A7" s="1891"/>
      <c r="B7" s="1973"/>
      <c r="C7" s="1891"/>
      <c r="D7" s="1973"/>
      <c r="E7" s="1976" t="s">
        <v>405</v>
      </c>
      <c r="F7" s="1973" t="s">
        <v>998</v>
      </c>
      <c r="G7" s="1973" t="s">
        <v>999</v>
      </c>
      <c r="H7" s="1973" t="s">
        <v>827</v>
      </c>
      <c r="I7" s="1972" t="s">
        <v>909</v>
      </c>
      <c r="J7" s="1972" t="s">
        <v>911</v>
      </c>
      <c r="K7" s="1972" t="s">
        <v>1009</v>
      </c>
      <c r="L7" s="1972" t="s">
        <v>1008</v>
      </c>
      <c r="M7" s="1972" t="s">
        <v>482</v>
      </c>
      <c r="N7" s="1973" t="s">
        <v>912</v>
      </c>
      <c r="O7" s="1195"/>
      <c r="P7" s="1973" t="s">
        <v>1162</v>
      </c>
      <c r="Q7" s="1974" t="s">
        <v>180</v>
      </c>
      <c r="R7" s="1891" t="s">
        <v>97</v>
      </c>
      <c r="S7" s="1891"/>
      <c r="T7" s="1891"/>
      <c r="U7" s="1197"/>
      <c r="V7" s="1970" t="s">
        <v>98</v>
      </c>
      <c r="W7" s="1971"/>
      <c r="X7" s="1971"/>
      <c r="Y7" s="1194"/>
      <c r="Z7" s="1194"/>
      <c r="AA7" s="1194"/>
      <c r="AB7" s="1203"/>
      <c r="AC7" s="1984" t="s">
        <v>179</v>
      </c>
      <c r="AD7" s="1987" t="s">
        <v>55</v>
      </c>
      <c r="AE7" s="1973" t="s">
        <v>52</v>
      </c>
      <c r="AF7" s="92"/>
    </row>
    <row r="8" spans="1:46" ht="88.5" customHeight="1">
      <c r="A8" s="1891"/>
      <c r="B8" s="1973"/>
      <c r="C8" s="1891"/>
      <c r="D8" s="1973"/>
      <c r="E8" s="1976"/>
      <c r="F8" s="1973"/>
      <c r="G8" s="1973"/>
      <c r="H8" s="1973"/>
      <c r="I8" s="1972"/>
      <c r="J8" s="1972"/>
      <c r="K8" s="1972"/>
      <c r="L8" s="1972"/>
      <c r="M8" s="1972"/>
      <c r="N8" s="1973"/>
      <c r="O8" s="1195"/>
      <c r="P8" s="1973"/>
      <c r="Q8" s="1974"/>
      <c r="R8" s="78" t="s">
        <v>50</v>
      </c>
      <c r="S8" s="79" t="s">
        <v>843</v>
      </c>
      <c r="T8" s="1196" t="s">
        <v>181</v>
      </c>
      <c r="U8" s="1196" t="s">
        <v>203</v>
      </c>
      <c r="V8" s="1148" t="s">
        <v>446</v>
      </c>
      <c r="W8" s="1148" t="s">
        <v>447</v>
      </c>
      <c r="X8" s="1148" t="s">
        <v>919</v>
      </c>
      <c r="Y8" s="1148" t="s">
        <v>924</v>
      </c>
      <c r="Z8" s="1148" t="s">
        <v>917</v>
      </c>
      <c r="AA8" s="1148" t="s">
        <v>918</v>
      </c>
      <c r="AB8" s="1196" t="s">
        <v>489</v>
      </c>
      <c r="AC8" s="1985"/>
      <c r="AD8" s="1988"/>
      <c r="AE8" s="1983"/>
      <c r="AF8" s="48"/>
      <c r="AG8" s="80"/>
      <c r="AH8" s="48"/>
      <c r="AI8" s="1024">
        <f>5308.01-Q9</f>
        <v>-8418.57</v>
      </c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</row>
    <row r="9" spans="1:46" s="35" customFormat="1" ht="31.5" customHeight="1">
      <c r="A9" s="1204" t="s">
        <v>114</v>
      </c>
      <c r="B9" s="1891" t="s">
        <v>184</v>
      </c>
      <c r="C9" s="1891"/>
      <c r="D9" s="1891"/>
      <c r="E9" s="881">
        <f t="shared" ref="E9:N9" si="0">E10+E95+E184+E250</f>
        <v>0</v>
      </c>
      <c r="F9" s="1201">
        <f t="shared" si="0"/>
        <v>0</v>
      </c>
      <c r="G9" s="150">
        <f t="shared" si="0"/>
        <v>0</v>
      </c>
      <c r="H9" s="150">
        <f t="shared" si="0"/>
        <v>0</v>
      </c>
      <c r="I9" s="150">
        <f t="shared" si="0"/>
        <v>0</v>
      </c>
      <c r="J9" s="150">
        <f t="shared" si="0"/>
        <v>0</v>
      </c>
      <c r="K9" s="150">
        <f t="shared" si="0"/>
        <v>0</v>
      </c>
      <c r="L9" s="150">
        <f t="shared" si="0"/>
        <v>0</v>
      </c>
      <c r="M9" s="150">
        <f t="shared" si="0"/>
        <v>0</v>
      </c>
      <c r="N9" s="150">
        <f t="shared" si="0"/>
        <v>0</v>
      </c>
      <c r="O9" s="150"/>
      <c r="P9" s="1664">
        <f t="shared" ref="P9:AC9" si="1">P10+P95+P184+P250</f>
        <v>13726.58</v>
      </c>
      <c r="Q9" s="846">
        <f t="shared" si="1"/>
        <v>13726.58</v>
      </c>
      <c r="R9" s="150">
        <f t="shared" si="1"/>
        <v>0</v>
      </c>
      <c r="S9" s="1201">
        <f t="shared" si="1"/>
        <v>0</v>
      </c>
      <c r="T9" s="1201">
        <f t="shared" si="1"/>
        <v>0</v>
      </c>
      <c r="U9" s="150">
        <f t="shared" si="1"/>
        <v>0</v>
      </c>
      <c r="V9" s="150">
        <f t="shared" si="1"/>
        <v>0</v>
      </c>
      <c r="W9" s="150">
        <f t="shared" si="1"/>
        <v>0</v>
      </c>
      <c r="X9" s="150">
        <f t="shared" si="1"/>
        <v>0</v>
      </c>
      <c r="Y9" s="150">
        <f t="shared" si="1"/>
        <v>0</v>
      </c>
      <c r="Z9" s="150">
        <f t="shared" si="1"/>
        <v>0</v>
      </c>
      <c r="AA9" s="150">
        <f t="shared" si="1"/>
        <v>0</v>
      </c>
      <c r="AB9" s="150">
        <f t="shared" si="1"/>
        <v>0</v>
      </c>
      <c r="AC9" s="1201">
        <f t="shared" si="1"/>
        <v>13726.58</v>
      </c>
      <c r="AD9" s="845"/>
      <c r="AE9" s="1203"/>
      <c r="AF9" s="81">
        <v>6716.8</v>
      </c>
      <c r="AG9" s="82">
        <f>6716.8-Q9</f>
        <v>-7009.78</v>
      </c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</row>
    <row r="10" spans="1:46" s="1562" customFormat="1" ht="18.75" customHeight="1">
      <c r="A10" s="1557" t="s">
        <v>54</v>
      </c>
      <c r="B10" s="1975" t="s">
        <v>110</v>
      </c>
      <c r="C10" s="1975"/>
      <c r="D10" s="1975"/>
      <c r="E10" s="1253">
        <f>SUM(E11:E94)</f>
        <v>0</v>
      </c>
      <c r="F10" s="1253">
        <f t="shared" ref="F10:AC10" si="2">SUM(F11:F94)</f>
        <v>0</v>
      </c>
      <c r="G10" s="1253">
        <f t="shared" si="2"/>
        <v>0</v>
      </c>
      <c r="H10" s="1253">
        <f t="shared" si="2"/>
        <v>0</v>
      </c>
      <c r="I10" s="1253">
        <f t="shared" si="2"/>
        <v>0</v>
      </c>
      <c r="J10" s="1253">
        <f t="shared" si="2"/>
        <v>0</v>
      </c>
      <c r="K10" s="1253">
        <f t="shared" si="2"/>
        <v>0</v>
      </c>
      <c r="L10" s="1253">
        <f t="shared" si="2"/>
        <v>0</v>
      </c>
      <c r="M10" s="1666">
        <f t="shared" si="2"/>
        <v>0</v>
      </c>
      <c r="N10" s="1253">
        <f t="shared" si="2"/>
        <v>0</v>
      </c>
      <c r="O10" s="1253">
        <f t="shared" si="2"/>
        <v>0</v>
      </c>
      <c r="P10" s="1253">
        <f t="shared" si="2"/>
        <v>3813.57</v>
      </c>
      <c r="Q10" s="1253">
        <f t="shared" si="2"/>
        <v>3813.57</v>
      </c>
      <c r="R10" s="1253">
        <f t="shared" si="2"/>
        <v>0</v>
      </c>
      <c r="S10" s="1253">
        <f t="shared" si="2"/>
        <v>0</v>
      </c>
      <c r="T10" s="1253">
        <f t="shared" si="2"/>
        <v>0</v>
      </c>
      <c r="U10" s="1253">
        <f t="shared" si="2"/>
        <v>0</v>
      </c>
      <c r="V10" s="1253">
        <f t="shared" si="2"/>
        <v>0</v>
      </c>
      <c r="W10" s="1253">
        <f t="shared" si="2"/>
        <v>0</v>
      </c>
      <c r="X10" s="1253">
        <f t="shared" si="2"/>
        <v>0</v>
      </c>
      <c r="Y10" s="1253">
        <f t="shared" si="2"/>
        <v>0</v>
      </c>
      <c r="Z10" s="1253">
        <f t="shared" si="2"/>
        <v>0</v>
      </c>
      <c r="AA10" s="1253">
        <f t="shared" si="2"/>
        <v>0</v>
      </c>
      <c r="AB10" s="1253">
        <f t="shared" si="2"/>
        <v>0</v>
      </c>
      <c r="AC10" s="1253">
        <f t="shared" si="2"/>
        <v>3813.57</v>
      </c>
      <c r="AD10" s="1253"/>
      <c r="AE10" s="1253"/>
      <c r="AF10" s="1558">
        <v>1618</v>
      </c>
      <c r="AG10" s="1559">
        <v>194</v>
      </c>
      <c r="AH10" s="1560"/>
      <c r="AI10" s="1560"/>
      <c r="AJ10" s="1560"/>
      <c r="AK10" s="1561"/>
      <c r="AL10" s="1561"/>
      <c r="AM10" s="1561"/>
      <c r="AN10" s="1561"/>
      <c r="AO10" s="1561"/>
      <c r="AP10" s="1561"/>
      <c r="AQ10" s="1561"/>
      <c r="AR10" s="1561"/>
      <c r="AS10" s="1561"/>
      <c r="AT10" s="1561"/>
    </row>
    <row r="11" spans="1:46" s="35" customFormat="1" ht="18.75" customHeight="1">
      <c r="A11" s="294">
        <v>1</v>
      </c>
      <c r="B11" s="336" t="str">
        <f>'Chấm công KT'!D11</f>
        <v>03456</v>
      </c>
      <c r="C11" s="296" t="str">
        <f>'Chấm công KT'!C11</f>
        <v>T. Vôn</v>
      </c>
      <c r="D11" s="145" t="s">
        <v>53</v>
      </c>
      <c r="E11" s="352"/>
      <c r="F11" s="352"/>
      <c r="G11" s="352"/>
      <c r="H11" s="352"/>
      <c r="I11" s="352"/>
      <c r="J11" s="337"/>
      <c r="K11" s="267"/>
      <c r="L11" s="267"/>
      <c r="M11" s="337"/>
      <c r="N11" s="337"/>
      <c r="O11" s="337"/>
      <c r="P11" s="337"/>
      <c r="Q11" s="338">
        <f>SUM(E11:P11)</f>
        <v>0</v>
      </c>
      <c r="R11" s="1221">
        <f>VLOOKUP(C11,'BTH mủ tạp'!$C$15:$AI$94,33,0)</f>
        <v>0</v>
      </c>
      <c r="S11" s="337"/>
      <c r="T11" s="253">
        <f>S11*50/100</f>
        <v>0</v>
      </c>
      <c r="U11" s="341">
        <f>R11</f>
        <v>0</v>
      </c>
      <c r="V11" s="1146">
        <f>VLOOKUP(C11,'Chấm công KT'!$C$11:$AJ$90,34,0)</f>
        <v>0</v>
      </c>
      <c r="W11" s="1146">
        <f>VLOOKUP(C11,'Chấm công KT'!$C$11:$AK$90,35,0)</f>
        <v>0</v>
      </c>
      <c r="X11" s="1147"/>
      <c r="Y11" s="1146"/>
      <c r="Z11" s="1146">
        <f>VLOOKUP(C11,'Chấm công KT'!$C$11:$AN$90,38,0)</f>
        <v>0</v>
      </c>
      <c r="AA11" s="1146">
        <f>VLOOKUP(C11,'Chấm công KT'!$C$11:$AO$90,39,0)</f>
        <v>0</v>
      </c>
      <c r="AB11" s="343"/>
      <c r="AC11" s="340">
        <f>Q11</f>
        <v>0</v>
      </c>
      <c r="AD11" s="147" t="str">
        <f>VLOOKUP(C11,'BTH mủ tạp'!$C$15:$AL$305,36,0)</f>
        <v>C</v>
      </c>
      <c r="AE11" s="337"/>
      <c r="AF11" s="334"/>
      <c r="AG11" s="335"/>
      <c r="AH11" s="123"/>
      <c r="AI11" s="123"/>
      <c r="AJ11" s="123"/>
      <c r="AK11" s="48"/>
      <c r="AL11" s="48"/>
      <c r="AM11" s="48"/>
      <c r="AN11" s="48"/>
      <c r="AO11" s="48"/>
      <c r="AP11" s="48"/>
      <c r="AQ11" s="48"/>
      <c r="AR11" s="48"/>
      <c r="AS11" s="48"/>
      <c r="AT11" s="48"/>
    </row>
    <row r="12" spans="1:46" s="35" customFormat="1" ht="18.75" customHeight="1">
      <c r="A12" s="145">
        <v>2</v>
      </c>
      <c r="B12" s="336">
        <f>'Chấm công KT'!D12</f>
        <v>0</v>
      </c>
      <c r="C12" s="296" t="str">
        <f>'Chấm công KT'!C12</f>
        <v>T. Feng</v>
      </c>
      <c r="D12" s="145" t="s">
        <v>53</v>
      </c>
      <c r="E12" s="352"/>
      <c r="F12" s="352"/>
      <c r="G12" s="352"/>
      <c r="H12" s="352"/>
      <c r="I12" s="352"/>
      <c r="J12" s="337"/>
      <c r="K12" s="267"/>
      <c r="L12" s="267"/>
      <c r="M12" s="337"/>
      <c r="N12" s="337"/>
      <c r="O12" s="354"/>
      <c r="P12" s="146"/>
      <c r="Q12" s="338">
        <f t="shared" ref="Q12:Q75" si="3">SUM(E12:P12)</f>
        <v>0</v>
      </c>
      <c r="R12" s="1221">
        <f>VLOOKUP(C12,'BTH mủ tạp'!$C$15:$AI$94,33,0)</f>
        <v>0</v>
      </c>
      <c r="S12" s="337"/>
      <c r="T12" s="253">
        <f>S12*50/100</f>
        <v>0</v>
      </c>
      <c r="U12" s="341">
        <f t="shared" ref="U12:U75" si="4">R12</f>
        <v>0</v>
      </c>
      <c r="V12" s="1146">
        <f>VLOOKUP(C12,'Chấm công KT'!$C$11:$AJ$90,34,0)</f>
        <v>0</v>
      </c>
      <c r="W12" s="1146">
        <f>VLOOKUP(C12,'Chấm công KT'!$C$11:$AK$90,35,0)</f>
        <v>0</v>
      </c>
      <c r="X12" s="1147"/>
      <c r="Y12" s="1146"/>
      <c r="Z12" s="1146">
        <f>VLOOKUP(C12,'Chấm công KT'!$C$11:$AN$90,38,0)</f>
        <v>0</v>
      </c>
      <c r="AA12" s="1146">
        <f>VLOOKUP(C12,'Chấm công KT'!$C$11:$AO$90,39,0)</f>
        <v>0</v>
      </c>
      <c r="AB12" s="343"/>
      <c r="AC12" s="344">
        <f>Q12</f>
        <v>0</v>
      </c>
      <c r="AD12" s="147" t="str">
        <f>VLOOKUP(C12,'BTH mủ tạp'!$C$15:$AL$305,36,0)</f>
        <v>A</v>
      </c>
      <c r="AE12" s="148"/>
      <c r="AF12" s="130"/>
      <c r="AG12" s="123"/>
      <c r="AH12" s="127"/>
      <c r="AI12" s="128"/>
      <c r="AJ12" s="123"/>
      <c r="AK12" s="85"/>
      <c r="AL12" s="85"/>
      <c r="AM12" s="85"/>
      <c r="AN12" s="85"/>
      <c r="AO12" s="85"/>
      <c r="AP12" s="48"/>
      <c r="AQ12" s="48"/>
      <c r="AR12" s="48"/>
      <c r="AS12" s="48"/>
      <c r="AT12" s="48"/>
    </row>
    <row r="13" spans="1:46" s="35" customFormat="1" ht="18.75" customHeight="1">
      <c r="A13" s="294">
        <v>3</v>
      </c>
      <c r="B13" s="336" t="str">
        <f>'Chấm công KT'!D13</f>
        <v>02725</v>
      </c>
      <c r="C13" s="296" t="str">
        <f>'Chấm công KT'!C13</f>
        <v>T. Sa Văn</v>
      </c>
      <c r="D13" s="145" t="s">
        <v>53</v>
      </c>
      <c r="E13" s="352"/>
      <c r="F13" s="352"/>
      <c r="G13" s="352"/>
      <c r="H13" s="352"/>
      <c r="I13" s="352"/>
      <c r="J13" s="337"/>
      <c r="K13" s="152"/>
      <c r="L13" s="152"/>
      <c r="M13" s="152"/>
      <c r="N13" s="146"/>
      <c r="O13" s="146"/>
      <c r="P13" s="146"/>
      <c r="Q13" s="338">
        <f t="shared" si="3"/>
        <v>0</v>
      </c>
      <c r="R13" s="1221">
        <f>VLOOKUP(C13,'BTH mủ tạp'!$C$15:$AI$94,33,0)</f>
        <v>0</v>
      </c>
      <c r="S13" s="337"/>
      <c r="T13" s="253">
        <f>S13*50/100</f>
        <v>0</v>
      </c>
      <c r="U13" s="341">
        <f t="shared" si="4"/>
        <v>0</v>
      </c>
      <c r="V13" s="1146">
        <f>VLOOKUP(C13,'Chấm công KT'!$C$11:$AJ$90,34,0)</f>
        <v>0</v>
      </c>
      <c r="W13" s="1146">
        <f>VLOOKUP(C13,'Chấm công KT'!$C$11:$AK$90,35,0)</f>
        <v>0</v>
      </c>
      <c r="X13" s="1147"/>
      <c r="Y13" s="1146"/>
      <c r="Z13" s="1146">
        <f>VLOOKUP(C13,'Chấm công KT'!$C$11:$AN$90,38,0)</f>
        <v>0</v>
      </c>
      <c r="AA13" s="1146">
        <f>VLOOKUP(C13,'Chấm công KT'!$C$11:$AO$90,39,0)</f>
        <v>0</v>
      </c>
      <c r="AB13" s="343"/>
      <c r="AC13" s="344">
        <f t="shared" ref="AC13:AC76" si="5">Q13</f>
        <v>0</v>
      </c>
      <c r="AD13" s="147" t="str">
        <f>VLOOKUP(C13,'BTH mủ tạp'!$C$15:$AL$305,36,0)</f>
        <v>A</v>
      </c>
      <c r="AE13" s="148"/>
      <c r="AF13" s="130"/>
      <c r="AG13" s="130">
        <v>119657</v>
      </c>
      <c r="AH13" s="130">
        <v>197</v>
      </c>
      <c r="AI13" s="130"/>
      <c r="AJ13" s="130"/>
      <c r="AK13" s="85"/>
      <c r="AL13" s="85"/>
      <c r="AM13" s="85"/>
      <c r="AN13" s="85"/>
      <c r="AO13" s="85"/>
      <c r="AP13" s="131"/>
      <c r="AQ13" s="131"/>
      <c r="AR13" s="131"/>
      <c r="AS13" s="131"/>
      <c r="AT13" s="131"/>
    </row>
    <row r="14" spans="1:46" ht="18.75" customHeight="1">
      <c r="A14" s="145">
        <v>4</v>
      </c>
      <c r="B14" s="336" t="str">
        <f>'Chấm công KT'!D14</f>
        <v>03458</v>
      </c>
      <c r="C14" s="296" t="str">
        <f>'Chấm công KT'!C14</f>
        <v>N. Pheng Mi</v>
      </c>
      <c r="D14" s="145" t="s">
        <v>53</v>
      </c>
      <c r="E14" s="352"/>
      <c r="F14" s="352"/>
      <c r="G14" s="352"/>
      <c r="H14" s="352"/>
      <c r="I14" s="352"/>
      <c r="J14" s="337"/>
      <c r="K14" s="267"/>
      <c r="L14" s="267"/>
      <c r="M14" s="337"/>
      <c r="N14" s="337"/>
      <c r="O14" s="354"/>
      <c r="P14" s="146"/>
      <c r="Q14" s="338">
        <f t="shared" si="3"/>
        <v>0</v>
      </c>
      <c r="R14" s="1221">
        <f>VLOOKUP(C14,'BTH mủ tạp'!$C$15:$AI$94,33,0)</f>
        <v>0</v>
      </c>
      <c r="S14" s="337"/>
      <c r="T14" s="253">
        <f t="shared" ref="T14:T75" si="6">S14*50/100</f>
        <v>0</v>
      </c>
      <c r="U14" s="341">
        <f t="shared" si="4"/>
        <v>0</v>
      </c>
      <c r="V14" s="1146">
        <f>VLOOKUP(C14,'Chấm công KT'!$C$11:$AJ$90,34,0)</f>
        <v>0</v>
      </c>
      <c r="W14" s="1146">
        <f>VLOOKUP(C14,'Chấm công KT'!$C$11:$AK$90,35,0)</f>
        <v>0</v>
      </c>
      <c r="X14" s="1147"/>
      <c r="Y14" s="1146"/>
      <c r="Z14" s="1146">
        <f>VLOOKUP(C14,'Chấm công KT'!$C$11:$AN$90,38,0)</f>
        <v>0</v>
      </c>
      <c r="AA14" s="1146">
        <f>VLOOKUP(C14,'Chấm công KT'!$C$11:$AO$90,39,0)</f>
        <v>0</v>
      </c>
      <c r="AB14" s="343"/>
      <c r="AC14" s="344">
        <f t="shared" si="5"/>
        <v>0</v>
      </c>
      <c r="AD14" s="147" t="str">
        <f>VLOOKUP(C14,'BTH mủ tạp'!$C$15:$AL$305,36,0)</f>
        <v>B</v>
      </c>
      <c r="AE14" s="148"/>
      <c r="AF14" s="119"/>
      <c r="AG14" s="86">
        <v>125408</v>
      </c>
      <c r="AH14" s="83">
        <v>554</v>
      </c>
      <c r="AI14" s="84"/>
      <c r="AJ14" s="85"/>
      <c r="AK14" s="85"/>
      <c r="AL14" s="85"/>
      <c r="AM14" s="85"/>
      <c r="AN14" s="85"/>
      <c r="AO14" s="85"/>
    </row>
    <row r="15" spans="1:46" ht="18.75" customHeight="1">
      <c r="A15" s="294">
        <v>5</v>
      </c>
      <c r="B15" s="336" t="str">
        <f>'Chấm công KT'!D15</f>
        <v>03459</v>
      </c>
      <c r="C15" s="296" t="str">
        <f>'Chấm công KT'!C15</f>
        <v>N. Vạt</v>
      </c>
      <c r="D15" s="145" t="s">
        <v>53</v>
      </c>
      <c r="E15" s="352"/>
      <c r="F15" s="352"/>
      <c r="G15" s="352"/>
      <c r="H15" s="352"/>
      <c r="I15" s="352"/>
      <c r="J15" s="337"/>
      <c r="K15" s="267"/>
      <c r="L15" s="152"/>
      <c r="M15" s="337"/>
      <c r="N15" s="146"/>
      <c r="O15" s="146"/>
      <c r="P15" s="146"/>
      <c r="Q15" s="338">
        <f t="shared" si="3"/>
        <v>0</v>
      </c>
      <c r="R15" s="1221">
        <f>VLOOKUP(C15,'BTH mủ tạp'!$C$15:$AI$94,33,0)</f>
        <v>0</v>
      </c>
      <c r="S15" s="337"/>
      <c r="T15" s="253">
        <f t="shared" si="6"/>
        <v>0</v>
      </c>
      <c r="U15" s="341">
        <f t="shared" si="4"/>
        <v>0</v>
      </c>
      <c r="V15" s="1146">
        <f>VLOOKUP(C15,'Chấm công KT'!$C$11:$AJ$90,34,0)</f>
        <v>0</v>
      </c>
      <c r="W15" s="1146">
        <f>VLOOKUP(C15,'Chấm công KT'!$C$11:$AK$90,35,0)</f>
        <v>0</v>
      </c>
      <c r="X15" s="1147"/>
      <c r="Y15" s="1146"/>
      <c r="Z15" s="1146">
        <f>VLOOKUP(C15,'Chấm công KT'!$C$11:$AN$90,38,0)</f>
        <v>0</v>
      </c>
      <c r="AA15" s="1146">
        <f>VLOOKUP(C15,'Chấm công KT'!$C$11:$AO$90,39,0)</f>
        <v>0</v>
      </c>
      <c r="AB15" s="343"/>
      <c r="AC15" s="344">
        <f t="shared" si="5"/>
        <v>0</v>
      </c>
      <c r="AD15" s="147" t="str">
        <f>VLOOKUP(C15,'BTH mủ tạp'!$C$15:$AL$305,36,0)</f>
        <v>A</v>
      </c>
      <c r="AE15" s="148"/>
      <c r="AF15" s="135"/>
      <c r="AG15" s="136">
        <v>97048</v>
      </c>
      <c r="AH15" s="136">
        <v>92</v>
      </c>
      <c r="AI15" s="84"/>
      <c r="AJ15" s="85"/>
      <c r="AK15" s="85"/>
      <c r="AL15" s="85"/>
      <c r="AM15" s="85"/>
      <c r="AN15" s="85"/>
      <c r="AO15" s="85"/>
    </row>
    <row r="16" spans="1:46" ht="18.75" customHeight="1">
      <c r="A16" s="145">
        <v>6</v>
      </c>
      <c r="B16" s="336" t="str">
        <f>'Chấm công KT'!D16</f>
        <v>03460</v>
      </c>
      <c r="C16" s="296" t="str">
        <f>'Chấm công KT'!C16</f>
        <v>T. Tích</v>
      </c>
      <c r="D16" s="145" t="s">
        <v>53</v>
      </c>
      <c r="E16" s="352"/>
      <c r="F16" s="352"/>
      <c r="G16" s="352"/>
      <c r="H16" s="352"/>
      <c r="I16" s="352"/>
      <c r="J16" s="337"/>
      <c r="K16" s="267"/>
      <c r="L16" s="267"/>
      <c r="M16" s="337"/>
      <c r="N16" s="337"/>
      <c r="O16" s="354"/>
      <c r="P16" s="146"/>
      <c r="Q16" s="338">
        <f t="shared" si="3"/>
        <v>0</v>
      </c>
      <c r="R16" s="1221">
        <f>VLOOKUP(C16,'BTH mủ tạp'!$C$15:$AI$94,33,0)</f>
        <v>0</v>
      </c>
      <c r="S16" s="337"/>
      <c r="T16" s="253">
        <f t="shared" si="6"/>
        <v>0</v>
      </c>
      <c r="U16" s="341">
        <f t="shared" si="4"/>
        <v>0</v>
      </c>
      <c r="V16" s="1146">
        <f>VLOOKUP(C16,'Chấm công KT'!$C$11:$AJ$90,34,0)</f>
        <v>0</v>
      </c>
      <c r="W16" s="1146">
        <f>VLOOKUP(C16,'Chấm công KT'!$C$11:$AK$90,35,0)</f>
        <v>0</v>
      </c>
      <c r="X16" s="1147"/>
      <c r="Y16" s="1146"/>
      <c r="Z16" s="1146">
        <f>VLOOKUP(C16,'Chấm công KT'!$C$11:$AN$90,38,0)</f>
        <v>0</v>
      </c>
      <c r="AA16" s="1146">
        <f>VLOOKUP(C16,'Chấm công KT'!$C$11:$AO$90,39,0)</f>
        <v>0</v>
      </c>
      <c r="AB16" s="343"/>
      <c r="AC16" s="344">
        <f t="shared" si="5"/>
        <v>0</v>
      </c>
      <c r="AD16" s="147" t="str">
        <f>VLOOKUP(C16,'BTH mủ tạp'!$C$15:$AL$305,36,0)</f>
        <v>A</v>
      </c>
      <c r="AE16" s="148"/>
      <c r="AF16" s="119"/>
      <c r="AG16" s="2">
        <v>46179</v>
      </c>
      <c r="AH16" s="87"/>
      <c r="AI16" s="114"/>
      <c r="AJ16" s="114"/>
      <c r="AK16" s="85"/>
      <c r="AL16" s="85"/>
      <c r="AM16" s="85"/>
      <c r="AN16" s="85"/>
      <c r="AO16" s="85"/>
    </row>
    <row r="17" spans="1:41" ht="18.75" customHeight="1">
      <c r="A17" s="294">
        <v>7</v>
      </c>
      <c r="B17" s="336" t="str">
        <f>'Chấm công KT'!D17</f>
        <v>03461</v>
      </c>
      <c r="C17" s="296" t="str">
        <f>'Chấm công KT'!C17</f>
        <v>T. Bi Ly</v>
      </c>
      <c r="D17" s="145" t="s">
        <v>53</v>
      </c>
      <c r="E17" s="352"/>
      <c r="F17" s="352"/>
      <c r="G17" s="352"/>
      <c r="H17" s="352"/>
      <c r="I17" s="352"/>
      <c r="J17" s="337"/>
      <c r="K17" s="267"/>
      <c r="L17" s="267"/>
      <c r="M17" s="337"/>
      <c r="N17" s="337"/>
      <c r="O17" s="354"/>
      <c r="P17" s="146"/>
      <c r="Q17" s="338">
        <f t="shared" si="3"/>
        <v>0</v>
      </c>
      <c r="R17" s="1221">
        <f>VLOOKUP(C17,'BTH mủ tạp'!$C$15:$AI$94,33,0)</f>
        <v>0</v>
      </c>
      <c r="S17" s="337"/>
      <c r="T17" s="253">
        <f t="shared" si="6"/>
        <v>0</v>
      </c>
      <c r="U17" s="341">
        <f t="shared" si="4"/>
        <v>0</v>
      </c>
      <c r="V17" s="1146">
        <f>VLOOKUP(C17,'Chấm công KT'!$C$11:$AJ$90,34,0)</f>
        <v>0</v>
      </c>
      <c r="W17" s="1146">
        <f>VLOOKUP(C17,'Chấm công KT'!$C$11:$AK$90,35,0)</f>
        <v>0</v>
      </c>
      <c r="X17" s="1147"/>
      <c r="Y17" s="1146"/>
      <c r="Z17" s="1146">
        <f>VLOOKUP(C17,'Chấm công KT'!$C$11:$AN$90,38,0)</f>
        <v>0</v>
      </c>
      <c r="AA17" s="1146">
        <f>VLOOKUP(C17,'Chấm công KT'!$C$11:$AO$90,39,0)</f>
        <v>0</v>
      </c>
      <c r="AB17" s="343"/>
      <c r="AC17" s="344">
        <f t="shared" si="5"/>
        <v>0</v>
      </c>
      <c r="AD17" s="147" t="str">
        <f>VLOOKUP(C17,'BTH mủ tạp'!$C$15:$AL$305,36,0)</f>
        <v>A</v>
      </c>
      <c r="AE17" s="148"/>
      <c r="AF17" s="130"/>
      <c r="AG17" s="114"/>
      <c r="AH17" s="125"/>
      <c r="AI17" s="126"/>
      <c r="AJ17" s="85"/>
      <c r="AK17" s="85"/>
      <c r="AL17" s="85"/>
      <c r="AM17" s="85"/>
      <c r="AN17" s="85"/>
      <c r="AO17" s="85"/>
    </row>
    <row r="18" spans="1:41" ht="18.75" customHeight="1">
      <c r="A18" s="145">
        <v>8</v>
      </c>
      <c r="B18" s="336" t="str">
        <f>'Chấm công KT'!D18</f>
        <v>03462</v>
      </c>
      <c r="C18" s="296" t="str">
        <f>'Chấm công KT'!C18</f>
        <v>T . Bua Ngân</v>
      </c>
      <c r="D18" s="145" t="s">
        <v>53</v>
      </c>
      <c r="E18" s="352"/>
      <c r="F18" s="352"/>
      <c r="G18" s="352"/>
      <c r="H18" s="352"/>
      <c r="I18" s="352"/>
      <c r="J18" s="337"/>
      <c r="K18" s="267"/>
      <c r="L18" s="267"/>
      <c r="M18" s="337"/>
      <c r="N18" s="337"/>
      <c r="O18" s="354"/>
      <c r="P18" s="146"/>
      <c r="Q18" s="338">
        <f t="shared" si="3"/>
        <v>0</v>
      </c>
      <c r="R18" s="1221">
        <f>VLOOKUP(C18,'BTH mủ tạp'!$C$15:$AI$94,33,0)</f>
        <v>0</v>
      </c>
      <c r="S18" s="337"/>
      <c r="T18" s="253">
        <f t="shared" si="6"/>
        <v>0</v>
      </c>
      <c r="U18" s="341">
        <f t="shared" si="4"/>
        <v>0</v>
      </c>
      <c r="V18" s="1146">
        <f>VLOOKUP(C18,'Chấm công KT'!$C$11:$AJ$90,34,0)</f>
        <v>0</v>
      </c>
      <c r="W18" s="1146">
        <f>VLOOKUP(C18,'Chấm công KT'!$C$11:$AK$90,35,0)</f>
        <v>0</v>
      </c>
      <c r="X18" s="1147"/>
      <c r="Y18" s="1146"/>
      <c r="Z18" s="1146">
        <f>VLOOKUP(C18,'Chấm công KT'!$C$11:$AN$90,38,0)</f>
        <v>0</v>
      </c>
      <c r="AA18" s="1146">
        <f>VLOOKUP(C18,'Chấm công KT'!$C$11:$AO$90,39,0)</f>
        <v>0</v>
      </c>
      <c r="AB18" s="343"/>
      <c r="AC18" s="344">
        <f t="shared" si="5"/>
        <v>0</v>
      </c>
      <c r="AD18" s="147" t="str">
        <f>VLOOKUP(C18,'BTH mủ tạp'!$C$15:$AL$305,36,0)</f>
        <v>A</v>
      </c>
      <c r="AE18" s="148"/>
      <c r="AF18" s="130"/>
      <c r="AG18" s="140"/>
      <c r="AH18" s="125"/>
      <c r="AI18" s="124">
        <f>1155.43-Q9</f>
        <v>-12571.15</v>
      </c>
      <c r="AJ18" s="85"/>
      <c r="AK18" s="85"/>
      <c r="AL18" s="85"/>
      <c r="AM18" s="85"/>
      <c r="AN18" s="85"/>
      <c r="AO18" s="85"/>
    </row>
    <row r="19" spans="1:41" ht="18.75" customHeight="1">
      <c r="A19" s="294">
        <v>9</v>
      </c>
      <c r="B19" s="336" t="str">
        <f>'Chấm công KT'!D19</f>
        <v>03463</v>
      </c>
      <c r="C19" s="296" t="str">
        <f>'Chấm công KT'!C19</f>
        <v>T Căng</v>
      </c>
      <c r="D19" s="145" t="s">
        <v>53</v>
      </c>
      <c r="E19" s="352"/>
      <c r="F19" s="352"/>
      <c r="G19" s="352"/>
      <c r="H19" s="352"/>
      <c r="I19" s="352"/>
      <c r="J19" s="337"/>
      <c r="K19" s="267"/>
      <c r="L19" s="267"/>
      <c r="M19" s="337"/>
      <c r="N19" s="337"/>
      <c r="O19" s="354"/>
      <c r="P19" s="146"/>
      <c r="Q19" s="338">
        <f t="shared" si="3"/>
        <v>0</v>
      </c>
      <c r="R19" s="1221">
        <f>VLOOKUP(C19,'BTH mủ tạp'!$C$15:$AI$94,33,0)</f>
        <v>0</v>
      </c>
      <c r="S19" s="337"/>
      <c r="T19" s="253">
        <f t="shared" si="6"/>
        <v>0</v>
      </c>
      <c r="U19" s="341">
        <f t="shared" si="4"/>
        <v>0</v>
      </c>
      <c r="V19" s="1146">
        <f>VLOOKUP(C19,'Chấm công KT'!$C$11:$AJ$90,34,0)</f>
        <v>0</v>
      </c>
      <c r="W19" s="1146">
        <f>VLOOKUP(C19,'Chấm công KT'!$C$11:$AK$90,35,0)</f>
        <v>0</v>
      </c>
      <c r="X19" s="1147"/>
      <c r="Y19" s="1146"/>
      <c r="Z19" s="1146">
        <f>VLOOKUP(C19,'Chấm công KT'!$C$11:$AN$90,38,0)</f>
        <v>0</v>
      </c>
      <c r="AA19" s="1146">
        <f>VLOOKUP(C19,'Chấm công KT'!$C$11:$AO$90,39,0)</f>
        <v>0</v>
      </c>
      <c r="AB19" s="343"/>
      <c r="AC19" s="344">
        <f t="shared" si="5"/>
        <v>0</v>
      </c>
      <c r="AD19" s="147" t="str">
        <f>VLOOKUP(C19,'BTH mủ tạp'!$C$15:$AL$305,36,0)</f>
        <v>A</v>
      </c>
      <c r="AE19" s="148"/>
      <c r="AF19" s="130"/>
      <c r="AG19" s="130"/>
      <c r="AH19" s="130"/>
      <c r="AI19" s="130"/>
      <c r="AJ19" s="85"/>
      <c r="AK19" s="85"/>
      <c r="AL19" s="85"/>
      <c r="AM19" s="85"/>
      <c r="AN19" s="85"/>
      <c r="AO19" s="85"/>
    </row>
    <row r="20" spans="1:41" ht="18.75" customHeight="1">
      <c r="A20" s="145">
        <v>10</v>
      </c>
      <c r="B20" s="336" t="str">
        <f>'Chấm công KT'!D20</f>
        <v>03464</v>
      </c>
      <c r="C20" s="296" t="str">
        <f>'Chấm công KT'!C20</f>
        <v>N. Phôn 1</v>
      </c>
      <c r="D20" s="145" t="s">
        <v>53</v>
      </c>
      <c r="E20" s="352"/>
      <c r="F20" s="352"/>
      <c r="G20" s="352"/>
      <c r="H20" s="352"/>
      <c r="I20" s="352"/>
      <c r="J20" s="337"/>
      <c r="K20" s="267"/>
      <c r="L20" s="152"/>
      <c r="M20" s="152"/>
      <c r="N20" s="146"/>
      <c r="O20" s="146"/>
      <c r="P20" s="146"/>
      <c r="Q20" s="338">
        <f t="shared" si="3"/>
        <v>0</v>
      </c>
      <c r="R20" s="1221">
        <f>VLOOKUP(C20,'BTH mủ tạp'!$C$15:$AI$94,33,0)</f>
        <v>0</v>
      </c>
      <c r="S20" s="337"/>
      <c r="T20" s="253">
        <f t="shared" si="6"/>
        <v>0</v>
      </c>
      <c r="U20" s="341">
        <f t="shared" si="4"/>
        <v>0</v>
      </c>
      <c r="V20" s="1146">
        <f>VLOOKUP(C20,'Chấm công KT'!$C$11:$AJ$90,34,0)</f>
        <v>0</v>
      </c>
      <c r="W20" s="1146">
        <f>VLOOKUP(C20,'Chấm công KT'!$C$11:$AK$90,35,0)</f>
        <v>0</v>
      </c>
      <c r="X20" s="1147"/>
      <c r="Y20" s="1146"/>
      <c r="Z20" s="1146">
        <f>VLOOKUP(C20,'Chấm công KT'!$C$11:$AN$90,38,0)</f>
        <v>0</v>
      </c>
      <c r="AA20" s="1146">
        <f>VLOOKUP(C20,'Chấm công KT'!$C$11:$AO$90,39,0)</f>
        <v>0</v>
      </c>
      <c r="AB20" s="343"/>
      <c r="AC20" s="344">
        <f t="shared" si="5"/>
        <v>0</v>
      </c>
      <c r="AD20" s="147" t="str">
        <f>VLOOKUP(C20,'BTH mủ tạp'!$C$15:$AL$305,36,0)</f>
        <v>A</v>
      </c>
      <c r="AE20" s="148"/>
      <c r="AF20" s="119"/>
      <c r="AG20" s="71">
        <f>Q9</f>
        <v>13726.58</v>
      </c>
      <c r="AH20" s="137"/>
      <c r="AI20" s="88"/>
      <c r="AJ20" s="85"/>
      <c r="AK20" s="85"/>
      <c r="AL20" s="85"/>
      <c r="AM20" s="85"/>
      <c r="AN20" s="85"/>
      <c r="AO20" s="85"/>
    </row>
    <row r="21" spans="1:41" ht="18.75" customHeight="1">
      <c r="A21" s="294">
        <v>11</v>
      </c>
      <c r="B21" s="336" t="str">
        <f>'Chấm công KT'!D21</f>
        <v>03465</v>
      </c>
      <c r="C21" s="296" t="str">
        <f>'Chấm công KT'!C21</f>
        <v>T. In Păn</v>
      </c>
      <c r="D21" s="145" t="s">
        <v>53</v>
      </c>
      <c r="E21" s="352"/>
      <c r="F21" s="352"/>
      <c r="G21" s="352"/>
      <c r="H21" s="352"/>
      <c r="I21" s="352"/>
      <c r="J21" s="337"/>
      <c r="K21" s="267"/>
      <c r="L21" s="267"/>
      <c r="M21" s="337"/>
      <c r="N21" s="337"/>
      <c r="O21" s="354"/>
      <c r="P21" s="146"/>
      <c r="Q21" s="338">
        <f t="shared" si="3"/>
        <v>0</v>
      </c>
      <c r="R21" s="1221">
        <f>VLOOKUP(C21,'BTH mủ tạp'!$C$15:$AI$94,33,0)</f>
        <v>0</v>
      </c>
      <c r="S21" s="337"/>
      <c r="T21" s="253">
        <f t="shared" si="6"/>
        <v>0</v>
      </c>
      <c r="U21" s="341">
        <f t="shared" si="4"/>
        <v>0</v>
      </c>
      <c r="V21" s="1146">
        <f>VLOOKUP(C21,'Chấm công KT'!$C$11:$AJ$90,34,0)</f>
        <v>0</v>
      </c>
      <c r="W21" s="1146">
        <f>VLOOKUP(C21,'Chấm công KT'!$C$11:$AK$90,35,0)</f>
        <v>0</v>
      </c>
      <c r="X21" s="1147"/>
      <c r="Y21" s="1146"/>
      <c r="Z21" s="1146">
        <f>VLOOKUP(C21,'Chấm công KT'!$C$11:$AN$90,38,0)</f>
        <v>0</v>
      </c>
      <c r="AA21" s="1146">
        <f>VLOOKUP(C21,'Chấm công KT'!$C$11:$AO$90,39,0)</f>
        <v>0</v>
      </c>
      <c r="AB21" s="343"/>
      <c r="AC21" s="344">
        <f t="shared" si="5"/>
        <v>0</v>
      </c>
      <c r="AD21" s="147" t="str">
        <f>VLOOKUP(C21,'BTH mủ tạp'!$C$15:$AL$305,36,0)</f>
        <v>B</v>
      </c>
      <c r="AE21" s="148"/>
      <c r="AF21" s="119"/>
      <c r="AG21" s="71">
        <f>AG20-2544.38</f>
        <v>11182.2</v>
      </c>
      <c r="AH21" s="87"/>
      <c r="AI21" s="88"/>
      <c r="AJ21" s="85"/>
      <c r="AK21" s="85"/>
      <c r="AL21" s="85"/>
      <c r="AM21" s="85"/>
      <c r="AN21" s="85"/>
      <c r="AO21" s="85"/>
    </row>
    <row r="22" spans="1:41" ht="18.75" customHeight="1">
      <c r="A22" s="145">
        <v>12</v>
      </c>
      <c r="B22" s="336" t="str">
        <f>'Chấm công KT'!D22</f>
        <v>03466</v>
      </c>
      <c r="C22" s="296" t="str">
        <f>'Chấm công KT'!C22</f>
        <v>N. Keo</v>
      </c>
      <c r="D22" s="145" t="s">
        <v>53</v>
      </c>
      <c r="E22" s="352"/>
      <c r="F22" s="352"/>
      <c r="G22" s="352"/>
      <c r="H22" s="352"/>
      <c r="I22" s="352"/>
      <c r="J22" s="337"/>
      <c r="K22" s="152"/>
      <c r="L22" s="152"/>
      <c r="M22" s="152"/>
      <c r="N22" s="146"/>
      <c r="O22" s="146"/>
      <c r="P22" s="146"/>
      <c r="Q22" s="338">
        <f t="shared" si="3"/>
        <v>0</v>
      </c>
      <c r="R22" s="1221">
        <f>VLOOKUP(C22,'BTH mủ tạp'!$C$15:$AI$94,33,0)</f>
        <v>0</v>
      </c>
      <c r="S22" s="337"/>
      <c r="T22" s="253">
        <f t="shared" si="6"/>
        <v>0</v>
      </c>
      <c r="U22" s="341">
        <f t="shared" si="4"/>
        <v>0</v>
      </c>
      <c r="V22" s="1146">
        <f>VLOOKUP(C22,'Chấm công KT'!$C$11:$AJ$90,34,0)</f>
        <v>0</v>
      </c>
      <c r="W22" s="1146">
        <f>VLOOKUP(C22,'Chấm công KT'!$C$11:$AK$90,35,0)</f>
        <v>0</v>
      </c>
      <c r="X22" s="1147"/>
      <c r="Y22" s="1146"/>
      <c r="Z22" s="1146">
        <f>VLOOKUP(C22,'Chấm công KT'!$C$11:$AN$90,38,0)</f>
        <v>0</v>
      </c>
      <c r="AA22" s="1146">
        <f>VLOOKUP(C22,'Chấm công KT'!$C$11:$AO$90,39,0)</f>
        <v>0</v>
      </c>
      <c r="AB22" s="343"/>
      <c r="AC22" s="344">
        <f t="shared" si="5"/>
        <v>0</v>
      </c>
      <c r="AD22" s="147" t="str">
        <f>VLOOKUP(C22,'BTH mủ tạp'!$C$15:$AL$305,36,0)</f>
        <v>A</v>
      </c>
      <c r="AE22" s="148"/>
      <c r="AF22" s="119"/>
      <c r="AG22" s="50">
        <f>AG21-6.33</f>
        <v>11175.87</v>
      </c>
      <c r="AH22" s="87"/>
      <c r="AI22" s="88"/>
      <c r="AJ22" s="85"/>
      <c r="AK22" s="85"/>
      <c r="AL22" s="85"/>
      <c r="AM22" s="85"/>
      <c r="AN22" s="85"/>
      <c r="AO22" s="85"/>
    </row>
    <row r="23" spans="1:41" ht="18.75" customHeight="1">
      <c r="A23" s="294">
        <v>13</v>
      </c>
      <c r="B23" s="336" t="str">
        <f>'Chấm công KT'!D23</f>
        <v>02727</v>
      </c>
      <c r="C23" s="296" t="str">
        <f>'Chấm công KT'!C23</f>
        <v>T. Thong Đon</v>
      </c>
      <c r="D23" s="145" t="s">
        <v>53</v>
      </c>
      <c r="E23" s="352"/>
      <c r="F23" s="352"/>
      <c r="G23" s="352"/>
      <c r="H23" s="352"/>
      <c r="I23" s="352"/>
      <c r="J23" s="337"/>
      <c r="K23" s="267"/>
      <c r="L23" s="267"/>
      <c r="M23" s="337"/>
      <c r="N23" s="337"/>
      <c r="O23" s="354"/>
      <c r="P23" s="146"/>
      <c r="Q23" s="338">
        <f t="shared" si="3"/>
        <v>0</v>
      </c>
      <c r="R23" s="1221">
        <f>VLOOKUP(C23,'BTH mủ tạp'!$C$15:$AI$94,33,0)</f>
        <v>0</v>
      </c>
      <c r="S23" s="337"/>
      <c r="T23" s="253">
        <f t="shared" si="6"/>
        <v>0</v>
      </c>
      <c r="U23" s="341">
        <f t="shared" si="4"/>
        <v>0</v>
      </c>
      <c r="V23" s="1146">
        <f>VLOOKUP(C23,'Chấm công KT'!$C$11:$AJ$90,34,0)</f>
        <v>0</v>
      </c>
      <c r="W23" s="1146">
        <f>VLOOKUP(C23,'Chấm công KT'!$C$11:$AK$90,35,0)</f>
        <v>0</v>
      </c>
      <c r="X23" s="1147"/>
      <c r="Y23" s="1146"/>
      <c r="Z23" s="1146">
        <f>VLOOKUP(C23,'Chấm công KT'!$C$11:$AN$90,38,0)</f>
        <v>0</v>
      </c>
      <c r="AA23" s="1146">
        <f>VLOOKUP(C23,'Chấm công KT'!$C$11:$AO$90,39,0)</f>
        <v>0</v>
      </c>
      <c r="AB23" s="343"/>
      <c r="AC23" s="344">
        <f t="shared" si="5"/>
        <v>0</v>
      </c>
      <c r="AD23" s="147" t="str">
        <f>VLOOKUP(C23,'BTH mủ tạp'!$C$15:$AL$305,36,0)</f>
        <v>B</v>
      </c>
      <c r="AE23" s="148"/>
      <c r="AF23" s="119"/>
      <c r="AG23" s="50"/>
      <c r="AH23" s="87"/>
      <c r="AI23" s="88"/>
      <c r="AJ23" s="85"/>
      <c r="AK23" s="85"/>
      <c r="AL23" s="85"/>
      <c r="AM23" s="85"/>
      <c r="AN23" s="85"/>
      <c r="AO23" s="85"/>
    </row>
    <row r="24" spans="1:41" ht="18.75" customHeight="1">
      <c r="A24" s="145">
        <v>14</v>
      </c>
      <c r="B24" s="336" t="str">
        <f>'Chấm công KT'!D24</f>
        <v>03467</v>
      </c>
      <c r="C24" s="296" t="str">
        <f>'Chấm công KT'!C24</f>
        <v>T. Hin</v>
      </c>
      <c r="D24" s="145" t="s">
        <v>53</v>
      </c>
      <c r="E24" s="352"/>
      <c r="F24" s="352"/>
      <c r="G24" s="352"/>
      <c r="H24" s="352"/>
      <c r="I24" s="352"/>
      <c r="J24" s="337"/>
      <c r="K24" s="152"/>
      <c r="L24" s="152"/>
      <c r="M24" s="152"/>
      <c r="N24" s="146"/>
      <c r="O24" s="146"/>
      <c r="P24" s="146"/>
      <c r="Q24" s="338">
        <f t="shared" si="3"/>
        <v>0</v>
      </c>
      <c r="R24" s="1221">
        <f>VLOOKUP(C24,'BTH mủ tạp'!$C$15:$AI$94,33,0)</f>
        <v>0</v>
      </c>
      <c r="S24" s="337"/>
      <c r="T24" s="253">
        <f t="shared" si="6"/>
        <v>0</v>
      </c>
      <c r="U24" s="341">
        <f t="shared" si="4"/>
        <v>0</v>
      </c>
      <c r="V24" s="1146">
        <f>VLOOKUP(C24,'Chấm công KT'!$C$11:$AJ$90,34,0)</f>
        <v>0</v>
      </c>
      <c r="W24" s="1146">
        <f>VLOOKUP(C24,'Chấm công KT'!$C$11:$AK$90,35,0)</f>
        <v>0</v>
      </c>
      <c r="X24" s="1147"/>
      <c r="Y24" s="1146"/>
      <c r="Z24" s="1146">
        <f>VLOOKUP(C24,'Chấm công KT'!$C$11:$AN$90,38,0)</f>
        <v>0</v>
      </c>
      <c r="AA24" s="1146">
        <f>VLOOKUP(C24,'Chấm công KT'!$C$11:$AO$90,39,0)</f>
        <v>0</v>
      </c>
      <c r="AB24" s="343"/>
      <c r="AC24" s="344">
        <f t="shared" si="5"/>
        <v>0</v>
      </c>
      <c r="AD24" s="147" t="str">
        <f>VLOOKUP(C24,'BTH mủ tạp'!$C$15:$AL$305,36,0)</f>
        <v>A</v>
      </c>
      <c r="AE24" s="148"/>
      <c r="AF24" s="119"/>
      <c r="AH24" s="87"/>
      <c r="AI24" s="88"/>
      <c r="AJ24" s="85"/>
      <c r="AK24" s="85"/>
      <c r="AL24" s="85"/>
      <c r="AM24" s="85"/>
      <c r="AN24" s="85"/>
      <c r="AO24" s="85"/>
    </row>
    <row r="25" spans="1:41" ht="18.75" customHeight="1">
      <c r="A25" s="294">
        <v>15</v>
      </c>
      <c r="B25" s="336" t="str">
        <f>'Chấm công KT'!D25</f>
        <v>03468</v>
      </c>
      <c r="C25" s="296" t="str">
        <f>'Chấm công KT'!C25</f>
        <v>T. Son</v>
      </c>
      <c r="D25" s="145" t="s">
        <v>53</v>
      </c>
      <c r="E25" s="352"/>
      <c r="F25" s="352"/>
      <c r="G25" s="352"/>
      <c r="H25" s="352"/>
      <c r="I25" s="352"/>
      <c r="J25" s="337"/>
      <c r="K25" s="152"/>
      <c r="L25" s="152"/>
      <c r="M25" s="152"/>
      <c r="N25" s="146"/>
      <c r="O25" s="146"/>
      <c r="P25" s="146"/>
      <c r="Q25" s="338">
        <f t="shared" si="3"/>
        <v>0</v>
      </c>
      <c r="R25" s="1221">
        <f>VLOOKUP(C25,'BTH mủ tạp'!$C$15:$AI$94,33,0)</f>
        <v>0</v>
      </c>
      <c r="S25" s="337"/>
      <c r="T25" s="253">
        <f t="shared" si="6"/>
        <v>0</v>
      </c>
      <c r="U25" s="341">
        <f t="shared" si="4"/>
        <v>0</v>
      </c>
      <c r="V25" s="1146">
        <f>VLOOKUP(C25,'Chấm công KT'!$C$11:$AJ$90,34,0)</f>
        <v>0</v>
      </c>
      <c r="W25" s="1146">
        <f>VLOOKUP(C25,'Chấm công KT'!$C$11:$AK$90,35,0)</f>
        <v>0</v>
      </c>
      <c r="X25" s="1147"/>
      <c r="Y25" s="1146"/>
      <c r="Z25" s="1146">
        <f>VLOOKUP(C25,'Chấm công KT'!$C$11:$AN$90,38,0)</f>
        <v>0</v>
      </c>
      <c r="AA25" s="1146">
        <f>VLOOKUP(C25,'Chấm công KT'!$C$11:$AO$90,39,0)</f>
        <v>0</v>
      </c>
      <c r="AB25" s="343"/>
      <c r="AC25" s="344">
        <f t="shared" si="5"/>
        <v>0</v>
      </c>
      <c r="AD25" s="147" t="str">
        <f>VLOOKUP(C25,'BTH mủ tạp'!$C$15:$AL$305,36,0)</f>
        <v>A</v>
      </c>
      <c r="AE25" s="148"/>
      <c r="AF25" s="119"/>
      <c r="AH25" s="87"/>
      <c r="AI25" s="84"/>
      <c r="AJ25" s="85"/>
      <c r="AK25" s="85"/>
      <c r="AL25" s="85"/>
      <c r="AM25" s="85"/>
      <c r="AN25" s="85"/>
      <c r="AO25" s="85"/>
    </row>
    <row r="26" spans="1:41" ht="18.75" customHeight="1">
      <c r="A26" s="145">
        <v>16</v>
      </c>
      <c r="B26" s="336" t="str">
        <f>'Chấm công KT'!D26</f>
        <v>03469</v>
      </c>
      <c r="C26" s="296" t="str">
        <f>'Chấm công KT'!C26</f>
        <v>T. Xôm Va Nít</v>
      </c>
      <c r="D26" s="145" t="s">
        <v>53</v>
      </c>
      <c r="E26" s="352"/>
      <c r="F26" s="352"/>
      <c r="G26" s="352"/>
      <c r="H26" s="352"/>
      <c r="I26" s="352"/>
      <c r="J26" s="337"/>
      <c r="K26" s="152"/>
      <c r="L26" s="152"/>
      <c r="M26" s="152"/>
      <c r="N26" s="146"/>
      <c r="O26" s="146"/>
      <c r="P26" s="146"/>
      <c r="Q26" s="338">
        <f t="shared" si="3"/>
        <v>0</v>
      </c>
      <c r="R26" s="1221">
        <f>VLOOKUP(C26,'BTH mủ tạp'!$C$15:$AI$94,33,0)</f>
        <v>0</v>
      </c>
      <c r="S26" s="337"/>
      <c r="T26" s="253">
        <f t="shared" si="6"/>
        <v>0</v>
      </c>
      <c r="U26" s="341">
        <f t="shared" si="4"/>
        <v>0</v>
      </c>
      <c r="V26" s="1146">
        <f>VLOOKUP(C26,'Chấm công KT'!$C$11:$AJ$90,34,0)</f>
        <v>0</v>
      </c>
      <c r="W26" s="1146">
        <f>VLOOKUP(C26,'Chấm công KT'!$C$11:$AK$90,35,0)</f>
        <v>0</v>
      </c>
      <c r="X26" s="1147"/>
      <c r="Y26" s="1146"/>
      <c r="Z26" s="1146">
        <f>VLOOKUP(C26,'Chấm công KT'!$C$11:$AN$90,38,0)</f>
        <v>0</v>
      </c>
      <c r="AA26" s="1146">
        <f>VLOOKUP(C26,'Chấm công KT'!$C$11:$AO$90,39,0)</f>
        <v>0</v>
      </c>
      <c r="AB26" s="343"/>
      <c r="AC26" s="344">
        <f t="shared" si="5"/>
        <v>0</v>
      </c>
      <c r="AD26" s="147" t="str">
        <f>VLOOKUP(C26,'BTH mủ tạp'!$C$15:$AL$305,36,0)</f>
        <v>A</v>
      </c>
      <c r="AE26" s="148"/>
      <c r="AF26" s="119"/>
      <c r="AG26" s="87"/>
      <c r="AH26" s="87"/>
      <c r="AI26" s="84"/>
      <c r="AJ26" s="85"/>
      <c r="AK26" s="85"/>
      <c r="AL26" s="85"/>
      <c r="AM26" s="85"/>
      <c r="AN26" s="85"/>
      <c r="AO26" s="85"/>
    </row>
    <row r="27" spans="1:41" ht="18.75" customHeight="1">
      <c r="A27" s="294">
        <v>17</v>
      </c>
      <c r="B27" s="336" t="str">
        <f>'Chấm công KT'!D27</f>
        <v>03470</v>
      </c>
      <c r="C27" s="296" t="str">
        <f>'Chấm công KT'!C27</f>
        <v>T. Lọi</v>
      </c>
      <c r="D27" s="145" t="s">
        <v>53</v>
      </c>
      <c r="E27" s="352"/>
      <c r="F27" s="352"/>
      <c r="G27" s="352"/>
      <c r="H27" s="352"/>
      <c r="I27" s="352"/>
      <c r="J27" s="337"/>
      <c r="K27" s="152"/>
      <c r="L27" s="152"/>
      <c r="M27" s="152"/>
      <c r="N27" s="146"/>
      <c r="O27" s="146"/>
      <c r="P27" s="146"/>
      <c r="Q27" s="338">
        <f t="shared" si="3"/>
        <v>0</v>
      </c>
      <c r="R27" s="1221">
        <f>VLOOKUP(C27,'BTH mủ tạp'!$C$15:$AI$94,33,0)</f>
        <v>0</v>
      </c>
      <c r="S27" s="337"/>
      <c r="T27" s="253">
        <f t="shared" si="6"/>
        <v>0</v>
      </c>
      <c r="U27" s="341">
        <f t="shared" si="4"/>
        <v>0</v>
      </c>
      <c r="V27" s="1146">
        <f>VLOOKUP(C27,'Chấm công KT'!$C$11:$AJ$90,34,0)</f>
        <v>0</v>
      </c>
      <c r="W27" s="1146">
        <f>VLOOKUP(C27,'Chấm công KT'!$C$11:$AK$90,35,0)</f>
        <v>0</v>
      </c>
      <c r="X27" s="1147"/>
      <c r="Y27" s="1146"/>
      <c r="Z27" s="1146">
        <f>VLOOKUP(C27,'Chấm công KT'!$C$11:$AN$90,38,0)</f>
        <v>0</v>
      </c>
      <c r="AA27" s="1146">
        <f>VLOOKUP(C27,'Chấm công KT'!$C$11:$AO$90,39,0)</f>
        <v>0</v>
      </c>
      <c r="AB27" s="343"/>
      <c r="AC27" s="344">
        <f t="shared" si="5"/>
        <v>0</v>
      </c>
      <c r="AD27" s="147" t="str">
        <f>VLOOKUP(C27,'BTH mủ tạp'!$C$15:$AL$305,36,0)</f>
        <v>A</v>
      </c>
      <c r="AE27" s="148"/>
      <c r="AF27" s="119"/>
      <c r="AH27" s="87"/>
      <c r="AI27" s="84"/>
      <c r="AJ27" s="85"/>
      <c r="AK27" s="85"/>
      <c r="AL27" s="85"/>
      <c r="AM27" s="85"/>
      <c r="AN27" s="85"/>
      <c r="AO27" s="85"/>
    </row>
    <row r="28" spans="1:41" ht="18.75" customHeight="1">
      <c r="A28" s="145">
        <v>18</v>
      </c>
      <c r="B28" s="336" t="str">
        <f>'Chấm công KT'!D28</f>
        <v>03471</v>
      </c>
      <c r="C28" s="296" t="str">
        <f>'Chấm công KT'!C28</f>
        <v>T. Phô Thong</v>
      </c>
      <c r="D28" s="145" t="s">
        <v>53</v>
      </c>
      <c r="E28" s="352"/>
      <c r="F28" s="352"/>
      <c r="G28" s="352"/>
      <c r="H28" s="352"/>
      <c r="I28" s="352"/>
      <c r="J28" s="337"/>
      <c r="K28" s="152"/>
      <c r="L28" s="152"/>
      <c r="M28" s="152"/>
      <c r="N28" s="146"/>
      <c r="O28" s="146"/>
      <c r="P28" s="146"/>
      <c r="Q28" s="338">
        <f t="shared" si="3"/>
        <v>0</v>
      </c>
      <c r="R28" s="1221">
        <f>VLOOKUP(C28,'BTH mủ tạp'!$C$15:$AI$94,33,0)</f>
        <v>0</v>
      </c>
      <c r="S28" s="337"/>
      <c r="T28" s="253">
        <f t="shared" si="6"/>
        <v>0</v>
      </c>
      <c r="U28" s="341">
        <f t="shared" si="4"/>
        <v>0</v>
      </c>
      <c r="V28" s="1146">
        <f>VLOOKUP(C28,'Chấm công KT'!$C$11:$AJ$90,34,0)</f>
        <v>0</v>
      </c>
      <c r="W28" s="1146">
        <f>VLOOKUP(C28,'Chấm công KT'!$C$11:$AK$90,35,0)</f>
        <v>0</v>
      </c>
      <c r="X28" s="1147"/>
      <c r="Y28" s="1146"/>
      <c r="Z28" s="1146">
        <f>VLOOKUP(C28,'Chấm công KT'!$C$11:$AN$90,38,0)</f>
        <v>0</v>
      </c>
      <c r="AA28" s="1146">
        <f>VLOOKUP(C28,'Chấm công KT'!$C$11:$AO$90,39,0)</f>
        <v>0</v>
      </c>
      <c r="AB28" s="343"/>
      <c r="AC28" s="344">
        <f t="shared" si="5"/>
        <v>0</v>
      </c>
      <c r="AD28" s="147" t="str">
        <f>VLOOKUP(C28,'BTH mủ tạp'!$C$15:$AL$305,36,0)</f>
        <v>A</v>
      </c>
      <c r="AE28" s="148"/>
      <c r="AF28" s="119">
        <f>Q9-10084</f>
        <v>3642.58</v>
      </c>
      <c r="AH28" s="87"/>
      <c r="AI28" s="84"/>
      <c r="AJ28" s="85"/>
      <c r="AK28" s="85"/>
      <c r="AL28" s="85"/>
      <c r="AM28" s="85"/>
      <c r="AN28" s="85"/>
      <c r="AO28" s="85"/>
    </row>
    <row r="29" spans="1:41" ht="18.75" customHeight="1">
      <c r="A29" s="294">
        <v>19</v>
      </c>
      <c r="B29" s="336" t="str">
        <f>'Chấm công KT'!D29</f>
        <v>03472</v>
      </c>
      <c r="C29" s="296" t="str">
        <f>'Chấm công KT'!C29</f>
        <v>N. Soi</v>
      </c>
      <c r="D29" s="145" t="s">
        <v>53</v>
      </c>
      <c r="E29" s="352"/>
      <c r="F29" s="352"/>
      <c r="G29" s="352"/>
      <c r="H29" s="352"/>
      <c r="I29" s="352"/>
      <c r="J29" s="337"/>
      <c r="K29" s="267"/>
      <c r="L29" s="267"/>
      <c r="M29" s="337"/>
      <c r="N29" s="337"/>
      <c r="O29" s="354"/>
      <c r="P29" s="146"/>
      <c r="Q29" s="338">
        <f t="shared" si="3"/>
        <v>0</v>
      </c>
      <c r="R29" s="1221">
        <f>VLOOKUP(C29,'BTH mủ tạp'!$C$15:$AI$94,33,0)</f>
        <v>0</v>
      </c>
      <c r="S29" s="337"/>
      <c r="T29" s="253">
        <f t="shared" si="6"/>
        <v>0</v>
      </c>
      <c r="U29" s="341">
        <f t="shared" si="4"/>
        <v>0</v>
      </c>
      <c r="V29" s="1146">
        <f>VLOOKUP(C29,'Chấm công KT'!$C$11:$AJ$90,34,0)</f>
        <v>0</v>
      </c>
      <c r="W29" s="1146">
        <f>VLOOKUP(C29,'Chấm công KT'!$C$11:$AK$90,35,0)</f>
        <v>0</v>
      </c>
      <c r="X29" s="1147"/>
      <c r="Y29" s="1146"/>
      <c r="Z29" s="1146">
        <f>VLOOKUP(C29,'Chấm công KT'!$C$11:$AN$90,38,0)</f>
        <v>0</v>
      </c>
      <c r="AA29" s="1146">
        <f>VLOOKUP(C29,'Chấm công KT'!$C$11:$AO$90,39,0)</f>
        <v>0</v>
      </c>
      <c r="AB29" s="343"/>
      <c r="AC29" s="344">
        <f t="shared" si="5"/>
        <v>0</v>
      </c>
      <c r="AD29" s="147" t="str">
        <f>VLOOKUP(C29,'BTH mủ tạp'!$C$15:$AL$305,36,0)</f>
        <v>A</v>
      </c>
      <c r="AE29" s="148"/>
      <c r="AF29" s="119"/>
      <c r="AH29" s="87"/>
      <c r="AI29" s="84"/>
      <c r="AJ29" s="85"/>
      <c r="AK29" s="85"/>
      <c r="AL29" s="85"/>
      <c r="AM29" s="85"/>
      <c r="AN29" s="85"/>
      <c r="AO29" s="85"/>
    </row>
    <row r="30" spans="1:41" ht="18.75" customHeight="1">
      <c r="A30" s="145">
        <v>20</v>
      </c>
      <c r="B30" s="336" t="str">
        <f>'Chấm công KT'!D30</f>
        <v>03473</v>
      </c>
      <c r="C30" s="296" t="str">
        <f>'Chấm công KT'!C30</f>
        <v>N. Me Kha La</v>
      </c>
      <c r="D30" s="145" t="s">
        <v>53</v>
      </c>
      <c r="E30" s="352"/>
      <c r="F30" s="352"/>
      <c r="G30" s="352"/>
      <c r="H30" s="352"/>
      <c r="I30" s="352"/>
      <c r="J30" s="337"/>
      <c r="K30" s="267"/>
      <c r="L30" s="267"/>
      <c r="M30" s="337"/>
      <c r="N30" s="337"/>
      <c r="O30" s="354"/>
      <c r="P30" s="146"/>
      <c r="Q30" s="338">
        <f t="shared" si="3"/>
        <v>0</v>
      </c>
      <c r="R30" s="1221">
        <f>VLOOKUP(C30,'BTH mủ tạp'!$C$15:$AI$94,33,0)</f>
        <v>0</v>
      </c>
      <c r="S30" s="337"/>
      <c r="T30" s="253">
        <f t="shared" si="6"/>
        <v>0</v>
      </c>
      <c r="U30" s="341">
        <f t="shared" si="4"/>
        <v>0</v>
      </c>
      <c r="V30" s="1146">
        <f>VLOOKUP(C30,'Chấm công KT'!$C$11:$AJ$90,34,0)</f>
        <v>0</v>
      </c>
      <c r="W30" s="1146">
        <f>VLOOKUP(C30,'Chấm công KT'!$C$11:$AK$90,35,0)</f>
        <v>0</v>
      </c>
      <c r="X30" s="1147"/>
      <c r="Y30" s="1146"/>
      <c r="Z30" s="1146">
        <f>VLOOKUP(C30,'Chấm công KT'!$C$11:$AN$90,38,0)</f>
        <v>0</v>
      </c>
      <c r="AA30" s="1146">
        <f>VLOOKUP(C30,'Chấm công KT'!$C$11:$AO$90,39,0)</f>
        <v>0</v>
      </c>
      <c r="AB30" s="343"/>
      <c r="AC30" s="344">
        <f t="shared" si="5"/>
        <v>0</v>
      </c>
      <c r="AD30" s="147" t="str">
        <f>VLOOKUP(C30,'BTH mủ tạp'!$C$15:$AL$305,36,0)</f>
        <v>A</v>
      </c>
      <c r="AE30" s="148"/>
      <c r="AF30" s="119"/>
      <c r="AH30" s="87"/>
      <c r="AI30" s="84"/>
      <c r="AJ30" s="85"/>
      <c r="AK30" s="85"/>
      <c r="AL30" s="85"/>
      <c r="AM30" s="85"/>
      <c r="AN30" s="85"/>
      <c r="AO30" s="85"/>
    </row>
    <row r="31" spans="1:41" ht="18.75" customHeight="1">
      <c r="A31" s="294">
        <v>21</v>
      </c>
      <c r="B31" s="336" t="str">
        <f>'Chấm công KT'!D31</f>
        <v>03474</v>
      </c>
      <c r="C31" s="296" t="str">
        <f>'Chấm công KT'!C31</f>
        <v>N. Mon Khăm</v>
      </c>
      <c r="D31" s="145" t="s">
        <v>53</v>
      </c>
      <c r="E31" s="352"/>
      <c r="F31" s="352"/>
      <c r="G31" s="352"/>
      <c r="H31" s="352"/>
      <c r="I31" s="352"/>
      <c r="J31" s="337"/>
      <c r="K31" s="267"/>
      <c r="L31" s="267"/>
      <c r="M31" s="337"/>
      <c r="N31" s="337"/>
      <c r="O31" s="354"/>
      <c r="P31" s="146"/>
      <c r="Q31" s="338">
        <f t="shared" si="3"/>
        <v>0</v>
      </c>
      <c r="R31" s="1221">
        <f>VLOOKUP(C31,'BTH mủ tạp'!$C$15:$AI$94,33,0)</f>
        <v>0</v>
      </c>
      <c r="S31" s="337"/>
      <c r="T31" s="253">
        <f t="shared" si="6"/>
        <v>0</v>
      </c>
      <c r="U31" s="341">
        <f t="shared" si="4"/>
        <v>0</v>
      </c>
      <c r="V31" s="1146">
        <f>VLOOKUP(C31,'Chấm công KT'!$C$11:$AJ$90,34,0)</f>
        <v>0</v>
      </c>
      <c r="W31" s="1146">
        <f>VLOOKUP(C31,'Chấm công KT'!$C$11:$AK$90,35,0)</f>
        <v>0</v>
      </c>
      <c r="X31" s="1147"/>
      <c r="Y31" s="1146"/>
      <c r="Z31" s="1146">
        <f>VLOOKUP(C31,'Chấm công KT'!$C$11:$AN$90,38,0)</f>
        <v>0</v>
      </c>
      <c r="AA31" s="1146">
        <f>VLOOKUP(C31,'Chấm công KT'!$C$11:$AO$90,39,0)</f>
        <v>0</v>
      </c>
      <c r="AB31" s="343"/>
      <c r="AC31" s="344">
        <f t="shared" si="5"/>
        <v>0</v>
      </c>
      <c r="AD31" s="147" t="str">
        <f>VLOOKUP(C31,'BTH mủ tạp'!$C$15:$AL$305,36,0)</f>
        <v>B</v>
      </c>
      <c r="AE31" s="148"/>
      <c r="AF31" s="119"/>
      <c r="AH31" s="87"/>
      <c r="AI31" s="84"/>
      <c r="AJ31" s="85"/>
      <c r="AK31" s="85"/>
      <c r="AL31" s="85"/>
      <c r="AM31" s="85"/>
      <c r="AN31" s="85"/>
      <c r="AO31" s="85"/>
    </row>
    <row r="32" spans="1:41" ht="18.75" customHeight="1">
      <c r="A32" s="145">
        <v>22</v>
      </c>
      <c r="B32" s="336" t="str">
        <f>'Chấm công KT'!D32</f>
        <v>03475</v>
      </c>
      <c r="C32" s="296" t="str">
        <f>'Chấm công KT'!C32</f>
        <v>T. In</v>
      </c>
      <c r="D32" s="145" t="s">
        <v>53</v>
      </c>
      <c r="E32" s="352"/>
      <c r="F32" s="352"/>
      <c r="G32" s="352"/>
      <c r="H32" s="352"/>
      <c r="I32" s="352"/>
      <c r="J32" s="337"/>
      <c r="K32" s="152"/>
      <c r="L32" s="152"/>
      <c r="M32" s="337"/>
      <c r="N32" s="146"/>
      <c r="O32" s="146"/>
      <c r="P32" s="146"/>
      <c r="Q32" s="338">
        <f t="shared" si="3"/>
        <v>0</v>
      </c>
      <c r="R32" s="1221">
        <f>VLOOKUP(C32,'BTH mủ tạp'!$C$15:$AI$94,33,0)</f>
        <v>0</v>
      </c>
      <c r="S32" s="337"/>
      <c r="T32" s="253">
        <f t="shared" si="6"/>
        <v>0</v>
      </c>
      <c r="U32" s="341">
        <f t="shared" si="4"/>
        <v>0</v>
      </c>
      <c r="V32" s="1146">
        <f>VLOOKUP(C32,'Chấm công KT'!$C$11:$AJ$90,34,0)</f>
        <v>0</v>
      </c>
      <c r="W32" s="1146">
        <f>VLOOKUP(C32,'Chấm công KT'!$C$11:$AK$90,35,0)</f>
        <v>0</v>
      </c>
      <c r="X32" s="1147"/>
      <c r="Y32" s="1146"/>
      <c r="Z32" s="1146">
        <f>VLOOKUP(C32,'Chấm công KT'!$C$11:$AN$90,38,0)</f>
        <v>0</v>
      </c>
      <c r="AA32" s="1146">
        <f>VLOOKUP(C32,'Chấm công KT'!$C$11:$AO$90,39,0)</f>
        <v>0</v>
      </c>
      <c r="AB32" s="343"/>
      <c r="AC32" s="344">
        <f t="shared" si="5"/>
        <v>0</v>
      </c>
      <c r="AD32" s="147" t="str">
        <f>VLOOKUP(C32,'BTH mủ tạp'!$C$15:$AL$305,36,0)</f>
        <v>C</v>
      </c>
      <c r="AE32" s="148"/>
      <c r="AF32" s="119"/>
      <c r="AH32" s="87"/>
      <c r="AI32" s="84"/>
      <c r="AJ32" s="85"/>
      <c r="AK32" s="85"/>
      <c r="AL32" s="85"/>
      <c r="AM32" s="85"/>
      <c r="AN32" s="85"/>
      <c r="AO32" s="85"/>
    </row>
    <row r="33" spans="1:41" ht="18.75" customHeight="1">
      <c r="A33" s="294">
        <v>23</v>
      </c>
      <c r="B33" s="336" t="str">
        <f>'Chấm công KT'!D33</f>
        <v>03476</v>
      </c>
      <c r="C33" s="296" t="str">
        <f>'Chấm công KT'!C33</f>
        <v>T. Bin Ly.</v>
      </c>
      <c r="D33" s="145" t="s">
        <v>53</v>
      </c>
      <c r="E33" s="352"/>
      <c r="F33" s="352"/>
      <c r="G33" s="352"/>
      <c r="H33" s="352"/>
      <c r="I33" s="352"/>
      <c r="J33" s="337"/>
      <c r="K33" s="267"/>
      <c r="L33" s="267"/>
      <c r="M33" s="337"/>
      <c r="N33" s="337"/>
      <c r="O33" s="354"/>
      <c r="P33" s="146"/>
      <c r="Q33" s="338">
        <f t="shared" si="3"/>
        <v>0</v>
      </c>
      <c r="R33" s="1221">
        <f>VLOOKUP(C33,'BTH mủ tạp'!$C$15:$AI$94,33,0)</f>
        <v>0</v>
      </c>
      <c r="S33" s="337"/>
      <c r="T33" s="253">
        <f t="shared" si="6"/>
        <v>0</v>
      </c>
      <c r="U33" s="341">
        <f t="shared" si="4"/>
        <v>0</v>
      </c>
      <c r="V33" s="1146">
        <f>VLOOKUP(C33,'Chấm công KT'!$C$11:$AJ$90,34,0)</f>
        <v>0</v>
      </c>
      <c r="W33" s="1146">
        <f>VLOOKUP(C33,'Chấm công KT'!$C$11:$AK$90,35,0)</f>
        <v>0</v>
      </c>
      <c r="X33" s="1147"/>
      <c r="Y33" s="1146"/>
      <c r="Z33" s="1146">
        <f>VLOOKUP(C33,'Chấm công KT'!$C$11:$AN$90,38,0)</f>
        <v>0</v>
      </c>
      <c r="AA33" s="1146">
        <f>VLOOKUP(C33,'Chấm công KT'!$C$11:$AO$90,39,0)</f>
        <v>0</v>
      </c>
      <c r="AB33" s="343"/>
      <c r="AC33" s="344">
        <f t="shared" si="5"/>
        <v>0</v>
      </c>
      <c r="AD33" s="147" t="str">
        <f>VLOOKUP(C33,'BTH mủ tạp'!$C$15:$AL$305,36,0)</f>
        <v>B</v>
      </c>
      <c r="AE33" s="148"/>
      <c r="AF33" s="119"/>
      <c r="AH33" s="87"/>
      <c r="AI33" s="84"/>
      <c r="AJ33" s="85"/>
      <c r="AK33" s="85"/>
      <c r="AL33" s="85"/>
      <c r="AM33" s="85"/>
      <c r="AN33" s="85"/>
      <c r="AO33" s="85"/>
    </row>
    <row r="34" spans="1:41" ht="18.75" customHeight="1">
      <c r="A34" s="145">
        <v>24</v>
      </c>
      <c r="B34" s="336" t="str">
        <f>'Chấm công KT'!D34</f>
        <v>03477</v>
      </c>
      <c r="C34" s="296" t="str">
        <f>'Chấm công KT'!C34</f>
        <v>N. Phim Phon.</v>
      </c>
      <c r="D34" s="145" t="s">
        <v>53</v>
      </c>
      <c r="E34" s="352"/>
      <c r="F34" s="352"/>
      <c r="G34" s="352"/>
      <c r="H34" s="352"/>
      <c r="I34" s="352"/>
      <c r="J34" s="337"/>
      <c r="K34" s="267"/>
      <c r="L34" s="267"/>
      <c r="M34" s="337"/>
      <c r="N34" s="337"/>
      <c r="O34" s="354"/>
      <c r="P34" s="146"/>
      <c r="Q34" s="338">
        <f t="shared" si="3"/>
        <v>0</v>
      </c>
      <c r="R34" s="1221">
        <f>VLOOKUP(C34,'BTH mủ tạp'!$C$15:$AI$94,33,0)</f>
        <v>0</v>
      </c>
      <c r="S34" s="337"/>
      <c r="T34" s="253">
        <f t="shared" si="6"/>
        <v>0</v>
      </c>
      <c r="U34" s="341">
        <f t="shared" si="4"/>
        <v>0</v>
      </c>
      <c r="V34" s="1146">
        <f>VLOOKUP(C34,'Chấm công KT'!$C$11:$AJ$90,34,0)</f>
        <v>0</v>
      </c>
      <c r="W34" s="1146">
        <f>VLOOKUP(C34,'Chấm công KT'!$C$11:$AK$90,35,0)</f>
        <v>0</v>
      </c>
      <c r="X34" s="1147"/>
      <c r="Y34" s="1146"/>
      <c r="Z34" s="1146">
        <f>VLOOKUP(C34,'Chấm công KT'!$C$11:$AN$90,38,0)</f>
        <v>0</v>
      </c>
      <c r="AA34" s="1146">
        <f>VLOOKUP(C34,'Chấm công KT'!$C$11:$AO$90,39,0)</f>
        <v>0</v>
      </c>
      <c r="AB34" s="343"/>
      <c r="AC34" s="344">
        <f t="shared" si="5"/>
        <v>0</v>
      </c>
      <c r="AD34" s="147" t="str">
        <f>VLOOKUP(C34,'BTH mủ tạp'!$C$15:$AL$305,36,0)</f>
        <v>C</v>
      </c>
      <c r="AE34" s="148"/>
      <c r="AF34" s="119"/>
      <c r="AH34" s="87"/>
      <c r="AI34" s="84"/>
      <c r="AJ34" s="85"/>
      <c r="AK34" s="85"/>
      <c r="AL34" s="85"/>
      <c r="AM34" s="85"/>
      <c r="AN34" s="85"/>
      <c r="AO34" s="85"/>
    </row>
    <row r="35" spans="1:41" ht="18.75" customHeight="1">
      <c r="A35" s="294">
        <v>25</v>
      </c>
      <c r="B35" s="336" t="str">
        <f>'Chấm công KT'!D35</f>
        <v>03478</v>
      </c>
      <c r="C35" s="296" t="str">
        <f>'Chấm công KT'!C35</f>
        <v>N. Nong</v>
      </c>
      <c r="D35" s="145" t="s">
        <v>53</v>
      </c>
      <c r="E35" s="352"/>
      <c r="F35" s="352"/>
      <c r="G35" s="352"/>
      <c r="H35" s="352"/>
      <c r="I35" s="352"/>
      <c r="J35" s="337"/>
      <c r="K35" s="152"/>
      <c r="L35" s="152"/>
      <c r="M35" s="152"/>
      <c r="N35" s="146"/>
      <c r="O35" s="146"/>
      <c r="P35" s="146"/>
      <c r="Q35" s="338">
        <f t="shared" si="3"/>
        <v>0</v>
      </c>
      <c r="R35" s="1221">
        <f>VLOOKUP(C35,'BTH mủ tạp'!$C$15:$AI$94,33,0)</f>
        <v>0</v>
      </c>
      <c r="S35" s="337"/>
      <c r="T35" s="253">
        <f t="shared" si="6"/>
        <v>0</v>
      </c>
      <c r="U35" s="341">
        <f t="shared" si="4"/>
        <v>0</v>
      </c>
      <c r="V35" s="1146">
        <f>VLOOKUP(C35,'Chấm công KT'!$C$11:$AJ$90,34,0)</f>
        <v>0</v>
      </c>
      <c r="W35" s="1146">
        <f>VLOOKUP(C35,'Chấm công KT'!$C$11:$AK$90,35,0)</f>
        <v>0</v>
      </c>
      <c r="X35" s="1147"/>
      <c r="Y35" s="1146"/>
      <c r="Z35" s="1146">
        <f>VLOOKUP(C35,'Chấm công KT'!$C$11:$AN$90,38,0)</f>
        <v>0</v>
      </c>
      <c r="AA35" s="1146">
        <f>VLOOKUP(C35,'Chấm công KT'!$C$11:$AO$90,39,0)</f>
        <v>0</v>
      </c>
      <c r="AB35" s="343"/>
      <c r="AC35" s="344">
        <f t="shared" si="5"/>
        <v>0</v>
      </c>
      <c r="AD35" s="147" t="str">
        <f>VLOOKUP(C35,'BTH mủ tạp'!$C$15:$AL$305,36,0)</f>
        <v>A</v>
      </c>
      <c r="AE35" s="148"/>
      <c r="AF35" s="119"/>
      <c r="AH35" s="87"/>
      <c r="AI35" s="84"/>
      <c r="AJ35" s="85"/>
      <c r="AK35" s="85"/>
      <c r="AL35" s="85"/>
      <c r="AM35" s="85"/>
      <c r="AN35" s="85"/>
      <c r="AO35" s="85"/>
    </row>
    <row r="36" spans="1:41" ht="18.75" customHeight="1">
      <c r="A36" s="145">
        <v>26</v>
      </c>
      <c r="B36" s="336" t="str">
        <f>'Chấm công KT'!D36</f>
        <v>03479</v>
      </c>
      <c r="C36" s="296" t="str">
        <f>'Chấm công KT'!C36</f>
        <v>N. Tun 1</v>
      </c>
      <c r="D36" s="145" t="s">
        <v>53</v>
      </c>
      <c r="E36" s="352"/>
      <c r="F36" s="352"/>
      <c r="G36" s="352"/>
      <c r="H36" s="352"/>
      <c r="I36" s="352"/>
      <c r="J36" s="337"/>
      <c r="K36" s="152"/>
      <c r="L36" s="152"/>
      <c r="M36" s="152"/>
      <c r="N36" s="146"/>
      <c r="O36" s="146"/>
      <c r="P36" s="146"/>
      <c r="Q36" s="338">
        <f t="shared" si="3"/>
        <v>0</v>
      </c>
      <c r="R36" s="1221">
        <f>VLOOKUP(C36,'BTH mủ tạp'!$C$15:$AI$94,33,0)</f>
        <v>0</v>
      </c>
      <c r="S36" s="337"/>
      <c r="T36" s="253">
        <f t="shared" si="6"/>
        <v>0</v>
      </c>
      <c r="U36" s="341">
        <f t="shared" si="4"/>
        <v>0</v>
      </c>
      <c r="V36" s="1146">
        <f>VLOOKUP(C36,'Chấm công KT'!$C$11:$AJ$90,34,0)</f>
        <v>0</v>
      </c>
      <c r="W36" s="1146">
        <f>VLOOKUP(C36,'Chấm công KT'!$C$11:$AK$90,35,0)</f>
        <v>0</v>
      </c>
      <c r="X36" s="1147"/>
      <c r="Y36" s="1146"/>
      <c r="Z36" s="1146">
        <f>VLOOKUP(C36,'Chấm công KT'!$C$11:$AN$90,38,0)</f>
        <v>0</v>
      </c>
      <c r="AA36" s="1146">
        <f>VLOOKUP(C36,'Chấm công KT'!$C$11:$AO$90,39,0)</f>
        <v>0</v>
      </c>
      <c r="AB36" s="343"/>
      <c r="AC36" s="344">
        <f t="shared" si="5"/>
        <v>0</v>
      </c>
      <c r="AD36" s="147" t="str">
        <f>VLOOKUP(C36,'BTH mủ tạp'!$C$15:$AL$305,36,0)</f>
        <v>A</v>
      </c>
      <c r="AE36" s="148"/>
      <c r="AF36" s="119"/>
      <c r="AH36" s="87"/>
      <c r="AI36" s="84"/>
      <c r="AJ36" s="85"/>
      <c r="AK36" s="85"/>
      <c r="AL36" s="85"/>
      <c r="AM36" s="85"/>
      <c r="AN36" s="85"/>
      <c r="AO36" s="85"/>
    </row>
    <row r="37" spans="1:41" ht="18.75" customHeight="1">
      <c r="A37" s="294">
        <v>27</v>
      </c>
      <c r="B37" s="336" t="str">
        <f>'Chấm công KT'!D37</f>
        <v>03480</v>
      </c>
      <c r="C37" s="296" t="str">
        <f>'Chấm công KT'!C37</f>
        <v>T . Lốc</v>
      </c>
      <c r="D37" s="145" t="s">
        <v>53</v>
      </c>
      <c r="E37" s="352"/>
      <c r="F37" s="352"/>
      <c r="G37" s="352"/>
      <c r="H37" s="352"/>
      <c r="I37" s="352"/>
      <c r="J37" s="337"/>
      <c r="K37" s="152"/>
      <c r="L37" s="152"/>
      <c r="M37" s="152"/>
      <c r="N37" s="146"/>
      <c r="O37" s="146"/>
      <c r="P37" s="146"/>
      <c r="Q37" s="338">
        <f t="shared" si="3"/>
        <v>0</v>
      </c>
      <c r="R37" s="1221">
        <f>VLOOKUP(C37,'BTH mủ tạp'!$C$15:$AI$94,33,0)</f>
        <v>0</v>
      </c>
      <c r="S37" s="337"/>
      <c r="T37" s="253">
        <f t="shared" si="6"/>
        <v>0</v>
      </c>
      <c r="U37" s="341">
        <f t="shared" si="4"/>
        <v>0</v>
      </c>
      <c r="V37" s="1146">
        <f>VLOOKUP(C37,'Chấm công KT'!$C$11:$AJ$90,34,0)</f>
        <v>0</v>
      </c>
      <c r="W37" s="1146">
        <f>VLOOKUP(C37,'Chấm công KT'!$C$11:$AK$90,35,0)</f>
        <v>0</v>
      </c>
      <c r="X37" s="1147"/>
      <c r="Y37" s="1146"/>
      <c r="Z37" s="1146">
        <f>VLOOKUP(C37,'Chấm công KT'!$C$11:$AN$90,38,0)</f>
        <v>0</v>
      </c>
      <c r="AA37" s="1146">
        <f>VLOOKUP(C37,'Chấm công KT'!$C$11:$AO$90,39,0)</f>
        <v>0</v>
      </c>
      <c r="AB37" s="343"/>
      <c r="AC37" s="344">
        <f t="shared" si="5"/>
        <v>0</v>
      </c>
      <c r="AD37" s="147" t="str">
        <f>VLOOKUP(C37,'BTH mủ tạp'!$C$15:$AL$305,36,0)</f>
        <v>B</v>
      </c>
      <c r="AE37" s="148"/>
      <c r="AF37" s="119"/>
      <c r="AH37" s="87"/>
      <c r="AI37" s="84"/>
      <c r="AJ37" s="85"/>
      <c r="AK37" s="85"/>
      <c r="AL37" s="85"/>
      <c r="AM37" s="85"/>
      <c r="AN37" s="85"/>
      <c r="AO37" s="85"/>
    </row>
    <row r="38" spans="1:41" ht="18.75" customHeight="1">
      <c r="A38" s="145">
        <v>28</v>
      </c>
      <c r="B38" s="336" t="str">
        <f>'Chấm công KT'!D38</f>
        <v>03481</v>
      </c>
      <c r="C38" s="296" t="str">
        <f>'Chấm công KT'!C38</f>
        <v>N . Khâm (1)</v>
      </c>
      <c r="D38" s="145" t="s">
        <v>53</v>
      </c>
      <c r="E38" s="352"/>
      <c r="F38" s="352"/>
      <c r="G38" s="352"/>
      <c r="H38" s="352"/>
      <c r="I38" s="352"/>
      <c r="J38" s="337"/>
      <c r="K38" s="152"/>
      <c r="L38" s="152"/>
      <c r="M38" s="152"/>
      <c r="N38" s="146"/>
      <c r="O38" s="146"/>
      <c r="P38" s="146"/>
      <c r="Q38" s="338">
        <f t="shared" si="3"/>
        <v>0</v>
      </c>
      <c r="R38" s="1221">
        <f>VLOOKUP(C38,'BTH mủ tạp'!$C$15:$AI$94,33,0)</f>
        <v>0</v>
      </c>
      <c r="S38" s="337"/>
      <c r="T38" s="253">
        <f t="shared" si="6"/>
        <v>0</v>
      </c>
      <c r="U38" s="341">
        <f t="shared" si="4"/>
        <v>0</v>
      </c>
      <c r="V38" s="1146">
        <f>VLOOKUP(C38,'Chấm công KT'!$C$11:$AJ$90,34,0)</f>
        <v>0</v>
      </c>
      <c r="W38" s="1146">
        <f>VLOOKUP(C38,'Chấm công KT'!$C$11:$AK$90,35,0)</f>
        <v>0</v>
      </c>
      <c r="X38" s="1147"/>
      <c r="Y38" s="1146"/>
      <c r="Z38" s="1146">
        <f>VLOOKUP(C38,'Chấm công KT'!$C$11:$AN$90,38,0)</f>
        <v>0</v>
      </c>
      <c r="AA38" s="1146">
        <f>VLOOKUP(C38,'Chấm công KT'!$C$11:$AO$90,39,0)</f>
        <v>0</v>
      </c>
      <c r="AB38" s="343"/>
      <c r="AC38" s="344">
        <f t="shared" si="5"/>
        <v>0</v>
      </c>
      <c r="AD38" s="147" t="str">
        <f>VLOOKUP(C38,'BTH mủ tạp'!$C$15:$AL$305,36,0)</f>
        <v>A</v>
      </c>
      <c r="AE38" s="148"/>
      <c r="AF38" s="119"/>
      <c r="AH38" s="87"/>
      <c r="AI38" s="84"/>
      <c r="AJ38" s="85"/>
      <c r="AK38" s="85"/>
      <c r="AL38" s="85"/>
      <c r="AM38" s="85"/>
      <c r="AN38" s="85"/>
      <c r="AO38" s="85"/>
    </row>
    <row r="39" spans="1:41" ht="18.75" customHeight="1">
      <c r="A39" s="294">
        <v>29</v>
      </c>
      <c r="B39" s="336" t="str">
        <f>'Chấm công KT'!D39</f>
        <v>03482</v>
      </c>
      <c r="C39" s="296" t="str">
        <f>'Chấm công KT'!C39</f>
        <v>T . Phết</v>
      </c>
      <c r="D39" s="145" t="s">
        <v>53</v>
      </c>
      <c r="E39" s="352"/>
      <c r="F39" s="352"/>
      <c r="G39" s="352"/>
      <c r="H39" s="352"/>
      <c r="I39" s="352"/>
      <c r="J39" s="337"/>
      <c r="K39" s="152"/>
      <c r="L39" s="152"/>
      <c r="M39" s="152"/>
      <c r="N39" s="146"/>
      <c r="O39" s="146"/>
      <c r="P39" s="146"/>
      <c r="Q39" s="338">
        <f t="shared" si="3"/>
        <v>0</v>
      </c>
      <c r="R39" s="1221">
        <f>VLOOKUP(C39,'BTH mủ tạp'!$C$15:$AI$94,33,0)</f>
        <v>0</v>
      </c>
      <c r="S39" s="337"/>
      <c r="T39" s="253">
        <f t="shared" si="6"/>
        <v>0</v>
      </c>
      <c r="U39" s="341">
        <f t="shared" si="4"/>
        <v>0</v>
      </c>
      <c r="V39" s="1146">
        <f>VLOOKUP(C39,'Chấm công KT'!$C$11:$AJ$90,34,0)</f>
        <v>0</v>
      </c>
      <c r="W39" s="1146">
        <f>VLOOKUP(C39,'Chấm công KT'!$C$11:$AK$90,35,0)</f>
        <v>0</v>
      </c>
      <c r="X39" s="1147"/>
      <c r="Y39" s="1146"/>
      <c r="Z39" s="1146">
        <f>VLOOKUP(C39,'Chấm công KT'!$C$11:$AN$90,38,0)</f>
        <v>0</v>
      </c>
      <c r="AA39" s="1146">
        <f>VLOOKUP(C39,'Chấm công KT'!$C$11:$AO$90,39,0)</f>
        <v>0</v>
      </c>
      <c r="AB39" s="343"/>
      <c r="AC39" s="344">
        <f t="shared" si="5"/>
        <v>0</v>
      </c>
      <c r="AD39" s="147" t="str">
        <f>VLOOKUP(C39,'BTH mủ tạp'!$C$15:$AL$305,36,0)</f>
        <v>A</v>
      </c>
      <c r="AE39" s="148"/>
      <c r="AF39" s="119"/>
      <c r="AH39" s="87"/>
      <c r="AI39" s="84"/>
      <c r="AJ39" s="85"/>
      <c r="AK39" s="85"/>
      <c r="AL39" s="85"/>
      <c r="AM39" s="85"/>
      <c r="AN39" s="85"/>
      <c r="AO39" s="85"/>
    </row>
    <row r="40" spans="1:41" ht="18.75" customHeight="1">
      <c r="A40" s="145">
        <v>30</v>
      </c>
      <c r="B40" s="336" t="str">
        <f>'Chấm công KT'!D40</f>
        <v>03483</v>
      </c>
      <c r="C40" s="296" t="str">
        <f>'Chấm công KT'!C40</f>
        <v>T. Viêng Sa Văn</v>
      </c>
      <c r="D40" s="145" t="s">
        <v>53</v>
      </c>
      <c r="E40" s="352"/>
      <c r="F40" s="352"/>
      <c r="G40" s="352"/>
      <c r="H40" s="352"/>
      <c r="I40" s="352"/>
      <c r="J40" s="337"/>
      <c r="K40" s="152"/>
      <c r="L40" s="267"/>
      <c r="M40" s="337"/>
      <c r="N40" s="337"/>
      <c r="O40" s="354"/>
      <c r="P40" s="146"/>
      <c r="Q40" s="338">
        <f t="shared" si="3"/>
        <v>0</v>
      </c>
      <c r="R40" s="1221">
        <f>VLOOKUP(C40,'BTH mủ tạp'!$C$15:$AI$94,33,0)</f>
        <v>0</v>
      </c>
      <c r="S40" s="337"/>
      <c r="T40" s="253">
        <f t="shared" si="6"/>
        <v>0</v>
      </c>
      <c r="U40" s="341">
        <f t="shared" si="4"/>
        <v>0</v>
      </c>
      <c r="V40" s="1146">
        <f>VLOOKUP(C40,'Chấm công KT'!$C$11:$AJ$90,34,0)</f>
        <v>0</v>
      </c>
      <c r="W40" s="1146">
        <f>VLOOKUP(C40,'Chấm công KT'!$C$11:$AK$90,35,0)</f>
        <v>0</v>
      </c>
      <c r="X40" s="1147"/>
      <c r="Y40" s="1146"/>
      <c r="Z40" s="1146">
        <f>VLOOKUP(C40,'Chấm công KT'!$C$11:$AN$90,38,0)</f>
        <v>0</v>
      </c>
      <c r="AA40" s="1146">
        <f>VLOOKUP(C40,'Chấm công KT'!$C$11:$AO$90,39,0)</f>
        <v>0</v>
      </c>
      <c r="AB40" s="343"/>
      <c r="AC40" s="344">
        <f t="shared" si="5"/>
        <v>0</v>
      </c>
      <c r="AD40" s="147" t="str">
        <f>VLOOKUP(C40,'BTH mủ tạp'!$C$15:$AL$305,36,0)</f>
        <v>A</v>
      </c>
      <c r="AE40" s="148"/>
      <c r="AF40" s="119"/>
      <c r="AH40" s="87"/>
      <c r="AI40" s="84"/>
      <c r="AJ40" s="85"/>
      <c r="AK40" s="85"/>
      <c r="AL40" s="85"/>
      <c r="AM40" s="85"/>
      <c r="AN40" s="85"/>
      <c r="AO40" s="85"/>
    </row>
    <row r="41" spans="1:41" ht="18.75" customHeight="1">
      <c r="A41" s="294">
        <v>31</v>
      </c>
      <c r="B41" s="336" t="str">
        <f>'Chấm công KT'!D41</f>
        <v>03484</v>
      </c>
      <c r="C41" s="296" t="str">
        <f>'Chấm công KT'!C41</f>
        <v>T. Ca Te</v>
      </c>
      <c r="D41" s="145" t="s">
        <v>53</v>
      </c>
      <c r="E41" s="352"/>
      <c r="F41" s="352"/>
      <c r="G41" s="352"/>
      <c r="H41" s="352"/>
      <c r="I41" s="352"/>
      <c r="J41" s="337"/>
      <c r="K41" s="152"/>
      <c r="L41" s="152"/>
      <c r="M41" s="152"/>
      <c r="N41" s="146"/>
      <c r="O41" s="146"/>
      <c r="P41" s="146"/>
      <c r="Q41" s="338">
        <f t="shared" si="3"/>
        <v>0</v>
      </c>
      <c r="R41" s="1221">
        <f>VLOOKUP(C41,'BTH mủ tạp'!$C$15:$AI$94,33,0)</f>
        <v>0</v>
      </c>
      <c r="S41" s="337"/>
      <c r="T41" s="253">
        <f t="shared" si="6"/>
        <v>0</v>
      </c>
      <c r="U41" s="341">
        <f t="shared" si="4"/>
        <v>0</v>
      </c>
      <c r="V41" s="1146">
        <f>VLOOKUP(C41,'Chấm công KT'!$C$11:$AJ$90,34,0)</f>
        <v>0</v>
      </c>
      <c r="W41" s="1146">
        <f>VLOOKUP(C41,'Chấm công KT'!$C$11:$AK$90,35,0)</f>
        <v>0</v>
      </c>
      <c r="X41" s="1147"/>
      <c r="Y41" s="1146"/>
      <c r="Z41" s="1146">
        <f>VLOOKUP(C41,'Chấm công KT'!$C$11:$AN$90,38,0)</f>
        <v>0</v>
      </c>
      <c r="AA41" s="1146">
        <f>VLOOKUP(C41,'Chấm công KT'!$C$11:$AO$90,39,0)</f>
        <v>0</v>
      </c>
      <c r="AB41" s="343"/>
      <c r="AC41" s="344">
        <f t="shared" si="5"/>
        <v>0</v>
      </c>
      <c r="AD41" s="147" t="str">
        <f>VLOOKUP(C41,'BTH mủ tạp'!$C$15:$AL$305,36,0)</f>
        <v>A</v>
      </c>
      <c r="AE41" s="148"/>
      <c r="AF41" s="119"/>
      <c r="AH41" s="87"/>
      <c r="AI41" s="84"/>
      <c r="AJ41" s="85"/>
      <c r="AK41" s="85"/>
      <c r="AL41" s="85"/>
      <c r="AM41" s="85"/>
      <c r="AN41" s="85"/>
      <c r="AO41" s="85"/>
    </row>
    <row r="42" spans="1:41" ht="18.75" customHeight="1">
      <c r="A42" s="145">
        <v>32</v>
      </c>
      <c r="B42" s="336" t="str">
        <f>'Chấm công KT'!D42</f>
        <v>03485</v>
      </c>
      <c r="C42" s="296" t="str">
        <f>'Chấm công KT'!C42</f>
        <v>T. Lâm Phon</v>
      </c>
      <c r="D42" s="145" t="s">
        <v>53</v>
      </c>
      <c r="E42" s="352"/>
      <c r="F42" s="352"/>
      <c r="G42" s="352"/>
      <c r="H42" s="352"/>
      <c r="I42" s="352"/>
      <c r="J42" s="337"/>
      <c r="K42" s="267"/>
      <c r="L42" s="267"/>
      <c r="M42" s="337"/>
      <c r="N42" s="337"/>
      <c r="O42" s="354"/>
      <c r="P42" s="146"/>
      <c r="Q42" s="338">
        <f t="shared" si="3"/>
        <v>0</v>
      </c>
      <c r="R42" s="1221">
        <f>VLOOKUP(C42,'BTH mủ tạp'!$C$15:$AI$94,33,0)</f>
        <v>0</v>
      </c>
      <c r="S42" s="337"/>
      <c r="T42" s="253">
        <f t="shared" si="6"/>
        <v>0</v>
      </c>
      <c r="U42" s="341">
        <f t="shared" si="4"/>
        <v>0</v>
      </c>
      <c r="V42" s="1146">
        <f>VLOOKUP(C42,'Chấm công KT'!$C$11:$AJ$90,34,0)</f>
        <v>0</v>
      </c>
      <c r="W42" s="1146">
        <f>VLOOKUP(C42,'Chấm công KT'!$C$11:$AK$90,35,0)</f>
        <v>0</v>
      </c>
      <c r="X42" s="1147"/>
      <c r="Y42" s="1146"/>
      <c r="Z42" s="1146">
        <f>VLOOKUP(C42,'Chấm công KT'!$C$11:$AN$90,38,0)</f>
        <v>0</v>
      </c>
      <c r="AA42" s="1146">
        <f>VLOOKUP(C42,'Chấm công KT'!$C$11:$AO$90,39,0)</f>
        <v>0</v>
      </c>
      <c r="AB42" s="343"/>
      <c r="AC42" s="344">
        <f t="shared" si="5"/>
        <v>0</v>
      </c>
      <c r="AD42" s="147" t="str">
        <f>VLOOKUP(C42,'BTH mủ tạp'!$C$15:$AL$305,36,0)</f>
        <v>A</v>
      </c>
      <c r="AE42" s="148"/>
      <c r="AF42" s="119"/>
      <c r="AH42" s="87"/>
      <c r="AI42" s="84"/>
      <c r="AJ42" s="85"/>
      <c r="AK42" s="85"/>
      <c r="AL42" s="85"/>
      <c r="AM42" s="85"/>
      <c r="AN42" s="85"/>
      <c r="AO42" s="85"/>
    </row>
    <row r="43" spans="1:41" ht="18.75" customHeight="1">
      <c r="A43" s="294">
        <v>33</v>
      </c>
      <c r="B43" s="336" t="str">
        <f>'Chấm công KT'!D43</f>
        <v>02712</v>
      </c>
      <c r="C43" s="296" t="str">
        <f>'Chấm công KT'!C43</f>
        <v>T. Sô Đa</v>
      </c>
      <c r="D43" s="145" t="s">
        <v>53</v>
      </c>
      <c r="E43" s="352"/>
      <c r="F43" s="352"/>
      <c r="G43" s="352"/>
      <c r="H43" s="352"/>
      <c r="I43" s="352"/>
      <c r="J43" s="337"/>
      <c r="K43" s="267"/>
      <c r="L43" s="152"/>
      <c r="M43" s="152"/>
      <c r="N43" s="146"/>
      <c r="O43" s="146"/>
      <c r="P43" s="146"/>
      <c r="Q43" s="338">
        <f t="shared" si="3"/>
        <v>0</v>
      </c>
      <c r="R43" s="1221">
        <f>VLOOKUP(C43,'BTH mủ tạp'!$C$15:$AI$94,33,0)</f>
        <v>0</v>
      </c>
      <c r="S43" s="337"/>
      <c r="T43" s="253">
        <f t="shared" si="6"/>
        <v>0</v>
      </c>
      <c r="U43" s="341">
        <f t="shared" si="4"/>
        <v>0</v>
      </c>
      <c r="V43" s="1146">
        <f>VLOOKUP(C43,'Chấm công KT'!$C$11:$AJ$90,34,0)</f>
        <v>0</v>
      </c>
      <c r="W43" s="1146">
        <f>VLOOKUP(C43,'Chấm công KT'!$C$11:$AK$90,35,0)</f>
        <v>0</v>
      </c>
      <c r="X43" s="1147"/>
      <c r="Y43" s="1146"/>
      <c r="Z43" s="1146">
        <f>VLOOKUP(C43,'Chấm công KT'!$C$11:$AN$90,38,0)</f>
        <v>0</v>
      </c>
      <c r="AA43" s="1146">
        <f>VLOOKUP(C43,'Chấm công KT'!$C$11:$AO$90,39,0)</f>
        <v>0</v>
      </c>
      <c r="AB43" s="343"/>
      <c r="AC43" s="344">
        <f t="shared" si="5"/>
        <v>0</v>
      </c>
      <c r="AD43" s="147" t="str">
        <f>VLOOKUP(C43,'BTH mủ tạp'!$C$15:$AL$305,36,0)</f>
        <v>A</v>
      </c>
      <c r="AE43" s="148"/>
      <c r="AF43" s="119"/>
      <c r="AH43" s="87"/>
      <c r="AI43" s="84"/>
      <c r="AJ43" s="85"/>
      <c r="AK43" s="85"/>
      <c r="AL43" s="85"/>
      <c r="AM43" s="85"/>
      <c r="AN43" s="85"/>
      <c r="AO43" s="85"/>
    </row>
    <row r="44" spans="1:41" ht="18.75" customHeight="1">
      <c r="A44" s="145">
        <v>34</v>
      </c>
      <c r="B44" s="336" t="str">
        <f>'Chấm công KT'!D44</f>
        <v>02722</v>
      </c>
      <c r="C44" s="296" t="str">
        <f>'Chấm công KT'!C44</f>
        <v>T. Phu Ngân</v>
      </c>
      <c r="D44" s="145" t="s">
        <v>53</v>
      </c>
      <c r="E44" s="352"/>
      <c r="F44" s="352"/>
      <c r="G44" s="352"/>
      <c r="H44" s="352"/>
      <c r="I44" s="352"/>
      <c r="J44" s="337"/>
      <c r="K44" s="267"/>
      <c r="L44" s="152"/>
      <c r="M44" s="152"/>
      <c r="N44" s="146"/>
      <c r="O44" s="146"/>
      <c r="P44" s="146"/>
      <c r="Q44" s="338">
        <f t="shared" si="3"/>
        <v>0</v>
      </c>
      <c r="R44" s="1221">
        <f>VLOOKUP(C44,'BTH mủ tạp'!$C$15:$AI$94,33,0)</f>
        <v>0</v>
      </c>
      <c r="S44" s="337"/>
      <c r="T44" s="253">
        <f t="shared" si="6"/>
        <v>0</v>
      </c>
      <c r="U44" s="341">
        <f t="shared" si="4"/>
        <v>0</v>
      </c>
      <c r="V44" s="1146">
        <f>VLOOKUP(C44,'Chấm công KT'!$C$11:$AJ$90,34,0)</f>
        <v>0</v>
      </c>
      <c r="W44" s="1146">
        <f>VLOOKUP(C44,'Chấm công KT'!$C$11:$AK$90,35,0)</f>
        <v>0</v>
      </c>
      <c r="X44" s="1147"/>
      <c r="Y44" s="1146"/>
      <c r="Z44" s="1146">
        <f>VLOOKUP(C44,'Chấm công KT'!$C$11:$AN$90,38,0)</f>
        <v>0</v>
      </c>
      <c r="AA44" s="1146">
        <f>VLOOKUP(C44,'Chấm công KT'!$C$11:$AO$90,39,0)</f>
        <v>0</v>
      </c>
      <c r="AB44" s="343"/>
      <c r="AC44" s="344">
        <f t="shared" si="5"/>
        <v>0</v>
      </c>
      <c r="AD44" s="147" t="str">
        <f>VLOOKUP(C44,'BTH mủ tạp'!$C$15:$AL$305,36,0)</f>
        <v>A</v>
      </c>
      <c r="AE44" s="148"/>
      <c r="AF44" s="119"/>
      <c r="AH44" s="87"/>
      <c r="AI44" s="84"/>
      <c r="AJ44" s="85"/>
      <c r="AK44" s="85"/>
      <c r="AL44" s="85"/>
      <c r="AM44" s="85"/>
      <c r="AN44" s="85"/>
      <c r="AO44" s="85"/>
    </row>
    <row r="45" spans="1:41" ht="18.75" customHeight="1">
      <c r="A45" s="294">
        <v>35</v>
      </c>
      <c r="B45" s="336" t="str">
        <f>'Chấm công KT'!D45</f>
        <v>02714</v>
      </c>
      <c r="C45" s="296" t="str">
        <f>'Chấm công KT'!C45</f>
        <v>N. Tủn</v>
      </c>
      <c r="D45" s="145" t="s">
        <v>53</v>
      </c>
      <c r="E45" s="352"/>
      <c r="F45" s="352"/>
      <c r="G45" s="352"/>
      <c r="H45" s="352"/>
      <c r="I45" s="352"/>
      <c r="J45" s="337"/>
      <c r="K45" s="152"/>
      <c r="L45" s="152"/>
      <c r="M45" s="152"/>
      <c r="N45" s="146"/>
      <c r="O45" s="146"/>
      <c r="P45" s="146"/>
      <c r="Q45" s="338">
        <f t="shared" si="3"/>
        <v>0</v>
      </c>
      <c r="R45" s="1221">
        <f>VLOOKUP(C45,'BTH mủ tạp'!$C$15:$AI$94,33,0)</f>
        <v>0</v>
      </c>
      <c r="S45" s="337"/>
      <c r="T45" s="253">
        <f t="shared" si="6"/>
        <v>0</v>
      </c>
      <c r="U45" s="341">
        <f t="shared" si="4"/>
        <v>0</v>
      </c>
      <c r="V45" s="1146">
        <f>VLOOKUP(C45,'Chấm công KT'!$C$11:$AJ$90,34,0)</f>
        <v>0</v>
      </c>
      <c r="W45" s="1146">
        <f>VLOOKUP(C45,'Chấm công KT'!$C$11:$AK$90,35,0)</f>
        <v>0</v>
      </c>
      <c r="X45" s="1147"/>
      <c r="Y45" s="1146"/>
      <c r="Z45" s="1146">
        <f>VLOOKUP(C45,'Chấm công KT'!$C$11:$AN$90,38,0)</f>
        <v>0</v>
      </c>
      <c r="AA45" s="1146">
        <f>VLOOKUP(C45,'Chấm công KT'!$C$11:$AO$90,39,0)</f>
        <v>0</v>
      </c>
      <c r="AB45" s="343"/>
      <c r="AC45" s="344">
        <f t="shared" si="5"/>
        <v>0</v>
      </c>
      <c r="AD45" s="147" t="str">
        <f>VLOOKUP(C45,'BTH mủ tạp'!$C$15:$AL$305,36,0)</f>
        <v>A</v>
      </c>
      <c r="AE45" s="148"/>
      <c r="AF45" s="119"/>
      <c r="AH45" s="87"/>
      <c r="AI45" s="84"/>
      <c r="AJ45" s="85"/>
      <c r="AK45" s="85"/>
      <c r="AL45" s="85"/>
      <c r="AM45" s="85"/>
      <c r="AN45" s="85"/>
      <c r="AO45" s="85"/>
    </row>
    <row r="46" spans="1:41" ht="18.75" customHeight="1">
      <c r="A46" s="145">
        <v>36</v>
      </c>
      <c r="B46" s="336" t="str">
        <f>'Chấm công KT'!D46</f>
        <v>02713</v>
      </c>
      <c r="C46" s="296" t="str">
        <f>'Chấm công KT'!C46</f>
        <v>T. Lung</v>
      </c>
      <c r="D46" s="145" t="s">
        <v>53</v>
      </c>
      <c r="E46" s="352"/>
      <c r="F46" s="352"/>
      <c r="G46" s="352"/>
      <c r="H46" s="352"/>
      <c r="I46" s="352"/>
      <c r="J46" s="337"/>
      <c r="K46" s="152"/>
      <c r="L46" s="152"/>
      <c r="M46" s="152"/>
      <c r="N46" s="146"/>
      <c r="O46" s="146"/>
      <c r="P46" s="146"/>
      <c r="Q46" s="338">
        <f t="shared" si="3"/>
        <v>0</v>
      </c>
      <c r="R46" s="1221">
        <f>VLOOKUP(C46,'BTH mủ tạp'!$C$15:$AI$94,33,0)</f>
        <v>0</v>
      </c>
      <c r="S46" s="337"/>
      <c r="T46" s="253">
        <f t="shared" si="6"/>
        <v>0</v>
      </c>
      <c r="U46" s="341">
        <f t="shared" si="4"/>
        <v>0</v>
      </c>
      <c r="V46" s="1146">
        <f>VLOOKUP(C46,'Chấm công KT'!$C$11:$AJ$90,34,0)</f>
        <v>0</v>
      </c>
      <c r="W46" s="1146">
        <f>VLOOKUP(C46,'Chấm công KT'!$C$11:$AK$90,35,0)</f>
        <v>0</v>
      </c>
      <c r="X46" s="1147"/>
      <c r="Y46" s="1146"/>
      <c r="Z46" s="1146">
        <f>VLOOKUP(C46,'Chấm công KT'!$C$11:$AN$90,38,0)</f>
        <v>0</v>
      </c>
      <c r="AA46" s="1146">
        <f>VLOOKUP(C46,'Chấm công KT'!$C$11:$AO$90,39,0)</f>
        <v>0</v>
      </c>
      <c r="AB46" s="343"/>
      <c r="AC46" s="344">
        <f t="shared" si="5"/>
        <v>0</v>
      </c>
      <c r="AD46" s="147" t="str">
        <f>VLOOKUP(C46,'BTH mủ tạp'!$C$15:$AL$305,36,0)</f>
        <v>A</v>
      </c>
      <c r="AE46" s="148"/>
      <c r="AF46" s="119"/>
      <c r="AH46" s="87"/>
      <c r="AI46" s="84"/>
      <c r="AJ46" s="85"/>
      <c r="AK46" s="85"/>
      <c r="AL46" s="85"/>
      <c r="AM46" s="85"/>
      <c r="AN46" s="85"/>
      <c r="AO46" s="85"/>
    </row>
    <row r="47" spans="1:41" ht="18.75" customHeight="1">
      <c r="A47" s="294">
        <v>37</v>
      </c>
      <c r="B47" s="336" t="str">
        <f>'Chấm công KT'!D47</f>
        <v>03486</v>
      </c>
      <c r="C47" s="296" t="str">
        <f>'Chấm công KT'!C47</f>
        <v>N. Tinh</v>
      </c>
      <c r="D47" s="145" t="s">
        <v>53</v>
      </c>
      <c r="E47" s="352"/>
      <c r="F47" s="352"/>
      <c r="G47" s="352"/>
      <c r="H47" s="352"/>
      <c r="I47" s="352"/>
      <c r="J47" s="337"/>
      <c r="K47" s="152"/>
      <c r="L47" s="152"/>
      <c r="M47" s="337"/>
      <c r="N47" s="146"/>
      <c r="O47" s="146"/>
      <c r="P47" s="146"/>
      <c r="Q47" s="338">
        <f t="shared" si="3"/>
        <v>0</v>
      </c>
      <c r="R47" s="1221">
        <f>VLOOKUP(C47,'BTH mủ tạp'!$C$15:$AI$94,33,0)</f>
        <v>0</v>
      </c>
      <c r="S47" s="337"/>
      <c r="T47" s="253">
        <f t="shared" si="6"/>
        <v>0</v>
      </c>
      <c r="U47" s="341">
        <f t="shared" si="4"/>
        <v>0</v>
      </c>
      <c r="V47" s="1146">
        <f>VLOOKUP(C47,'Chấm công KT'!$C$11:$AJ$90,34,0)</f>
        <v>0</v>
      </c>
      <c r="W47" s="1146">
        <f>VLOOKUP(C47,'Chấm công KT'!$C$11:$AK$90,35,0)</f>
        <v>0</v>
      </c>
      <c r="X47" s="1147"/>
      <c r="Y47" s="1146"/>
      <c r="Z47" s="1146">
        <f>VLOOKUP(C47,'Chấm công KT'!$C$11:$AN$90,38,0)</f>
        <v>0</v>
      </c>
      <c r="AA47" s="1146">
        <f>VLOOKUP(C47,'Chấm công KT'!$C$11:$AO$90,39,0)</f>
        <v>0</v>
      </c>
      <c r="AB47" s="343"/>
      <c r="AC47" s="344">
        <f t="shared" si="5"/>
        <v>0</v>
      </c>
      <c r="AD47" s="147" t="str">
        <f>VLOOKUP(C47,'BTH mủ tạp'!$C$15:$AL$305,36,0)</f>
        <v>B</v>
      </c>
      <c r="AE47" s="148"/>
      <c r="AF47" s="119"/>
      <c r="AH47" s="87"/>
      <c r="AI47" s="84"/>
      <c r="AJ47" s="85"/>
      <c r="AK47" s="85"/>
      <c r="AL47" s="85"/>
      <c r="AM47" s="85"/>
      <c r="AN47" s="85"/>
      <c r="AO47" s="85"/>
    </row>
    <row r="48" spans="1:41" ht="18.75" customHeight="1">
      <c r="A48" s="145">
        <v>38</v>
      </c>
      <c r="B48" s="336" t="str">
        <f>'Chấm công KT'!D48</f>
        <v>03487</v>
      </c>
      <c r="C48" s="296" t="str">
        <f>'Chấm công KT'!C48</f>
        <v>N. Ba Say</v>
      </c>
      <c r="D48" s="145" t="s">
        <v>53</v>
      </c>
      <c r="E48" s="352"/>
      <c r="F48" s="352"/>
      <c r="G48" s="352"/>
      <c r="H48" s="352"/>
      <c r="I48" s="352"/>
      <c r="J48" s="337"/>
      <c r="K48" s="267"/>
      <c r="L48" s="267"/>
      <c r="M48" s="337"/>
      <c r="N48" s="337"/>
      <c r="O48" s="354"/>
      <c r="P48" s="146"/>
      <c r="Q48" s="338">
        <f t="shared" si="3"/>
        <v>0</v>
      </c>
      <c r="R48" s="1221">
        <f>VLOOKUP(C48,'BTH mủ tạp'!$C$15:$AI$94,33,0)</f>
        <v>0</v>
      </c>
      <c r="S48" s="337"/>
      <c r="T48" s="253">
        <f t="shared" si="6"/>
        <v>0</v>
      </c>
      <c r="U48" s="341">
        <f t="shared" si="4"/>
        <v>0</v>
      </c>
      <c r="V48" s="1146">
        <f>VLOOKUP(C48,'Chấm công KT'!$C$11:$AJ$90,34,0)</f>
        <v>0</v>
      </c>
      <c r="W48" s="1146">
        <f>VLOOKUP(C48,'Chấm công KT'!$C$11:$AK$90,35,0)</f>
        <v>0</v>
      </c>
      <c r="X48" s="1147"/>
      <c r="Y48" s="1146"/>
      <c r="Z48" s="1146">
        <f>VLOOKUP(C48,'Chấm công KT'!$C$11:$AN$90,38,0)</f>
        <v>0</v>
      </c>
      <c r="AA48" s="1146">
        <f>VLOOKUP(C48,'Chấm công KT'!$C$11:$AO$90,39,0)</f>
        <v>0</v>
      </c>
      <c r="AB48" s="343"/>
      <c r="AC48" s="344">
        <f t="shared" si="5"/>
        <v>0</v>
      </c>
      <c r="AD48" s="147" t="str">
        <f>VLOOKUP(C48,'BTH mủ tạp'!$C$15:$AL$305,36,0)</f>
        <v>C</v>
      </c>
      <c r="AE48" s="148"/>
      <c r="AF48" s="119"/>
      <c r="AH48" s="87"/>
      <c r="AI48" s="84"/>
      <c r="AJ48" s="85"/>
      <c r="AK48" s="85"/>
      <c r="AL48" s="85"/>
      <c r="AM48" s="85"/>
      <c r="AN48" s="85"/>
      <c r="AO48" s="85"/>
    </row>
    <row r="49" spans="1:41" ht="18.75" customHeight="1">
      <c r="A49" s="294">
        <v>39</v>
      </c>
      <c r="B49" s="336" t="str">
        <f>'Chấm công KT'!D49</f>
        <v>03488</v>
      </c>
      <c r="C49" s="296" t="str">
        <f>'Chấm công KT'!C49</f>
        <v>N. Đeng</v>
      </c>
      <c r="D49" s="145" t="s">
        <v>53</v>
      </c>
      <c r="E49" s="352"/>
      <c r="F49" s="352"/>
      <c r="G49" s="352"/>
      <c r="H49" s="352"/>
      <c r="I49" s="352"/>
      <c r="J49" s="337"/>
      <c r="K49" s="267"/>
      <c r="L49" s="267"/>
      <c r="M49" s="337"/>
      <c r="N49" s="337"/>
      <c r="O49" s="354"/>
      <c r="P49" s="146"/>
      <c r="Q49" s="338">
        <f t="shared" si="3"/>
        <v>0</v>
      </c>
      <c r="R49" s="1221">
        <f>VLOOKUP(C49,'BTH mủ tạp'!$C$15:$AI$94,33,0)</f>
        <v>0</v>
      </c>
      <c r="S49" s="337"/>
      <c r="T49" s="253">
        <f t="shared" si="6"/>
        <v>0</v>
      </c>
      <c r="U49" s="341">
        <f t="shared" si="4"/>
        <v>0</v>
      </c>
      <c r="V49" s="1146">
        <f>VLOOKUP(C49,'Chấm công KT'!$C$11:$AJ$90,34,0)</f>
        <v>0</v>
      </c>
      <c r="W49" s="1146">
        <f>VLOOKUP(C49,'Chấm công KT'!$C$11:$AK$90,35,0)</f>
        <v>0</v>
      </c>
      <c r="X49" s="1147"/>
      <c r="Y49" s="1146"/>
      <c r="Z49" s="1146">
        <f>VLOOKUP(C49,'Chấm công KT'!$C$11:$AN$90,38,0)</f>
        <v>0</v>
      </c>
      <c r="AA49" s="1146">
        <f>VLOOKUP(C49,'Chấm công KT'!$C$11:$AO$90,39,0)</f>
        <v>0</v>
      </c>
      <c r="AB49" s="343"/>
      <c r="AC49" s="344">
        <f t="shared" si="5"/>
        <v>0</v>
      </c>
      <c r="AD49" s="147" t="str">
        <f>VLOOKUP(C49,'BTH mủ tạp'!$C$15:$AL$305,36,0)</f>
        <v>A</v>
      </c>
      <c r="AE49" s="148"/>
      <c r="AF49" s="119"/>
      <c r="AH49" s="87"/>
      <c r="AI49" s="84"/>
      <c r="AJ49" s="85"/>
      <c r="AK49" s="85"/>
      <c r="AL49" s="85"/>
      <c r="AM49" s="85"/>
      <c r="AN49" s="85"/>
      <c r="AO49" s="85"/>
    </row>
    <row r="50" spans="1:41" ht="18.75" customHeight="1">
      <c r="A50" s="145">
        <v>40</v>
      </c>
      <c r="B50" s="336" t="str">
        <f>'Chấm công KT'!D50</f>
        <v>03489</v>
      </c>
      <c r="C50" s="296" t="str">
        <f>'Chấm công KT'!C50</f>
        <v>T. Tinh</v>
      </c>
      <c r="D50" s="145" t="s">
        <v>53</v>
      </c>
      <c r="E50" s="352"/>
      <c r="F50" s="352"/>
      <c r="G50" s="352"/>
      <c r="H50" s="352"/>
      <c r="I50" s="352"/>
      <c r="J50" s="337"/>
      <c r="K50" s="267"/>
      <c r="L50" s="267"/>
      <c r="M50" s="337"/>
      <c r="N50" s="337"/>
      <c r="O50" s="354"/>
      <c r="P50" s="146"/>
      <c r="Q50" s="338">
        <f t="shared" si="3"/>
        <v>0</v>
      </c>
      <c r="R50" s="1221">
        <f>VLOOKUP(C50,'BTH mủ tạp'!$C$15:$AI$94,33,0)</f>
        <v>0</v>
      </c>
      <c r="S50" s="337"/>
      <c r="T50" s="253">
        <f t="shared" si="6"/>
        <v>0</v>
      </c>
      <c r="U50" s="341">
        <f t="shared" si="4"/>
        <v>0</v>
      </c>
      <c r="V50" s="1146">
        <f>VLOOKUP(C50,'Chấm công KT'!$C$11:$AJ$90,34,0)</f>
        <v>0</v>
      </c>
      <c r="W50" s="1146">
        <f>VLOOKUP(C50,'Chấm công KT'!$C$11:$AK$90,35,0)</f>
        <v>0</v>
      </c>
      <c r="X50" s="1147"/>
      <c r="Y50" s="1146"/>
      <c r="Z50" s="1146">
        <f>VLOOKUP(C50,'Chấm công KT'!$C$11:$AN$90,38,0)</f>
        <v>0</v>
      </c>
      <c r="AA50" s="1146">
        <f>VLOOKUP(C50,'Chấm công KT'!$C$11:$AO$90,39,0)</f>
        <v>0</v>
      </c>
      <c r="AB50" s="343"/>
      <c r="AC50" s="344">
        <f t="shared" si="5"/>
        <v>0</v>
      </c>
      <c r="AD50" s="147" t="str">
        <f>VLOOKUP(C50,'BTH mủ tạp'!$C$15:$AL$305,36,0)</f>
        <v>B</v>
      </c>
      <c r="AE50" s="148"/>
      <c r="AF50" s="119"/>
      <c r="AH50" s="87"/>
      <c r="AI50" s="84"/>
      <c r="AJ50" s="85"/>
      <c r="AK50" s="85"/>
      <c r="AL50" s="85"/>
      <c r="AM50" s="85"/>
      <c r="AN50" s="85"/>
      <c r="AO50" s="85"/>
    </row>
    <row r="51" spans="1:41" ht="18.75" customHeight="1">
      <c r="A51" s="294">
        <v>41</v>
      </c>
      <c r="B51" s="336">
        <f>'Chấm công KT'!D51</f>
        <v>0</v>
      </c>
      <c r="C51" s="296" t="str">
        <f>'Chấm công KT'!C51</f>
        <v>T. Khăm Pỏi</v>
      </c>
      <c r="D51" s="145" t="s">
        <v>53</v>
      </c>
      <c r="E51" s="352"/>
      <c r="F51" s="352"/>
      <c r="G51" s="352"/>
      <c r="H51" s="352"/>
      <c r="I51" s="352"/>
      <c r="J51" s="337"/>
      <c r="K51" s="267"/>
      <c r="L51" s="267"/>
      <c r="M51" s="337"/>
      <c r="N51" s="146"/>
      <c r="O51" s="146"/>
      <c r="P51" s="146"/>
      <c r="Q51" s="338">
        <f t="shared" si="3"/>
        <v>0</v>
      </c>
      <c r="R51" s="1221">
        <f>VLOOKUP(C51,'BTH mủ tạp'!$C$15:$AI$94,33,0)</f>
        <v>0</v>
      </c>
      <c r="S51" s="337"/>
      <c r="T51" s="253">
        <f t="shared" si="6"/>
        <v>0</v>
      </c>
      <c r="U51" s="341">
        <f t="shared" si="4"/>
        <v>0</v>
      </c>
      <c r="V51" s="1146">
        <f>VLOOKUP(C51,'Chấm công KT'!$C$11:$AJ$90,34,0)</f>
        <v>0</v>
      </c>
      <c r="W51" s="1146">
        <f>VLOOKUP(C51,'Chấm công KT'!$C$11:$AK$90,35,0)</f>
        <v>0</v>
      </c>
      <c r="X51" s="1147"/>
      <c r="Y51" s="1146"/>
      <c r="Z51" s="1146">
        <f>VLOOKUP(C51,'Chấm công KT'!$C$11:$AN$90,38,0)</f>
        <v>0</v>
      </c>
      <c r="AA51" s="1146">
        <f>VLOOKUP(C51,'Chấm công KT'!$C$11:$AO$90,39,0)</f>
        <v>0</v>
      </c>
      <c r="AB51" s="343"/>
      <c r="AC51" s="344">
        <f t="shared" si="5"/>
        <v>0</v>
      </c>
      <c r="AD51" s="147" t="str">
        <f>VLOOKUP(C51,'BTH mủ tạp'!$C$15:$AL$305,36,0)</f>
        <v>A</v>
      </c>
      <c r="AE51" s="148"/>
      <c r="AF51" s="119"/>
      <c r="AH51" s="87"/>
      <c r="AI51" s="84"/>
      <c r="AJ51" s="85"/>
      <c r="AK51" s="85"/>
      <c r="AL51" s="85"/>
      <c r="AM51" s="85"/>
      <c r="AN51" s="85"/>
      <c r="AO51" s="85"/>
    </row>
    <row r="52" spans="1:41" ht="18.75" customHeight="1">
      <c r="A52" s="145">
        <v>42</v>
      </c>
      <c r="B52" s="336" t="str">
        <f>'Chấm công KT'!D52</f>
        <v>03491</v>
      </c>
      <c r="C52" s="296" t="str">
        <f>'Chấm công KT'!C52</f>
        <v>Lăm Ngân</v>
      </c>
      <c r="D52" s="145" t="s">
        <v>53</v>
      </c>
      <c r="E52" s="352"/>
      <c r="F52" s="352"/>
      <c r="G52" s="352"/>
      <c r="H52" s="352"/>
      <c r="I52" s="352"/>
      <c r="J52" s="337"/>
      <c r="K52" s="267"/>
      <c r="L52" s="152"/>
      <c r="M52" s="152"/>
      <c r="N52" s="146"/>
      <c r="O52" s="146"/>
      <c r="P52" s="146"/>
      <c r="Q52" s="338">
        <f t="shared" si="3"/>
        <v>0</v>
      </c>
      <c r="R52" s="1221">
        <f>VLOOKUP(C52,'BTH mủ tạp'!$C$15:$AI$94,33,0)</f>
        <v>0</v>
      </c>
      <c r="S52" s="337"/>
      <c r="T52" s="253">
        <f t="shared" si="6"/>
        <v>0</v>
      </c>
      <c r="U52" s="341">
        <f t="shared" si="4"/>
        <v>0</v>
      </c>
      <c r="V52" s="1146">
        <f>VLOOKUP(C52,'Chấm công KT'!$C$11:$AJ$90,34,0)</f>
        <v>0</v>
      </c>
      <c r="W52" s="1146">
        <f>VLOOKUP(C52,'Chấm công KT'!$C$11:$AK$90,35,0)</f>
        <v>0</v>
      </c>
      <c r="X52" s="1147"/>
      <c r="Y52" s="1146"/>
      <c r="Z52" s="1146">
        <f>VLOOKUP(C52,'Chấm công KT'!$C$11:$AN$90,38,0)</f>
        <v>0</v>
      </c>
      <c r="AA52" s="1146">
        <f>VLOOKUP(C52,'Chấm công KT'!$C$11:$AO$90,39,0)</f>
        <v>0</v>
      </c>
      <c r="AB52" s="343"/>
      <c r="AC52" s="344">
        <f t="shared" si="5"/>
        <v>0</v>
      </c>
      <c r="AD52" s="147" t="str">
        <f>VLOOKUP(C52,'BTH mủ tạp'!$C$15:$AL$305,36,0)</f>
        <v>A</v>
      </c>
      <c r="AE52" s="148"/>
      <c r="AF52" s="119"/>
      <c r="AG52" s="85"/>
      <c r="AH52" s="87"/>
      <c r="AI52" s="84"/>
      <c r="AJ52" s="85"/>
      <c r="AK52" s="85"/>
      <c r="AL52" s="85"/>
      <c r="AM52" s="85"/>
      <c r="AN52" s="85"/>
      <c r="AO52" s="85"/>
    </row>
    <row r="53" spans="1:41" ht="18.75" customHeight="1">
      <c r="A53" s="294">
        <v>43</v>
      </c>
      <c r="B53" s="336" t="str">
        <f>'Chấm công KT'!D53</f>
        <v>02715</v>
      </c>
      <c r="C53" s="296" t="str">
        <f>'Chấm công KT'!C53</f>
        <v>N. Ting</v>
      </c>
      <c r="D53" s="145" t="s">
        <v>53</v>
      </c>
      <c r="E53" s="352"/>
      <c r="F53" s="352"/>
      <c r="G53" s="352"/>
      <c r="H53" s="352"/>
      <c r="I53" s="352"/>
      <c r="J53" s="337"/>
      <c r="K53" s="152"/>
      <c r="L53" s="152"/>
      <c r="M53" s="152"/>
      <c r="N53" s="146"/>
      <c r="O53" s="146"/>
      <c r="P53" s="146"/>
      <c r="Q53" s="338">
        <f t="shared" si="3"/>
        <v>0</v>
      </c>
      <c r="R53" s="1221">
        <f>VLOOKUP(C53,'BTH mủ tạp'!$C$15:$AI$94,33,0)</f>
        <v>0</v>
      </c>
      <c r="S53" s="337"/>
      <c r="T53" s="253">
        <f t="shared" si="6"/>
        <v>0</v>
      </c>
      <c r="U53" s="341">
        <f t="shared" si="4"/>
        <v>0</v>
      </c>
      <c r="V53" s="1146">
        <f>VLOOKUP(C53,'Chấm công KT'!$C$11:$AJ$90,34,0)</f>
        <v>0</v>
      </c>
      <c r="W53" s="1146">
        <f>VLOOKUP(C53,'Chấm công KT'!$C$11:$AK$90,35,0)</f>
        <v>0</v>
      </c>
      <c r="X53" s="1147"/>
      <c r="Y53" s="1146"/>
      <c r="Z53" s="1146">
        <f>VLOOKUP(C53,'Chấm công KT'!$C$11:$AN$90,38,0)</f>
        <v>0</v>
      </c>
      <c r="AA53" s="1146">
        <f>VLOOKUP(C53,'Chấm công KT'!$C$11:$AO$90,39,0)</f>
        <v>0</v>
      </c>
      <c r="AB53" s="343"/>
      <c r="AC53" s="344">
        <f t="shared" si="5"/>
        <v>0</v>
      </c>
      <c r="AD53" s="147" t="str">
        <f>VLOOKUP(C53,'BTH mủ tạp'!$C$15:$AL$305,36,0)</f>
        <v>A</v>
      </c>
      <c r="AE53" s="148"/>
      <c r="AF53" s="119"/>
      <c r="AH53" s="87"/>
      <c r="AI53" s="84"/>
      <c r="AJ53" s="85"/>
      <c r="AK53" s="85"/>
      <c r="AL53" s="85"/>
      <c r="AM53" s="85"/>
      <c r="AN53" s="85"/>
      <c r="AO53" s="85"/>
    </row>
    <row r="54" spans="1:41" ht="18.75" customHeight="1">
      <c r="A54" s="145">
        <v>44</v>
      </c>
      <c r="B54" s="336" t="str">
        <f>'Chấm công KT'!D54</f>
        <v>03492</v>
      </c>
      <c r="C54" s="296" t="str">
        <f>'Chấm công KT'!C54</f>
        <v>T. Lem</v>
      </c>
      <c r="D54" s="145" t="s">
        <v>53</v>
      </c>
      <c r="E54" s="352"/>
      <c r="F54" s="352"/>
      <c r="G54" s="352"/>
      <c r="H54" s="352"/>
      <c r="I54" s="352"/>
      <c r="J54" s="337"/>
      <c r="K54" s="152"/>
      <c r="L54" s="152"/>
      <c r="M54" s="337"/>
      <c r="N54" s="146"/>
      <c r="O54" s="146"/>
      <c r="P54" s="146"/>
      <c r="Q54" s="338">
        <f t="shared" si="3"/>
        <v>0</v>
      </c>
      <c r="R54" s="1221">
        <f>VLOOKUP(C54,'BTH mủ tạp'!$C$15:$AI$94,33,0)</f>
        <v>0</v>
      </c>
      <c r="S54" s="337"/>
      <c r="T54" s="253">
        <f t="shared" si="6"/>
        <v>0</v>
      </c>
      <c r="U54" s="341">
        <f t="shared" si="4"/>
        <v>0</v>
      </c>
      <c r="V54" s="1146">
        <f>VLOOKUP(C54,'Chấm công KT'!$C$11:$AJ$90,34,0)</f>
        <v>0</v>
      </c>
      <c r="W54" s="1146">
        <f>VLOOKUP(C54,'Chấm công KT'!$C$11:$AK$90,35,0)</f>
        <v>0</v>
      </c>
      <c r="X54" s="1147"/>
      <c r="Y54" s="1146"/>
      <c r="Z54" s="1146">
        <f>VLOOKUP(C54,'Chấm công KT'!$C$11:$AN$90,38,0)</f>
        <v>0</v>
      </c>
      <c r="AA54" s="1146">
        <f>VLOOKUP(C54,'Chấm công KT'!$C$11:$AO$90,39,0)</f>
        <v>0</v>
      </c>
      <c r="AB54" s="343"/>
      <c r="AC54" s="344">
        <f t="shared" si="5"/>
        <v>0</v>
      </c>
      <c r="AD54" s="147" t="str">
        <f>VLOOKUP(C54,'BTH mủ tạp'!$C$15:$AL$305,36,0)</f>
        <v>B</v>
      </c>
      <c r="AE54" s="148"/>
      <c r="AF54" s="119"/>
      <c r="AH54" s="87"/>
      <c r="AI54" s="84"/>
      <c r="AJ54" s="85"/>
      <c r="AK54" s="85"/>
      <c r="AL54" s="85"/>
      <c r="AM54" s="85"/>
      <c r="AN54" s="85"/>
      <c r="AO54" s="85"/>
    </row>
    <row r="55" spans="1:41" ht="18.75" customHeight="1">
      <c r="A55" s="294">
        <v>45</v>
      </c>
      <c r="B55" s="336" t="str">
        <f>'Chấm công KT'!D55</f>
        <v>03493</v>
      </c>
      <c r="C55" s="296" t="str">
        <f>'Chấm công KT'!C55</f>
        <v>T. Pông</v>
      </c>
      <c r="D55" s="145" t="s">
        <v>53</v>
      </c>
      <c r="E55" s="352"/>
      <c r="F55" s="352"/>
      <c r="G55" s="352"/>
      <c r="H55" s="352"/>
      <c r="I55" s="352"/>
      <c r="J55" s="337"/>
      <c r="K55" s="267"/>
      <c r="L55" s="267"/>
      <c r="M55" s="337"/>
      <c r="N55" s="337"/>
      <c r="O55" s="354"/>
      <c r="P55" s="146"/>
      <c r="Q55" s="338">
        <f t="shared" si="3"/>
        <v>0</v>
      </c>
      <c r="R55" s="1221">
        <f>VLOOKUP(C55,'BTH mủ tạp'!$C$15:$AI$94,33,0)</f>
        <v>0</v>
      </c>
      <c r="S55" s="337"/>
      <c r="T55" s="253">
        <f t="shared" si="6"/>
        <v>0</v>
      </c>
      <c r="U55" s="341">
        <f t="shared" si="4"/>
        <v>0</v>
      </c>
      <c r="V55" s="1146">
        <f>VLOOKUP(C55,'Chấm công KT'!$C$11:$AJ$90,34,0)</f>
        <v>0</v>
      </c>
      <c r="W55" s="1146">
        <f>VLOOKUP(C55,'Chấm công KT'!$C$11:$AK$90,35,0)</f>
        <v>0</v>
      </c>
      <c r="X55" s="1147"/>
      <c r="Y55" s="1146"/>
      <c r="Z55" s="1146">
        <f>VLOOKUP(C55,'Chấm công KT'!$C$11:$AN$90,38,0)</f>
        <v>0</v>
      </c>
      <c r="AA55" s="1146">
        <f>VLOOKUP(C55,'Chấm công KT'!$C$11:$AO$90,39,0)</f>
        <v>0</v>
      </c>
      <c r="AB55" s="343"/>
      <c r="AC55" s="344">
        <f t="shared" si="5"/>
        <v>0</v>
      </c>
      <c r="AD55" s="147" t="str">
        <f>VLOOKUP(C55,'BTH mủ tạp'!$C$15:$AL$305,36,0)</f>
        <v>A</v>
      </c>
      <c r="AE55" s="148"/>
      <c r="AF55" s="119"/>
      <c r="AH55" s="87"/>
      <c r="AI55" s="84"/>
      <c r="AJ55" s="85"/>
      <c r="AK55" s="85"/>
      <c r="AL55" s="85"/>
      <c r="AM55" s="85"/>
      <c r="AN55" s="85"/>
      <c r="AO55" s="85"/>
    </row>
    <row r="56" spans="1:41" ht="18.75" customHeight="1">
      <c r="A56" s="145">
        <v>46</v>
      </c>
      <c r="B56" s="336" t="str">
        <f>'Chấm công KT'!D56</f>
        <v>02721</v>
      </c>
      <c r="C56" s="296" t="str">
        <f>'Chấm công KT'!C56</f>
        <v>T. Chít</v>
      </c>
      <c r="D56" s="145" t="s">
        <v>53</v>
      </c>
      <c r="E56" s="352"/>
      <c r="F56" s="352"/>
      <c r="G56" s="352"/>
      <c r="H56" s="352"/>
      <c r="I56" s="352"/>
      <c r="J56" s="337"/>
      <c r="K56" s="267"/>
      <c r="L56" s="267"/>
      <c r="M56" s="337"/>
      <c r="N56" s="337"/>
      <c r="O56" s="354"/>
      <c r="P56" s="146"/>
      <c r="Q56" s="338">
        <f t="shared" si="3"/>
        <v>0</v>
      </c>
      <c r="R56" s="1221">
        <f>VLOOKUP(C56,'BTH mủ tạp'!$C$15:$AI$94,33,0)</f>
        <v>0</v>
      </c>
      <c r="S56" s="337"/>
      <c r="T56" s="253">
        <f t="shared" si="6"/>
        <v>0</v>
      </c>
      <c r="U56" s="341">
        <f t="shared" si="4"/>
        <v>0</v>
      </c>
      <c r="V56" s="1146">
        <f>VLOOKUP(C56,'Chấm công KT'!$C$11:$AJ$90,34,0)</f>
        <v>0</v>
      </c>
      <c r="W56" s="1146">
        <f>VLOOKUP(C56,'Chấm công KT'!$C$11:$AK$90,35,0)</f>
        <v>0</v>
      </c>
      <c r="X56" s="1147"/>
      <c r="Y56" s="1146"/>
      <c r="Z56" s="1146">
        <f>VLOOKUP(C56,'Chấm công KT'!$C$11:$AN$90,38,0)</f>
        <v>0</v>
      </c>
      <c r="AA56" s="1146">
        <f>VLOOKUP(C56,'Chấm công KT'!$C$11:$AO$90,39,0)</f>
        <v>0</v>
      </c>
      <c r="AB56" s="343"/>
      <c r="AC56" s="344">
        <f t="shared" si="5"/>
        <v>0</v>
      </c>
      <c r="AD56" s="147" t="str">
        <f>VLOOKUP(C56,'BTH mủ tạp'!$C$15:$AL$305,36,0)</f>
        <v>B</v>
      </c>
      <c r="AE56" s="148"/>
      <c r="AF56" s="119"/>
      <c r="AH56" s="87"/>
      <c r="AI56" s="84"/>
      <c r="AJ56" s="85"/>
      <c r="AK56" s="85"/>
      <c r="AL56" s="85"/>
      <c r="AM56" s="85"/>
      <c r="AN56" s="85"/>
      <c r="AO56" s="85"/>
    </row>
    <row r="57" spans="1:41" ht="18.75" customHeight="1">
      <c r="A57" s="294">
        <v>47</v>
      </c>
      <c r="B57" s="336" t="str">
        <f>'Chấm công KT'!D57</f>
        <v>02720</v>
      </c>
      <c r="C57" s="296" t="str">
        <f>'Chấm công KT'!C57</f>
        <v>N. La</v>
      </c>
      <c r="D57" s="145" t="s">
        <v>53</v>
      </c>
      <c r="E57" s="352"/>
      <c r="F57" s="352"/>
      <c r="G57" s="352"/>
      <c r="H57" s="352"/>
      <c r="I57" s="352"/>
      <c r="J57" s="337"/>
      <c r="K57" s="267"/>
      <c r="L57" s="267"/>
      <c r="M57" s="337"/>
      <c r="N57" s="337"/>
      <c r="O57" s="354"/>
      <c r="P57" s="146"/>
      <c r="Q57" s="338">
        <f t="shared" si="3"/>
        <v>0</v>
      </c>
      <c r="R57" s="1221">
        <f>VLOOKUP(C57,'BTH mủ tạp'!$C$15:$AI$94,33,0)</f>
        <v>0</v>
      </c>
      <c r="S57" s="337"/>
      <c r="T57" s="253">
        <f t="shared" si="6"/>
        <v>0</v>
      </c>
      <c r="U57" s="341">
        <f t="shared" si="4"/>
        <v>0</v>
      </c>
      <c r="V57" s="1146">
        <f>VLOOKUP(C57,'Chấm công KT'!$C$11:$AJ$90,34,0)</f>
        <v>0</v>
      </c>
      <c r="W57" s="1146">
        <f>VLOOKUP(C57,'Chấm công KT'!$C$11:$AK$90,35,0)</f>
        <v>0</v>
      </c>
      <c r="X57" s="1147"/>
      <c r="Y57" s="1146"/>
      <c r="Z57" s="1146">
        <f>VLOOKUP(C57,'Chấm công KT'!$C$11:$AN$90,38,0)</f>
        <v>0</v>
      </c>
      <c r="AA57" s="1146">
        <f>VLOOKUP(C57,'Chấm công KT'!$C$11:$AO$90,39,0)</f>
        <v>0</v>
      </c>
      <c r="AB57" s="343"/>
      <c r="AC57" s="344">
        <f t="shared" si="5"/>
        <v>0</v>
      </c>
      <c r="AD57" s="147" t="str">
        <f>VLOOKUP(C57,'BTH mủ tạp'!$C$15:$AL$305,36,0)</f>
        <v>B</v>
      </c>
      <c r="AE57" s="148"/>
      <c r="AF57" s="119"/>
      <c r="AG57" s="85"/>
      <c r="AH57" s="85"/>
      <c r="AI57" s="84"/>
      <c r="AJ57" s="85"/>
      <c r="AK57" s="85"/>
      <c r="AL57" s="85"/>
      <c r="AM57" s="85"/>
      <c r="AN57" s="85"/>
      <c r="AO57" s="85"/>
    </row>
    <row r="58" spans="1:41" ht="18.75" customHeight="1">
      <c r="A58" s="145">
        <v>48</v>
      </c>
      <c r="B58" s="336" t="str">
        <f>'Chấm công KT'!D58</f>
        <v>03494</v>
      </c>
      <c r="C58" s="296" t="str">
        <f>'Chấm công KT'!C58</f>
        <v>T. Đi</v>
      </c>
      <c r="D58" s="145" t="s">
        <v>53</v>
      </c>
      <c r="E58" s="352"/>
      <c r="F58" s="352"/>
      <c r="G58" s="352"/>
      <c r="H58" s="352"/>
      <c r="I58" s="352"/>
      <c r="J58" s="337"/>
      <c r="K58" s="267"/>
      <c r="L58" s="267"/>
      <c r="M58" s="337"/>
      <c r="N58" s="337"/>
      <c r="O58" s="354"/>
      <c r="P58" s="146"/>
      <c r="Q58" s="338">
        <f t="shared" si="3"/>
        <v>0</v>
      </c>
      <c r="R58" s="1221">
        <f>VLOOKUP(C58,'BTH mủ tạp'!$C$15:$AI$94,33,0)</f>
        <v>0</v>
      </c>
      <c r="S58" s="337"/>
      <c r="T58" s="253">
        <f t="shared" si="6"/>
        <v>0</v>
      </c>
      <c r="U58" s="341">
        <f t="shared" si="4"/>
        <v>0</v>
      </c>
      <c r="V58" s="1146">
        <f>VLOOKUP(C58,'Chấm công KT'!$C$11:$AJ$90,34,0)</f>
        <v>0</v>
      </c>
      <c r="W58" s="1146">
        <f>VLOOKUP(C58,'Chấm công KT'!$C$11:$AK$90,35,0)</f>
        <v>0</v>
      </c>
      <c r="X58" s="1147"/>
      <c r="Y58" s="1146"/>
      <c r="Z58" s="1146">
        <f>VLOOKUP(C58,'Chấm công KT'!$C$11:$AN$90,38,0)</f>
        <v>0</v>
      </c>
      <c r="AA58" s="1146">
        <f>VLOOKUP(C58,'Chấm công KT'!$C$11:$AO$90,39,0)</f>
        <v>0</v>
      </c>
      <c r="AB58" s="343"/>
      <c r="AC58" s="344">
        <f t="shared" si="5"/>
        <v>0</v>
      </c>
      <c r="AD58" s="147" t="str">
        <f>VLOOKUP(C58,'BTH mủ tạp'!$C$15:$AL$305,36,0)</f>
        <v>B</v>
      </c>
      <c r="AE58" s="148"/>
      <c r="AF58" s="119"/>
      <c r="AH58" s="85"/>
      <c r="AI58" s="84"/>
      <c r="AJ58" s="85"/>
      <c r="AK58" s="85"/>
      <c r="AL58" s="85"/>
      <c r="AM58" s="85"/>
      <c r="AN58" s="85"/>
      <c r="AO58" s="85"/>
    </row>
    <row r="59" spans="1:41" ht="18.75" customHeight="1">
      <c r="A59" s="294">
        <v>49</v>
      </c>
      <c r="B59" s="336" t="str">
        <f>'Chấm công KT'!D59</f>
        <v>03495</v>
      </c>
      <c r="C59" s="296" t="str">
        <f>'Chấm công KT'!C59</f>
        <v>N. On Xi</v>
      </c>
      <c r="D59" s="145" t="s">
        <v>53</v>
      </c>
      <c r="E59" s="352"/>
      <c r="F59" s="352"/>
      <c r="G59" s="352"/>
      <c r="H59" s="352"/>
      <c r="I59" s="352"/>
      <c r="J59" s="337"/>
      <c r="K59" s="267"/>
      <c r="L59" s="267"/>
      <c r="M59" s="337"/>
      <c r="N59" s="337"/>
      <c r="O59" s="354"/>
      <c r="P59" s="146"/>
      <c r="Q59" s="338">
        <f t="shared" si="3"/>
        <v>0</v>
      </c>
      <c r="R59" s="1221">
        <f>VLOOKUP(C59,'BTH mủ tạp'!$C$15:$AI$94,33,0)</f>
        <v>0</v>
      </c>
      <c r="S59" s="337"/>
      <c r="T59" s="253">
        <f t="shared" si="6"/>
        <v>0</v>
      </c>
      <c r="U59" s="341">
        <f t="shared" si="4"/>
        <v>0</v>
      </c>
      <c r="V59" s="1146">
        <f>VLOOKUP(C59,'Chấm công KT'!$C$11:$AJ$90,34,0)</f>
        <v>0</v>
      </c>
      <c r="W59" s="1146">
        <f>VLOOKUP(C59,'Chấm công KT'!$C$11:$AK$90,35,0)</f>
        <v>0</v>
      </c>
      <c r="X59" s="1147"/>
      <c r="Y59" s="1146"/>
      <c r="Z59" s="1146">
        <f>VLOOKUP(C59,'Chấm công KT'!$C$11:$AN$90,38,0)</f>
        <v>0</v>
      </c>
      <c r="AA59" s="1146">
        <f>VLOOKUP(C59,'Chấm công KT'!$C$11:$AO$90,39,0)</f>
        <v>0</v>
      </c>
      <c r="AB59" s="343"/>
      <c r="AC59" s="344">
        <f t="shared" si="5"/>
        <v>0</v>
      </c>
      <c r="AD59" s="147" t="str">
        <f>VLOOKUP(C59,'BTH mủ tạp'!$C$15:$AL$305,36,0)</f>
        <v>A</v>
      </c>
      <c r="AE59" s="148"/>
      <c r="AF59" s="119"/>
      <c r="AH59" s="85"/>
      <c r="AI59" s="84"/>
      <c r="AJ59" s="85"/>
      <c r="AK59" s="85"/>
      <c r="AL59" s="85"/>
      <c r="AM59" s="85"/>
      <c r="AN59" s="85"/>
      <c r="AO59" s="85"/>
    </row>
    <row r="60" spans="1:41" ht="18.75" customHeight="1">
      <c r="A60" s="145">
        <v>50</v>
      </c>
      <c r="B60" s="336" t="str">
        <f>'Chấm công KT'!D60</f>
        <v>03496</v>
      </c>
      <c r="C60" s="296" t="str">
        <f>'Chấm công KT'!C60</f>
        <v>T. Lốp</v>
      </c>
      <c r="D60" s="145" t="s">
        <v>53</v>
      </c>
      <c r="E60" s="352"/>
      <c r="F60" s="352"/>
      <c r="G60" s="352"/>
      <c r="H60" s="352"/>
      <c r="I60" s="352"/>
      <c r="J60" s="337"/>
      <c r="K60" s="267"/>
      <c r="L60" s="267"/>
      <c r="M60" s="152"/>
      <c r="N60" s="337"/>
      <c r="O60" s="354"/>
      <c r="P60" s="146"/>
      <c r="Q60" s="338">
        <f t="shared" si="3"/>
        <v>0</v>
      </c>
      <c r="R60" s="1221">
        <f>VLOOKUP(C60,'BTH mủ tạp'!$C$15:$AI$94,33,0)</f>
        <v>0</v>
      </c>
      <c r="S60" s="337"/>
      <c r="T60" s="253">
        <f t="shared" si="6"/>
        <v>0</v>
      </c>
      <c r="U60" s="341">
        <f t="shared" si="4"/>
        <v>0</v>
      </c>
      <c r="V60" s="1146">
        <f>VLOOKUP(C60,'Chấm công KT'!$C$11:$AJ$90,34,0)</f>
        <v>0</v>
      </c>
      <c r="W60" s="1146">
        <f>VLOOKUP(C60,'Chấm công KT'!$C$11:$AK$90,35,0)</f>
        <v>0</v>
      </c>
      <c r="X60" s="1147"/>
      <c r="Y60" s="1146"/>
      <c r="Z60" s="1146">
        <f>VLOOKUP(C60,'Chấm công KT'!$C$11:$AN$90,38,0)</f>
        <v>0</v>
      </c>
      <c r="AA60" s="1146">
        <f>VLOOKUP(C60,'Chấm công KT'!$C$11:$AO$90,39,0)</f>
        <v>0</v>
      </c>
      <c r="AB60" s="343"/>
      <c r="AC60" s="344">
        <f t="shared" si="5"/>
        <v>0</v>
      </c>
      <c r="AD60" s="147" t="str">
        <f>VLOOKUP(C60,'BTH mủ tạp'!$C$15:$AL$305,36,0)</f>
        <v>A</v>
      </c>
      <c r="AE60" s="148"/>
      <c r="AF60" s="119"/>
      <c r="AH60" s="85"/>
      <c r="AI60" s="84"/>
      <c r="AJ60" s="85"/>
      <c r="AK60" s="85"/>
      <c r="AL60" s="85"/>
      <c r="AM60" s="85"/>
      <c r="AN60" s="85"/>
      <c r="AO60" s="85"/>
    </row>
    <row r="61" spans="1:41" ht="18.75" customHeight="1">
      <c r="A61" s="294">
        <v>51</v>
      </c>
      <c r="B61" s="336" t="str">
        <f>'Chấm công KT'!D61</f>
        <v>03497</v>
      </c>
      <c r="C61" s="296" t="str">
        <f>'Chấm công KT'!C61</f>
        <v>T. Son Xay</v>
      </c>
      <c r="D61" s="145" t="s">
        <v>53</v>
      </c>
      <c r="E61" s="352"/>
      <c r="F61" s="352"/>
      <c r="G61" s="352"/>
      <c r="H61" s="352"/>
      <c r="I61" s="352"/>
      <c r="J61" s="337"/>
      <c r="K61" s="267"/>
      <c r="L61" s="267"/>
      <c r="M61" s="337"/>
      <c r="N61" s="337"/>
      <c r="O61" s="354"/>
      <c r="P61" s="146"/>
      <c r="Q61" s="338">
        <f t="shared" si="3"/>
        <v>0</v>
      </c>
      <c r="R61" s="1221">
        <f>VLOOKUP(C61,'BTH mủ tạp'!$C$15:$AI$94,33,0)</f>
        <v>0</v>
      </c>
      <c r="S61" s="337"/>
      <c r="T61" s="253">
        <f t="shared" si="6"/>
        <v>0</v>
      </c>
      <c r="U61" s="341">
        <f t="shared" si="4"/>
        <v>0</v>
      </c>
      <c r="V61" s="1146">
        <f>VLOOKUP(C61,'Chấm công KT'!$C$11:$AJ$90,34,0)</f>
        <v>0</v>
      </c>
      <c r="W61" s="1146">
        <f>VLOOKUP(C61,'Chấm công KT'!$C$11:$AK$90,35,0)</f>
        <v>0</v>
      </c>
      <c r="X61" s="1147"/>
      <c r="Y61" s="1146"/>
      <c r="Z61" s="1146">
        <f>VLOOKUP(C61,'Chấm công KT'!$C$11:$AN$90,38,0)</f>
        <v>0</v>
      </c>
      <c r="AA61" s="1146">
        <f>VLOOKUP(C61,'Chấm công KT'!$C$11:$AO$90,39,0)</f>
        <v>0</v>
      </c>
      <c r="AB61" s="343"/>
      <c r="AC61" s="344">
        <f t="shared" si="5"/>
        <v>0</v>
      </c>
      <c r="AD61" s="147" t="str">
        <f>VLOOKUP(C61,'BTH mủ tạp'!$C$15:$AL$305,36,0)</f>
        <v>A</v>
      </c>
      <c r="AE61" s="148"/>
      <c r="AF61" s="119"/>
      <c r="AH61" s="85"/>
      <c r="AI61" s="84"/>
      <c r="AJ61" s="85"/>
      <c r="AK61" s="85"/>
      <c r="AL61" s="85"/>
      <c r="AM61" s="85"/>
      <c r="AN61" s="85"/>
      <c r="AO61" s="85"/>
    </row>
    <row r="62" spans="1:41" ht="18.75" customHeight="1">
      <c r="A62" s="145">
        <v>52</v>
      </c>
      <c r="B62" s="336" t="str">
        <f>'Chấm công KT'!D62</f>
        <v>03498</v>
      </c>
      <c r="C62" s="296" t="str">
        <f>'Chấm công KT'!C62</f>
        <v>N. Lăm Phay</v>
      </c>
      <c r="D62" s="145" t="s">
        <v>53</v>
      </c>
      <c r="E62" s="352"/>
      <c r="F62" s="352"/>
      <c r="G62" s="352"/>
      <c r="H62" s="352"/>
      <c r="I62" s="352"/>
      <c r="J62" s="337"/>
      <c r="K62" s="267"/>
      <c r="L62" s="152"/>
      <c r="M62" s="152"/>
      <c r="N62" s="146"/>
      <c r="O62" s="146"/>
      <c r="P62" s="146"/>
      <c r="Q62" s="338">
        <f t="shared" si="3"/>
        <v>0</v>
      </c>
      <c r="R62" s="1221">
        <f>VLOOKUP(C62,'BTH mủ tạp'!$C$15:$AI$94,33,0)</f>
        <v>0</v>
      </c>
      <c r="S62" s="337"/>
      <c r="T62" s="253">
        <f t="shared" si="6"/>
        <v>0</v>
      </c>
      <c r="U62" s="341">
        <f t="shared" si="4"/>
        <v>0</v>
      </c>
      <c r="V62" s="1146">
        <f>VLOOKUP(C62,'Chấm công KT'!$C$11:$AJ$90,34,0)</f>
        <v>0</v>
      </c>
      <c r="W62" s="1146">
        <f>VLOOKUP(C62,'Chấm công KT'!$C$11:$AK$90,35,0)</f>
        <v>0</v>
      </c>
      <c r="X62" s="1147"/>
      <c r="Y62" s="1146"/>
      <c r="Z62" s="1146">
        <f>VLOOKUP(C62,'Chấm công KT'!$C$11:$AN$90,38,0)</f>
        <v>0</v>
      </c>
      <c r="AA62" s="1146">
        <f>VLOOKUP(C62,'Chấm công KT'!$C$11:$AO$90,39,0)</f>
        <v>0</v>
      </c>
      <c r="AB62" s="343"/>
      <c r="AC62" s="344">
        <f t="shared" si="5"/>
        <v>0</v>
      </c>
      <c r="AD62" s="147" t="str">
        <f>VLOOKUP(C62,'BTH mủ tạp'!$C$15:$AL$305,36,0)</f>
        <v>B</v>
      </c>
      <c r="AE62" s="148"/>
      <c r="AF62" s="119"/>
      <c r="AH62" s="85"/>
      <c r="AI62" s="84"/>
      <c r="AJ62" s="85"/>
      <c r="AK62" s="85"/>
      <c r="AL62" s="85"/>
      <c r="AM62" s="85"/>
      <c r="AN62" s="85"/>
      <c r="AO62" s="85"/>
    </row>
    <row r="63" spans="1:41" ht="18.75" customHeight="1">
      <c r="A63" s="294">
        <v>53</v>
      </c>
      <c r="B63" s="336" t="str">
        <f>'Chấm công KT'!D63</f>
        <v>02706</v>
      </c>
      <c r="C63" s="296" t="str">
        <f>'Chấm công KT'!C63</f>
        <v>T. Nhung</v>
      </c>
      <c r="D63" s="145" t="s">
        <v>53</v>
      </c>
      <c r="E63" s="352"/>
      <c r="F63" s="352"/>
      <c r="G63" s="352"/>
      <c r="H63" s="352"/>
      <c r="I63" s="352"/>
      <c r="J63" s="337"/>
      <c r="K63" s="267"/>
      <c r="L63" s="267"/>
      <c r="M63" s="337"/>
      <c r="N63" s="337"/>
      <c r="O63" s="354"/>
      <c r="P63" s="146"/>
      <c r="Q63" s="338">
        <f t="shared" si="3"/>
        <v>0</v>
      </c>
      <c r="R63" s="1221">
        <f>VLOOKUP(C63,'BTH mủ tạp'!$C$15:$AI$94,33,0)</f>
        <v>0</v>
      </c>
      <c r="S63" s="337"/>
      <c r="T63" s="253">
        <f>S63*50/100</f>
        <v>0</v>
      </c>
      <c r="U63" s="341">
        <f t="shared" si="4"/>
        <v>0</v>
      </c>
      <c r="V63" s="1146">
        <f>VLOOKUP(C63,'Chấm công KT'!$C$11:$AJ$90,34,0)</f>
        <v>0</v>
      </c>
      <c r="W63" s="1146">
        <f>VLOOKUP(C63,'Chấm công KT'!$C$11:$AK$90,35,0)</f>
        <v>0</v>
      </c>
      <c r="X63" s="1147"/>
      <c r="Y63" s="1146"/>
      <c r="Z63" s="1146">
        <f>VLOOKUP(C63,'Chấm công KT'!$C$11:$AN$90,38,0)</f>
        <v>0</v>
      </c>
      <c r="AA63" s="1146">
        <f>VLOOKUP(C63,'Chấm công KT'!$C$11:$AO$90,39,0)</f>
        <v>0</v>
      </c>
      <c r="AB63" s="343"/>
      <c r="AC63" s="344">
        <f t="shared" si="5"/>
        <v>0</v>
      </c>
      <c r="AD63" s="147" t="str">
        <f>VLOOKUP(C63,'BTH mủ tạp'!$C$15:$AL$305,36,0)</f>
        <v>A</v>
      </c>
      <c r="AE63" s="148"/>
      <c r="AF63" s="119"/>
      <c r="AH63" s="85"/>
      <c r="AI63" s="84"/>
      <c r="AJ63" s="85"/>
      <c r="AK63" s="85"/>
      <c r="AL63" s="85"/>
      <c r="AM63" s="85"/>
      <c r="AN63" s="85"/>
      <c r="AO63" s="85"/>
    </row>
    <row r="64" spans="1:41" ht="18.75" customHeight="1">
      <c r="A64" s="145">
        <v>54</v>
      </c>
      <c r="B64" s="336" t="str">
        <f>'Chấm công KT'!D64</f>
        <v>03499</v>
      </c>
      <c r="C64" s="296" t="str">
        <f>'Chấm công KT'!C64</f>
        <v>N. In Ton</v>
      </c>
      <c r="D64" s="145" t="s">
        <v>53</v>
      </c>
      <c r="E64" s="352"/>
      <c r="F64" s="352"/>
      <c r="G64" s="352"/>
      <c r="H64" s="352"/>
      <c r="I64" s="352"/>
      <c r="J64" s="337"/>
      <c r="K64" s="267"/>
      <c r="L64" s="267"/>
      <c r="M64" s="337"/>
      <c r="N64" s="337"/>
      <c r="O64" s="354"/>
      <c r="P64" s="146"/>
      <c r="Q64" s="338">
        <f t="shared" si="3"/>
        <v>0</v>
      </c>
      <c r="R64" s="1221">
        <f>VLOOKUP(C64,'BTH mủ tạp'!$C$15:$AI$94,33,0)</f>
        <v>0</v>
      </c>
      <c r="S64" s="337"/>
      <c r="T64" s="253">
        <f t="shared" si="6"/>
        <v>0</v>
      </c>
      <c r="U64" s="341">
        <f t="shared" si="4"/>
        <v>0</v>
      </c>
      <c r="V64" s="1146">
        <f>VLOOKUP(C64,'Chấm công KT'!$C$11:$AJ$90,34,0)</f>
        <v>0</v>
      </c>
      <c r="W64" s="1146">
        <f>VLOOKUP(C64,'Chấm công KT'!$C$11:$AK$90,35,0)</f>
        <v>0</v>
      </c>
      <c r="X64" s="1147"/>
      <c r="Y64" s="1146"/>
      <c r="Z64" s="1146">
        <f>VLOOKUP(C64,'Chấm công KT'!$C$11:$AN$90,38,0)</f>
        <v>0</v>
      </c>
      <c r="AA64" s="1146">
        <f>VLOOKUP(C64,'Chấm công KT'!$C$11:$AO$90,39,0)</f>
        <v>0</v>
      </c>
      <c r="AB64" s="343"/>
      <c r="AC64" s="344">
        <f t="shared" si="5"/>
        <v>0</v>
      </c>
      <c r="AD64" s="147" t="str">
        <f>VLOOKUP(C64,'BTH mủ tạp'!$C$15:$AL$305,36,0)</f>
        <v>A</v>
      </c>
      <c r="AE64" s="148"/>
      <c r="AF64" s="119"/>
      <c r="AH64" s="85"/>
      <c r="AI64" s="84"/>
      <c r="AJ64" s="85"/>
      <c r="AK64" s="85"/>
      <c r="AL64" s="85"/>
      <c r="AM64" s="85"/>
      <c r="AN64" s="85"/>
      <c r="AO64" s="85"/>
    </row>
    <row r="65" spans="1:41" ht="18.75" customHeight="1">
      <c r="A65" s="294">
        <v>55</v>
      </c>
      <c r="B65" s="336">
        <f>'Chấm công KT'!D65</f>
        <v>0</v>
      </c>
      <c r="C65" s="296" t="str">
        <f>'Chấm công KT'!C65</f>
        <v>N. Khay Chăn</v>
      </c>
      <c r="D65" s="145" t="s">
        <v>53</v>
      </c>
      <c r="E65" s="352"/>
      <c r="F65" s="352"/>
      <c r="G65" s="352"/>
      <c r="H65" s="352"/>
      <c r="I65" s="352"/>
      <c r="J65" s="337"/>
      <c r="K65" s="152"/>
      <c r="L65" s="152"/>
      <c r="M65" s="152"/>
      <c r="N65" s="146"/>
      <c r="O65" s="146"/>
      <c r="P65" s="146"/>
      <c r="Q65" s="338">
        <f t="shared" si="3"/>
        <v>0</v>
      </c>
      <c r="R65" s="1221">
        <f>VLOOKUP(C65,'BTH mủ tạp'!$C$15:$AI$94,33,0)</f>
        <v>0</v>
      </c>
      <c r="S65" s="337"/>
      <c r="T65" s="253">
        <f t="shared" si="6"/>
        <v>0</v>
      </c>
      <c r="U65" s="341">
        <f t="shared" si="4"/>
        <v>0</v>
      </c>
      <c r="V65" s="1146">
        <f>VLOOKUP(C65,'Chấm công KT'!$C$11:$AJ$90,34,0)</f>
        <v>0</v>
      </c>
      <c r="W65" s="1146">
        <f>VLOOKUP(C65,'Chấm công KT'!$C$11:$AK$90,35,0)</f>
        <v>0</v>
      </c>
      <c r="X65" s="1147"/>
      <c r="Y65" s="1146"/>
      <c r="Z65" s="1146">
        <f>VLOOKUP(C65,'Chấm công KT'!$C$11:$AN$90,38,0)</f>
        <v>0</v>
      </c>
      <c r="AA65" s="1146">
        <f>VLOOKUP(C65,'Chấm công KT'!$C$11:$AO$90,39,0)</f>
        <v>0</v>
      </c>
      <c r="AB65" s="343"/>
      <c r="AC65" s="344">
        <f t="shared" si="5"/>
        <v>0</v>
      </c>
      <c r="AD65" s="147" t="str">
        <f>VLOOKUP(C65,'BTH mủ tạp'!$C$15:$AL$305,36,0)</f>
        <v>A</v>
      </c>
      <c r="AE65" s="148"/>
      <c r="AF65" s="119"/>
      <c r="AH65" s="85"/>
      <c r="AI65" s="84"/>
      <c r="AJ65" s="85"/>
      <c r="AK65" s="85"/>
      <c r="AL65" s="85"/>
      <c r="AM65" s="85"/>
      <c r="AN65" s="85"/>
      <c r="AO65" s="85"/>
    </row>
    <row r="66" spans="1:41" ht="18.75" customHeight="1">
      <c r="A66" s="145">
        <v>56</v>
      </c>
      <c r="B66" s="336" t="str">
        <f>'Chấm công KT'!D66</f>
        <v>03501</v>
      </c>
      <c r="C66" s="296" t="str">
        <f>'Chấm công KT'!C66</f>
        <v>T Dăn</v>
      </c>
      <c r="D66" s="145" t="s">
        <v>53</v>
      </c>
      <c r="E66" s="352"/>
      <c r="F66" s="352"/>
      <c r="G66" s="352"/>
      <c r="H66" s="352"/>
      <c r="I66" s="352"/>
      <c r="J66" s="337"/>
      <c r="K66" s="267"/>
      <c r="L66" s="267"/>
      <c r="M66" s="337"/>
      <c r="N66" s="337"/>
      <c r="O66" s="354"/>
      <c r="P66" s="146"/>
      <c r="Q66" s="338">
        <f t="shared" si="3"/>
        <v>0</v>
      </c>
      <c r="R66" s="1221">
        <f>VLOOKUP(C66,'BTH mủ tạp'!$C$15:$AI$94,33,0)</f>
        <v>0</v>
      </c>
      <c r="S66" s="337"/>
      <c r="T66" s="253">
        <f t="shared" si="6"/>
        <v>0</v>
      </c>
      <c r="U66" s="341">
        <f t="shared" si="4"/>
        <v>0</v>
      </c>
      <c r="V66" s="1146">
        <f>VLOOKUP(C66,'Chấm công KT'!$C$11:$AJ$90,34,0)</f>
        <v>0</v>
      </c>
      <c r="W66" s="1146">
        <f>VLOOKUP(C66,'Chấm công KT'!$C$11:$AK$90,35,0)</f>
        <v>0</v>
      </c>
      <c r="X66" s="1147"/>
      <c r="Y66" s="1146"/>
      <c r="Z66" s="1146">
        <f>VLOOKUP(C66,'Chấm công KT'!$C$11:$AN$90,38,0)</f>
        <v>0</v>
      </c>
      <c r="AA66" s="1146">
        <f>VLOOKUP(C66,'Chấm công KT'!$C$11:$AO$90,39,0)</f>
        <v>0</v>
      </c>
      <c r="AB66" s="343"/>
      <c r="AC66" s="344">
        <f t="shared" si="5"/>
        <v>0</v>
      </c>
      <c r="AD66" s="147" t="str">
        <f>VLOOKUP(C66,'BTH mủ tạp'!$C$15:$AL$305,36,0)</f>
        <v>A</v>
      </c>
      <c r="AE66" s="148"/>
      <c r="AF66" s="119"/>
      <c r="AH66" s="85"/>
      <c r="AI66" s="88"/>
      <c r="AJ66" s="85"/>
      <c r="AK66" s="85"/>
      <c r="AL66" s="85"/>
      <c r="AM66" s="85"/>
      <c r="AN66" s="85"/>
      <c r="AO66" s="85"/>
    </row>
    <row r="67" spans="1:41" ht="18.75" customHeight="1">
      <c r="A67" s="294">
        <v>57</v>
      </c>
      <c r="B67" s="336" t="str">
        <f>'Chấm công KT'!D67</f>
        <v>03502</v>
      </c>
      <c r="C67" s="296" t="str">
        <f>'Chấm công KT'!C67</f>
        <v>T. Xợt</v>
      </c>
      <c r="D67" s="145" t="s">
        <v>53</v>
      </c>
      <c r="E67" s="352"/>
      <c r="F67" s="352"/>
      <c r="G67" s="352"/>
      <c r="H67" s="352"/>
      <c r="I67" s="352"/>
      <c r="J67" s="337"/>
      <c r="K67" s="267"/>
      <c r="L67" s="267"/>
      <c r="M67" s="337"/>
      <c r="N67" s="337"/>
      <c r="O67" s="354"/>
      <c r="P67" s="146"/>
      <c r="Q67" s="338">
        <f t="shared" si="3"/>
        <v>0</v>
      </c>
      <c r="R67" s="1221">
        <f>VLOOKUP(C67,'BTH mủ tạp'!$C$15:$AI$94,33,0)</f>
        <v>0</v>
      </c>
      <c r="S67" s="337"/>
      <c r="T67" s="253">
        <f t="shared" si="6"/>
        <v>0</v>
      </c>
      <c r="U67" s="341">
        <f t="shared" si="4"/>
        <v>0</v>
      </c>
      <c r="V67" s="1146">
        <f>VLOOKUP(C67,'Chấm công KT'!$C$11:$AJ$90,34,0)</f>
        <v>0</v>
      </c>
      <c r="W67" s="1146">
        <f>VLOOKUP(C67,'Chấm công KT'!$C$11:$AK$90,35,0)</f>
        <v>0</v>
      </c>
      <c r="X67" s="1147"/>
      <c r="Y67" s="1146"/>
      <c r="Z67" s="1146">
        <f>VLOOKUP(C67,'Chấm công KT'!$C$11:$AN$90,38,0)</f>
        <v>0</v>
      </c>
      <c r="AA67" s="1146">
        <f>VLOOKUP(C67,'Chấm công KT'!$C$11:$AO$90,39,0)</f>
        <v>0</v>
      </c>
      <c r="AB67" s="343"/>
      <c r="AC67" s="344">
        <f t="shared" si="5"/>
        <v>0</v>
      </c>
      <c r="AD67" s="147" t="str">
        <f>VLOOKUP(C67,'BTH mủ tạp'!$C$15:$AL$305,36,0)</f>
        <v>A</v>
      </c>
      <c r="AE67" s="148"/>
      <c r="AF67" s="119"/>
      <c r="AH67" s="85"/>
      <c r="AI67" s="84"/>
      <c r="AJ67" s="85"/>
      <c r="AK67" s="85"/>
      <c r="AL67" s="85"/>
      <c r="AM67" s="85"/>
      <c r="AN67" s="85"/>
      <c r="AO67" s="85"/>
    </row>
    <row r="68" spans="1:41" ht="18.75" customHeight="1">
      <c r="A68" s="145">
        <v>58</v>
      </c>
      <c r="B68" s="336" t="e">
        <f>'Chấm công KT'!D68</f>
        <v>#N/A</v>
      </c>
      <c r="C68" s="296" t="str">
        <f>'Chấm công KT'!C68</f>
        <v>N. Phết 2</v>
      </c>
      <c r="D68" s="145" t="s">
        <v>53</v>
      </c>
      <c r="E68" s="352"/>
      <c r="F68" s="352"/>
      <c r="G68" s="352"/>
      <c r="H68" s="352"/>
      <c r="I68" s="352"/>
      <c r="J68" s="337"/>
      <c r="K68" s="267"/>
      <c r="L68" s="267"/>
      <c r="M68" s="337"/>
      <c r="N68" s="337"/>
      <c r="O68" s="354"/>
      <c r="P68" s="146"/>
      <c r="Q68" s="338">
        <f t="shared" si="3"/>
        <v>0</v>
      </c>
      <c r="R68" s="1221">
        <f>VLOOKUP(C68,'BTH mủ tạp'!$C$15:$AI$94,33,0)</f>
        <v>0</v>
      </c>
      <c r="S68" s="337"/>
      <c r="T68" s="253">
        <f t="shared" si="6"/>
        <v>0</v>
      </c>
      <c r="U68" s="341">
        <f t="shared" si="4"/>
        <v>0</v>
      </c>
      <c r="V68" s="1146">
        <f>VLOOKUP(C68,'Chấm công KT'!$C$11:$AJ$90,34,0)</f>
        <v>0</v>
      </c>
      <c r="W68" s="1146">
        <f>VLOOKUP(C68,'Chấm công KT'!$C$11:$AK$90,35,0)</f>
        <v>0</v>
      </c>
      <c r="X68" s="1147"/>
      <c r="Y68" s="1146"/>
      <c r="Z68" s="1146">
        <f>VLOOKUP(C68,'Chấm công KT'!$C$11:$AN$90,38,0)</f>
        <v>0</v>
      </c>
      <c r="AA68" s="1146">
        <f>VLOOKUP(C68,'Chấm công KT'!$C$11:$AO$90,39,0)</f>
        <v>0</v>
      </c>
      <c r="AB68" s="343"/>
      <c r="AC68" s="344">
        <f t="shared" si="5"/>
        <v>0</v>
      </c>
      <c r="AD68" s="147" t="str">
        <f>VLOOKUP(C68,'BTH mủ tạp'!$C$15:$AL$305,36,0)</f>
        <v>A</v>
      </c>
      <c r="AE68" s="148"/>
      <c r="AF68" s="119"/>
      <c r="AH68" s="89"/>
      <c r="AI68" s="90"/>
      <c r="AJ68" s="89"/>
      <c r="AK68" s="89"/>
      <c r="AL68" s="85"/>
      <c r="AM68" s="89"/>
      <c r="AN68" s="89"/>
      <c r="AO68" s="85"/>
    </row>
    <row r="69" spans="1:41" ht="18.75" customHeight="1">
      <c r="A69" s="294">
        <v>59</v>
      </c>
      <c r="B69" s="336" t="str">
        <f>'Chấm công KT'!D69</f>
        <v>03504</v>
      </c>
      <c r="C69" s="296" t="str">
        <f>'Chấm công KT'!C69</f>
        <v>T. Cạp</v>
      </c>
      <c r="D69" s="145" t="s">
        <v>53</v>
      </c>
      <c r="E69" s="352"/>
      <c r="F69" s="352"/>
      <c r="G69" s="352"/>
      <c r="H69" s="352"/>
      <c r="I69" s="352"/>
      <c r="J69" s="337"/>
      <c r="K69" s="267"/>
      <c r="L69" s="267"/>
      <c r="M69" s="337"/>
      <c r="N69" s="337"/>
      <c r="O69" s="354"/>
      <c r="P69" s="146"/>
      <c r="Q69" s="338">
        <f t="shared" si="3"/>
        <v>0</v>
      </c>
      <c r="R69" s="1221">
        <f>VLOOKUP(C69,'BTH mủ tạp'!$C$15:$AI$94,33,0)</f>
        <v>0</v>
      </c>
      <c r="S69" s="337"/>
      <c r="T69" s="253">
        <f t="shared" si="6"/>
        <v>0</v>
      </c>
      <c r="U69" s="341">
        <f t="shared" si="4"/>
        <v>0</v>
      </c>
      <c r="V69" s="1146">
        <f>VLOOKUP(C69,'Chấm công KT'!$C$11:$AJ$90,34,0)</f>
        <v>0</v>
      </c>
      <c r="W69" s="1146">
        <f>VLOOKUP(C69,'Chấm công KT'!$C$11:$AK$90,35,0)</f>
        <v>0</v>
      </c>
      <c r="X69" s="1147"/>
      <c r="Y69" s="1146"/>
      <c r="Z69" s="1146">
        <f>VLOOKUP(C69,'Chấm công KT'!$C$11:$AN$90,38,0)</f>
        <v>0</v>
      </c>
      <c r="AA69" s="1146">
        <f>VLOOKUP(C69,'Chấm công KT'!$C$11:$AO$90,39,0)</f>
        <v>0</v>
      </c>
      <c r="AB69" s="343"/>
      <c r="AC69" s="344">
        <f t="shared" si="5"/>
        <v>0</v>
      </c>
      <c r="AD69" s="147" t="str">
        <f>VLOOKUP(C69,'BTH mủ tạp'!$C$15:$AL$305,36,0)</f>
        <v>B</v>
      </c>
      <c r="AE69" s="148"/>
      <c r="AF69" s="119"/>
      <c r="AH69" s="87"/>
      <c r="AI69" s="84"/>
      <c r="AJ69" s="85"/>
      <c r="AK69" s="85"/>
      <c r="AL69" s="85"/>
      <c r="AM69" s="85"/>
      <c r="AN69" s="85"/>
      <c r="AO69" s="85"/>
    </row>
    <row r="70" spans="1:41" ht="18.75" customHeight="1">
      <c r="A70" s="145">
        <v>60</v>
      </c>
      <c r="B70" s="336" t="str">
        <f>'Chấm công KT'!D70</f>
        <v>03505</v>
      </c>
      <c r="C70" s="296" t="str">
        <f>'Chấm công KT'!C70</f>
        <v>N. Phết</v>
      </c>
      <c r="D70" s="145" t="s">
        <v>53</v>
      </c>
      <c r="E70" s="352"/>
      <c r="F70" s="352"/>
      <c r="G70" s="352"/>
      <c r="H70" s="352"/>
      <c r="I70" s="352"/>
      <c r="J70" s="337"/>
      <c r="K70" s="152"/>
      <c r="L70" s="152"/>
      <c r="M70" s="152"/>
      <c r="N70" s="146"/>
      <c r="O70" s="146"/>
      <c r="P70" s="146"/>
      <c r="Q70" s="338">
        <f t="shared" si="3"/>
        <v>0</v>
      </c>
      <c r="R70" s="1221">
        <f>VLOOKUP(C70,'BTH mủ tạp'!$C$15:$AI$94,33,0)</f>
        <v>0</v>
      </c>
      <c r="S70" s="337"/>
      <c r="T70" s="253">
        <f t="shared" si="6"/>
        <v>0</v>
      </c>
      <c r="U70" s="341">
        <f t="shared" si="4"/>
        <v>0</v>
      </c>
      <c r="V70" s="1146">
        <f>VLOOKUP(C70,'Chấm công KT'!$C$11:$AJ$90,34,0)</f>
        <v>0</v>
      </c>
      <c r="W70" s="1146">
        <f>VLOOKUP(C70,'Chấm công KT'!$C$11:$AK$90,35,0)</f>
        <v>0</v>
      </c>
      <c r="X70" s="1147"/>
      <c r="Y70" s="1146"/>
      <c r="Z70" s="1146">
        <f>VLOOKUP(C70,'Chấm công KT'!$C$11:$AN$90,38,0)</f>
        <v>0</v>
      </c>
      <c r="AA70" s="1146">
        <f>VLOOKUP(C70,'Chấm công KT'!$C$11:$AO$90,39,0)</f>
        <v>0</v>
      </c>
      <c r="AB70" s="343"/>
      <c r="AC70" s="344">
        <f t="shared" si="5"/>
        <v>0</v>
      </c>
      <c r="AD70" s="147" t="str">
        <f>VLOOKUP(C70,'BTH mủ tạp'!$C$15:$AL$305,36,0)</f>
        <v>A</v>
      </c>
      <c r="AE70" s="148"/>
      <c r="AF70" s="119"/>
      <c r="AH70" s="87"/>
      <c r="AI70" s="84"/>
      <c r="AJ70" s="85"/>
      <c r="AK70" s="85"/>
      <c r="AL70" s="85"/>
      <c r="AM70" s="85"/>
      <c r="AN70" s="85"/>
      <c r="AO70" s="85"/>
    </row>
    <row r="71" spans="1:41" ht="18.75" customHeight="1">
      <c r="A71" s="294">
        <v>61</v>
      </c>
      <c r="B71" s="336" t="str">
        <f>'Chấm công KT'!D71</f>
        <v>03506</v>
      </c>
      <c r="C71" s="296" t="str">
        <f>'Chấm công KT'!C71</f>
        <v>N. Bua Hom</v>
      </c>
      <c r="D71" s="145" t="s">
        <v>53</v>
      </c>
      <c r="E71" s="352"/>
      <c r="F71" s="352"/>
      <c r="G71" s="352"/>
      <c r="H71" s="352"/>
      <c r="I71" s="352"/>
      <c r="J71" s="337"/>
      <c r="K71" s="152"/>
      <c r="L71" s="152"/>
      <c r="M71" s="152"/>
      <c r="N71" s="146"/>
      <c r="O71" s="146"/>
      <c r="P71" s="146"/>
      <c r="Q71" s="338">
        <f t="shared" si="3"/>
        <v>0</v>
      </c>
      <c r="R71" s="1221">
        <f>VLOOKUP(C71,'BTH mủ tạp'!$C$15:$AI$94,33,0)</f>
        <v>0</v>
      </c>
      <c r="S71" s="337"/>
      <c r="T71" s="253">
        <f t="shared" si="6"/>
        <v>0</v>
      </c>
      <c r="U71" s="341">
        <f t="shared" si="4"/>
        <v>0</v>
      </c>
      <c r="V71" s="1146">
        <f>VLOOKUP(C71,'Chấm công KT'!$C$11:$AJ$90,34,0)</f>
        <v>0</v>
      </c>
      <c r="W71" s="1146">
        <f>VLOOKUP(C71,'Chấm công KT'!$C$11:$AK$90,35,0)</f>
        <v>0</v>
      </c>
      <c r="X71" s="1147"/>
      <c r="Y71" s="1146"/>
      <c r="Z71" s="1146">
        <f>VLOOKUP(C71,'Chấm công KT'!$C$11:$AN$90,38,0)</f>
        <v>0</v>
      </c>
      <c r="AA71" s="1146">
        <f>VLOOKUP(C71,'Chấm công KT'!$C$11:$AO$90,39,0)</f>
        <v>0</v>
      </c>
      <c r="AB71" s="343"/>
      <c r="AC71" s="344">
        <f t="shared" si="5"/>
        <v>0</v>
      </c>
      <c r="AD71" s="147" t="str">
        <f>VLOOKUP(C71,'BTH mủ tạp'!$C$15:$AL$305,36,0)</f>
        <v>A</v>
      </c>
      <c r="AE71" s="148"/>
      <c r="AF71" s="119"/>
      <c r="AH71" s="87"/>
      <c r="AI71" s="84"/>
      <c r="AJ71" s="85"/>
      <c r="AK71" s="85"/>
      <c r="AL71" s="85"/>
      <c r="AM71" s="85"/>
      <c r="AN71" s="85"/>
      <c r="AO71" s="85"/>
    </row>
    <row r="72" spans="1:41" ht="18.75" customHeight="1">
      <c r="A72" s="145">
        <v>62</v>
      </c>
      <c r="B72" s="336" t="str">
        <f>'Chấm công KT'!D72</f>
        <v>03507</v>
      </c>
      <c r="C72" s="296" t="str">
        <f>'Chấm công KT'!C72</f>
        <v>N. Không</v>
      </c>
      <c r="D72" s="145" t="s">
        <v>53</v>
      </c>
      <c r="E72" s="352"/>
      <c r="F72" s="352"/>
      <c r="G72" s="352"/>
      <c r="H72" s="352"/>
      <c r="I72" s="352"/>
      <c r="J72" s="337"/>
      <c r="K72" s="152"/>
      <c r="L72" s="152"/>
      <c r="M72" s="152"/>
      <c r="N72" s="146"/>
      <c r="O72" s="146"/>
      <c r="P72" s="146"/>
      <c r="Q72" s="338">
        <f t="shared" si="3"/>
        <v>0</v>
      </c>
      <c r="R72" s="1221">
        <f>VLOOKUP(C72,'BTH mủ tạp'!$C$15:$AI$94,33,0)</f>
        <v>0</v>
      </c>
      <c r="S72" s="337"/>
      <c r="T72" s="253">
        <f t="shared" si="6"/>
        <v>0</v>
      </c>
      <c r="U72" s="341">
        <f t="shared" si="4"/>
        <v>0</v>
      </c>
      <c r="V72" s="1146">
        <f>VLOOKUP(C72,'Chấm công KT'!$C$11:$AJ$90,34,0)</f>
        <v>0</v>
      </c>
      <c r="W72" s="1146">
        <f>VLOOKUP(C72,'Chấm công KT'!$C$11:$AK$90,35,0)</f>
        <v>0</v>
      </c>
      <c r="X72" s="1147"/>
      <c r="Y72" s="1146"/>
      <c r="Z72" s="1146">
        <f>VLOOKUP(C72,'Chấm công KT'!$C$11:$AN$90,38,0)</f>
        <v>0</v>
      </c>
      <c r="AA72" s="1146">
        <f>VLOOKUP(C72,'Chấm công KT'!$C$11:$AO$90,39,0)</f>
        <v>0</v>
      </c>
      <c r="AB72" s="343"/>
      <c r="AC72" s="344">
        <f t="shared" si="5"/>
        <v>0</v>
      </c>
      <c r="AD72" s="147" t="str">
        <f>VLOOKUP(C72,'BTH mủ tạp'!$C$15:$AL$305,36,0)</f>
        <v>B</v>
      </c>
      <c r="AE72" s="148"/>
      <c r="AF72" s="119"/>
      <c r="AG72" s="71"/>
      <c r="AH72" s="87"/>
      <c r="AI72" s="84"/>
      <c r="AJ72" s="85"/>
      <c r="AK72" s="85"/>
      <c r="AL72" s="85"/>
      <c r="AM72" s="85"/>
      <c r="AN72" s="85"/>
      <c r="AO72" s="85"/>
    </row>
    <row r="73" spans="1:41" ht="18.75" customHeight="1">
      <c r="A73" s="294">
        <v>63</v>
      </c>
      <c r="B73" s="336" t="str">
        <f>'Chấm công KT'!D73</f>
        <v>03508</v>
      </c>
      <c r="C73" s="296" t="str">
        <f>'Chấm công KT'!C73</f>
        <v>T. Đèng</v>
      </c>
      <c r="D73" s="145" t="s">
        <v>53</v>
      </c>
      <c r="E73" s="352"/>
      <c r="F73" s="352"/>
      <c r="G73" s="352"/>
      <c r="H73" s="352"/>
      <c r="I73" s="352"/>
      <c r="J73" s="337"/>
      <c r="K73" s="152"/>
      <c r="L73" s="152"/>
      <c r="M73" s="152"/>
      <c r="N73" s="146"/>
      <c r="O73" s="146"/>
      <c r="P73" s="146"/>
      <c r="Q73" s="338">
        <f t="shared" si="3"/>
        <v>0</v>
      </c>
      <c r="R73" s="1221">
        <f>VLOOKUP(C73,'BTH mủ tạp'!$C$15:$AI$94,33,0)</f>
        <v>0</v>
      </c>
      <c r="S73" s="337"/>
      <c r="T73" s="253">
        <f t="shared" si="6"/>
        <v>0</v>
      </c>
      <c r="U73" s="341">
        <f t="shared" si="4"/>
        <v>0</v>
      </c>
      <c r="V73" s="1146">
        <f>VLOOKUP(C73,'Chấm công KT'!$C$11:$AJ$90,34,0)</f>
        <v>0</v>
      </c>
      <c r="W73" s="1146">
        <f>VLOOKUP(C73,'Chấm công KT'!$C$11:$AK$90,35,0)</f>
        <v>0</v>
      </c>
      <c r="X73" s="1147"/>
      <c r="Y73" s="1146"/>
      <c r="Z73" s="1146">
        <f>VLOOKUP(C73,'Chấm công KT'!$C$11:$AN$90,38,0)</f>
        <v>0</v>
      </c>
      <c r="AA73" s="1146">
        <f>VLOOKUP(C73,'Chấm công KT'!$C$11:$AO$90,39,0)</f>
        <v>0</v>
      </c>
      <c r="AB73" s="343"/>
      <c r="AC73" s="344">
        <f t="shared" si="5"/>
        <v>0</v>
      </c>
      <c r="AD73" s="147" t="str">
        <f>VLOOKUP(C73,'BTH mủ tạp'!$C$15:$AL$305,36,0)</f>
        <v>B</v>
      </c>
      <c r="AE73" s="148"/>
      <c r="AF73" s="119"/>
      <c r="AH73" s="87"/>
      <c r="AI73" s="84"/>
      <c r="AJ73" s="85"/>
      <c r="AK73" s="85"/>
      <c r="AL73" s="85"/>
      <c r="AM73" s="85"/>
      <c r="AN73" s="85"/>
      <c r="AO73" s="85"/>
    </row>
    <row r="74" spans="1:41" ht="18.75" customHeight="1">
      <c r="A74" s="145">
        <v>64</v>
      </c>
      <c r="B74" s="336" t="str">
        <f>'Chấm công KT'!D74</f>
        <v>03509</v>
      </c>
      <c r="C74" s="296" t="str">
        <f>'Chấm công KT'!C74</f>
        <v>T. May</v>
      </c>
      <c r="D74" s="145" t="s">
        <v>53</v>
      </c>
      <c r="E74" s="352"/>
      <c r="F74" s="352"/>
      <c r="G74" s="352"/>
      <c r="H74" s="352"/>
      <c r="I74" s="352"/>
      <c r="J74" s="337"/>
      <c r="K74" s="152"/>
      <c r="L74" s="152"/>
      <c r="M74" s="152"/>
      <c r="N74" s="146"/>
      <c r="O74" s="146"/>
      <c r="P74" s="146"/>
      <c r="Q74" s="338">
        <f t="shared" si="3"/>
        <v>0</v>
      </c>
      <c r="R74" s="1221">
        <f>VLOOKUP(C74,'BTH mủ tạp'!$C$15:$AI$94,33,0)</f>
        <v>0</v>
      </c>
      <c r="S74" s="337"/>
      <c r="T74" s="253">
        <f t="shared" si="6"/>
        <v>0</v>
      </c>
      <c r="U74" s="341">
        <f t="shared" si="4"/>
        <v>0</v>
      </c>
      <c r="V74" s="1146">
        <f>VLOOKUP(C74,'Chấm công KT'!$C$11:$AJ$90,34,0)</f>
        <v>0</v>
      </c>
      <c r="W74" s="1146">
        <f>VLOOKUP(C74,'Chấm công KT'!$C$11:$AK$90,35,0)</f>
        <v>0</v>
      </c>
      <c r="X74" s="1147"/>
      <c r="Y74" s="1146"/>
      <c r="Z74" s="1146">
        <f>VLOOKUP(C74,'Chấm công KT'!$C$11:$AN$90,38,0)</f>
        <v>0</v>
      </c>
      <c r="AA74" s="1146">
        <f>VLOOKUP(C74,'Chấm công KT'!$C$11:$AO$90,39,0)</f>
        <v>0</v>
      </c>
      <c r="AB74" s="343"/>
      <c r="AC74" s="344">
        <f t="shared" si="5"/>
        <v>0</v>
      </c>
      <c r="AD74" s="147" t="str">
        <f>VLOOKUP(C74,'BTH mủ tạp'!$C$15:$AL$305,36,0)</f>
        <v>D</v>
      </c>
      <c r="AE74" s="148"/>
      <c r="AF74" s="119"/>
      <c r="AH74" s="87"/>
      <c r="AI74" s="84"/>
      <c r="AJ74" s="85"/>
      <c r="AK74" s="85"/>
      <c r="AL74" s="85"/>
      <c r="AM74" s="85"/>
      <c r="AN74" s="85"/>
      <c r="AO74" s="85"/>
    </row>
    <row r="75" spans="1:41" ht="18.75" customHeight="1">
      <c r="A75" s="294">
        <v>65</v>
      </c>
      <c r="B75" s="336">
        <f>'Chấm công KT'!D75</f>
        <v>0</v>
      </c>
      <c r="C75" s="296" t="str">
        <f>'Chấm công KT'!C75</f>
        <v xml:space="preserve">T. La </v>
      </c>
      <c r="D75" s="145" t="s">
        <v>53</v>
      </c>
      <c r="E75" s="352"/>
      <c r="F75" s="352"/>
      <c r="G75" s="352"/>
      <c r="H75" s="352"/>
      <c r="I75" s="352"/>
      <c r="J75" s="337"/>
      <c r="K75" s="152"/>
      <c r="L75" s="152"/>
      <c r="M75" s="152"/>
      <c r="N75" s="146"/>
      <c r="O75" s="146"/>
      <c r="P75" s="146"/>
      <c r="Q75" s="338">
        <f t="shared" si="3"/>
        <v>0</v>
      </c>
      <c r="R75" s="1221">
        <f>VLOOKUP(C75,'BTH mủ tạp'!$C$15:$AI$94,33,0)</f>
        <v>0</v>
      </c>
      <c r="S75" s="337"/>
      <c r="T75" s="253">
        <f t="shared" si="6"/>
        <v>0</v>
      </c>
      <c r="U75" s="341">
        <f t="shared" si="4"/>
        <v>0</v>
      </c>
      <c r="V75" s="1146">
        <f>VLOOKUP(C75,'Chấm công KT'!$C$11:$AJ$90,34,0)</f>
        <v>0</v>
      </c>
      <c r="W75" s="1146">
        <f>VLOOKUP(C75,'Chấm công KT'!$C$11:$AK$90,35,0)</f>
        <v>0</v>
      </c>
      <c r="X75" s="1147"/>
      <c r="Y75" s="1146"/>
      <c r="Z75" s="1146">
        <f>VLOOKUP(C75,'Chấm công KT'!$C$11:$AN$90,38,0)</f>
        <v>0</v>
      </c>
      <c r="AA75" s="1146">
        <f>VLOOKUP(C75,'Chấm công KT'!$C$11:$AO$90,39,0)</f>
        <v>0</v>
      </c>
      <c r="AB75" s="343"/>
      <c r="AC75" s="344">
        <f t="shared" si="5"/>
        <v>0</v>
      </c>
      <c r="AD75" s="147" t="str">
        <f>VLOOKUP(C75,'BTH mủ tạp'!$C$15:$AL$305,36,0)</f>
        <v>A</v>
      </c>
      <c r="AE75" s="148"/>
      <c r="AF75" s="119"/>
      <c r="AH75" s="87"/>
      <c r="AI75" s="84"/>
      <c r="AJ75" s="85"/>
      <c r="AK75" s="85"/>
      <c r="AL75" s="85"/>
      <c r="AM75" s="85"/>
      <c r="AN75" s="85"/>
      <c r="AO75" s="85"/>
    </row>
    <row r="76" spans="1:41" ht="18.75" customHeight="1">
      <c r="A76" s="145">
        <v>66</v>
      </c>
      <c r="B76" s="336">
        <f>'Chấm công KT'!D76</f>
        <v>0</v>
      </c>
      <c r="C76" s="296" t="str">
        <f>'Chấm công KT'!C76</f>
        <v>T. Bờm</v>
      </c>
      <c r="D76" s="145" t="s">
        <v>53</v>
      </c>
      <c r="E76" s="352"/>
      <c r="F76" s="352"/>
      <c r="G76" s="352"/>
      <c r="H76" s="352"/>
      <c r="I76" s="352"/>
      <c r="J76" s="337"/>
      <c r="K76" s="152"/>
      <c r="L76" s="152"/>
      <c r="M76" s="152"/>
      <c r="N76" s="146"/>
      <c r="O76" s="146"/>
      <c r="P76" s="146"/>
      <c r="Q76" s="338">
        <f t="shared" ref="Q76:Q94" si="7">SUM(E76:P76)</f>
        <v>0</v>
      </c>
      <c r="R76" s="1221">
        <f>VLOOKUP(C76,'BTH mủ tạp'!$C$15:$AI$94,33,0)</f>
        <v>0</v>
      </c>
      <c r="S76" s="337"/>
      <c r="T76" s="253">
        <f>S76*50/100</f>
        <v>0</v>
      </c>
      <c r="U76" s="341">
        <f t="shared" ref="U76:U145" si="8">R76</f>
        <v>0</v>
      </c>
      <c r="V76" s="1146">
        <f>VLOOKUP(C76,'Chấm công KT'!$C$11:$AJ$90,34,0)</f>
        <v>0</v>
      </c>
      <c r="W76" s="1146">
        <f>VLOOKUP(C76,'Chấm công KT'!$C$11:$AK$90,35,0)</f>
        <v>0</v>
      </c>
      <c r="X76" s="1147"/>
      <c r="Y76" s="1146"/>
      <c r="Z76" s="1146">
        <f>VLOOKUP(C76,'Chấm công KT'!$C$11:$AN$90,38,0)</f>
        <v>0</v>
      </c>
      <c r="AA76" s="1146">
        <f>VLOOKUP(C76,'Chấm công KT'!$C$11:$AO$90,39,0)</f>
        <v>0</v>
      </c>
      <c r="AB76" s="343"/>
      <c r="AC76" s="344">
        <f t="shared" si="5"/>
        <v>0</v>
      </c>
      <c r="AD76" s="147" t="str">
        <f>VLOOKUP(C76,'BTH mủ tạp'!$C$15:$AL$305,36,0)</f>
        <v>A</v>
      </c>
      <c r="AE76" s="148"/>
      <c r="AF76" s="119"/>
      <c r="AH76" s="87"/>
      <c r="AI76" s="84"/>
      <c r="AJ76" s="85"/>
      <c r="AK76" s="85"/>
      <c r="AL76" s="85"/>
      <c r="AM76" s="85"/>
      <c r="AN76" s="85"/>
      <c r="AO76" s="85"/>
    </row>
    <row r="77" spans="1:41" ht="18.75" customHeight="1">
      <c r="A77" s="294">
        <v>67</v>
      </c>
      <c r="B77" s="336" t="str">
        <f>'Chấm công KT'!D77</f>
        <v>03512</v>
      </c>
      <c r="C77" s="296" t="str">
        <f>'Chấm công KT'!C77</f>
        <v>N. Đon</v>
      </c>
      <c r="D77" s="145" t="s">
        <v>53</v>
      </c>
      <c r="E77" s="352"/>
      <c r="F77" s="352"/>
      <c r="G77" s="352"/>
      <c r="H77" s="352"/>
      <c r="I77" s="352"/>
      <c r="J77" s="337"/>
      <c r="K77" s="152"/>
      <c r="L77" s="152"/>
      <c r="M77" s="152"/>
      <c r="N77" s="146"/>
      <c r="O77" s="146"/>
      <c r="P77" s="146"/>
      <c r="Q77" s="338">
        <f t="shared" si="7"/>
        <v>0</v>
      </c>
      <c r="R77" s="1221">
        <f>VLOOKUP(C77,'BTH mủ tạp'!$C$15:$AI$94,33,0)</f>
        <v>0</v>
      </c>
      <c r="S77" s="337"/>
      <c r="T77" s="253">
        <f t="shared" ref="T77:T79" si="9">S77*50/100</f>
        <v>0</v>
      </c>
      <c r="U77" s="341">
        <f t="shared" si="8"/>
        <v>0</v>
      </c>
      <c r="V77" s="1146">
        <f>VLOOKUP(C77,'Chấm công KT'!$C$11:$AJ$90,34,0)</f>
        <v>0</v>
      </c>
      <c r="W77" s="1146">
        <f>VLOOKUP(C77,'Chấm công KT'!$C$11:$AK$90,35,0)</f>
        <v>0</v>
      </c>
      <c r="X77" s="1147"/>
      <c r="Y77" s="1146"/>
      <c r="Z77" s="1146">
        <f>VLOOKUP(C77,'Chấm công KT'!$C$11:$AN$90,38,0)</f>
        <v>0</v>
      </c>
      <c r="AA77" s="1146">
        <f>VLOOKUP(C77,'Chấm công KT'!$C$11:$AO$90,39,0)</f>
        <v>0</v>
      </c>
      <c r="AB77" s="343"/>
      <c r="AC77" s="344">
        <f t="shared" ref="AC77:AC79" si="10">Q77</f>
        <v>0</v>
      </c>
      <c r="AD77" s="147" t="str">
        <f>VLOOKUP(C77,'BTH mủ tạp'!$C$15:$AL$305,36,0)</f>
        <v>B</v>
      </c>
      <c r="AE77" s="148"/>
      <c r="AF77" s="119"/>
      <c r="AH77" s="87"/>
      <c r="AI77" s="84"/>
      <c r="AJ77" s="85"/>
      <c r="AK77" s="85"/>
      <c r="AL77" s="85"/>
      <c r="AM77" s="85"/>
      <c r="AN77" s="85"/>
      <c r="AO77" s="85"/>
    </row>
    <row r="78" spans="1:41" ht="18.75" customHeight="1">
      <c r="A78" s="145">
        <v>68</v>
      </c>
      <c r="B78" s="336" t="str">
        <f>'Chấm công KT'!D78</f>
        <v>03513</v>
      </c>
      <c r="C78" s="296" t="str">
        <f>'Chấm công KT'!C78</f>
        <v>T. Keo Ma Ni Son</v>
      </c>
      <c r="D78" s="145" t="s">
        <v>53</v>
      </c>
      <c r="E78" s="352"/>
      <c r="F78" s="352"/>
      <c r="G78" s="352"/>
      <c r="H78" s="352"/>
      <c r="I78" s="352"/>
      <c r="J78" s="337"/>
      <c r="K78" s="152"/>
      <c r="L78" s="152"/>
      <c r="M78" s="152"/>
      <c r="N78" s="146"/>
      <c r="O78" s="146"/>
      <c r="P78" s="146"/>
      <c r="Q78" s="338">
        <f t="shared" si="7"/>
        <v>0</v>
      </c>
      <c r="R78" s="1221">
        <f>VLOOKUP(C78,'BTH mủ tạp'!$C$15:$AI$94,33,0)</f>
        <v>0</v>
      </c>
      <c r="S78" s="337"/>
      <c r="T78" s="253">
        <f t="shared" si="9"/>
        <v>0</v>
      </c>
      <c r="U78" s="341">
        <f t="shared" si="8"/>
        <v>0</v>
      </c>
      <c r="V78" s="1146">
        <f>VLOOKUP(C78,'Chấm công KT'!$C$11:$AJ$90,34,0)</f>
        <v>0</v>
      </c>
      <c r="W78" s="1146">
        <f>VLOOKUP(C78,'Chấm công KT'!$C$11:$AK$90,35,0)</f>
        <v>0</v>
      </c>
      <c r="X78" s="1147"/>
      <c r="Y78" s="1146"/>
      <c r="Z78" s="1146">
        <f>VLOOKUP(C78,'Chấm công KT'!$C$11:$AN$90,38,0)</f>
        <v>0</v>
      </c>
      <c r="AA78" s="1146">
        <f>VLOOKUP(C78,'Chấm công KT'!$C$11:$AO$90,39,0)</f>
        <v>0</v>
      </c>
      <c r="AB78" s="343"/>
      <c r="AC78" s="344">
        <f t="shared" si="10"/>
        <v>0</v>
      </c>
      <c r="AD78" s="147" t="str">
        <f>VLOOKUP(C78,'BTH mủ tạp'!$C$15:$AL$305,36,0)</f>
        <v>B</v>
      </c>
      <c r="AE78" s="148"/>
      <c r="AF78" s="119"/>
      <c r="AH78" s="87"/>
      <c r="AI78" s="84"/>
      <c r="AJ78" s="85"/>
      <c r="AK78" s="85"/>
      <c r="AL78" s="85"/>
      <c r="AM78" s="85"/>
      <c r="AN78" s="85"/>
      <c r="AO78" s="85"/>
    </row>
    <row r="79" spans="1:41" ht="18.75" customHeight="1">
      <c r="A79" s="294">
        <v>69</v>
      </c>
      <c r="B79" s="336">
        <f>'Chấm công KT'!D79</f>
        <v>0</v>
      </c>
      <c r="C79" s="296" t="str">
        <f>'Chấm công KT'!C79</f>
        <v>T Bun</v>
      </c>
      <c r="D79" s="145" t="s">
        <v>53</v>
      </c>
      <c r="E79" s="352"/>
      <c r="F79" s="352"/>
      <c r="G79" s="352"/>
      <c r="H79" s="352"/>
      <c r="I79" s="352"/>
      <c r="J79" s="337"/>
      <c r="K79" s="152"/>
      <c r="L79" s="152"/>
      <c r="M79" s="152"/>
      <c r="N79" s="146"/>
      <c r="O79" s="146"/>
      <c r="P79" s="146"/>
      <c r="Q79" s="338">
        <f t="shared" si="7"/>
        <v>0</v>
      </c>
      <c r="R79" s="1221">
        <f>VLOOKUP(C79,'BTH mủ tạp'!$C$15:$AI$94,33,0)</f>
        <v>0</v>
      </c>
      <c r="S79" s="337"/>
      <c r="T79" s="253">
        <f t="shared" si="9"/>
        <v>0</v>
      </c>
      <c r="U79" s="341">
        <f t="shared" si="8"/>
        <v>0</v>
      </c>
      <c r="V79" s="1146">
        <f>VLOOKUP(C79,'Chấm công KT'!$C$11:$AJ$90,34,0)</f>
        <v>0</v>
      </c>
      <c r="W79" s="1146">
        <f>VLOOKUP(C79,'Chấm công KT'!$C$11:$AK$90,35,0)</f>
        <v>0</v>
      </c>
      <c r="X79" s="1147"/>
      <c r="Y79" s="1146"/>
      <c r="Z79" s="1146">
        <f>VLOOKUP(C79,'Chấm công KT'!$C$11:$AN$90,38,0)</f>
        <v>0</v>
      </c>
      <c r="AA79" s="1146">
        <f>VLOOKUP(C79,'Chấm công KT'!$C$11:$AO$90,39,0)</f>
        <v>0</v>
      </c>
      <c r="AB79" s="343"/>
      <c r="AC79" s="344">
        <f t="shared" si="10"/>
        <v>0</v>
      </c>
      <c r="AD79" s="147" t="str">
        <f>VLOOKUP(C79,'BTH mủ tạp'!$C$15:$AL$305,36,0)</f>
        <v>B</v>
      </c>
      <c r="AE79" s="148"/>
      <c r="AF79" s="119"/>
      <c r="AH79" s="87"/>
      <c r="AI79" s="84"/>
      <c r="AJ79" s="85"/>
      <c r="AK79" s="85"/>
      <c r="AL79" s="85"/>
      <c r="AM79" s="85"/>
      <c r="AN79" s="85"/>
      <c r="AO79" s="85"/>
    </row>
    <row r="80" spans="1:41" ht="18.75" customHeight="1">
      <c r="A80" s="145">
        <v>70</v>
      </c>
      <c r="B80" s="336" t="str">
        <f>'Chấm công KT'!D80</f>
        <v>03515</v>
      </c>
      <c r="C80" s="296" t="str">
        <f>'Chấm công KT'!C80</f>
        <v>N. Xi</v>
      </c>
      <c r="D80" s="145" t="s">
        <v>53</v>
      </c>
      <c r="E80" s="352"/>
      <c r="F80" s="352"/>
      <c r="G80" s="352"/>
      <c r="H80" s="352"/>
      <c r="I80" s="352"/>
      <c r="J80" s="337"/>
      <c r="K80" s="152"/>
      <c r="L80" s="152"/>
      <c r="M80" s="152"/>
      <c r="N80" s="146"/>
      <c r="O80" s="146"/>
      <c r="P80" s="146"/>
      <c r="Q80" s="338">
        <f t="shared" si="7"/>
        <v>0</v>
      </c>
      <c r="R80" s="1221">
        <f>VLOOKUP(C80,'BTH mủ tạp'!$C$15:$AI$94,33,0)</f>
        <v>0</v>
      </c>
      <c r="S80" s="337"/>
      <c r="T80" s="253">
        <f t="shared" ref="T80:T84" si="11">S80*50/100</f>
        <v>0</v>
      </c>
      <c r="U80" s="341">
        <f t="shared" si="8"/>
        <v>0</v>
      </c>
      <c r="V80" s="1146">
        <f>VLOOKUP(C80,'Chấm công KT'!$C$11:$AJ$90,34,0)</f>
        <v>0</v>
      </c>
      <c r="W80" s="1146">
        <f>VLOOKUP(C80,'Chấm công KT'!$C$11:$AK$90,35,0)</f>
        <v>0</v>
      </c>
      <c r="X80" s="1147"/>
      <c r="Y80" s="1146"/>
      <c r="Z80" s="1146">
        <f>VLOOKUP(C80,'Chấm công KT'!$C$11:$AN$90,38,0)</f>
        <v>0</v>
      </c>
      <c r="AA80" s="1146">
        <f>VLOOKUP(C80,'Chấm công KT'!$C$11:$AO$90,39,0)</f>
        <v>0</v>
      </c>
      <c r="AB80" s="343"/>
      <c r="AC80" s="344">
        <f>Q80</f>
        <v>0</v>
      </c>
      <c r="AD80" s="147" t="str">
        <f>VLOOKUP(C80,'BTH mủ tạp'!$C$15:$AL$305,36,0)</f>
        <v>A</v>
      </c>
      <c r="AE80" s="148"/>
      <c r="AF80" s="119"/>
      <c r="AH80" s="87"/>
      <c r="AI80" s="84"/>
      <c r="AJ80" s="85"/>
      <c r="AK80" s="85"/>
      <c r="AL80" s="85"/>
      <c r="AM80" s="85"/>
      <c r="AN80" s="85"/>
      <c r="AO80" s="85"/>
    </row>
    <row r="81" spans="1:41" ht="18.75" customHeight="1">
      <c r="A81" s="294">
        <v>71</v>
      </c>
      <c r="B81" s="336" t="str">
        <f>'Chấm công KT'!D81</f>
        <v>03516</v>
      </c>
      <c r="C81" s="296" t="str">
        <f>'Chấm công KT'!C81</f>
        <v>N. Chay</v>
      </c>
      <c r="D81" s="145" t="s">
        <v>53</v>
      </c>
      <c r="E81" s="352"/>
      <c r="F81" s="352"/>
      <c r="G81" s="352"/>
      <c r="H81" s="352"/>
      <c r="I81" s="352"/>
      <c r="J81" s="337"/>
      <c r="K81" s="152"/>
      <c r="L81" s="152"/>
      <c r="M81" s="337"/>
      <c r="N81" s="146"/>
      <c r="O81" s="146"/>
      <c r="P81" s="146"/>
      <c r="Q81" s="338">
        <f t="shared" si="7"/>
        <v>0</v>
      </c>
      <c r="R81" s="1221">
        <f>VLOOKUP(C81,'BTH mủ tạp'!$C$15:$AI$94,33,0)</f>
        <v>0</v>
      </c>
      <c r="S81" s="337"/>
      <c r="T81" s="253">
        <f t="shared" si="11"/>
        <v>0</v>
      </c>
      <c r="U81" s="341">
        <f t="shared" si="8"/>
        <v>0</v>
      </c>
      <c r="V81" s="1146">
        <f>VLOOKUP(C81,'Chấm công KT'!$C$11:$AJ$90,34,0)</f>
        <v>0</v>
      </c>
      <c r="W81" s="1146">
        <f>VLOOKUP(C81,'Chấm công KT'!$C$11:$AK$90,35,0)</f>
        <v>0</v>
      </c>
      <c r="X81" s="1147"/>
      <c r="Y81" s="1146"/>
      <c r="Z81" s="1146">
        <f>VLOOKUP(C81,'Chấm công KT'!$C$11:$AN$90,38,0)</f>
        <v>0</v>
      </c>
      <c r="AA81" s="1146">
        <f>VLOOKUP(C81,'Chấm công KT'!$C$11:$AO$90,39,0)</f>
        <v>0</v>
      </c>
      <c r="AB81" s="343"/>
      <c r="AC81" s="344">
        <f>Q81</f>
        <v>0</v>
      </c>
      <c r="AD81" s="147" t="str">
        <f>VLOOKUP(C81,'BTH mủ tạp'!$C$15:$AL$305,36,0)</f>
        <v>A</v>
      </c>
      <c r="AE81" s="148"/>
      <c r="AF81" s="119"/>
      <c r="AH81" s="87"/>
      <c r="AI81" s="84"/>
      <c r="AJ81" s="85"/>
      <c r="AK81" s="85"/>
      <c r="AL81" s="85"/>
      <c r="AM81" s="85"/>
      <c r="AN81" s="85"/>
      <c r="AO81" s="85"/>
    </row>
    <row r="82" spans="1:41" ht="18.75" customHeight="1">
      <c r="A82" s="145">
        <v>72</v>
      </c>
      <c r="B82" s="336" t="str">
        <f>'Chấm công KT'!D82</f>
        <v>02732</v>
      </c>
      <c r="C82" s="296" t="str">
        <f>'Chấm công KT'!C82</f>
        <v xml:space="preserve">N. Khăm </v>
      </c>
      <c r="D82" s="145" t="s">
        <v>53</v>
      </c>
      <c r="E82" s="352"/>
      <c r="F82" s="352"/>
      <c r="G82" s="352"/>
      <c r="H82" s="352"/>
      <c r="I82" s="352"/>
      <c r="J82" s="337"/>
      <c r="K82" s="152"/>
      <c r="L82" s="152"/>
      <c r="M82" s="337"/>
      <c r="N82" s="146"/>
      <c r="O82" s="146"/>
      <c r="P82" s="146"/>
      <c r="Q82" s="338">
        <f t="shared" si="7"/>
        <v>0</v>
      </c>
      <c r="R82" s="1221">
        <f>VLOOKUP(C82,'BTH mủ tạp'!$C$15:$AI$94,33,0)</f>
        <v>0</v>
      </c>
      <c r="S82" s="337"/>
      <c r="T82" s="253">
        <f t="shared" si="11"/>
        <v>0</v>
      </c>
      <c r="U82" s="341">
        <f t="shared" si="8"/>
        <v>0</v>
      </c>
      <c r="V82" s="1146">
        <f>VLOOKUP(C82,'Chấm công KT'!$C$11:$AJ$90,34,0)</f>
        <v>0</v>
      </c>
      <c r="W82" s="1146">
        <f>VLOOKUP(C82,'Chấm công KT'!$C$11:$AK$90,35,0)</f>
        <v>0</v>
      </c>
      <c r="X82" s="1147"/>
      <c r="Y82" s="1146"/>
      <c r="Z82" s="1146">
        <f>VLOOKUP(C82,'Chấm công KT'!$C$11:$AN$90,38,0)</f>
        <v>0</v>
      </c>
      <c r="AA82" s="1146">
        <f>VLOOKUP(C82,'Chấm công KT'!$C$11:$AO$90,39,0)</f>
        <v>0</v>
      </c>
      <c r="AB82" s="343"/>
      <c r="AC82" s="344">
        <f>Q82</f>
        <v>0</v>
      </c>
      <c r="AD82" s="147" t="str">
        <f>VLOOKUP(C82,'BTH mủ tạp'!$C$15:$AL$305,36,0)</f>
        <v>A</v>
      </c>
      <c r="AE82" s="148"/>
      <c r="AF82" s="119"/>
      <c r="AH82" s="87"/>
      <c r="AI82" s="84"/>
      <c r="AJ82" s="85"/>
      <c r="AK82" s="85"/>
      <c r="AL82" s="85"/>
      <c r="AM82" s="85"/>
      <c r="AN82" s="85"/>
      <c r="AO82" s="85"/>
    </row>
    <row r="83" spans="1:41" ht="18.75" customHeight="1">
      <c r="A83" s="294">
        <v>73</v>
      </c>
      <c r="B83" s="336" t="str">
        <f>'Chấm công KT'!D83</f>
        <v>02733</v>
      </c>
      <c r="C83" s="296" t="str">
        <f>'Chấm công KT'!C83</f>
        <v>N. Phôn</v>
      </c>
      <c r="D83" s="145" t="s">
        <v>53</v>
      </c>
      <c r="E83" s="352"/>
      <c r="F83" s="352"/>
      <c r="G83" s="352"/>
      <c r="H83" s="352"/>
      <c r="I83" s="352"/>
      <c r="J83" s="337"/>
      <c r="K83" s="267"/>
      <c r="L83" s="267"/>
      <c r="M83" s="337"/>
      <c r="N83" s="337"/>
      <c r="O83" s="354"/>
      <c r="P83" s="146"/>
      <c r="Q83" s="338">
        <f t="shared" si="7"/>
        <v>0</v>
      </c>
      <c r="R83" s="1221">
        <f>VLOOKUP(C83,'BTH mủ tạp'!$C$15:$AI$94,33,0)</f>
        <v>0</v>
      </c>
      <c r="S83" s="337"/>
      <c r="T83" s="253">
        <f t="shared" si="11"/>
        <v>0</v>
      </c>
      <c r="U83" s="341">
        <f t="shared" si="8"/>
        <v>0</v>
      </c>
      <c r="V83" s="1146">
        <f>VLOOKUP(C83,'Chấm công KT'!$C$11:$AJ$90,34,0)</f>
        <v>0</v>
      </c>
      <c r="W83" s="1146">
        <f>VLOOKUP(C83,'Chấm công KT'!$C$11:$AK$90,35,0)</f>
        <v>0</v>
      </c>
      <c r="X83" s="1147"/>
      <c r="Y83" s="1146"/>
      <c r="Z83" s="1146">
        <f>VLOOKUP(C83,'Chấm công KT'!$C$11:$AN$90,38,0)</f>
        <v>0</v>
      </c>
      <c r="AA83" s="1146">
        <f>VLOOKUP(C83,'Chấm công KT'!$C$11:$AO$90,39,0)</f>
        <v>0</v>
      </c>
      <c r="AB83" s="343"/>
      <c r="AC83" s="344">
        <f>Q83</f>
        <v>0</v>
      </c>
      <c r="AD83" s="147" t="str">
        <f>VLOOKUP(C83,'BTH mủ tạp'!$C$15:$AL$305,36,0)</f>
        <v>A</v>
      </c>
      <c r="AE83" s="148"/>
      <c r="AF83" s="119"/>
      <c r="AH83" s="87"/>
      <c r="AI83" s="84"/>
      <c r="AJ83" s="85"/>
      <c r="AK83" s="85"/>
      <c r="AL83" s="85"/>
      <c r="AM83" s="85"/>
      <c r="AN83" s="85"/>
      <c r="AO83" s="85"/>
    </row>
    <row r="84" spans="1:41" s="971" customFormat="1" ht="18.75" customHeight="1">
      <c r="A84" s="145">
        <v>74</v>
      </c>
      <c r="B84" s="1002"/>
      <c r="C84" s="296" t="str">
        <f>'Chấm công KT'!C84</f>
        <v>T. Xem</v>
      </c>
      <c r="D84" s="1001" t="s">
        <v>53</v>
      </c>
      <c r="E84" s="957"/>
      <c r="F84" s="957"/>
      <c r="G84" s="957"/>
      <c r="H84" s="957"/>
      <c r="I84" s="957"/>
      <c r="J84" s="958"/>
      <c r="K84" s="956"/>
      <c r="L84" s="956"/>
      <c r="M84" s="958"/>
      <c r="N84" s="958"/>
      <c r="O84" s="1003"/>
      <c r="P84" s="1004"/>
      <c r="Q84" s="338">
        <f t="shared" si="7"/>
        <v>0</v>
      </c>
      <c r="R84" s="1221">
        <f>VLOOKUP(C84,'BTH mủ tạp'!$C$15:$AI$94,33,0)</f>
        <v>0</v>
      </c>
      <c r="S84" s="337"/>
      <c r="T84" s="978">
        <f t="shared" si="11"/>
        <v>0</v>
      </c>
      <c r="U84" s="341">
        <f t="shared" si="8"/>
        <v>0</v>
      </c>
      <c r="V84" s="1146">
        <f>VLOOKUP(C84,'Chấm công KT'!$C$11:$AJ$90,34,0)</f>
        <v>0</v>
      </c>
      <c r="W84" s="1146">
        <f>VLOOKUP(C84,'Chấm công KT'!$C$11:$AK$90,35,0)</f>
        <v>0</v>
      </c>
      <c r="X84" s="1147"/>
      <c r="Y84" s="1146"/>
      <c r="Z84" s="1146">
        <f>VLOOKUP(C84,'Chấm công KT'!$C$11:$AN$90,38,0)</f>
        <v>0</v>
      </c>
      <c r="AA84" s="1146">
        <f>VLOOKUP(C84,'Chấm công KT'!$C$11:$AO$90,39,0)</f>
        <v>0</v>
      </c>
      <c r="AB84" s="1006"/>
      <c r="AC84" s="1007">
        <f>Q84</f>
        <v>0</v>
      </c>
      <c r="AD84" s="147" t="str">
        <f>VLOOKUP(C84,'BTH mủ tạp'!$C$15:$AL$305,36,0)</f>
        <v>C.</v>
      </c>
      <c r="AE84" s="982"/>
      <c r="AF84" s="970"/>
      <c r="AH84" s="983"/>
      <c r="AI84" s="1008"/>
      <c r="AJ84" s="985"/>
      <c r="AK84" s="985"/>
      <c r="AL84" s="985"/>
      <c r="AM84" s="985"/>
      <c r="AN84" s="985"/>
      <c r="AO84" s="985"/>
    </row>
    <row r="85" spans="1:41" s="971" customFormat="1" ht="18.75" customHeight="1">
      <c r="A85" s="294">
        <v>75</v>
      </c>
      <c r="B85" s="955"/>
      <c r="C85" s="296" t="str">
        <f>'Chấm công KT'!C85</f>
        <v>T.Trí</v>
      </c>
      <c r="D85" s="1001" t="s">
        <v>53</v>
      </c>
      <c r="E85" s="957"/>
      <c r="F85" s="957"/>
      <c r="G85" s="957"/>
      <c r="H85" s="957"/>
      <c r="I85" s="957"/>
      <c r="J85" s="958"/>
      <c r="K85" s="956"/>
      <c r="L85" s="956"/>
      <c r="M85" s="958"/>
      <c r="N85" s="958"/>
      <c r="O85" s="1003"/>
      <c r="P85" s="1004"/>
      <c r="Q85" s="338">
        <f t="shared" si="7"/>
        <v>0</v>
      </c>
      <c r="R85" s="1221">
        <f>VLOOKUP(C85,'BTH mủ tạp'!$C$15:$AI$94,33,0)</f>
        <v>0</v>
      </c>
      <c r="S85" s="337"/>
      <c r="T85" s="978">
        <f t="shared" ref="T85:T93" si="12">S85*50/100</f>
        <v>0</v>
      </c>
      <c r="U85" s="341">
        <f t="shared" si="8"/>
        <v>0</v>
      </c>
      <c r="V85" s="1146">
        <f>VLOOKUP(C85,'Chấm công KT'!$C$11:$AJ$90,34,0)</f>
        <v>0</v>
      </c>
      <c r="W85" s="1146">
        <f>VLOOKUP(C85,'Chấm công KT'!$C$11:$AK$90,35,0)</f>
        <v>0</v>
      </c>
      <c r="X85" s="1147"/>
      <c r="Y85" s="1146"/>
      <c r="Z85" s="1146">
        <f>VLOOKUP(C85,'Chấm công KT'!$C$11:$AN$90,38,0)</f>
        <v>0</v>
      </c>
      <c r="AA85" s="1146">
        <f>VLOOKUP(C85,'Chấm công KT'!$C$11:$AO$90,39,0)</f>
        <v>0</v>
      </c>
      <c r="AB85" s="1006"/>
      <c r="AC85" s="1007">
        <f t="shared" ref="AC85:AC94" si="13">Q85</f>
        <v>0</v>
      </c>
      <c r="AD85" s="147" t="str">
        <f>VLOOKUP(C85,'BTH mủ tạp'!$C$15:$AL$305,36,0)</f>
        <v>C.</v>
      </c>
      <c r="AE85" s="982"/>
      <c r="AF85" s="970"/>
      <c r="AH85" s="983"/>
      <c r="AI85" s="1008"/>
      <c r="AJ85" s="985"/>
      <c r="AK85" s="985"/>
      <c r="AL85" s="985"/>
      <c r="AM85" s="985"/>
      <c r="AN85" s="985"/>
      <c r="AO85" s="985"/>
    </row>
    <row r="86" spans="1:41" s="971" customFormat="1" ht="18.75" customHeight="1">
      <c r="A86" s="145">
        <v>76</v>
      </c>
      <c r="B86" s="955"/>
      <c r="C86" s="296" t="str">
        <f>'Chấm công KT'!C86</f>
        <v>T. Ngân</v>
      </c>
      <c r="D86" s="1001" t="s">
        <v>53</v>
      </c>
      <c r="E86" s="957"/>
      <c r="F86" s="957"/>
      <c r="G86" s="957"/>
      <c r="H86" s="957"/>
      <c r="I86" s="957"/>
      <c r="J86" s="958"/>
      <c r="K86" s="956"/>
      <c r="L86" s="956"/>
      <c r="M86" s="958"/>
      <c r="N86" s="958"/>
      <c r="O86" s="1003"/>
      <c r="P86" s="1004"/>
      <c r="Q86" s="338">
        <f t="shared" si="7"/>
        <v>0</v>
      </c>
      <c r="R86" s="1221">
        <f>VLOOKUP(C86,'BTH mủ tạp'!$C$15:$AI$94,33,0)</f>
        <v>0</v>
      </c>
      <c r="S86" s="337"/>
      <c r="T86" s="978">
        <f t="shared" si="12"/>
        <v>0</v>
      </c>
      <c r="U86" s="341">
        <f t="shared" si="8"/>
        <v>0</v>
      </c>
      <c r="V86" s="1146">
        <f>VLOOKUP(C86,'Chấm công KT'!$C$11:$AJ$90,34,0)</f>
        <v>0</v>
      </c>
      <c r="W86" s="1146">
        <f>VLOOKUP(C86,'Chấm công KT'!$C$11:$AK$90,35,0)</f>
        <v>0</v>
      </c>
      <c r="X86" s="1147"/>
      <c r="Y86" s="1146"/>
      <c r="Z86" s="1146">
        <f>VLOOKUP(C86,'Chấm công KT'!$C$11:$AN$90,38,0)</f>
        <v>0</v>
      </c>
      <c r="AA86" s="1146">
        <f>VLOOKUP(C86,'Chấm công KT'!$C$11:$AO$90,39,0)</f>
        <v>0</v>
      </c>
      <c r="AB86" s="1006"/>
      <c r="AC86" s="1007">
        <f t="shared" si="13"/>
        <v>0</v>
      </c>
      <c r="AD86" s="147" t="str">
        <f>VLOOKUP(C86,'BTH mủ tạp'!$C$15:$AL$305,36,0)</f>
        <v>C.</v>
      </c>
      <c r="AE86" s="982"/>
      <c r="AF86" s="970"/>
      <c r="AH86" s="983"/>
      <c r="AI86" s="1008"/>
      <c r="AJ86" s="985"/>
      <c r="AK86" s="985"/>
      <c r="AL86" s="985"/>
      <c r="AM86" s="985"/>
      <c r="AN86" s="985"/>
      <c r="AO86" s="985"/>
    </row>
    <row r="87" spans="1:41" s="971" customFormat="1" ht="18.75" customHeight="1">
      <c r="A87" s="294">
        <v>77</v>
      </c>
      <c r="B87" s="955"/>
      <c r="C87" s="296" t="str">
        <f>'Chấm công KT'!C87</f>
        <v>T.Pu</v>
      </c>
      <c r="D87" s="1001" t="s">
        <v>53</v>
      </c>
      <c r="E87" s="973"/>
      <c r="F87" s="973"/>
      <c r="G87" s="973"/>
      <c r="H87" s="973"/>
      <c r="I87" s="973"/>
      <c r="J87" s="974"/>
      <c r="K87" s="959"/>
      <c r="L87" s="959"/>
      <c r="M87" s="974"/>
      <c r="N87" s="974"/>
      <c r="O87" s="1009"/>
      <c r="P87" s="960"/>
      <c r="Q87" s="338">
        <f t="shared" si="7"/>
        <v>0</v>
      </c>
      <c r="R87" s="1221">
        <f>VLOOKUP(C87,'BTH mủ tạp'!$C$15:$AI$94,33,0)</f>
        <v>0</v>
      </c>
      <c r="S87" s="337"/>
      <c r="T87" s="978"/>
      <c r="U87" s="341">
        <f t="shared" si="8"/>
        <v>0</v>
      </c>
      <c r="V87" s="1146">
        <f>VLOOKUP(C87,'Chấm công KT'!$C$11:$AJ$90,34,0)</f>
        <v>0</v>
      </c>
      <c r="W87" s="1146">
        <f>VLOOKUP(C87,'Chấm công KT'!$C$11:$AK$90,35,0)</f>
        <v>0</v>
      </c>
      <c r="X87" s="1147"/>
      <c r="Y87" s="1146"/>
      <c r="Z87" s="1146">
        <f>VLOOKUP(C87,'Chấm công KT'!$C$11:$AN$90,38,0)</f>
        <v>0</v>
      </c>
      <c r="AA87" s="1146">
        <f>VLOOKUP(C87,'Chấm công KT'!$C$11:$AO$90,39,0)</f>
        <v>0</v>
      </c>
      <c r="AB87" s="1006"/>
      <c r="AC87" s="1007">
        <f t="shared" si="13"/>
        <v>0</v>
      </c>
      <c r="AD87" s="147" t="str">
        <f>VLOOKUP(C87,'BTH mủ tạp'!$C$15:$AL$305,36,0)</f>
        <v>C.</v>
      </c>
      <c r="AE87" s="982"/>
      <c r="AF87" s="970"/>
      <c r="AH87" s="983"/>
      <c r="AI87" s="1008"/>
      <c r="AJ87" s="985"/>
      <c r="AK87" s="985"/>
      <c r="AL87" s="985"/>
      <c r="AM87" s="985"/>
      <c r="AN87" s="985"/>
      <c r="AO87" s="985"/>
    </row>
    <row r="88" spans="1:41" s="971" customFormat="1" ht="18.75" customHeight="1">
      <c r="A88" s="145">
        <v>78</v>
      </c>
      <c r="B88" s="955"/>
      <c r="C88" s="296" t="str">
        <f>'Chấm công KT'!C88</f>
        <v>T.Ta</v>
      </c>
      <c r="D88" s="1001" t="s">
        <v>53</v>
      </c>
      <c r="E88" s="973"/>
      <c r="F88" s="973"/>
      <c r="G88" s="973"/>
      <c r="H88" s="973"/>
      <c r="I88" s="973"/>
      <c r="J88" s="974"/>
      <c r="K88" s="959"/>
      <c r="L88" s="959"/>
      <c r="M88" s="974"/>
      <c r="N88" s="974"/>
      <c r="O88" s="1009"/>
      <c r="P88" s="960"/>
      <c r="Q88" s="338">
        <f t="shared" si="7"/>
        <v>0</v>
      </c>
      <c r="R88" s="1221">
        <f>VLOOKUP(C88,'BTH mủ tạp'!$C$15:$AI$94,33,0)</f>
        <v>0</v>
      </c>
      <c r="S88" s="337"/>
      <c r="T88" s="978"/>
      <c r="U88" s="341">
        <f t="shared" si="8"/>
        <v>0</v>
      </c>
      <c r="V88" s="1146">
        <f>VLOOKUP(C88,'Chấm công KT'!$C$11:$AJ$90,34,0)</f>
        <v>0</v>
      </c>
      <c r="W88" s="1146">
        <f>VLOOKUP(C88,'Chấm công KT'!$C$11:$AK$90,35,0)</f>
        <v>0</v>
      </c>
      <c r="X88" s="1147"/>
      <c r="Y88" s="1146"/>
      <c r="Z88" s="1146">
        <f>VLOOKUP(C88,'Chấm công KT'!$C$11:$AN$90,38,0)</f>
        <v>0</v>
      </c>
      <c r="AA88" s="1146">
        <f>VLOOKUP(C88,'Chấm công KT'!$C$11:$AO$90,39,0)</f>
        <v>0</v>
      </c>
      <c r="AB88" s="1006"/>
      <c r="AC88" s="1007">
        <f t="shared" si="13"/>
        <v>0</v>
      </c>
      <c r="AD88" s="147" t="str">
        <f>VLOOKUP(C88,'BTH mủ tạp'!$C$15:$AL$305,36,0)</f>
        <v>C.</v>
      </c>
      <c r="AE88" s="982"/>
      <c r="AF88" s="970"/>
      <c r="AH88" s="983"/>
      <c r="AI88" s="1008"/>
      <c r="AJ88" s="985"/>
      <c r="AK88" s="985"/>
      <c r="AL88" s="985"/>
      <c r="AM88" s="985"/>
      <c r="AN88" s="985"/>
      <c r="AO88" s="985"/>
    </row>
    <row r="89" spans="1:41" s="971" customFormat="1" ht="18.75" customHeight="1">
      <c r="A89" s="294">
        <v>79</v>
      </c>
      <c r="B89" s="955"/>
      <c r="C89" s="296" t="str">
        <f>'Chấm công KT'!C89</f>
        <v>N.Nang</v>
      </c>
      <c r="D89" s="1001" t="s">
        <v>53</v>
      </c>
      <c r="E89" s="973"/>
      <c r="F89" s="973"/>
      <c r="G89" s="973"/>
      <c r="H89" s="973"/>
      <c r="I89" s="973"/>
      <c r="J89" s="974"/>
      <c r="K89" s="959"/>
      <c r="L89" s="959"/>
      <c r="M89" s="974"/>
      <c r="N89" s="974"/>
      <c r="O89" s="1009"/>
      <c r="P89" s="960"/>
      <c r="Q89" s="338">
        <f t="shared" si="7"/>
        <v>0</v>
      </c>
      <c r="R89" s="1221">
        <f>VLOOKUP(C89,'BTH mủ tạp'!$C$15:$AI$94,33,0)</f>
        <v>0</v>
      </c>
      <c r="S89" s="337"/>
      <c r="T89" s="978"/>
      <c r="U89" s="341">
        <f t="shared" si="8"/>
        <v>0</v>
      </c>
      <c r="V89" s="1146">
        <f>VLOOKUP(C89,'Chấm công KT'!$C$11:$AJ$90,34,0)</f>
        <v>0</v>
      </c>
      <c r="W89" s="1146">
        <f>VLOOKUP(C89,'Chấm công KT'!$C$11:$AK$90,35,0)</f>
        <v>0</v>
      </c>
      <c r="X89" s="1147"/>
      <c r="Y89" s="1146"/>
      <c r="Z89" s="1146">
        <f>VLOOKUP(C89,'Chấm công KT'!$C$11:$AN$90,38,0)</f>
        <v>0</v>
      </c>
      <c r="AA89" s="1146">
        <f>VLOOKUP(C89,'Chấm công KT'!$C$11:$AO$90,39,0)</f>
        <v>0</v>
      </c>
      <c r="AB89" s="1006"/>
      <c r="AC89" s="1007">
        <f t="shared" si="13"/>
        <v>0</v>
      </c>
      <c r="AD89" s="147" t="str">
        <f>VLOOKUP(C89,'BTH mủ tạp'!$C$15:$AL$305,36,0)</f>
        <v>C.</v>
      </c>
      <c r="AE89" s="982"/>
      <c r="AF89" s="970"/>
      <c r="AH89" s="983"/>
      <c r="AI89" s="1008"/>
      <c r="AJ89" s="985"/>
      <c r="AK89" s="985"/>
      <c r="AL89" s="985"/>
      <c r="AM89" s="985"/>
      <c r="AN89" s="985"/>
      <c r="AO89" s="985"/>
    </row>
    <row r="90" spans="1:41" s="971" customFormat="1" ht="18.75" customHeight="1">
      <c r="A90" s="145">
        <v>80</v>
      </c>
      <c r="B90" s="955"/>
      <c r="C90" s="1219" t="s">
        <v>975</v>
      </c>
      <c r="D90" s="1001" t="s">
        <v>764</v>
      </c>
      <c r="E90" s="973"/>
      <c r="F90" s="973"/>
      <c r="G90" s="973"/>
      <c r="H90" s="973"/>
      <c r="I90" s="973"/>
      <c r="J90" s="974"/>
      <c r="K90" s="959"/>
      <c r="L90" s="959"/>
      <c r="M90" s="974"/>
      <c r="N90" s="974"/>
      <c r="O90" s="1009"/>
      <c r="P90" s="960"/>
      <c r="Q90" s="338">
        <f t="shared" si="7"/>
        <v>0</v>
      </c>
      <c r="R90" s="1221">
        <f>VLOOKUP(C90,'BTH mủ tạp'!$C$15:$AI$94,33,0)</f>
        <v>0</v>
      </c>
      <c r="S90" s="337"/>
      <c r="T90" s="978"/>
      <c r="U90" s="341">
        <f t="shared" si="8"/>
        <v>0</v>
      </c>
      <c r="V90" s="1146">
        <f>VLOOKUP(C90,'Chấm công KT'!$C$11:$AJ$90,34,0)</f>
        <v>0</v>
      </c>
      <c r="W90" s="1146">
        <f>VLOOKUP(C90,'Chấm công KT'!$C$11:$AK$90,35,0)</f>
        <v>0</v>
      </c>
      <c r="X90" s="1147"/>
      <c r="Y90" s="1146"/>
      <c r="Z90" s="1146">
        <f>VLOOKUP(C90,'Chấm công KT'!$C$11:$AN$90,38,0)</f>
        <v>0</v>
      </c>
      <c r="AA90" s="1146">
        <f>VLOOKUP(C90,'Chấm công KT'!$C$11:$AO$90,39,0)</f>
        <v>0</v>
      </c>
      <c r="AB90" s="1006"/>
      <c r="AC90" s="1007">
        <f t="shared" si="13"/>
        <v>0</v>
      </c>
      <c r="AD90" s="147" t="str">
        <f>VLOOKUP(C90,'BTH mủ tạp'!$C$15:$AL$305,36,0)</f>
        <v>C.</v>
      </c>
      <c r="AE90" s="982"/>
      <c r="AF90" s="970"/>
      <c r="AH90" s="983"/>
      <c r="AI90" s="1008"/>
      <c r="AJ90" s="985"/>
      <c r="AK90" s="985"/>
      <c r="AL90" s="985"/>
      <c r="AM90" s="985"/>
      <c r="AN90" s="985"/>
      <c r="AO90" s="985"/>
    </row>
    <row r="91" spans="1:41" s="971" customFormat="1" ht="18.75" customHeight="1">
      <c r="A91" s="294">
        <v>81</v>
      </c>
      <c r="B91" s="955"/>
      <c r="C91" s="1220" t="s">
        <v>1020</v>
      </c>
      <c r="D91" s="1001" t="s">
        <v>764</v>
      </c>
      <c r="E91" s="973"/>
      <c r="F91" s="973"/>
      <c r="G91" s="973"/>
      <c r="H91" s="973"/>
      <c r="I91" s="973"/>
      <c r="J91" s="974"/>
      <c r="K91" s="959"/>
      <c r="L91" s="959"/>
      <c r="M91" s="974"/>
      <c r="N91" s="974"/>
      <c r="O91" s="1009"/>
      <c r="P91" s="960"/>
      <c r="Q91" s="338">
        <f t="shared" si="7"/>
        <v>0</v>
      </c>
      <c r="R91" s="1221"/>
      <c r="S91" s="1104">
        <f>'BTH mủ Sỉum'!AH14</f>
        <v>0</v>
      </c>
      <c r="T91" s="978"/>
      <c r="U91" s="341">
        <f t="shared" si="8"/>
        <v>0</v>
      </c>
      <c r="V91" s="1146"/>
      <c r="W91" s="1146"/>
      <c r="X91" s="1147"/>
      <c r="Y91" s="1146"/>
      <c r="Z91" s="1146"/>
      <c r="AA91" s="1146"/>
      <c r="AB91" s="1006"/>
      <c r="AC91" s="1007">
        <f t="shared" si="13"/>
        <v>0</v>
      </c>
      <c r="AD91" s="147" t="e">
        <f>VLOOKUP(C91,'BTH mủ tạp'!$C$15:$AL$305,36,0)</f>
        <v>#N/A</v>
      </c>
      <c r="AE91" s="982"/>
      <c r="AF91" s="970"/>
      <c r="AH91" s="983"/>
      <c r="AI91" s="1008"/>
      <c r="AJ91" s="985"/>
      <c r="AK91" s="985"/>
      <c r="AL91" s="985"/>
      <c r="AM91" s="985"/>
      <c r="AN91" s="985"/>
      <c r="AO91" s="985"/>
    </row>
    <row r="92" spans="1:41" s="971" customFormat="1" ht="18.75" customHeight="1">
      <c r="A92" s="145">
        <v>82</v>
      </c>
      <c r="B92" s="955"/>
      <c r="C92" s="1257" t="s">
        <v>887</v>
      </c>
      <c r="D92" s="1001" t="s">
        <v>764</v>
      </c>
      <c r="E92" s="973"/>
      <c r="F92" s="973"/>
      <c r="G92" s="973"/>
      <c r="H92" s="973"/>
      <c r="I92" s="973"/>
      <c r="J92" s="974"/>
      <c r="K92" s="959"/>
      <c r="L92" s="959"/>
      <c r="M92" s="973"/>
      <c r="N92" s="974"/>
      <c r="O92" s="1009"/>
      <c r="P92" s="960">
        <v>3813.57</v>
      </c>
      <c r="Q92" s="1005">
        <f t="shared" si="7"/>
        <v>3813.57</v>
      </c>
      <c r="R92" s="1258"/>
      <c r="S92" s="958"/>
      <c r="T92" s="978"/>
      <c r="U92" s="1259">
        <f t="shared" si="8"/>
        <v>0</v>
      </c>
      <c r="V92" s="1146"/>
      <c r="W92" s="1146"/>
      <c r="X92" s="1147"/>
      <c r="Y92" s="1146"/>
      <c r="Z92" s="1146"/>
      <c r="AA92" s="1146"/>
      <c r="AB92" s="1006"/>
      <c r="AC92" s="1007">
        <f t="shared" si="13"/>
        <v>3813.57</v>
      </c>
      <c r="AD92" s="1260"/>
      <c r="AE92" s="982"/>
      <c r="AF92" s="970"/>
      <c r="AH92" s="983"/>
      <c r="AI92" s="1008"/>
      <c r="AJ92" s="985"/>
      <c r="AK92" s="985"/>
      <c r="AL92" s="985"/>
      <c r="AM92" s="985"/>
      <c r="AN92" s="985"/>
      <c r="AO92" s="985"/>
    </row>
    <row r="93" spans="1:41" s="971" customFormat="1" ht="18.75" customHeight="1">
      <c r="A93" s="294">
        <v>83</v>
      </c>
      <c r="B93" s="955"/>
      <c r="C93" s="1257" t="s">
        <v>150</v>
      </c>
      <c r="D93" s="1001" t="s">
        <v>764</v>
      </c>
      <c r="E93" s="973"/>
      <c r="F93" s="973"/>
      <c r="G93" s="973"/>
      <c r="H93" s="973"/>
      <c r="I93" s="973"/>
      <c r="J93" s="974"/>
      <c r="K93" s="959"/>
      <c r="L93" s="959"/>
      <c r="M93" s="974"/>
      <c r="N93" s="974"/>
      <c r="O93" s="1009"/>
      <c r="P93" s="960"/>
      <c r="Q93" s="1005">
        <f t="shared" si="7"/>
        <v>0</v>
      </c>
      <c r="R93" s="1258"/>
      <c r="S93" s="958"/>
      <c r="T93" s="978">
        <f t="shared" si="12"/>
        <v>0</v>
      </c>
      <c r="U93" s="1259">
        <f t="shared" si="8"/>
        <v>0</v>
      </c>
      <c r="V93" s="1146"/>
      <c r="W93" s="1146"/>
      <c r="X93" s="1147"/>
      <c r="Y93" s="1146"/>
      <c r="Z93" s="1146"/>
      <c r="AA93" s="1146"/>
      <c r="AB93" s="1006"/>
      <c r="AC93" s="1007">
        <f t="shared" si="13"/>
        <v>0</v>
      </c>
      <c r="AD93" s="1260"/>
      <c r="AE93" s="982"/>
      <c r="AF93" s="970"/>
      <c r="AH93" s="983"/>
      <c r="AI93" s="1008"/>
      <c r="AJ93" s="985"/>
      <c r="AK93" s="985"/>
      <c r="AL93" s="985"/>
      <c r="AM93" s="985"/>
      <c r="AN93" s="985"/>
      <c r="AO93" s="985"/>
    </row>
    <row r="94" spans="1:41" s="971" customFormat="1" ht="18.75" customHeight="1">
      <c r="A94" s="145">
        <v>84</v>
      </c>
      <c r="B94" s="955"/>
      <c r="C94" s="1261" t="s">
        <v>1010</v>
      </c>
      <c r="D94" s="1001" t="s">
        <v>764</v>
      </c>
      <c r="E94" s="973"/>
      <c r="F94" s="973"/>
      <c r="G94" s="973"/>
      <c r="H94" s="973"/>
      <c r="I94" s="973"/>
      <c r="J94" s="974"/>
      <c r="K94" s="959"/>
      <c r="L94" s="959"/>
      <c r="M94" s="974"/>
      <c r="N94" s="974"/>
      <c r="O94" s="1009"/>
      <c r="P94" s="960"/>
      <c r="Q94" s="1005">
        <f t="shared" si="7"/>
        <v>0</v>
      </c>
      <c r="R94" s="974"/>
      <c r="S94" s="974"/>
      <c r="T94" s="996"/>
      <c r="U94" s="1262"/>
      <c r="V94" s="1146"/>
      <c r="W94" s="1146"/>
      <c r="X94" s="1147"/>
      <c r="Y94" s="1146"/>
      <c r="Z94" s="1146"/>
      <c r="AA94" s="1146"/>
      <c r="AB94" s="1000"/>
      <c r="AC94" s="1007">
        <f t="shared" si="13"/>
        <v>0</v>
      </c>
      <c r="AD94" s="1260"/>
      <c r="AE94" s="982"/>
      <c r="AF94" s="970"/>
      <c r="AH94" s="983"/>
      <c r="AI94" s="1008"/>
      <c r="AJ94" s="985"/>
      <c r="AK94" s="985"/>
      <c r="AL94" s="985"/>
      <c r="AM94" s="985"/>
      <c r="AN94" s="985"/>
      <c r="AO94" s="985"/>
    </row>
    <row r="95" spans="1:41" ht="18.75" customHeight="1">
      <c r="A95" s="1064"/>
      <c r="B95" s="1907" t="s">
        <v>111</v>
      </c>
      <c r="C95" s="1907"/>
      <c r="D95" s="1907"/>
      <c r="E95" s="1254">
        <f>SUM(E96:E183)</f>
        <v>0</v>
      </c>
      <c r="F95" s="1254">
        <f t="shared" ref="F95:AC95" si="14">SUM(F96:F183)</f>
        <v>0</v>
      </c>
      <c r="G95" s="1254">
        <f t="shared" si="14"/>
        <v>0</v>
      </c>
      <c r="H95" s="1254">
        <f t="shared" si="14"/>
        <v>0</v>
      </c>
      <c r="I95" s="1254">
        <f t="shared" si="14"/>
        <v>0</v>
      </c>
      <c r="J95" s="1254">
        <f t="shared" si="14"/>
        <v>0</v>
      </c>
      <c r="K95" s="1254">
        <f t="shared" si="14"/>
        <v>0</v>
      </c>
      <c r="L95" s="1254">
        <f t="shared" si="14"/>
        <v>0</v>
      </c>
      <c r="M95" s="1667">
        <f t="shared" si="14"/>
        <v>0</v>
      </c>
      <c r="N95" s="1254">
        <f t="shared" si="14"/>
        <v>0</v>
      </c>
      <c r="O95" s="1254">
        <f t="shared" si="14"/>
        <v>0</v>
      </c>
      <c r="P95" s="1254">
        <f t="shared" si="14"/>
        <v>3852.99</v>
      </c>
      <c r="Q95" s="1254">
        <f t="shared" si="14"/>
        <v>3852.99</v>
      </c>
      <c r="R95" s="1254">
        <f t="shared" si="14"/>
        <v>0</v>
      </c>
      <c r="S95" s="1254">
        <f t="shared" si="14"/>
        <v>0</v>
      </c>
      <c r="T95" s="1254">
        <f t="shared" si="14"/>
        <v>0</v>
      </c>
      <c r="U95" s="1254">
        <f t="shared" si="14"/>
        <v>0</v>
      </c>
      <c r="V95" s="1254">
        <f t="shared" si="14"/>
        <v>0</v>
      </c>
      <c r="W95" s="1254">
        <f t="shared" si="14"/>
        <v>0</v>
      </c>
      <c r="X95" s="1254">
        <f t="shared" si="14"/>
        <v>0</v>
      </c>
      <c r="Y95" s="1254">
        <f t="shared" si="14"/>
        <v>0</v>
      </c>
      <c r="Z95" s="1254">
        <f t="shared" si="14"/>
        <v>0</v>
      </c>
      <c r="AA95" s="1254">
        <f t="shared" si="14"/>
        <v>0</v>
      </c>
      <c r="AB95" s="1254">
        <f t="shared" si="14"/>
        <v>0</v>
      </c>
      <c r="AC95" s="1254">
        <f t="shared" si="14"/>
        <v>3852.99</v>
      </c>
      <c r="AD95" s="147"/>
      <c r="AE95" s="1134"/>
      <c r="AF95" s="119">
        <v>1456</v>
      </c>
      <c r="AG95" s="1135">
        <v>182</v>
      </c>
      <c r="AH95" s="87"/>
      <c r="AI95" s="84"/>
      <c r="AJ95" s="85"/>
      <c r="AK95" s="85"/>
      <c r="AL95" s="85"/>
      <c r="AM95" s="85"/>
      <c r="AN95" s="85"/>
      <c r="AO95" s="85"/>
    </row>
    <row r="96" spans="1:41" ht="18.75" customHeight="1">
      <c r="A96" s="1013">
        <v>1</v>
      </c>
      <c r="B96" s="336">
        <f>'Chấm công KT'!D92</f>
        <v>0</v>
      </c>
      <c r="C96" s="269" t="str">
        <f>'Chấm công KT'!C92</f>
        <v>T. Lê</v>
      </c>
      <c r="D96" s="266" t="s">
        <v>43</v>
      </c>
      <c r="E96" s="352"/>
      <c r="F96" s="352"/>
      <c r="G96" s="352"/>
      <c r="H96" s="352"/>
      <c r="I96" s="352"/>
      <c r="J96" s="337"/>
      <c r="K96" s="267"/>
      <c r="L96" s="267"/>
      <c r="M96" s="152"/>
      <c r="N96" s="146"/>
      <c r="O96" s="146"/>
      <c r="P96" s="146"/>
      <c r="Q96" s="271">
        <f>SUM(E96:P96)</f>
        <v>0</v>
      </c>
      <c r="R96" s="251">
        <f>VLOOKUP(C96,'BTH mủ tạp'!$C$97:$AI$180,33,0)</f>
        <v>0</v>
      </c>
      <c r="S96" s="252"/>
      <c r="T96" s="272">
        <f>S96*50/100</f>
        <v>0</v>
      </c>
      <c r="U96" s="341">
        <f t="shared" si="8"/>
        <v>0</v>
      </c>
      <c r="V96" s="273">
        <f>VLOOKUP(C96,'Chấm công KT'!$C$92:$AJ$174,34,0)</f>
        <v>0</v>
      </c>
      <c r="W96" s="273">
        <f>VLOOKUP(C96,'Chấm công KT'!$C$92:$AK$174,35,0)</f>
        <v>0</v>
      </c>
      <c r="X96" s="1104"/>
      <c r="Y96" s="339"/>
      <c r="Z96" s="273">
        <f>VLOOKUP(C96,'Chấm công KT'!C92:AN174,38,0)</f>
        <v>0</v>
      </c>
      <c r="AA96" s="273">
        <f>VLOOKUP(C96,'Chấm công KT'!$C$92:$AO$174,39,0)</f>
        <v>0</v>
      </c>
      <c r="AB96" s="268"/>
      <c r="AC96" s="274">
        <f>Q96</f>
        <v>0</v>
      </c>
      <c r="AD96" s="147" t="str">
        <f>VLOOKUP(C96,'BTH mủ tạp'!$C$15:$AL$305,36,0)</f>
        <v>A</v>
      </c>
      <c r="AE96" s="275"/>
      <c r="AF96" s="119"/>
      <c r="AH96" s="87"/>
      <c r="AI96" s="84"/>
      <c r="AJ96" s="85"/>
      <c r="AK96" s="85"/>
      <c r="AL96" s="85"/>
      <c r="AM96" s="85"/>
      <c r="AN96" s="85"/>
      <c r="AO96" s="85"/>
    </row>
    <row r="97" spans="1:41" ht="18.75" customHeight="1">
      <c r="A97" s="96">
        <v>2</v>
      </c>
      <c r="B97" s="336" t="str">
        <f>'Chấm công KT'!D93</f>
        <v>02735</v>
      </c>
      <c r="C97" s="269" t="str">
        <f>'Chấm công KT'!C93</f>
        <v xml:space="preserve">Nang On Teng </v>
      </c>
      <c r="D97" s="145" t="s">
        <v>43</v>
      </c>
      <c r="E97" s="352"/>
      <c r="F97" s="352"/>
      <c r="G97" s="352"/>
      <c r="H97" s="352"/>
      <c r="I97" s="352"/>
      <c r="J97" s="337"/>
      <c r="K97" s="267"/>
      <c r="L97" s="267"/>
      <c r="M97" s="152"/>
      <c r="N97" s="146"/>
      <c r="O97" s="146"/>
      <c r="P97" s="146"/>
      <c r="Q97" s="271">
        <f>SUM(E97:P97)</f>
        <v>0</v>
      </c>
      <c r="R97" s="251">
        <f>VLOOKUP(C97,'BTH mủ tạp'!$C$97:$AI$180,33,0)</f>
        <v>0</v>
      </c>
      <c r="S97" s="252"/>
      <c r="T97" s="272">
        <f t="shared" ref="T97:T160" si="15">S97*50/100</f>
        <v>0</v>
      </c>
      <c r="U97" s="341">
        <f t="shared" si="8"/>
        <v>0</v>
      </c>
      <c r="V97" s="273">
        <f>VLOOKUP(C97,'Chấm công KT'!$C$92:$AJ$174,34,0)</f>
        <v>0</v>
      </c>
      <c r="W97" s="273">
        <f>VLOOKUP(C97,'Chấm công KT'!$C$92:$AK$174,35,0)</f>
        <v>0</v>
      </c>
      <c r="X97" s="1104"/>
      <c r="Y97" s="339"/>
      <c r="Z97" s="273">
        <f>VLOOKUP(C97,'Chấm công KT'!C93:AN176,38,0)</f>
        <v>0</v>
      </c>
      <c r="AA97" s="273">
        <f>VLOOKUP(C97,'Chấm công KT'!$C$92:$AO$174,39,0)</f>
        <v>0</v>
      </c>
      <c r="AB97" s="268"/>
      <c r="AC97" s="254">
        <f t="shared" ref="AC97:AC160" si="16">Q97</f>
        <v>0</v>
      </c>
      <c r="AD97" s="147" t="str">
        <f>VLOOKUP(C97,'BTH mủ tạp'!$C$15:$AL$305,36,0)</f>
        <v>A</v>
      </c>
      <c r="AE97" s="148"/>
      <c r="AF97" s="119"/>
      <c r="AH97" s="87"/>
      <c r="AI97" s="84"/>
      <c r="AJ97" s="85"/>
      <c r="AK97" s="85"/>
      <c r="AL97" s="85"/>
      <c r="AM97" s="85"/>
      <c r="AN97" s="85"/>
      <c r="AO97" s="85"/>
    </row>
    <row r="98" spans="1:41" ht="18.75" customHeight="1">
      <c r="A98" s="1013">
        <v>3</v>
      </c>
      <c r="B98" s="336" t="str">
        <f>'Chấm công KT'!D94</f>
        <v>03518</v>
      </c>
      <c r="C98" s="269" t="str">
        <f>'Chấm công KT'!C94</f>
        <v>T. Đôn Ma</v>
      </c>
      <c r="D98" s="145" t="s">
        <v>43</v>
      </c>
      <c r="E98" s="352"/>
      <c r="F98" s="352"/>
      <c r="G98" s="352"/>
      <c r="H98" s="352"/>
      <c r="I98" s="352"/>
      <c r="J98" s="337"/>
      <c r="K98" s="267"/>
      <c r="L98" s="267"/>
      <c r="M98" s="152"/>
      <c r="N98" s="146"/>
      <c r="O98" s="146"/>
      <c r="P98" s="146"/>
      <c r="Q98" s="271">
        <f t="shared" ref="Q98:Q161" si="17">SUM(E98:P98)</f>
        <v>0</v>
      </c>
      <c r="R98" s="251">
        <f>VLOOKUP(C98,'BTH mủ tạp'!$C$97:$AI$180,33,0)</f>
        <v>0</v>
      </c>
      <c r="S98" s="252"/>
      <c r="T98" s="272">
        <f t="shared" si="15"/>
        <v>0</v>
      </c>
      <c r="U98" s="341">
        <f t="shared" si="8"/>
        <v>0</v>
      </c>
      <c r="V98" s="273">
        <f>VLOOKUP(C98,'Chấm công KT'!$C$92:$AJ$174,34,0)</f>
        <v>0</v>
      </c>
      <c r="W98" s="273">
        <f>VLOOKUP(C98,'Chấm công KT'!$C$92:$AK$174,35,0)</f>
        <v>0</v>
      </c>
      <c r="X98" s="1104"/>
      <c r="Y98" s="339"/>
      <c r="Z98" s="273">
        <f>VLOOKUP(C98,'Chấm công KT'!C94:AN177,38,0)</f>
        <v>0</v>
      </c>
      <c r="AA98" s="273">
        <f>VLOOKUP(C98,'Chấm công KT'!$C$92:$AO$174,39,0)</f>
        <v>0</v>
      </c>
      <c r="AB98" s="268"/>
      <c r="AC98" s="254">
        <f t="shared" si="16"/>
        <v>0</v>
      </c>
      <c r="AD98" s="147" t="str">
        <f>VLOOKUP(C98,'BTH mủ tạp'!$C$15:$AL$305,36,0)</f>
        <v>A</v>
      </c>
      <c r="AE98" s="148"/>
      <c r="AF98" s="119"/>
      <c r="AH98" s="87"/>
      <c r="AI98" s="84"/>
      <c r="AJ98" s="85"/>
      <c r="AK98" s="85"/>
      <c r="AL98" s="85"/>
      <c r="AM98" s="85"/>
      <c r="AN98" s="85"/>
      <c r="AO98" s="85"/>
    </row>
    <row r="99" spans="1:41" ht="18.75" customHeight="1">
      <c r="A99" s="96">
        <v>4</v>
      </c>
      <c r="B99" s="336" t="str">
        <f>'Chấm công KT'!D95</f>
        <v>03519</v>
      </c>
      <c r="C99" s="269" t="str">
        <f>'Chấm công KT'!C95</f>
        <v>T Nôn</v>
      </c>
      <c r="D99" s="145" t="s">
        <v>43</v>
      </c>
      <c r="E99" s="352"/>
      <c r="F99" s="352"/>
      <c r="G99" s="352"/>
      <c r="H99" s="352"/>
      <c r="I99" s="352"/>
      <c r="J99" s="337"/>
      <c r="K99" s="267"/>
      <c r="L99" s="267"/>
      <c r="M99" s="152"/>
      <c r="N99" s="146"/>
      <c r="O99" s="146"/>
      <c r="P99" s="146"/>
      <c r="Q99" s="271">
        <f t="shared" si="17"/>
        <v>0</v>
      </c>
      <c r="R99" s="251">
        <f>VLOOKUP(C99,'BTH mủ tạp'!$C$97:$AI$180,33,0)</f>
        <v>0</v>
      </c>
      <c r="S99" s="252"/>
      <c r="T99" s="272">
        <f t="shared" si="15"/>
        <v>0</v>
      </c>
      <c r="U99" s="341">
        <f t="shared" si="8"/>
        <v>0</v>
      </c>
      <c r="V99" s="273">
        <f>VLOOKUP(C99,'Chấm công KT'!$C$92:$AJ$174,34,0)</f>
        <v>0</v>
      </c>
      <c r="W99" s="273">
        <f>VLOOKUP(C99,'Chấm công KT'!$C$92:$AK$174,35,0)</f>
        <v>0</v>
      </c>
      <c r="X99" s="1104"/>
      <c r="Y99" s="339"/>
      <c r="Z99" s="273">
        <f>VLOOKUP(C99,'Chấm công KT'!C95:AN178,38,0)</f>
        <v>0</v>
      </c>
      <c r="AA99" s="273">
        <f>VLOOKUP(C99,'Chấm công KT'!$C$92:$AO$174,39,0)</f>
        <v>0</v>
      </c>
      <c r="AB99" s="268"/>
      <c r="AC99" s="254">
        <f t="shared" si="16"/>
        <v>0</v>
      </c>
      <c r="AD99" s="147" t="str">
        <f>VLOOKUP(C99,'BTH mủ tạp'!$C$15:$AL$305,36,0)</f>
        <v>A</v>
      </c>
      <c r="AE99" s="148"/>
      <c r="AF99" s="119"/>
      <c r="AH99" s="87"/>
      <c r="AI99" s="84"/>
      <c r="AJ99" s="85"/>
      <c r="AK99" s="85"/>
      <c r="AL99" s="85"/>
      <c r="AM99" s="85"/>
      <c r="AN99" s="85"/>
      <c r="AO99" s="85"/>
    </row>
    <row r="100" spans="1:41" ht="18.75" customHeight="1">
      <c r="A100" s="1013">
        <v>5</v>
      </c>
      <c r="B100" s="336" t="str">
        <f>'Chấm công KT'!D96</f>
        <v>03520</v>
      </c>
      <c r="C100" s="269" t="str">
        <f>'Chấm công KT'!C96</f>
        <v>N. Khăm..</v>
      </c>
      <c r="D100" s="145" t="s">
        <v>43</v>
      </c>
      <c r="E100" s="352"/>
      <c r="F100" s="352"/>
      <c r="G100" s="352"/>
      <c r="H100" s="352"/>
      <c r="I100" s="352"/>
      <c r="J100" s="337"/>
      <c r="K100" s="267"/>
      <c r="L100" s="267"/>
      <c r="M100" s="152"/>
      <c r="N100" s="146"/>
      <c r="O100" s="146"/>
      <c r="P100" s="146"/>
      <c r="Q100" s="271">
        <f t="shared" si="17"/>
        <v>0</v>
      </c>
      <c r="R100" s="251">
        <f>VLOOKUP(C100,'BTH mủ tạp'!$C$97:$AI$180,33,0)</f>
        <v>0</v>
      </c>
      <c r="S100" s="252"/>
      <c r="T100" s="272">
        <f t="shared" si="15"/>
        <v>0</v>
      </c>
      <c r="U100" s="341">
        <f t="shared" si="8"/>
        <v>0</v>
      </c>
      <c r="V100" s="273">
        <f>VLOOKUP(C100,'Chấm công KT'!$C$92:$AJ$174,34,0)</f>
        <v>0</v>
      </c>
      <c r="W100" s="273">
        <f>VLOOKUP(C100,'Chấm công KT'!$C$92:$AK$174,35,0)</f>
        <v>0</v>
      </c>
      <c r="X100" s="1104"/>
      <c r="Y100" s="339"/>
      <c r="Z100" s="273">
        <f>VLOOKUP(C100,'Chấm công KT'!C96:AN179,38,0)</f>
        <v>0</v>
      </c>
      <c r="AA100" s="273">
        <f>VLOOKUP(C100,'Chấm công KT'!$C$92:$AO$174,39,0)</f>
        <v>0</v>
      </c>
      <c r="AB100" s="268"/>
      <c r="AC100" s="254">
        <f t="shared" si="16"/>
        <v>0</v>
      </c>
      <c r="AD100" s="147" t="str">
        <f>VLOOKUP(C100,'BTH mủ tạp'!$C$15:$AL$305,36,0)</f>
        <v>A</v>
      </c>
      <c r="AE100" s="148"/>
      <c r="AF100" s="119"/>
      <c r="AH100" s="87"/>
      <c r="AI100" s="84"/>
      <c r="AJ100" s="85"/>
      <c r="AK100" s="85"/>
      <c r="AL100" s="85"/>
      <c r="AM100" s="85"/>
      <c r="AN100" s="85"/>
      <c r="AO100" s="85"/>
    </row>
    <row r="101" spans="1:41" ht="18.75" customHeight="1">
      <c r="A101" s="96">
        <v>6</v>
      </c>
      <c r="B101" s="336" t="str">
        <f>'Chấm công KT'!D97</f>
        <v>03521</v>
      </c>
      <c r="C101" s="269" t="str">
        <f>'Chấm công KT'!C97</f>
        <v>Nang La Ty</v>
      </c>
      <c r="D101" s="145" t="s">
        <v>43</v>
      </c>
      <c r="E101" s="352"/>
      <c r="F101" s="352"/>
      <c r="G101" s="352"/>
      <c r="H101" s="352"/>
      <c r="I101" s="352"/>
      <c r="J101" s="337"/>
      <c r="K101" s="267"/>
      <c r="L101" s="267"/>
      <c r="M101" s="152"/>
      <c r="N101" s="146"/>
      <c r="O101" s="146"/>
      <c r="P101" s="146"/>
      <c r="Q101" s="271">
        <f t="shared" si="17"/>
        <v>0</v>
      </c>
      <c r="R101" s="251">
        <f>VLOOKUP(C101,'BTH mủ tạp'!$C$97:$AI$180,33,0)</f>
        <v>0</v>
      </c>
      <c r="S101" s="252"/>
      <c r="T101" s="272">
        <f t="shared" si="15"/>
        <v>0</v>
      </c>
      <c r="U101" s="341">
        <f t="shared" si="8"/>
        <v>0</v>
      </c>
      <c r="V101" s="273">
        <f>VLOOKUP(C101,'Chấm công KT'!$C$92:$AJ$174,34,0)</f>
        <v>0</v>
      </c>
      <c r="W101" s="273">
        <f>VLOOKUP(C101,'Chấm công KT'!$C$92:$AK$174,35,0)</f>
        <v>0</v>
      </c>
      <c r="X101" s="1104"/>
      <c r="Y101" s="339"/>
      <c r="Z101" s="273">
        <f>VLOOKUP(C101,'Chấm công KT'!C97:AN180,38,0)</f>
        <v>0</v>
      </c>
      <c r="AA101" s="273">
        <f>VLOOKUP(C101,'Chấm công KT'!$C$92:$AO$174,39,0)</f>
        <v>0</v>
      </c>
      <c r="AB101" s="268"/>
      <c r="AC101" s="254">
        <f t="shared" si="16"/>
        <v>0</v>
      </c>
      <c r="AD101" s="147" t="str">
        <f>VLOOKUP(C101,'BTH mủ tạp'!$C$15:$AL$305,36,0)</f>
        <v>A</v>
      </c>
      <c r="AE101" s="148"/>
      <c r="AF101" s="119"/>
      <c r="AH101" s="87"/>
      <c r="AI101" s="84"/>
      <c r="AJ101" s="85"/>
      <c r="AK101" s="85"/>
      <c r="AL101" s="85"/>
      <c r="AM101" s="85"/>
      <c r="AN101" s="85"/>
      <c r="AO101" s="85"/>
    </row>
    <row r="102" spans="1:41" ht="18.75" customHeight="1">
      <c r="A102" s="1013">
        <v>7</v>
      </c>
      <c r="B102" s="336" t="str">
        <f>'Chấm công KT'!D98</f>
        <v>03522</v>
      </c>
      <c r="C102" s="269" t="str">
        <f>'Chấm công KT'!C98</f>
        <v>N.T.T Trang (1)</v>
      </c>
      <c r="D102" s="145" t="s">
        <v>43</v>
      </c>
      <c r="E102" s="352"/>
      <c r="F102" s="352"/>
      <c r="G102" s="352"/>
      <c r="H102" s="352"/>
      <c r="I102" s="352"/>
      <c r="J102" s="337"/>
      <c r="K102" s="152"/>
      <c r="L102" s="290"/>
      <c r="M102" s="152"/>
      <c r="N102" s="146"/>
      <c r="O102" s="146"/>
      <c r="P102" s="146"/>
      <c r="Q102" s="271">
        <f t="shared" si="17"/>
        <v>0</v>
      </c>
      <c r="R102" s="251">
        <f>VLOOKUP(C102,'BTH mủ tạp'!$C$97:$AI$180,33,0)</f>
        <v>0</v>
      </c>
      <c r="S102" s="252"/>
      <c r="T102" s="272">
        <f t="shared" si="15"/>
        <v>0</v>
      </c>
      <c r="U102" s="341">
        <f t="shared" si="8"/>
        <v>0</v>
      </c>
      <c r="V102" s="273">
        <f>VLOOKUP(C102,'Chấm công KT'!$C$92:$AJ$174,34,0)</f>
        <v>0</v>
      </c>
      <c r="W102" s="273">
        <f>VLOOKUP(C102,'Chấm công KT'!$C$92:$AK$174,35,0)</f>
        <v>0</v>
      </c>
      <c r="X102" s="1104"/>
      <c r="Y102" s="339"/>
      <c r="Z102" s="273">
        <f>VLOOKUP(C102,'Chấm công KT'!C98:AN181,38,0)</f>
        <v>0</v>
      </c>
      <c r="AA102" s="273">
        <f>VLOOKUP(C102,'Chấm công KT'!$C$92:$AO$174,39,0)</f>
        <v>0</v>
      </c>
      <c r="AB102" s="268"/>
      <c r="AC102" s="254">
        <f t="shared" si="16"/>
        <v>0</v>
      </c>
      <c r="AD102" s="147" t="str">
        <f>VLOOKUP(C102,'BTH mủ tạp'!$C$15:$AL$305,36,0)</f>
        <v>A</v>
      </c>
      <c r="AE102" s="148"/>
      <c r="AF102" s="119"/>
      <c r="AH102" s="87"/>
      <c r="AI102" s="84"/>
      <c r="AJ102" s="85"/>
      <c r="AK102" s="85"/>
      <c r="AL102" s="85"/>
      <c r="AM102" s="85"/>
      <c r="AN102" s="85"/>
      <c r="AO102" s="85"/>
    </row>
    <row r="103" spans="1:41" ht="18.75" customHeight="1">
      <c r="A103" s="96">
        <v>8</v>
      </c>
      <c r="B103" s="336" t="str">
        <f>'Chấm công KT'!D99</f>
        <v>03523</v>
      </c>
      <c r="C103" s="269" t="str">
        <f>'Chấm công KT'!C99</f>
        <v>T. Ni On</v>
      </c>
      <c r="D103" s="145" t="s">
        <v>43</v>
      </c>
      <c r="E103" s="352"/>
      <c r="F103" s="352"/>
      <c r="G103" s="352"/>
      <c r="H103" s="352"/>
      <c r="I103" s="352"/>
      <c r="J103" s="337"/>
      <c r="K103" s="152"/>
      <c r="L103" s="290"/>
      <c r="M103" s="152"/>
      <c r="N103" s="146"/>
      <c r="O103" s="146"/>
      <c r="P103" s="146"/>
      <c r="Q103" s="271">
        <f t="shared" si="17"/>
        <v>0</v>
      </c>
      <c r="R103" s="251">
        <f>VLOOKUP(C103,'BTH mủ tạp'!$C$97:$AI$180,33,0)</f>
        <v>0</v>
      </c>
      <c r="S103" s="252"/>
      <c r="T103" s="272">
        <f t="shared" si="15"/>
        <v>0</v>
      </c>
      <c r="U103" s="341">
        <f t="shared" si="8"/>
        <v>0</v>
      </c>
      <c r="V103" s="273">
        <f>VLOOKUP(C103,'Chấm công KT'!$C$92:$AJ$174,34,0)</f>
        <v>0</v>
      </c>
      <c r="W103" s="273">
        <f>VLOOKUP(C103,'Chấm công KT'!$C$92:$AK$174,35,0)</f>
        <v>0</v>
      </c>
      <c r="X103" s="1104"/>
      <c r="Y103" s="339"/>
      <c r="Z103" s="273">
        <f>VLOOKUP(C103,'Chấm công KT'!C99:AN182,38,0)</f>
        <v>0</v>
      </c>
      <c r="AA103" s="273">
        <f>VLOOKUP(C103,'Chấm công KT'!$C$92:$AO$174,39,0)</f>
        <v>0</v>
      </c>
      <c r="AB103" s="268"/>
      <c r="AC103" s="254">
        <f t="shared" si="16"/>
        <v>0</v>
      </c>
      <c r="AD103" s="147" t="str">
        <f>VLOOKUP(C103,'BTH mủ tạp'!$C$15:$AL$305,36,0)</f>
        <v>B</v>
      </c>
      <c r="AE103" s="148"/>
      <c r="AF103" s="119"/>
      <c r="AH103" s="87"/>
      <c r="AI103" s="84"/>
      <c r="AJ103" s="85"/>
      <c r="AK103" s="85"/>
      <c r="AL103" s="85"/>
      <c r="AM103" s="85"/>
      <c r="AN103" s="85"/>
      <c r="AO103" s="85"/>
    </row>
    <row r="104" spans="1:41" ht="18.75" customHeight="1">
      <c r="A104" s="1013">
        <v>9</v>
      </c>
      <c r="B104" s="336" t="str">
        <f>'Chấm công KT'!D100</f>
        <v>02739</v>
      </c>
      <c r="C104" s="269" t="str">
        <f>'Chấm công KT'!C100</f>
        <v>Thảo Lẹ</v>
      </c>
      <c r="D104" s="145" t="s">
        <v>43</v>
      </c>
      <c r="E104" s="352"/>
      <c r="F104" s="352"/>
      <c r="G104" s="352"/>
      <c r="H104" s="352"/>
      <c r="I104" s="352"/>
      <c r="J104" s="337"/>
      <c r="K104" s="267"/>
      <c r="L104" s="267"/>
      <c r="M104" s="152"/>
      <c r="N104" s="146"/>
      <c r="O104" s="146"/>
      <c r="P104" s="146"/>
      <c r="Q104" s="271">
        <f t="shared" si="17"/>
        <v>0</v>
      </c>
      <c r="R104" s="251">
        <f>VLOOKUP(C104,'BTH mủ tạp'!$C$97:$AI$180,33,0)</f>
        <v>0</v>
      </c>
      <c r="S104" s="252"/>
      <c r="T104" s="272">
        <f t="shared" si="15"/>
        <v>0</v>
      </c>
      <c r="U104" s="341">
        <f t="shared" si="8"/>
        <v>0</v>
      </c>
      <c r="V104" s="273">
        <f>VLOOKUP(C104,'Chấm công KT'!$C$92:$AJ$174,34,0)</f>
        <v>0</v>
      </c>
      <c r="W104" s="273">
        <f>VLOOKUP(C104,'Chấm công KT'!$C$92:$AK$174,35,0)</f>
        <v>0</v>
      </c>
      <c r="X104" s="1104"/>
      <c r="Y104" s="339"/>
      <c r="Z104" s="273">
        <f>VLOOKUP(C104,'Chấm công KT'!C100:AN183,38,0)</f>
        <v>0</v>
      </c>
      <c r="AA104" s="273">
        <f>VLOOKUP(C104,'Chấm công KT'!$C$92:$AO$174,39,0)</f>
        <v>0</v>
      </c>
      <c r="AB104" s="268"/>
      <c r="AC104" s="254">
        <f t="shared" si="16"/>
        <v>0</v>
      </c>
      <c r="AD104" s="147" t="str">
        <f>VLOOKUP(C104,'BTH mủ tạp'!$C$15:$AL$305,36,0)</f>
        <v>A</v>
      </c>
      <c r="AE104" s="148"/>
      <c r="AF104" s="119"/>
      <c r="AH104" s="87"/>
      <c r="AI104" s="84"/>
      <c r="AJ104" s="85"/>
      <c r="AK104" s="85"/>
      <c r="AL104" s="85"/>
      <c r="AM104" s="85"/>
      <c r="AN104" s="85"/>
      <c r="AO104" s="85"/>
    </row>
    <row r="105" spans="1:41" ht="18.75" customHeight="1">
      <c r="A105" s="96">
        <v>10</v>
      </c>
      <c r="B105" s="336" t="str">
        <f>'Chấm công KT'!D101</f>
        <v>03524</v>
      </c>
      <c r="C105" s="269" t="str">
        <f>'Chấm công KT'!C101</f>
        <v>T. Nả</v>
      </c>
      <c r="D105" s="145" t="s">
        <v>43</v>
      </c>
      <c r="E105" s="352"/>
      <c r="F105" s="352"/>
      <c r="G105" s="352"/>
      <c r="H105" s="352"/>
      <c r="I105" s="352"/>
      <c r="J105" s="337"/>
      <c r="K105" s="267"/>
      <c r="L105" s="290"/>
      <c r="M105" s="270"/>
      <c r="N105" s="146"/>
      <c r="O105" s="270"/>
      <c r="P105" s="270"/>
      <c r="Q105" s="271">
        <f t="shared" si="17"/>
        <v>0</v>
      </c>
      <c r="R105" s="251">
        <f>VLOOKUP(C105,'BTH mủ tạp'!$C$97:$AI$180,33,0)</f>
        <v>0</v>
      </c>
      <c r="S105" s="252"/>
      <c r="T105" s="272">
        <f t="shared" si="15"/>
        <v>0</v>
      </c>
      <c r="U105" s="341">
        <f t="shared" si="8"/>
        <v>0</v>
      </c>
      <c r="V105" s="273">
        <f>VLOOKUP(C105,'Chấm công KT'!$C$92:$AJ$174,34,0)</f>
        <v>0</v>
      </c>
      <c r="W105" s="273">
        <f>VLOOKUP(C105,'Chấm công KT'!$C$92:$AK$174,35,0)</f>
        <v>0</v>
      </c>
      <c r="X105" s="1104"/>
      <c r="Y105" s="339"/>
      <c r="Z105" s="273">
        <f>VLOOKUP(C105,'Chấm công KT'!C101:AN184,38,0)</f>
        <v>0</v>
      </c>
      <c r="AA105" s="273">
        <f>VLOOKUP(C105,'Chấm công KT'!$C$92:$AO$174,39,0)</f>
        <v>0</v>
      </c>
      <c r="AB105" s="268"/>
      <c r="AC105" s="254">
        <f t="shared" si="16"/>
        <v>0</v>
      </c>
      <c r="AD105" s="147" t="str">
        <f>VLOOKUP(C105,'BTH mủ tạp'!$C$15:$AL$305,36,0)</f>
        <v>B</v>
      </c>
      <c r="AE105" s="148"/>
      <c r="AF105" s="119"/>
      <c r="AH105" s="87"/>
      <c r="AI105" s="84"/>
      <c r="AJ105" s="85"/>
      <c r="AK105" s="85"/>
      <c r="AL105" s="85"/>
      <c r="AM105" s="85"/>
      <c r="AN105" s="85"/>
      <c r="AO105" s="85"/>
    </row>
    <row r="106" spans="1:41" ht="18.75" customHeight="1">
      <c r="A106" s="1013">
        <v>11</v>
      </c>
      <c r="B106" s="336" t="str">
        <f>'Chấm công KT'!D102</f>
        <v>03525</v>
      </c>
      <c r="C106" s="269" t="str">
        <f>'Chấm công KT'!C102</f>
        <v>N. Sa Văn</v>
      </c>
      <c r="D106" s="145" t="s">
        <v>43</v>
      </c>
      <c r="E106" s="352"/>
      <c r="F106" s="352"/>
      <c r="G106" s="352"/>
      <c r="H106" s="352"/>
      <c r="I106" s="352"/>
      <c r="J106" s="337"/>
      <c r="K106" s="267"/>
      <c r="L106" s="290"/>
      <c r="M106" s="152"/>
      <c r="N106" s="146"/>
      <c r="O106" s="270"/>
      <c r="P106" s="270"/>
      <c r="Q106" s="271">
        <f t="shared" si="17"/>
        <v>0</v>
      </c>
      <c r="R106" s="251">
        <f>VLOOKUP(C106,'BTH mủ tạp'!$C$97:$AI$180,33,0)</f>
        <v>0</v>
      </c>
      <c r="S106" s="252"/>
      <c r="T106" s="272">
        <f t="shared" si="15"/>
        <v>0</v>
      </c>
      <c r="U106" s="341">
        <f t="shared" si="8"/>
        <v>0</v>
      </c>
      <c r="V106" s="273">
        <f>VLOOKUP(C106,'Chấm công KT'!$C$92:$AJ$174,34,0)</f>
        <v>0</v>
      </c>
      <c r="W106" s="273">
        <f>VLOOKUP(C106,'Chấm công KT'!$C$92:$AK$174,35,0)</f>
        <v>0</v>
      </c>
      <c r="X106" s="1104"/>
      <c r="Y106" s="339"/>
      <c r="Z106" s="273">
        <f>VLOOKUP(C106,'Chấm công KT'!C102:AN185,38,0)</f>
        <v>0</v>
      </c>
      <c r="AA106" s="273">
        <f>VLOOKUP(C106,'Chấm công KT'!$C$92:$AO$174,39,0)</f>
        <v>0</v>
      </c>
      <c r="AB106" s="268"/>
      <c r="AC106" s="254">
        <f t="shared" si="16"/>
        <v>0</v>
      </c>
      <c r="AD106" s="147" t="str">
        <f>VLOOKUP(C106,'BTH mủ tạp'!$C$15:$AL$305,36,0)</f>
        <v>A</v>
      </c>
      <c r="AE106" s="148"/>
      <c r="AF106" s="119"/>
      <c r="AH106" s="87"/>
      <c r="AI106" s="84"/>
      <c r="AJ106" s="85"/>
      <c r="AK106" s="85"/>
      <c r="AL106" s="85"/>
      <c r="AM106" s="85"/>
      <c r="AN106" s="85"/>
      <c r="AO106" s="85"/>
    </row>
    <row r="107" spans="1:41" ht="18.75" customHeight="1">
      <c r="A107" s="96">
        <v>12</v>
      </c>
      <c r="B107" s="336" t="str">
        <f>'Chấm công KT'!D103</f>
        <v>03526</v>
      </c>
      <c r="C107" s="269" t="str">
        <f>'Chấm công KT'!C103</f>
        <v>N. Chăn</v>
      </c>
      <c r="D107" s="145" t="s">
        <v>43</v>
      </c>
      <c r="E107" s="352"/>
      <c r="F107" s="352"/>
      <c r="G107" s="352"/>
      <c r="H107" s="352"/>
      <c r="I107" s="352"/>
      <c r="J107" s="337"/>
      <c r="K107" s="267"/>
      <c r="L107" s="290"/>
      <c r="M107" s="337"/>
      <c r="N107" s="146"/>
      <c r="O107" s="270"/>
      <c r="P107" s="270"/>
      <c r="Q107" s="271">
        <f t="shared" si="17"/>
        <v>0</v>
      </c>
      <c r="R107" s="251">
        <f>VLOOKUP(C107,'BTH mủ tạp'!$C$97:$AI$180,33,0)</f>
        <v>0</v>
      </c>
      <c r="S107" s="252"/>
      <c r="T107" s="272">
        <f t="shared" si="15"/>
        <v>0</v>
      </c>
      <c r="U107" s="341">
        <f t="shared" si="8"/>
        <v>0</v>
      </c>
      <c r="V107" s="273">
        <f>VLOOKUP(C107,'Chấm công KT'!$C$92:$AJ$174,34,0)</f>
        <v>0</v>
      </c>
      <c r="W107" s="273">
        <f>VLOOKUP(C107,'Chấm công KT'!$C$92:$AK$174,35,0)</f>
        <v>0</v>
      </c>
      <c r="X107" s="1104"/>
      <c r="Y107" s="339"/>
      <c r="Z107" s="273">
        <f>VLOOKUP(C107,'Chấm công KT'!C103:AN186,38,0)</f>
        <v>0</v>
      </c>
      <c r="AA107" s="273">
        <f>VLOOKUP(C107,'Chấm công KT'!$C$92:$AO$174,39,0)</f>
        <v>0</v>
      </c>
      <c r="AB107" s="268"/>
      <c r="AC107" s="254">
        <f t="shared" si="16"/>
        <v>0</v>
      </c>
      <c r="AD107" s="147" t="str">
        <f>VLOOKUP(C107,'BTH mủ tạp'!$C$15:$AL$305,36,0)</f>
        <v>B</v>
      </c>
      <c r="AE107" s="148"/>
      <c r="AF107" s="119"/>
      <c r="AH107" s="87"/>
      <c r="AI107" s="84"/>
      <c r="AJ107" s="85"/>
      <c r="AK107" s="85"/>
      <c r="AL107" s="85"/>
      <c r="AM107" s="85"/>
      <c r="AN107" s="85"/>
      <c r="AO107" s="85"/>
    </row>
    <row r="108" spans="1:41" ht="18.75" customHeight="1">
      <c r="A108" s="1013">
        <v>13</v>
      </c>
      <c r="B108" s="336" t="str">
        <f>'Chấm công KT'!D104</f>
        <v>03527</v>
      </c>
      <c r="C108" s="269" t="str">
        <f>'Chấm công KT'!C104</f>
        <v>T Núc</v>
      </c>
      <c r="D108" s="145" t="s">
        <v>43</v>
      </c>
      <c r="E108" s="352"/>
      <c r="F108" s="352"/>
      <c r="G108" s="352"/>
      <c r="H108" s="352"/>
      <c r="I108" s="352"/>
      <c r="J108" s="337"/>
      <c r="K108" s="267"/>
      <c r="L108" s="290"/>
      <c r="M108" s="337"/>
      <c r="N108" s="146"/>
      <c r="O108" s="270"/>
      <c r="P108" s="270"/>
      <c r="Q108" s="271">
        <f t="shared" si="17"/>
        <v>0</v>
      </c>
      <c r="R108" s="251">
        <f>VLOOKUP(C108,'BTH mủ tạp'!$C$97:$AI$180,33,0)</f>
        <v>0</v>
      </c>
      <c r="S108" s="252"/>
      <c r="T108" s="272">
        <f t="shared" si="15"/>
        <v>0</v>
      </c>
      <c r="U108" s="341">
        <f t="shared" si="8"/>
        <v>0</v>
      </c>
      <c r="V108" s="273">
        <f>VLOOKUP(C108,'Chấm công KT'!$C$92:$AJ$174,34,0)</f>
        <v>0</v>
      </c>
      <c r="W108" s="273">
        <f>VLOOKUP(C108,'Chấm công KT'!$C$92:$AK$174,35,0)</f>
        <v>0</v>
      </c>
      <c r="X108" s="1104"/>
      <c r="Y108" s="339"/>
      <c r="Z108" s="273">
        <f>VLOOKUP(C108,'Chấm công KT'!C104:AN187,38,0)</f>
        <v>0</v>
      </c>
      <c r="AA108" s="273">
        <f>VLOOKUP(C108,'Chấm công KT'!$C$92:$AO$174,39,0)</f>
        <v>0</v>
      </c>
      <c r="AB108" s="268"/>
      <c r="AC108" s="254">
        <f t="shared" si="16"/>
        <v>0</v>
      </c>
      <c r="AD108" s="147" t="str">
        <f>VLOOKUP(C108,'BTH mủ tạp'!$C$15:$AL$305,36,0)</f>
        <v>B</v>
      </c>
      <c r="AE108" s="148"/>
      <c r="AF108" s="119"/>
      <c r="AH108" s="87"/>
      <c r="AI108" s="84"/>
      <c r="AJ108" s="85"/>
      <c r="AK108" s="85"/>
      <c r="AL108" s="85"/>
      <c r="AM108" s="85"/>
      <c r="AN108" s="85"/>
      <c r="AO108" s="85"/>
    </row>
    <row r="109" spans="1:41" ht="18.75" customHeight="1">
      <c r="A109" s="96">
        <v>14</v>
      </c>
      <c r="B109" s="336" t="str">
        <f>'Chấm công KT'!D105</f>
        <v>03528</v>
      </c>
      <c r="C109" s="269" t="str">
        <f>'Chấm công KT'!C105</f>
        <v>T. Cô</v>
      </c>
      <c r="D109" s="145" t="s">
        <v>43</v>
      </c>
      <c r="E109" s="352"/>
      <c r="F109" s="352"/>
      <c r="G109" s="352"/>
      <c r="H109" s="352"/>
      <c r="I109" s="352"/>
      <c r="J109" s="337"/>
      <c r="K109" s="267"/>
      <c r="L109" s="290"/>
      <c r="M109" s="337"/>
      <c r="N109" s="146"/>
      <c r="O109" s="270"/>
      <c r="P109" s="270"/>
      <c r="Q109" s="271">
        <f t="shared" si="17"/>
        <v>0</v>
      </c>
      <c r="R109" s="251">
        <f>VLOOKUP(C109,'BTH mủ tạp'!$C$97:$AI$180,33,0)</f>
        <v>0</v>
      </c>
      <c r="S109" s="252"/>
      <c r="T109" s="272">
        <f t="shared" si="15"/>
        <v>0</v>
      </c>
      <c r="U109" s="341">
        <f t="shared" si="8"/>
        <v>0</v>
      </c>
      <c r="V109" s="273">
        <f>VLOOKUP(C109,'Chấm công KT'!$C$92:$AJ$174,34,0)</f>
        <v>0</v>
      </c>
      <c r="W109" s="273">
        <f>VLOOKUP(C109,'Chấm công KT'!$C$92:$AK$174,35,0)</f>
        <v>0</v>
      </c>
      <c r="X109" s="1104"/>
      <c r="Y109" s="339"/>
      <c r="Z109" s="273">
        <f>VLOOKUP(C109,'Chấm công KT'!C105:AN188,38,0)</f>
        <v>0</v>
      </c>
      <c r="AA109" s="273">
        <f>VLOOKUP(C109,'Chấm công KT'!$C$92:$AO$174,39,0)</f>
        <v>0</v>
      </c>
      <c r="AB109" s="268"/>
      <c r="AC109" s="254">
        <f t="shared" si="16"/>
        <v>0</v>
      </c>
      <c r="AD109" s="147" t="str">
        <f>VLOOKUP(C109,'BTH mủ tạp'!$C$15:$AL$305,36,0)</f>
        <v>A</v>
      </c>
      <c r="AE109" s="148"/>
      <c r="AF109" s="119"/>
      <c r="AH109" s="87"/>
      <c r="AI109" s="84"/>
      <c r="AJ109" s="85"/>
      <c r="AK109" s="85"/>
      <c r="AL109" s="85"/>
      <c r="AM109" s="85"/>
      <c r="AN109" s="85"/>
      <c r="AO109" s="85"/>
    </row>
    <row r="110" spans="1:41" ht="18.75" customHeight="1">
      <c r="A110" s="1013">
        <v>15</v>
      </c>
      <c r="B110" s="336" t="str">
        <f>'Chấm công KT'!D106</f>
        <v>03529</v>
      </c>
      <c r="C110" s="269" t="str">
        <f>'Chấm công KT'!C106</f>
        <v>N. Khoăn Ta</v>
      </c>
      <c r="D110" s="145" t="s">
        <v>43</v>
      </c>
      <c r="E110" s="352"/>
      <c r="F110" s="352"/>
      <c r="G110" s="352"/>
      <c r="H110" s="352"/>
      <c r="I110" s="352"/>
      <c r="J110" s="337"/>
      <c r="K110" s="267"/>
      <c r="L110" s="290"/>
      <c r="M110" s="337"/>
      <c r="N110" s="146"/>
      <c r="O110" s="270"/>
      <c r="P110" s="270"/>
      <c r="Q110" s="271">
        <f t="shared" si="17"/>
        <v>0</v>
      </c>
      <c r="R110" s="251">
        <f>VLOOKUP(C110,'BTH mủ tạp'!$C$97:$AI$180,33,0)</f>
        <v>0</v>
      </c>
      <c r="S110" s="252"/>
      <c r="T110" s="272">
        <f t="shared" si="15"/>
        <v>0</v>
      </c>
      <c r="U110" s="341">
        <f t="shared" si="8"/>
        <v>0</v>
      </c>
      <c r="V110" s="273">
        <f>VLOOKUP(C110,'Chấm công KT'!$C$92:$AJ$174,34,0)</f>
        <v>0</v>
      </c>
      <c r="W110" s="273">
        <f>VLOOKUP(C110,'Chấm công KT'!$C$92:$AK$174,35,0)</f>
        <v>0</v>
      </c>
      <c r="X110" s="1104"/>
      <c r="Y110" s="339"/>
      <c r="Z110" s="273">
        <f>VLOOKUP(C110,'Chấm công KT'!C106:AN189,38,0)</f>
        <v>0</v>
      </c>
      <c r="AA110" s="273">
        <f>VLOOKUP(C110,'Chấm công KT'!$C$92:$AO$174,39,0)</f>
        <v>0</v>
      </c>
      <c r="AB110" s="268"/>
      <c r="AC110" s="254">
        <f t="shared" si="16"/>
        <v>0</v>
      </c>
      <c r="AD110" s="147" t="str">
        <f>VLOOKUP(C110,'BTH mủ tạp'!$C$15:$AL$305,36,0)</f>
        <v>B</v>
      </c>
      <c r="AE110" s="148"/>
      <c r="AF110" s="119"/>
      <c r="AH110" s="87"/>
      <c r="AI110" s="84"/>
      <c r="AJ110" s="85"/>
      <c r="AK110" s="85"/>
      <c r="AL110" s="85"/>
      <c r="AM110" s="85"/>
      <c r="AN110" s="85"/>
      <c r="AO110" s="85"/>
    </row>
    <row r="111" spans="1:41" ht="18.75" customHeight="1">
      <c r="A111" s="96">
        <v>16</v>
      </c>
      <c r="B111" s="336" t="str">
        <f>'Chấm công KT'!D107</f>
        <v>03530</v>
      </c>
      <c r="C111" s="269" t="str">
        <f>'Chấm công KT'!C107</f>
        <v>T . Tom</v>
      </c>
      <c r="D111" s="145" t="s">
        <v>43</v>
      </c>
      <c r="E111" s="352"/>
      <c r="F111" s="352"/>
      <c r="G111" s="352"/>
      <c r="H111" s="352"/>
      <c r="I111" s="352"/>
      <c r="J111" s="337"/>
      <c r="K111" s="152"/>
      <c r="L111" s="290"/>
      <c r="M111" s="337"/>
      <c r="N111" s="146"/>
      <c r="O111" s="270"/>
      <c r="P111" s="270"/>
      <c r="Q111" s="271">
        <f t="shared" si="17"/>
        <v>0</v>
      </c>
      <c r="R111" s="251">
        <f>VLOOKUP(C111,'BTH mủ tạp'!$C$97:$AI$180,33,0)</f>
        <v>0</v>
      </c>
      <c r="S111" s="252"/>
      <c r="T111" s="272">
        <f t="shared" si="15"/>
        <v>0</v>
      </c>
      <c r="U111" s="341">
        <f t="shared" si="8"/>
        <v>0</v>
      </c>
      <c r="V111" s="273">
        <f>VLOOKUP(C111,'Chấm công KT'!$C$92:$AJ$174,34,0)</f>
        <v>0</v>
      </c>
      <c r="W111" s="273">
        <f>VLOOKUP(C111,'Chấm công KT'!$C$92:$AK$174,35,0)</f>
        <v>0</v>
      </c>
      <c r="X111" s="1104"/>
      <c r="Y111" s="339"/>
      <c r="Z111" s="273">
        <f>VLOOKUP(C111,'Chấm công KT'!C107:AN190,38,0)</f>
        <v>0</v>
      </c>
      <c r="AA111" s="273">
        <f>VLOOKUP(C111,'Chấm công KT'!$C$92:$AO$174,39,0)</f>
        <v>0</v>
      </c>
      <c r="AB111" s="268"/>
      <c r="AC111" s="254">
        <f t="shared" si="16"/>
        <v>0</v>
      </c>
      <c r="AD111" s="147" t="str">
        <f>VLOOKUP(C111,'BTH mủ tạp'!$C$15:$AL$305,36,0)</f>
        <v>A</v>
      </c>
      <c r="AE111" s="148"/>
      <c r="AF111" s="119"/>
      <c r="AH111" s="87"/>
      <c r="AI111" s="84"/>
      <c r="AJ111" s="85"/>
      <c r="AK111" s="85"/>
      <c r="AL111" s="85"/>
      <c r="AM111" s="85"/>
      <c r="AN111" s="85"/>
      <c r="AO111" s="85"/>
    </row>
    <row r="112" spans="1:41" ht="18.75" customHeight="1">
      <c r="A112" s="1013">
        <v>17</v>
      </c>
      <c r="B112" s="336" t="str">
        <f>'Chấm công KT'!D108</f>
        <v>03531</v>
      </c>
      <c r="C112" s="269" t="str">
        <f>'Chấm công KT'!C108</f>
        <v>T. Son Sa May</v>
      </c>
      <c r="D112" s="145" t="s">
        <v>43</v>
      </c>
      <c r="E112" s="352"/>
      <c r="F112" s="352"/>
      <c r="G112" s="352"/>
      <c r="H112" s="352"/>
      <c r="I112" s="352"/>
      <c r="J112" s="337"/>
      <c r="K112" s="267"/>
      <c r="L112" s="267"/>
      <c r="M112" s="152"/>
      <c r="N112" s="146"/>
      <c r="O112" s="146"/>
      <c r="P112" s="146"/>
      <c r="Q112" s="271">
        <f t="shared" si="17"/>
        <v>0</v>
      </c>
      <c r="R112" s="251">
        <f>VLOOKUP(C112,'BTH mủ tạp'!$C$97:$AI$180,33,0)</f>
        <v>0</v>
      </c>
      <c r="S112" s="252"/>
      <c r="T112" s="272">
        <f t="shared" si="15"/>
        <v>0</v>
      </c>
      <c r="U112" s="341">
        <f t="shared" si="8"/>
        <v>0</v>
      </c>
      <c r="V112" s="273">
        <f>VLOOKUP(C112,'Chấm công KT'!$C$92:$AJ$174,34,0)</f>
        <v>0</v>
      </c>
      <c r="W112" s="273">
        <f>VLOOKUP(C112,'Chấm công KT'!$C$92:$AK$174,35,0)</f>
        <v>0</v>
      </c>
      <c r="X112" s="1104"/>
      <c r="Y112" s="339"/>
      <c r="Z112" s="273">
        <f>VLOOKUP(C112,'Chấm công KT'!C108:AN191,38,0)</f>
        <v>0</v>
      </c>
      <c r="AA112" s="273">
        <f>VLOOKUP(C112,'Chấm công KT'!$C$92:$AO$174,39,0)</f>
        <v>0</v>
      </c>
      <c r="AB112" s="268"/>
      <c r="AC112" s="254">
        <f t="shared" si="16"/>
        <v>0</v>
      </c>
      <c r="AD112" s="147" t="str">
        <f>VLOOKUP(C112,'BTH mủ tạp'!$C$15:$AL$305,36,0)</f>
        <v>A</v>
      </c>
      <c r="AE112" s="148"/>
      <c r="AF112" s="119"/>
      <c r="AH112" s="87"/>
      <c r="AI112" s="84"/>
      <c r="AJ112" s="85"/>
      <c r="AK112" s="85"/>
      <c r="AL112" s="85"/>
      <c r="AM112" s="85"/>
      <c r="AN112" s="85"/>
      <c r="AO112" s="85"/>
    </row>
    <row r="113" spans="1:41" ht="18.75" customHeight="1">
      <c r="A113" s="96">
        <v>18</v>
      </c>
      <c r="B113" s="336" t="str">
        <f>'Chấm công KT'!D109</f>
        <v>03532</v>
      </c>
      <c r="C113" s="269" t="str">
        <f>'Chấm công KT'!C109</f>
        <v>N. Túc</v>
      </c>
      <c r="D113" s="145" t="s">
        <v>43</v>
      </c>
      <c r="E113" s="352"/>
      <c r="F113" s="352"/>
      <c r="G113" s="352"/>
      <c r="H113" s="352"/>
      <c r="I113" s="352"/>
      <c r="J113" s="337"/>
      <c r="K113" s="267"/>
      <c r="L113" s="267"/>
      <c r="M113" s="152"/>
      <c r="N113" s="146"/>
      <c r="O113" s="146"/>
      <c r="P113" s="146"/>
      <c r="Q113" s="271">
        <f t="shared" si="17"/>
        <v>0</v>
      </c>
      <c r="R113" s="251">
        <f>VLOOKUP(C113,'BTH mủ tạp'!$C$97:$AI$180,33,0)</f>
        <v>0</v>
      </c>
      <c r="S113" s="252"/>
      <c r="T113" s="272">
        <f t="shared" si="15"/>
        <v>0</v>
      </c>
      <c r="U113" s="341">
        <f t="shared" si="8"/>
        <v>0</v>
      </c>
      <c r="V113" s="273">
        <f>VLOOKUP(C113,'Chấm công KT'!$C$92:$AJ$174,34,0)</f>
        <v>0</v>
      </c>
      <c r="W113" s="273">
        <f>VLOOKUP(C113,'Chấm công KT'!$C$92:$AK$174,35,0)</f>
        <v>0</v>
      </c>
      <c r="X113" s="1104"/>
      <c r="Y113" s="339"/>
      <c r="Z113" s="273">
        <f>VLOOKUP(C113,'Chấm công KT'!C109:AN192,38,0)</f>
        <v>0</v>
      </c>
      <c r="AA113" s="273">
        <f>VLOOKUP(C113,'Chấm công KT'!$C$92:$AO$174,39,0)</f>
        <v>0</v>
      </c>
      <c r="AB113" s="268"/>
      <c r="AC113" s="254">
        <f t="shared" si="16"/>
        <v>0</v>
      </c>
      <c r="AD113" s="147" t="str">
        <f>VLOOKUP(C113,'BTH mủ tạp'!$C$15:$AL$305,36,0)</f>
        <v>A</v>
      </c>
      <c r="AE113" s="148"/>
      <c r="AF113" s="119"/>
      <c r="AH113" s="87"/>
      <c r="AI113" s="84"/>
      <c r="AJ113" s="85"/>
      <c r="AK113" s="85"/>
      <c r="AL113" s="85"/>
      <c r="AM113" s="85"/>
      <c r="AN113" s="85"/>
      <c r="AO113" s="85"/>
    </row>
    <row r="114" spans="1:41" ht="18.75" customHeight="1">
      <c r="A114" s="1013">
        <v>19</v>
      </c>
      <c r="B114" s="336" t="str">
        <f>'Chấm công KT'!D110</f>
        <v xml:space="preserve">02709 </v>
      </c>
      <c r="C114" s="269" t="str">
        <f>'Chấm công KT'!C110</f>
        <v>T. Say</v>
      </c>
      <c r="D114" s="145" t="s">
        <v>43</v>
      </c>
      <c r="E114" s="352"/>
      <c r="F114" s="352"/>
      <c r="G114" s="352"/>
      <c r="H114" s="352"/>
      <c r="I114" s="352"/>
      <c r="J114" s="337"/>
      <c r="K114" s="267"/>
      <c r="L114" s="267"/>
      <c r="M114" s="152"/>
      <c r="N114" s="146"/>
      <c r="O114" s="270"/>
      <c r="P114" s="270"/>
      <c r="Q114" s="271">
        <f t="shared" si="17"/>
        <v>0</v>
      </c>
      <c r="R114" s="251">
        <f>VLOOKUP(C114,'BTH mủ tạp'!$C$97:$AI$180,33,0)</f>
        <v>0</v>
      </c>
      <c r="S114" s="252"/>
      <c r="T114" s="272">
        <f t="shared" si="15"/>
        <v>0</v>
      </c>
      <c r="U114" s="341">
        <f t="shared" si="8"/>
        <v>0</v>
      </c>
      <c r="V114" s="273">
        <f>VLOOKUP(C114,'Chấm công KT'!$C$92:$AJ$174,34,0)</f>
        <v>0</v>
      </c>
      <c r="W114" s="273">
        <f>VLOOKUP(C114,'Chấm công KT'!$C$92:$AK$174,35,0)</f>
        <v>0</v>
      </c>
      <c r="X114" s="1104"/>
      <c r="Y114" s="339"/>
      <c r="Z114" s="273">
        <f>VLOOKUP(C114,'Chấm công KT'!C110:AN193,38,0)</f>
        <v>0</v>
      </c>
      <c r="AA114" s="273">
        <f>VLOOKUP(C114,'Chấm công KT'!$C$92:$AO$174,39,0)</f>
        <v>0</v>
      </c>
      <c r="AB114" s="268"/>
      <c r="AC114" s="254">
        <f t="shared" si="16"/>
        <v>0</v>
      </c>
      <c r="AD114" s="147" t="str">
        <f>VLOOKUP(C114,'BTH mủ tạp'!$C$15:$AL$305,36,0)</f>
        <v>B</v>
      </c>
      <c r="AE114" s="148"/>
      <c r="AF114" s="119"/>
      <c r="AH114" s="87"/>
      <c r="AI114" s="84"/>
      <c r="AJ114" s="85"/>
      <c r="AK114" s="85"/>
      <c r="AL114" s="85"/>
      <c r="AM114" s="85"/>
      <c r="AN114" s="85"/>
      <c r="AO114" s="85"/>
    </row>
    <row r="115" spans="1:41" ht="18.75" customHeight="1">
      <c r="A115" s="96">
        <v>20</v>
      </c>
      <c r="B115" s="336" t="str">
        <f>'Chấm công KT'!D111</f>
        <v>03533</v>
      </c>
      <c r="C115" s="269" t="str">
        <f>'Chấm công KT'!C111</f>
        <v>T. Pha Đi</v>
      </c>
      <c r="D115" s="145" t="s">
        <v>43</v>
      </c>
      <c r="E115" s="352"/>
      <c r="F115" s="352"/>
      <c r="G115" s="352"/>
      <c r="H115" s="352"/>
      <c r="I115" s="352"/>
      <c r="J115" s="337"/>
      <c r="K115" s="267"/>
      <c r="L115" s="267"/>
      <c r="M115" s="152"/>
      <c r="N115" s="146"/>
      <c r="O115" s="270"/>
      <c r="P115" s="270"/>
      <c r="Q115" s="271">
        <f t="shared" si="17"/>
        <v>0</v>
      </c>
      <c r="R115" s="251">
        <f>VLOOKUP(C115,'BTH mủ tạp'!$C$97:$AI$180,33,0)</f>
        <v>0</v>
      </c>
      <c r="S115" s="252"/>
      <c r="T115" s="272">
        <f t="shared" si="15"/>
        <v>0</v>
      </c>
      <c r="U115" s="341">
        <f t="shared" si="8"/>
        <v>0</v>
      </c>
      <c r="V115" s="273">
        <f>VLOOKUP(C115,'Chấm công KT'!$C$92:$AJ$174,34,0)</f>
        <v>0</v>
      </c>
      <c r="W115" s="273">
        <f>VLOOKUP(C115,'Chấm công KT'!$C$92:$AK$174,35,0)</f>
        <v>0</v>
      </c>
      <c r="X115" s="1104"/>
      <c r="Y115" s="339"/>
      <c r="Z115" s="273">
        <f>VLOOKUP(C115,'Chấm công KT'!C111:AN194,38,0)</f>
        <v>0</v>
      </c>
      <c r="AA115" s="273">
        <f>VLOOKUP(C115,'Chấm công KT'!$C$92:$AO$174,39,0)</f>
        <v>0</v>
      </c>
      <c r="AB115" s="268"/>
      <c r="AC115" s="254">
        <f t="shared" si="16"/>
        <v>0</v>
      </c>
      <c r="AD115" s="147" t="str">
        <f>VLOOKUP(C115,'BTH mủ tạp'!$C$15:$AL$305,36,0)</f>
        <v>A</v>
      </c>
      <c r="AE115" s="148"/>
      <c r="AF115" s="119"/>
      <c r="AH115" s="87"/>
      <c r="AI115" s="88"/>
      <c r="AJ115" s="85"/>
      <c r="AK115" s="85"/>
      <c r="AL115" s="85"/>
      <c r="AM115" s="85"/>
      <c r="AN115" s="85"/>
      <c r="AO115" s="85"/>
    </row>
    <row r="116" spans="1:41" ht="18.75" customHeight="1">
      <c r="A116" s="1013">
        <v>21</v>
      </c>
      <c r="B116" s="336" t="str">
        <f>'Chấm công KT'!D112</f>
        <v>03534</v>
      </c>
      <c r="C116" s="269" t="str">
        <f>'Chấm công KT'!C112</f>
        <v>T. Un</v>
      </c>
      <c r="D116" s="145" t="s">
        <v>43</v>
      </c>
      <c r="E116" s="352"/>
      <c r="F116" s="352"/>
      <c r="G116" s="352"/>
      <c r="H116" s="352"/>
      <c r="I116" s="352"/>
      <c r="J116" s="337"/>
      <c r="K116" s="267"/>
      <c r="L116" s="267"/>
      <c r="M116" s="152"/>
      <c r="N116" s="146"/>
      <c r="O116" s="146"/>
      <c r="P116" s="146"/>
      <c r="Q116" s="271">
        <f t="shared" si="17"/>
        <v>0</v>
      </c>
      <c r="R116" s="251">
        <f>VLOOKUP(C116,'BTH mủ tạp'!$C$97:$AI$180,33,0)</f>
        <v>0</v>
      </c>
      <c r="S116" s="252"/>
      <c r="T116" s="272">
        <f t="shared" si="15"/>
        <v>0</v>
      </c>
      <c r="U116" s="341">
        <f t="shared" si="8"/>
        <v>0</v>
      </c>
      <c r="V116" s="273">
        <f>VLOOKUP(C116,'Chấm công KT'!$C$92:$AJ$174,34,0)</f>
        <v>0</v>
      </c>
      <c r="W116" s="273">
        <f>VLOOKUP(C116,'Chấm công KT'!$C$92:$AK$174,35,0)</f>
        <v>0</v>
      </c>
      <c r="X116" s="1104"/>
      <c r="Y116" s="339"/>
      <c r="Z116" s="273">
        <f>VLOOKUP(C116,'Chấm công KT'!C112:AN195,38,0)</f>
        <v>0</v>
      </c>
      <c r="AA116" s="273">
        <f>VLOOKUP(C116,'Chấm công KT'!$C$92:$AO$174,39,0)</f>
        <v>0</v>
      </c>
      <c r="AB116" s="268"/>
      <c r="AC116" s="254">
        <f t="shared" si="16"/>
        <v>0</v>
      </c>
      <c r="AD116" s="147" t="str">
        <f>VLOOKUP(C116,'BTH mủ tạp'!$C$15:$AL$305,36,0)</f>
        <v>B</v>
      </c>
      <c r="AE116" s="148"/>
      <c r="AF116" s="119"/>
      <c r="AH116" s="87"/>
      <c r="AI116" s="84"/>
      <c r="AJ116" s="85"/>
      <c r="AK116" s="85"/>
      <c r="AL116" s="85"/>
      <c r="AM116" s="85"/>
      <c r="AN116" s="85"/>
      <c r="AO116" s="85"/>
    </row>
    <row r="117" spans="1:41" ht="18.75" customHeight="1">
      <c r="A117" s="96">
        <v>22</v>
      </c>
      <c r="B117" s="336" t="str">
        <f>'Chấm công KT'!D113</f>
        <v>03535</v>
      </c>
      <c r="C117" s="269" t="str">
        <f>'Chấm công KT'!C113</f>
        <v>T. Ôn</v>
      </c>
      <c r="D117" s="145" t="s">
        <v>43</v>
      </c>
      <c r="E117" s="352"/>
      <c r="F117" s="352"/>
      <c r="G117" s="352"/>
      <c r="H117" s="352"/>
      <c r="I117" s="352"/>
      <c r="J117" s="337"/>
      <c r="K117" s="267"/>
      <c r="L117" s="267"/>
      <c r="M117" s="152"/>
      <c r="N117" s="146"/>
      <c r="O117" s="146"/>
      <c r="P117" s="146"/>
      <c r="Q117" s="271">
        <f t="shared" si="17"/>
        <v>0</v>
      </c>
      <c r="R117" s="251">
        <f>VLOOKUP(C117,'BTH mủ tạp'!$C$97:$AI$180,33,0)</f>
        <v>0</v>
      </c>
      <c r="S117" s="252"/>
      <c r="T117" s="272">
        <f t="shared" si="15"/>
        <v>0</v>
      </c>
      <c r="U117" s="341">
        <f t="shared" si="8"/>
        <v>0</v>
      </c>
      <c r="V117" s="273">
        <f>VLOOKUP(C117,'Chấm công KT'!$C$92:$AJ$174,34,0)</f>
        <v>0</v>
      </c>
      <c r="W117" s="273">
        <f>VLOOKUP(C117,'Chấm công KT'!$C$92:$AK$174,35,0)</f>
        <v>0</v>
      </c>
      <c r="X117" s="1104"/>
      <c r="Y117" s="339"/>
      <c r="Z117" s="273">
        <f>VLOOKUP(C117,'Chấm công KT'!C113:AN196,38,0)</f>
        <v>0</v>
      </c>
      <c r="AA117" s="273">
        <f>VLOOKUP(C117,'Chấm công KT'!$C$92:$AO$174,39,0)</f>
        <v>0</v>
      </c>
      <c r="AB117" s="268"/>
      <c r="AC117" s="254">
        <f t="shared" si="16"/>
        <v>0</v>
      </c>
      <c r="AD117" s="147" t="str">
        <f>VLOOKUP(C117,'BTH mủ tạp'!$C$15:$AL$305,36,0)</f>
        <v>A</v>
      </c>
      <c r="AE117" s="148"/>
      <c r="AF117" s="119"/>
      <c r="AH117" s="87"/>
      <c r="AI117" s="84"/>
      <c r="AJ117" s="85"/>
      <c r="AK117" s="85"/>
      <c r="AL117" s="85"/>
      <c r="AM117" s="85"/>
      <c r="AN117" s="85"/>
      <c r="AO117" s="85"/>
    </row>
    <row r="118" spans="1:41" ht="18.75" customHeight="1">
      <c r="A118" s="1013">
        <v>23</v>
      </c>
      <c r="B118" s="336">
        <f>'Chấm công KT'!D114</f>
        <v>0</v>
      </c>
      <c r="C118" s="269" t="str">
        <f>'Chấm công KT'!C114</f>
        <v>N. Không</v>
      </c>
      <c r="D118" s="145" t="s">
        <v>43</v>
      </c>
      <c r="E118" s="352"/>
      <c r="F118" s="352"/>
      <c r="G118" s="352"/>
      <c r="H118" s="352"/>
      <c r="I118" s="352"/>
      <c r="J118" s="337"/>
      <c r="K118" s="267"/>
      <c r="L118" s="290"/>
      <c r="M118" s="152"/>
      <c r="N118" s="146"/>
      <c r="O118" s="146"/>
      <c r="P118" s="146"/>
      <c r="Q118" s="271">
        <f t="shared" si="17"/>
        <v>0</v>
      </c>
      <c r="R118" s="251">
        <f>VLOOKUP(C118,'BTH mủ tạp'!$C$97:$AI$180,33,0)</f>
        <v>0</v>
      </c>
      <c r="S118" s="252"/>
      <c r="T118" s="272">
        <f t="shared" si="15"/>
        <v>0</v>
      </c>
      <c r="U118" s="341">
        <f t="shared" si="8"/>
        <v>0</v>
      </c>
      <c r="V118" s="273">
        <f>VLOOKUP(C118,'Chấm công KT'!$C$92:$AJ$174,34,0)</f>
        <v>0</v>
      </c>
      <c r="W118" s="273">
        <f>VLOOKUP(C118,'Chấm công KT'!$C$92:$AK$174,35,0)</f>
        <v>0</v>
      </c>
      <c r="X118" s="1104"/>
      <c r="Y118" s="339"/>
      <c r="Z118" s="273">
        <f>VLOOKUP(C118,'Chấm công KT'!C114:AN197,38,0)</f>
        <v>0</v>
      </c>
      <c r="AA118" s="273">
        <f>VLOOKUP(C118,'Chấm công KT'!$C$92:$AO$174,39,0)</f>
        <v>0</v>
      </c>
      <c r="AB118" s="268"/>
      <c r="AC118" s="254">
        <f t="shared" si="16"/>
        <v>0</v>
      </c>
      <c r="AD118" s="147" t="str">
        <f>VLOOKUP(C118,'BTH mủ tạp'!$C$15:$AL$305,36,0)</f>
        <v>B</v>
      </c>
      <c r="AE118" s="148"/>
      <c r="AF118" s="119"/>
      <c r="AH118" s="87"/>
      <c r="AI118" s="84"/>
      <c r="AJ118" s="85"/>
      <c r="AK118" s="85"/>
      <c r="AL118" s="85"/>
      <c r="AM118" s="85"/>
      <c r="AN118" s="85"/>
      <c r="AO118" s="85"/>
    </row>
    <row r="119" spans="1:41" ht="18.75" customHeight="1">
      <c r="A119" s="96">
        <v>24</v>
      </c>
      <c r="B119" s="336" t="str">
        <f>'Chấm công KT'!D115</f>
        <v>03537</v>
      </c>
      <c r="C119" s="269" t="str">
        <f>'Chấm công KT'!C115</f>
        <v>Văn Đi</v>
      </c>
      <c r="D119" s="145" t="s">
        <v>43</v>
      </c>
      <c r="E119" s="352"/>
      <c r="F119" s="352"/>
      <c r="G119" s="352"/>
      <c r="H119" s="352"/>
      <c r="I119" s="352"/>
      <c r="J119" s="337"/>
      <c r="K119" s="267"/>
      <c r="L119" s="290"/>
      <c r="M119" s="152"/>
      <c r="N119" s="146"/>
      <c r="O119" s="146"/>
      <c r="P119" s="146"/>
      <c r="Q119" s="271">
        <f t="shared" si="17"/>
        <v>0</v>
      </c>
      <c r="R119" s="251">
        <f>VLOOKUP(C119,'BTH mủ tạp'!$C$97:$AI$180,33,0)</f>
        <v>0</v>
      </c>
      <c r="S119" s="252"/>
      <c r="T119" s="272">
        <f t="shared" si="15"/>
        <v>0</v>
      </c>
      <c r="U119" s="341">
        <f t="shared" si="8"/>
        <v>0</v>
      </c>
      <c r="V119" s="273">
        <f>VLOOKUP(C119,'Chấm công KT'!$C$92:$AJ$174,34,0)</f>
        <v>0</v>
      </c>
      <c r="W119" s="273">
        <f>VLOOKUP(C119,'Chấm công KT'!$C$92:$AK$174,35,0)</f>
        <v>0</v>
      </c>
      <c r="X119" s="1104"/>
      <c r="Y119" s="339"/>
      <c r="Z119" s="273">
        <f>VLOOKUP(C119,'Chấm công KT'!C115:AN198,38,0)</f>
        <v>0</v>
      </c>
      <c r="AA119" s="273">
        <f>VLOOKUP(C119,'Chấm công KT'!$C$92:$AO$174,39,0)</f>
        <v>0</v>
      </c>
      <c r="AB119" s="268"/>
      <c r="AC119" s="254">
        <f t="shared" si="16"/>
        <v>0</v>
      </c>
      <c r="AD119" s="147" t="str">
        <f>VLOOKUP(C119,'BTH mủ tạp'!$C$15:$AL$305,36,0)</f>
        <v>B</v>
      </c>
      <c r="AE119" s="148"/>
      <c r="AF119" s="119"/>
      <c r="AH119" s="87"/>
      <c r="AI119" s="84"/>
      <c r="AJ119" s="85"/>
      <c r="AK119" s="85"/>
      <c r="AL119" s="85"/>
      <c r="AM119" s="85"/>
      <c r="AN119" s="85"/>
      <c r="AO119" s="85"/>
    </row>
    <row r="120" spans="1:41" ht="18.75" customHeight="1">
      <c r="A120" s="1013">
        <v>25</v>
      </c>
      <c r="B120" s="336" t="str">
        <f>'Chấm công KT'!D116</f>
        <v>03538</v>
      </c>
      <c r="C120" s="269" t="str">
        <f>'Chấm công KT'!C116</f>
        <v>T. U Đôm</v>
      </c>
      <c r="D120" s="145" t="s">
        <v>43</v>
      </c>
      <c r="E120" s="352"/>
      <c r="F120" s="352"/>
      <c r="G120" s="352"/>
      <c r="H120" s="352"/>
      <c r="I120" s="352"/>
      <c r="J120" s="337"/>
      <c r="K120" s="267"/>
      <c r="L120" s="290"/>
      <c r="M120" s="270"/>
      <c r="N120" s="146"/>
      <c r="O120" s="270"/>
      <c r="P120" s="270"/>
      <c r="Q120" s="271">
        <f t="shared" si="17"/>
        <v>0</v>
      </c>
      <c r="R120" s="251">
        <f>VLOOKUP(C120,'BTH mủ tạp'!$C$97:$AI$180,33,0)</f>
        <v>0</v>
      </c>
      <c r="S120" s="252"/>
      <c r="T120" s="272">
        <f t="shared" si="15"/>
        <v>0</v>
      </c>
      <c r="U120" s="341">
        <f t="shared" si="8"/>
        <v>0</v>
      </c>
      <c r="V120" s="273">
        <f>VLOOKUP(C120,'Chấm công KT'!$C$92:$AJ$174,34,0)</f>
        <v>0</v>
      </c>
      <c r="W120" s="273">
        <f>VLOOKUP(C120,'Chấm công KT'!$C$92:$AK$174,35,0)</f>
        <v>0</v>
      </c>
      <c r="X120" s="1104"/>
      <c r="Y120" s="339"/>
      <c r="Z120" s="273">
        <f>VLOOKUP(C120,'Chấm công KT'!C116:AN199,38,0)</f>
        <v>0</v>
      </c>
      <c r="AA120" s="273">
        <f>VLOOKUP(C120,'Chấm công KT'!$C$92:$AO$174,39,0)</f>
        <v>0</v>
      </c>
      <c r="AB120" s="268"/>
      <c r="AC120" s="254">
        <f t="shared" si="16"/>
        <v>0</v>
      </c>
      <c r="AD120" s="147" t="str">
        <f>VLOOKUP(C120,'BTH mủ tạp'!$C$15:$AL$305,36,0)</f>
        <v>A</v>
      </c>
      <c r="AE120" s="148"/>
      <c r="AF120" s="119"/>
      <c r="AH120" s="87"/>
      <c r="AI120" s="84"/>
      <c r="AJ120" s="85"/>
      <c r="AK120" s="85"/>
      <c r="AL120" s="85"/>
      <c r="AM120" s="85"/>
      <c r="AN120" s="85"/>
      <c r="AO120" s="85"/>
    </row>
    <row r="121" spans="1:41" ht="18.75" customHeight="1">
      <c r="A121" s="96">
        <v>26</v>
      </c>
      <c r="B121" s="336">
        <f>'Chấm công KT'!D117</f>
        <v>0</v>
      </c>
      <c r="C121" s="269" t="str">
        <f>'Chấm công KT'!C117</f>
        <v>N. Lăm Thong</v>
      </c>
      <c r="D121" s="145" t="s">
        <v>43</v>
      </c>
      <c r="E121" s="352"/>
      <c r="F121" s="352"/>
      <c r="G121" s="352"/>
      <c r="H121" s="352"/>
      <c r="I121" s="352"/>
      <c r="J121" s="337"/>
      <c r="K121" s="267"/>
      <c r="L121" s="290"/>
      <c r="M121" s="152"/>
      <c r="N121" s="146"/>
      <c r="O121" s="270"/>
      <c r="P121" s="270"/>
      <c r="Q121" s="271">
        <f t="shared" si="17"/>
        <v>0</v>
      </c>
      <c r="R121" s="251">
        <f>VLOOKUP(C121,'BTH mủ tạp'!$C$97:$AI$180,33,0)</f>
        <v>0</v>
      </c>
      <c r="S121" s="252"/>
      <c r="T121" s="272">
        <f t="shared" si="15"/>
        <v>0</v>
      </c>
      <c r="U121" s="341">
        <f t="shared" si="8"/>
        <v>0</v>
      </c>
      <c r="V121" s="273">
        <f>VLOOKUP(C121,'Chấm công KT'!$C$92:$AJ$174,34,0)</f>
        <v>0</v>
      </c>
      <c r="W121" s="273">
        <f>VLOOKUP(C121,'Chấm công KT'!$C$92:$AK$174,35,0)</f>
        <v>0</v>
      </c>
      <c r="X121" s="1104"/>
      <c r="Y121" s="339"/>
      <c r="Z121" s="273">
        <f>VLOOKUP(C121,'Chấm công KT'!C117:AN200,38,0)</f>
        <v>0</v>
      </c>
      <c r="AA121" s="273">
        <f>VLOOKUP(C121,'Chấm công KT'!$C$92:$AO$174,39,0)</f>
        <v>0</v>
      </c>
      <c r="AB121" s="268"/>
      <c r="AC121" s="254">
        <f t="shared" si="16"/>
        <v>0</v>
      </c>
      <c r="AD121" s="147" t="str">
        <f>VLOOKUP(C121,'BTH mủ tạp'!$C$15:$AL$305,36,0)</f>
        <v>A</v>
      </c>
      <c r="AE121" s="148"/>
      <c r="AF121" s="119"/>
      <c r="AH121" s="87"/>
      <c r="AI121" s="84"/>
      <c r="AJ121" s="85"/>
      <c r="AK121" s="85"/>
      <c r="AL121" s="85"/>
      <c r="AM121" s="85"/>
      <c r="AN121" s="85"/>
      <c r="AO121" s="85"/>
    </row>
    <row r="122" spans="1:41" ht="18.75" customHeight="1">
      <c r="A122" s="1013">
        <v>27</v>
      </c>
      <c r="B122" s="336" t="str">
        <f>'Chấm công KT'!D118</f>
        <v>03540</v>
      </c>
      <c r="C122" s="269" t="str">
        <f>'Chấm công KT'!C118</f>
        <v>N. Seng</v>
      </c>
      <c r="D122" s="145" t="s">
        <v>43</v>
      </c>
      <c r="E122" s="352"/>
      <c r="F122" s="352"/>
      <c r="G122" s="352"/>
      <c r="H122" s="352"/>
      <c r="I122" s="352"/>
      <c r="J122" s="337"/>
      <c r="K122" s="267"/>
      <c r="L122" s="290"/>
      <c r="M122" s="152"/>
      <c r="N122" s="146"/>
      <c r="O122" s="270"/>
      <c r="P122" s="270"/>
      <c r="Q122" s="271">
        <f t="shared" si="17"/>
        <v>0</v>
      </c>
      <c r="R122" s="251">
        <f>VLOOKUP(C122,'BTH mủ tạp'!$C$97:$AI$180,33,0)</f>
        <v>0</v>
      </c>
      <c r="S122" s="252"/>
      <c r="T122" s="272">
        <f t="shared" si="15"/>
        <v>0</v>
      </c>
      <c r="U122" s="341">
        <f t="shared" si="8"/>
        <v>0</v>
      </c>
      <c r="V122" s="273">
        <f>VLOOKUP(C122,'Chấm công KT'!$C$92:$AJ$174,34,0)</f>
        <v>0</v>
      </c>
      <c r="W122" s="273">
        <f>VLOOKUP(C122,'Chấm công KT'!$C$92:$AK$174,35,0)</f>
        <v>0</v>
      </c>
      <c r="X122" s="1104"/>
      <c r="Y122" s="339"/>
      <c r="Z122" s="273">
        <f>VLOOKUP(C122,'Chấm công KT'!C118:AN201,38,0)</f>
        <v>0</v>
      </c>
      <c r="AA122" s="273">
        <f>VLOOKUP(C122,'Chấm công KT'!$C$92:$AO$174,39,0)</f>
        <v>0</v>
      </c>
      <c r="AB122" s="268"/>
      <c r="AC122" s="254">
        <f t="shared" si="16"/>
        <v>0</v>
      </c>
      <c r="AD122" s="147" t="str">
        <f>VLOOKUP(C122,'BTH mủ tạp'!$C$15:$AL$305,36,0)</f>
        <v>B</v>
      </c>
      <c r="AE122" s="148"/>
      <c r="AF122" s="119"/>
      <c r="AH122" s="87"/>
      <c r="AI122" s="84"/>
      <c r="AJ122" s="85"/>
      <c r="AK122" s="85"/>
      <c r="AL122" s="85"/>
      <c r="AM122" s="85"/>
      <c r="AN122" s="85"/>
      <c r="AO122" s="85"/>
    </row>
    <row r="123" spans="1:41" ht="18.75" customHeight="1">
      <c r="A123" s="96">
        <v>28</v>
      </c>
      <c r="B123" s="336" t="str">
        <f>'Chấm công KT'!D119</f>
        <v>03541</v>
      </c>
      <c r="C123" s="269" t="str">
        <f>'Chấm công KT'!C119</f>
        <v>T Đeng</v>
      </c>
      <c r="D123" s="145" t="s">
        <v>43</v>
      </c>
      <c r="E123" s="352"/>
      <c r="F123" s="352"/>
      <c r="G123" s="352"/>
      <c r="H123" s="352"/>
      <c r="I123" s="352"/>
      <c r="J123" s="337"/>
      <c r="K123" s="267"/>
      <c r="L123" s="290"/>
      <c r="M123" s="152"/>
      <c r="N123" s="146"/>
      <c r="O123" s="270"/>
      <c r="P123" s="270"/>
      <c r="Q123" s="271">
        <f t="shared" si="17"/>
        <v>0</v>
      </c>
      <c r="R123" s="251">
        <f>VLOOKUP(C123,'BTH mủ tạp'!$C$97:$AI$180,33,0)</f>
        <v>0</v>
      </c>
      <c r="S123" s="252"/>
      <c r="T123" s="272">
        <f t="shared" si="15"/>
        <v>0</v>
      </c>
      <c r="U123" s="341">
        <f t="shared" si="8"/>
        <v>0</v>
      </c>
      <c r="V123" s="273">
        <f>VLOOKUP(C123,'Chấm công KT'!$C$92:$AJ$174,34,0)</f>
        <v>0</v>
      </c>
      <c r="W123" s="273">
        <f>VLOOKUP(C123,'Chấm công KT'!$C$92:$AK$174,35,0)</f>
        <v>0</v>
      </c>
      <c r="X123" s="1104"/>
      <c r="Y123" s="339"/>
      <c r="Z123" s="273">
        <f>VLOOKUP(C123,'Chấm công KT'!C119:AN202,38,0)</f>
        <v>0</v>
      </c>
      <c r="AA123" s="273">
        <f>VLOOKUP(C123,'Chấm công KT'!$C$92:$AO$174,39,0)</f>
        <v>0</v>
      </c>
      <c r="AB123" s="268"/>
      <c r="AC123" s="254">
        <f t="shared" si="16"/>
        <v>0</v>
      </c>
      <c r="AD123" s="147" t="str">
        <f>VLOOKUP(C123,'BTH mủ tạp'!$C$15:$AL$305,36,0)</f>
        <v>A</v>
      </c>
      <c r="AE123" s="148"/>
      <c r="AF123" s="119"/>
      <c r="AH123" s="87"/>
      <c r="AI123" s="84"/>
      <c r="AJ123" s="85"/>
      <c r="AK123" s="85"/>
      <c r="AL123" s="85"/>
      <c r="AM123" s="85"/>
      <c r="AN123" s="85"/>
      <c r="AO123" s="85"/>
    </row>
    <row r="124" spans="1:41" ht="18.75" customHeight="1">
      <c r="A124" s="1013">
        <v>29</v>
      </c>
      <c r="B124" s="336" t="str">
        <f>'Chấm công KT'!D120</f>
        <v>03542</v>
      </c>
      <c r="C124" s="269" t="str">
        <f>'Chấm công KT'!C120</f>
        <v>T . Keo</v>
      </c>
      <c r="D124" s="145" t="s">
        <v>43</v>
      </c>
      <c r="E124" s="352"/>
      <c r="F124" s="352"/>
      <c r="G124" s="352"/>
      <c r="H124" s="352"/>
      <c r="I124" s="352"/>
      <c r="J124" s="337"/>
      <c r="K124" s="267"/>
      <c r="L124" s="290"/>
      <c r="M124" s="270"/>
      <c r="N124" s="146"/>
      <c r="O124" s="270"/>
      <c r="P124" s="270"/>
      <c r="Q124" s="271">
        <f t="shared" si="17"/>
        <v>0</v>
      </c>
      <c r="R124" s="251">
        <f>VLOOKUP(C124,'BTH mủ tạp'!$C$97:$AI$180,33,0)</f>
        <v>0</v>
      </c>
      <c r="S124" s="252"/>
      <c r="T124" s="272">
        <f t="shared" si="15"/>
        <v>0</v>
      </c>
      <c r="U124" s="341">
        <f t="shared" si="8"/>
        <v>0</v>
      </c>
      <c r="V124" s="273">
        <f>VLOOKUP(C124,'Chấm công KT'!$C$92:$AJ$174,34,0)</f>
        <v>0</v>
      </c>
      <c r="W124" s="273">
        <f>VLOOKUP(C124,'Chấm công KT'!$C$92:$AK$174,35,0)</f>
        <v>0</v>
      </c>
      <c r="X124" s="1104"/>
      <c r="Y124" s="339"/>
      <c r="Z124" s="273">
        <f>VLOOKUP(C124,'Chấm công KT'!C120:AN203,38,0)</f>
        <v>0</v>
      </c>
      <c r="AA124" s="273">
        <f>VLOOKUP(C124,'Chấm công KT'!$C$92:$AO$174,39,0)</f>
        <v>0</v>
      </c>
      <c r="AB124" s="268"/>
      <c r="AC124" s="254">
        <f t="shared" si="16"/>
        <v>0</v>
      </c>
      <c r="AD124" s="147" t="str">
        <f>VLOOKUP(C124,'BTH mủ tạp'!$C$15:$AL$305,36,0)</f>
        <v>B</v>
      </c>
      <c r="AE124" s="148"/>
      <c r="AF124" s="119"/>
      <c r="AH124" s="87"/>
      <c r="AI124" s="84"/>
      <c r="AJ124" s="85"/>
      <c r="AK124" s="85"/>
      <c r="AL124" s="85"/>
      <c r="AM124" s="85"/>
      <c r="AN124" s="85"/>
      <c r="AO124" s="85"/>
    </row>
    <row r="125" spans="1:41" ht="18.75" customHeight="1">
      <c r="A125" s="96">
        <v>30</v>
      </c>
      <c r="B125" s="336" t="str">
        <f>'Chấm công KT'!D121</f>
        <v>03543</v>
      </c>
      <c r="C125" s="269" t="str">
        <f>'Chấm công KT'!C121</f>
        <v>Văn Na Nọi</v>
      </c>
      <c r="D125" s="145" t="s">
        <v>43</v>
      </c>
      <c r="E125" s="352"/>
      <c r="F125" s="352"/>
      <c r="G125" s="352"/>
      <c r="H125" s="352"/>
      <c r="I125" s="352"/>
      <c r="J125" s="337"/>
      <c r="K125" s="267"/>
      <c r="L125" s="290"/>
      <c r="M125" s="270"/>
      <c r="N125" s="146"/>
      <c r="O125" s="270"/>
      <c r="P125" s="270"/>
      <c r="Q125" s="271">
        <f t="shared" si="17"/>
        <v>0</v>
      </c>
      <c r="R125" s="251">
        <f>VLOOKUP(C125,'BTH mủ tạp'!$C$97:$AI$180,33,0)</f>
        <v>0</v>
      </c>
      <c r="S125" s="252"/>
      <c r="T125" s="272">
        <f t="shared" si="15"/>
        <v>0</v>
      </c>
      <c r="U125" s="341">
        <f t="shared" si="8"/>
        <v>0</v>
      </c>
      <c r="V125" s="273">
        <f>VLOOKUP(C125,'Chấm công KT'!$C$92:$AJ$174,34,0)</f>
        <v>0</v>
      </c>
      <c r="W125" s="273">
        <f>VLOOKUP(C125,'Chấm công KT'!$C$92:$AK$174,35,0)</f>
        <v>0</v>
      </c>
      <c r="X125" s="1104"/>
      <c r="Y125" s="339"/>
      <c r="Z125" s="273">
        <f>VLOOKUP(C125,'Chấm công KT'!C121:AN204,38,0)</f>
        <v>0</v>
      </c>
      <c r="AA125" s="273">
        <f>VLOOKUP(C125,'Chấm công KT'!$C$92:$AO$174,39,0)</f>
        <v>0</v>
      </c>
      <c r="AB125" s="268"/>
      <c r="AC125" s="254">
        <f t="shared" si="16"/>
        <v>0</v>
      </c>
      <c r="AD125" s="147" t="str">
        <f>VLOOKUP(C125,'BTH mủ tạp'!$C$15:$AL$305,36,0)</f>
        <v>B</v>
      </c>
      <c r="AE125" s="148"/>
      <c r="AF125" s="119"/>
      <c r="AH125" s="87"/>
      <c r="AI125" s="84"/>
      <c r="AJ125" s="85"/>
      <c r="AK125" s="85"/>
      <c r="AL125" s="85"/>
      <c r="AM125" s="85"/>
      <c r="AN125" s="85"/>
      <c r="AO125" s="85"/>
    </row>
    <row r="126" spans="1:41" ht="18.75" customHeight="1">
      <c r="A126" s="1013">
        <v>31</v>
      </c>
      <c r="B126" s="336" t="str">
        <f>'Chấm công KT'!D122</f>
        <v>03544</v>
      </c>
      <c r="C126" s="269" t="str">
        <f>'Chấm công KT'!C122</f>
        <v>T. Ta</v>
      </c>
      <c r="D126" s="145" t="s">
        <v>43</v>
      </c>
      <c r="E126" s="352"/>
      <c r="F126" s="352"/>
      <c r="G126" s="352"/>
      <c r="H126" s="352"/>
      <c r="I126" s="352"/>
      <c r="J126" s="337"/>
      <c r="K126" s="267"/>
      <c r="L126" s="290"/>
      <c r="M126" s="270"/>
      <c r="N126" s="146"/>
      <c r="O126" s="270"/>
      <c r="P126" s="270"/>
      <c r="Q126" s="271">
        <f t="shared" si="17"/>
        <v>0</v>
      </c>
      <c r="R126" s="251">
        <f>VLOOKUP(C126,'BTH mủ tạp'!$C$97:$AI$180,33,0)</f>
        <v>0</v>
      </c>
      <c r="S126" s="252"/>
      <c r="T126" s="272">
        <f t="shared" si="15"/>
        <v>0</v>
      </c>
      <c r="U126" s="341">
        <f t="shared" si="8"/>
        <v>0</v>
      </c>
      <c r="V126" s="273">
        <f>VLOOKUP(C126,'Chấm công KT'!$C$92:$AJ$174,34,0)</f>
        <v>0</v>
      </c>
      <c r="W126" s="273">
        <f>VLOOKUP(C126,'Chấm công KT'!$C$92:$AK$174,35,0)</f>
        <v>0</v>
      </c>
      <c r="X126" s="1104"/>
      <c r="Y126" s="339"/>
      <c r="Z126" s="273">
        <f>VLOOKUP(C126,'Chấm công KT'!C122:AN205,38,0)</f>
        <v>0</v>
      </c>
      <c r="AA126" s="273">
        <f>VLOOKUP(C126,'Chấm công KT'!$C$92:$AO$174,39,0)</f>
        <v>0</v>
      </c>
      <c r="AB126" s="268"/>
      <c r="AC126" s="254">
        <f t="shared" si="16"/>
        <v>0</v>
      </c>
      <c r="AD126" s="147" t="str">
        <f>VLOOKUP(C126,'BTH mủ tạp'!$C$15:$AL$305,36,0)</f>
        <v>A</v>
      </c>
      <c r="AE126" s="148"/>
      <c r="AF126" s="119"/>
      <c r="AH126" s="87"/>
      <c r="AI126" s="84"/>
      <c r="AJ126" s="85"/>
      <c r="AK126" s="85"/>
      <c r="AL126" s="85"/>
      <c r="AM126" s="85"/>
      <c r="AN126" s="85"/>
      <c r="AO126" s="85"/>
    </row>
    <row r="127" spans="1:41" ht="18.75" customHeight="1">
      <c r="A127" s="96">
        <v>32</v>
      </c>
      <c r="B127" s="336" t="str">
        <f>'Chấm công KT'!D123</f>
        <v>03545</v>
      </c>
      <c r="C127" s="269" t="str">
        <f>'Chấm công KT'!C123</f>
        <v>Phon Xa Văn</v>
      </c>
      <c r="D127" s="145" t="s">
        <v>43</v>
      </c>
      <c r="E127" s="352"/>
      <c r="F127" s="352"/>
      <c r="G127" s="352"/>
      <c r="H127" s="352"/>
      <c r="I127" s="352"/>
      <c r="J127" s="337"/>
      <c r="K127" s="267"/>
      <c r="L127" s="290"/>
      <c r="M127" s="270"/>
      <c r="N127" s="146"/>
      <c r="O127" s="270"/>
      <c r="P127" s="270"/>
      <c r="Q127" s="271">
        <f t="shared" si="17"/>
        <v>0</v>
      </c>
      <c r="R127" s="251">
        <f>VLOOKUP(C127,'BTH mủ tạp'!$C$97:$AI$180,33,0)</f>
        <v>0</v>
      </c>
      <c r="S127" s="252"/>
      <c r="T127" s="272">
        <f t="shared" si="15"/>
        <v>0</v>
      </c>
      <c r="U127" s="341">
        <f t="shared" si="8"/>
        <v>0</v>
      </c>
      <c r="V127" s="273">
        <f>VLOOKUP(C127,'Chấm công KT'!$C$92:$AJ$174,34,0)</f>
        <v>0</v>
      </c>
      <c r="W127" s="273">
        <f>VLOOKUP(C127,'Chấm công KT'!$C$92:$AK$174,35,0)</f>
        <v>0</v>
      </c>
      <c r="X127" s="1104"/>
      <c r="Y127" s="339"/>
      <c r="Z127" s="273">
        <f>VLOOKUP(C127,'Chấm công KT'!C123:AN206,38,0)</f>
        <v>0</v>
      </c>
      <c r="AA127" s="273">
        <f>VLOOKUP(C127,'Chấm công KT'!$C$92:$AO$174,39,0)</f>
        <v>0</v>
      </c>
      <c r="AB127" s="268"/>
      <c r="AC127" s="254">
        <f t="shared" si="16"/>
        <v>0</v>
      </c>
      <c r="AD127" s="147" t="str">
        <f>VLOOKUP(C127,'BTH mủ tạp'!$C$15:$AL$305,36,0)</f>
        <v>B</v>
      </c>
      <c r="AE127" s="148"/>
      <c r="AF127" s="119"/>
      <c r="AG127" s="87"/>
      <c r="AH127" s="87"/>
      <c r="AI127" s="84"/>
      <c r="AJ127" s="85"/>
      <c r="AK127" s="85"/>
      <c r="AL127" s="85"/>
      <c r="AM127" s="85"/>
      <c r="AN127" s="85"/>
      <c r="AO127" s="85"/>
    </row>
    <row r="128" spans="1:41" ht="18.75" customHeight="1">
      <c r="A128" s="1013">
        <v>33</v>
      </c>
      <c r="B128" s="336" t="str">
        <f>'Chấm công KT'!D124</f>
        <v>03546</v>
      </c>
      <c r="C128" s="269" t="str">
        <f>'Chấm công KT'!C124</f>
        <v>T. Nọi</v>
      </c>
      <c r="D128" s="145" t="s">
        <v>43</v>
      </c>
      <c r="E128" s="352"/>
      <c r="F128" s="352"/>
      <c r="G128" s="352"/>
      <c r="H128" s="352"/>
      <c r="I128" s="352"/>
      <c r="J128" s="337"/>
      <c r="K128" s="267"/>
      <c r="L128" s="290"/>
      <c r="M128" s="270"/>
      <c r="N128" s="146"/>
      <c r="O128" s="270"/>
      <c r="P128" s="270"/>
      <c r="Q128" s="271">
        <f t="shared" si="17"/>
        <v>0</v>
      </c>
      <c r="R128" s="251">
        <f>VLOOKUP(C128,'BTH mủ tạp'!$C$97:$AI$180,33,0)</f>
        <v>0</v>
      </c>
      <c r="S128" s="252"/>
      <c r="T128" s="272">
        <f t="shared" si="15"/>
        <v>0</v>
      </c>
      <c r="U128" s="341">
        <f t="shared" si="8"/>
        <v>0</v>
      </c>
      <c r="V128" s="273">
        <f>VLOOKUP(C128,'Chấm công KT'!$C$92:$AJ$174,34,0)</f>
        <v>0</v>
      </c>
      <c r="W128" s="273">
        <f>VLOOKUP(C128,'Chấm công KT'!$C$92:$AK$174,35,0)</f>
        <v>0</v>
      </c>
      <c r="X128" s="1104"/>
      <c r="Y128" s="339"/>
      <c r="Z128" s="273">
        <f>VLOOKUP(C128,'Chấm công KT'!C124:AN207,38,0)</f>
        <v>0</v>
      </c>
      <c r="AA128" s="273">
        <f>VLOOKUP(C128,'Chấm công KT'!$C$92:$AO$174,39,0)</f>
        <v>0</v>
      </c>
      <c r="AB128" s="268"/>
      <c r="AC128" s="254">
        <f t="shared" si="16"/>
        <v>0</v>
      </c>
      <c r="AD128" s="147" t="str">
        <f>VLOOKUP(C128,'BTH mủ tạp'!$C$15:$AL$305,36,0)</f>
        <v>A</v>
      </c>
      <c r="AE128" s="148"/>
      <c r="AF128" s="119"/>
      <c r="AG128" s="87"/>
      <c r="AH128" s="87"/>
      <c r="AI128" s="84"/>
      <c r="AJ128" s="85"/>
      <c r="AK128" s="85"/>
      <c r="AL128" s="85"/>
      <c r="AM128" s="85"/>
      <c r="AN128" s="85"/>
      <c r="AO128" s="85"/>
    </row>
    <row r="129" spans="1:41" ht="18.75" customHeight="1">
      <c r="A129" s="96">
        <v>34</v>
      </c>
      <c r="B129" s="336" t="str">
        <f>'Chấm công KT'!D125</f>
        <v>03547</v>
      </c>
      <c r="C129" s="269" t="str">
        <f>'Chấm công KT'!C125</f>
        <v>N. Nôn</v>
      </c>
      <c r="D129" s="145" t="s">
        <v>43</v>
      </c>
      <c r="E129" s="352"/>
      <c r="F129" s="352"/>
      <c r="G129" s="352"/>
      <c r="H129" s="352"/>
      <c r="I129" s="352"/>
      <c r="J129" s="337"/>
      <c r="K129" s="267"/>
      <c r="L129" s="290"/>
      <c r="M129" s="270"/>
      <c r="N129" s="146"/>
      <c r="O129" s="270"/>
      <c r="P129" s="270"/>
      <c r="Q129" s="271">
        <f t="shared" si="17"/>
        <v>0</v>
      </c>
      <c r="R129" s="251">
        <f>VLOOKUP(C129,'BTH mủ tạp'!$C$97:$AI$180,33,0)</f>
        <v>0</v>
      </c>
      <c r="S129" s="252"/>
      <c r="T129" s="272">
        <f t="shared" si="15"/>
        <v>0</v>
      </c>
      <c r="U129" s="341">
        <f t="shared" si="8"/>
        <v>0</v>
      </c>
      <c r="V129" s="273">
        <f>VLOOKUP(C129,'Chấm công KT'!$C$92:$AJ$174,34,0)</f>
        <v>0</v>
      </c>
      <c r="W129" s="273">
        <f>VLOOKUP(C129,'Chấm công KT'!$C$92:$AK$174,35,0)</f>
        <v>0</v>
      </c>
      <c r="X129" s="1104"/>
      <c r="Y129" s="339"/>
      <c r="Z129" s="273">
        <f>VLOOKUP(C129,'Chấm công KT'!C125:AN208,38,0)</f>
        <v>0</v>
      </c>
      <c r="AA129" s="273">
        <f>VLOOKUP(C129,'Chấm công KT'!$C$92:$AO$174,39,0)</f>
        <v>0</v>
      </c>
      <c r="AB129" s="268"/>
      <c r="AC129" s="254">
        <f t="shared" si="16"/>
        <v>0</v>
      </c>
      <c r="AD129" s="147" t="str">
        <f>VLOOKUP(C129,'BTH mủ tạp'!$C$15:$AL$305,36,0)</f>
        <v>A</v>
      </c>
      <c r="AE129" s="148"/>
      <c r="AF129" s="119"/>
      <c r="AG129" s="87"/>
      <c r="AH129" s="87"/>
      <c r="AI129" s="84"/>
      <c r="AJ129" s="85"/>
      <c r="AK129" s="85"/>
      <c r="AL129" s="85"/>
      <c r="AM129" s="85"/>
      <c r="AN129" s="85"/>
      <c r="AO129" s="85"/>
    </row>
    <row r="130" spans="1:41" ht="18.75" customHeight="1">
      <c r="A130" s="1013">
        <v>35</v>
      </c>
      <c r="B130" s="336">
        <f>'Chấm công KT'!D126</f>
        <v>0</v>
      </c>
      <c r="C130" s="269" t="str">
        <f>'Chấm công KT'!C126</f>
        <v>N. Công Say</v>
      </c>
      <c r="D130" s="145" t="s">
        <v>43</v>
      </c>
      <c r="E130" s="352"/>
      <c r="F130" s="352"/>
      <c r="G130" s="352"/>
      <c r="H130" s="352"/>
      <c r="I130" s="352"/>
      <c r="J130" s="337"/>
      <c r="K130" s="267"/>
      <c r="L130" s="290"/>
      <c r="M130" s="270"/>
      <c r="N130" s="146"/>
      <c r="O130" s="270"/>
      <c r="P130" s="270"/>
      <c r="Q130" s="271">
        <f t="shared" si="17"/>
        <v>0</v>
      </c>
      <c r="R130" s="251">
        <f>VLOOKUP(C130,'BTH mủ tạp'!$C$97:$AI$180,33,0)</f>
        <v>0</v>
      </c>
      <c r="S130" s="252"/>
      <c r="T130" s="272">
        <f t="shared" si="15"/>
        <v>0</v>
      </c>
      <c r="U130" s="341">
        <f t="shared" si="8"/>
        <v>0</v>
      </c>
      <c r="V130" s="273">
        <f>VLOOKUP(C130,'Chấm công KT'!$C$92:$AJ$174,34,0)</f>
        <v>0</v>
      </c>
      <c r="W130" s="273">
        <f>VLOOKUP(C130,'Chấm công KT'!$C$92:$AK$174,35,0)</f>
        <v>0</v>
      </c>
      <c r="X130" s="1104"/>
      <c r="Y130" s="339"/>
      <c r="Z130" s="273">
        <f>VLOOKUP(C130,'Chấm công KT'!C126:AN209,38,0)</f>
        <v>0</v>
      </c>
      <c r="AA130" s="273">
        <f>VLOOKUP(C130,'Chấm công KT'!$C$92:$AO$174,39,0)</f>
        <v>0</v>
      </c>
      <c r="AB130" s="268"/>
      <c r="AC130" s="254">
        <f t="shared" si="16"/>
        <v>0</v>
      </c>
      <c r="AD130" s="147" t="str">
        <f>VLOOKUP(C130,'BTH mủ tạp'!$C$15:$AL$305,36,0)</f>
        <v>A</v>
      </c>
      <c r="AE130" s="148"/>
      <c r="AF130" s="119"/>
      <c r="AH130" s="87"/>
      <c r="AI130" s="84"/>
      <c r="AJ130" s="85"/>
      <c r="AK130" s="85"/>
      <c r="AL130" s="85"/>
      <c r="AM130" s="85"/>
      <c r="AN130" s="85"/>
      <c r="AO130" s="85"/>
    </row>
    <row r="131" spans="1:41" ht="18.75" customHeight="1">
      <c r="A131" s="96">
        <v>36</v>
      </c>
      <c r="B131" s="336" t="str">
        <f>'Chấm công KT'!D127</f>
        <v>03549</v>
      </c>
      <c r="C131" s="269" t="str">
        <f>'Chấm công KT'!C127</f>
        <v>N. Xi Xộm</v>
      </c>
      <c r="D131" s="145" t="s">
        <v>43</v>
      </c>
      <c r="E131" s="352"/>
      <c r="F131" s="352"/>
      <c r="G131" s="352"/>
      <c r="H131" s="352"/>
      <c r="I131" s="352"/>
      <c r="J131" s="337"/>
      <c r="K131" s="267"/>
      <c r="L131" s="290"/>
      <c r="M131" s="270"/>
      <c r="N131" s="146"/>
      <c r="O131" s="270"/>
      <c r="P131" s="270"/>
      <c r="Q131" s="271">
        <f t="shared" si="17"/>
        <v>0</v>
      </c>
      <c r="R131" s="251">
        <f>VLOOKUP(C131,'BTH mủ tạp'!$C$97:$AI$180,33,0)</f>
        <v>0</v>
      </c>
      <c r="S131" s="252"/>
      <c r="T131" s="272">
        <f t="shared" si="15"/>
        <v>0</v>
      </c>
      <c r="U131" s="341">
        <f t="shared" si="8"/>
        <v>0</v>
      </c>
      <c r="V131" s="273">
        <f>VLOOKUP(C131,'Chấm công KT'!$C$92:$AJ$174,34,0)</f>
        <v>0</v>
      </c>
      <c r="W131" s="273">
        <f>VLOOKUP(C131,'Chấm công KT'!$C$92:$AK$174,35,0)</f>
        <v>0</v>
      </c>
      <c r="X131" s="1104"/>
      <c r="Y131" s="339"/>
      <c r="Z131" s="273">
        <f>VLOOKUP(C131,'Chấm công KT'!C127:AN210,38,0)</f>
        <v>0</v>
      </c>
      <c r="AA131" s="273">
        <f>VLOOKUP(C131,'Chấm công KT'!$C$92:$AO$174,39,0)</f>
        <v>0</v>
      </c>
      <c r="AB131" s="268"/>
      <c r="AC131" s="254">
        <f t="shared" si="16"/>
        <v>0</v>
      </c>
      <c r="AD131" s="147" t="str">
        <f>VLOOKUP(C131,'BTH mủ tạp'!$C$15:$AL$305,36,0)</f>
        <v>B</v>
      </c>
      <c r="AE131" s="148"/>
      <c r="AF131" s="119"/>
      <c r="AH131" s="87"/>
      <c r="AI131" s="84"/>
      <c r="AJ131" s="85"/>
      <c r="AK131" s="85"/>
      <c r="AL131" s="85"/>
      <c r="AM131" s="85"/>
      <c r="AN131" s="85"/>
      <c r="AO131" s="85"/>
    </row>
    <row r="132" spans="1:41" ht="18.75" customHeight="1">
      <c r="A132" s="1013">
        <v>37</v>
      </c>
      <c r="B132" s="336" t="str">
        <f>'Chấm công KT'!D128</f>
        <v>03550</v>
      </c>
      <c r="C132" s="269" t="str">
        <f>'Chấm công KT'!C128</f>
        <v>T. Đuông</v>
      </c>
      <c r="D132" s="145" t="s">
        <v>43</v>
      </c>
      <c r="E132" s="352"/>
      <c r="F132" s="352"/>
      <c r="G132" s="352"/>
      <c r="H132" s="352"/>
      <c r="I132" s="352"/>
      <c r="J132" s="337"/>
      <c r="K132" s="267"/>
      <c r="L132" s="290"/>
      <c r="M132" s="270"/>
      <c r="N132" s="146"/>
      <c r="O132" s="270"/>
      <c r="P132" s="270"/>
      <c r="Q132" s="271">
        <f t="shared" si="17"/>
        <v>0</v>
      </c>
      <c r="R132" s="251">
        <f>VLOOKUP(C132,'BTH mủ tạp'!$C$97:$AI$180,33,0)</f>
        <v>0</v>
      </c>
      <c r="S132" s="252"/>
      <c r="T132" s="272">
        <f t="shared" si="15"/>
        <v>0</v>
      </c>
      <c r="U132" s="341">
        <f t="shared" si="8"/>
        <v>0</v>
      </c>
      <c r="V132" s="273">
        <f>VLOOKUP(C132,'Chấm công KT'!$C$92:$AJ$174,34,0)</f>
        <v>0</v>
      </c>
      <c r="W132" s="273">
        <f>VLOOKUP(C132,'Chấm công KT'!$C$92:$AK$174,35,0)</f>
        <v>0</v>
      </c>
      <c r="X132" s="1104"/>
      <c r="Y132" s="339"/>
      <c r="Z132" s="273">
        <f>VLOOKUP(C132,'Chấm công KT'!C128:AN211,38,0)</f>
        <v>0</v>
      </c>
      <c r="AA132" s="273">
        <f>VLOOKUP(C132,'Chấm công KT'!$C$92:$AO$174,39,0)</f>
        <v>0</v>
      </c>
      <c r="AB132" s="268"/>
      <c r="AC132" s="254">
        <f t="shared" si="16"/>
        <v>0</v>
      </c>
      <c r="AD132" s="147" t="str">
        <f>VLOOKUP(C132,'BTH mủ tạp'!$C$15:$AL$305,36,0)</f>
        <v>B</v>
      </c>
      <c r="AE132" s="148"/>
      <c r="AF132" s="119"/>
      <c r="AH132" s="87"/>
      <c r="AI132" s="84"/>
      <c r="AJ132" s="85"/>
      <c r="AK132" s="85"/>
      <c r="AL132" s="85"/>
      <c r="AM132" s="85"/>
      <c r="AN132" s="85"/>
      <c r="AO132" s="85"/>
    </row>
    <row r="133" spans="1:41" ht="18.75" customHeight="1">
      <c r="A133" s="96">
        <v>38</v>
      </c>
      <c r="B133" s="336" t="str">
        <f>'Chấm công KT'!D129</f>
        <v>03551</v>
      </c>
      <c r="C133" s="269" t="str">
        <f>'Chấm công KT'!C129</f>
        <v>T . Pheng</v>
      </c>
      <c r="D133" s="145" t="s">
        <v>43</v>
      </c>
      <c r="E133" s="352"/>
      <c r="F133" s="352"/>
      <c r="G133" s="352"/>
      <c r="H133" s="352"/>
      <c r="I133" s="352"/>
      <c r="J133" s="337"/>
      <c r="K133" s="267"/>
      <c r="L133" s="290"/>
      <c r="M133" s="270"/>
      <c r="N133" s="146"/>
      <c r="O133" s="270"/>
      <c r="P133" s="270"/>
      <c r="Q133" s="271">
        <f t="shared" si="17"/>
        <v>0</v>
      </c>
      <c r="R133" s="251">
        <f>VLOOKUP(C133,'BTH mủ tạp'!$C$97:$AI$180,33,0)</f>
        <v>0</v>
      </c>
      <c r="S133" s="252"/>
      <c r="T133" s="272">
        <f t="shared" si="15"/>
        <v>0</v>
      </c>
      <c r="U133" s="341">
        <f t="shared" si="8"/>
        <v>0</v>
      </c>
      <c r="V133" s="273">
        <f>VLOOKUP(C133,'Chấm công KT'!$C$92:$AJ$174,34,0)</f>
        <v>0</v>
      </c>
      <c r="W133" s="273">
        <f>VLOOKUP(C133,'Chấm công KT'!$C$92:$AK$174,35,0)</f>
        <v>0</v>
      </c>
      <c r="X133" s="1104"/>
      <c r="Y133" s="339"/>
      <c r="Z133" s="273">
        <f>VLOOKUP(C133,'Chấm công KT'!C129:AN212,38,0)</f>
        <v>0</v>
      </c>
      <c r="AA133" s="273">
        <f>VLOOKUP(C133,'Chấm công KT'!$C$92:$AO$174,39,0)</f>
        <v>0</v>
      </c>
      <c r="AB133" s="268"/>
      <c r="AC133" s="254">
        <f t="shared" si="16"/>
        <v>0</v>
      </c>
      <c r="AD133" s="147" t="str">
        <f>VLOOKUP(C133,'BTH mủ tạp'!$C$15:$AL$305,36,0)</f>
        <v>B</v>
      </c>
      <c r="AE133" s="148"/>
      <c r="AF133" s="119"/>
      <c r="AH133" s="87"/>
      <c r="AI133" s="84"/>
      <c r="AJ133" s="85"/>
      <c r="AK133" s="85"/>
      <c r="AL133" s="85"/>
      <c r="AM133" s="85"/>
      <c r="AN133" s="85"/>
      <c r="AO133" s="85"/>
    </row>
    <row r="134" spans="1:41" ht="18.75" customHeight="1">
      <c r="A134" s="1013">
        <v>39</v>
      </c>
      <c r="B134" s="336">
        <f>'Chấm công KT'!D130</f>
        <v>0</v>
      </c>
      <c r="C134" s="269" t="str">
        <f>'Chấm công KT'!C130</f>
        <v>T. Nọi Ê</v>
      </c>
      <c r="D134" s="145" t="s">
        <v>43</v>
      </c>
      <c r="E134" s="352"/>
      <c r="F134" s="352"/>
      <c r="G134" s="352"/>
      <c r="H134" s="352"/>
      <c r="I134" s="352"/>
      <c r="J134" s="337"/>
      <c r="K134" s="267"/>
      <c r="L134" s="290"/>
      <c r="M134" s="270"/>
      <c r="N134" s="146"/>
      <c r="O134" s="270"/>
      <c r="P134" s="270"/>
      <c r="Q134" s="271">
        <f t="shared" si="17"/>
        <v>0</v>
      </c>
      <c r="R134" s="251">
        <f>VLOOKUP(C134,'BTH mủ tạp'!$C$97:$AI$180,33,0)</f>
        <v>0</v>
      </c>
      <c r="S134" s="252"/>
      <c r="T134" s="272">
        <f t="shared" si="15"/>
        <v>0</v>
      </c>
      <c r="U134" s="341">
        <f t="shared" si="8"/>
        <v>0</v>
      </c>
      <c r="V134" s="273">
        <f>VLOOKUP(C134,'Chấm công KT'!$C$92:$AJ$174,34,0)</f>
        <v>0</v>
      </c>
      <c r="W134" s="273">
        <f>VLOOKUP(C134,'Chấm công KT'!$C$92:$AK$174,35,0)</f>
        <v>0</v>
      </c>
      <c r="X134" s="1104"/>
      <c r="Y134" s="339"/>
      <c r="Z134" s="273">
        <f>VLOOKUP(C134,'Chấm công KT'!C130:AN213,38,0)</f>
        <v>0</v>
      </c>
      <c r="AA134" s="273">
        <f>VLOOKUP(C134,'Chấm công KT'!$C$92:$AO$174,39,0)</f>
        <v>0</v>
      </c>
      <c r="AB134" s="268"/>
      <c r="AC134" s="254">
        <f t="shared" si="16"/>
        <v>0</v>
      </c>
      <c r="AD134" s="147" t="str">
        <f>VLOOKUP(C134,'BTH mủ tạp'!$C$15:$AL$305,36,0)</f>
        <v>A</v>
      </c>
      <c r="AE134" s="148"/>
      <c r="AF134" s="119"/>
      <c r="AH134" s="85"/>
      <c r="AI134" s="88"/>
      <c r="AJ134" s="85"/>
      <c r="AK134" s="85"/>
      <c r="AL134" s="85"/>
      <c r="AM134" s="85"/>
      <c r="AN134" s="85"/>
      <c r="AO134" s="85"/>
    </row>
    <row r="135" spans="1:41" ht="18.75" customHeight="1">
      <c r="A135" s="96">
        <v>40</v>
      </c>
      <c r="B135" s="336" t="str">
        <f>'Chấm công KT'!D131</f>
        <v>03488</v>
      </c>
      <c r="C135" s="269" t="str">
        <f>'Chấm công KT'!C131</f>
        <v>N. Đeng</v>
      </c>
      <c r="D135" s="145" t="s">
        <v>43</v>
      </c>
      <c r="E135" s="352"/>
      <c r="F135" s="352"/>
      <c r="G135" s="352"/>
      <c r="H135" s="352"/>
      <c r="I135" s="352"/>
      <c r="J135" s="337"/>
      <c r="K135" s="267"/>
      <c r="L135" s="290"/>
      <c r="M135" s="270"/>
      <c r="N135" s="146"/>
      <c r="O135" s="270"/>
      <c r="P135" s="270"/>
      <c r="Q135" s="271">
        <f t="shared" si="17"/>
        <v>0</v>
      </c>
      <c r="R135" s="251">
        <f>VLOOKUP(C135,'BTH mủ tạp'!$C$97:$AI$180,33,0)</f>
        <v>0</v>
      </c>
      <c r="S135" s="252"/>
      <c r="T135" s="272">
        <f t="shared" si="15"/>
        <v>0</v>
      </c>
      <c r="U135" s="341">
        <f t="shared" si="8"/>
        <v>0</v>
      </c>
      <c r="V135" s="273">
        <f>VLOOKUP(C135,'Chấm công KT'!$C$92:$AJ$174,34,0)</f>
        <v>0</v>
      </c>
      <c r="W135" s="273">
        <f>VLOOKUP(C135,'Chấm công KT'!$C$92:$AK$174,35,0)</f>
        <v>0</v>
      </c>
      <c r="X135" s="1104"/>
      <c r="Y135" s="339"/>
      <c r="Z135" s="273">
        <f>VLOOKUP(C135,'Chấm công KT'!C131:AN214,38,0)</f>
        <v>0</v>
      </c>
      <c r="AA135" s="273">
        <f>VLOOKUP(C135,'Chấm công KT'!$C$92:$AO$174,39,0)</f>
        <v>0</v>
      </c>
      <c r="AB135" s="268"/>
      <c r="AC135" s="254">
        <f t="shared" si="16"/>
        <v>0</v>
      </c>
      <c r="AD135" s="147" t="str">
        <f>VLOOKUP(C135,'BTH mủ tạp'!$C$15:$AL$305,36,0)</f>
        <v>A</v>
      </c>
      <c r="AE135" s="148"/>
      <c r="AF135" s="119"/>
      <c r="AG135" s="87"/>
      <c r="AH135" s="85"/>
      <c r="AI135" s="88"/>
      <c r="AJ135" s="85"/>
      <c r="AK135" s="85"/>
      <c r="AL135" s="85"/>
      <c r="AM135" s="85"/>
      <c r="AN135" s="85"/>
      <c r="AO135" s="85"/>
    </row>
    <row r="136" spans="1:41" ht="18.75" customHeight="1">
      <c r="A136" s="1013">
        <v>41</v>
      </c>
      <c r="B136" s="336">
        <f>'Chấm công KT'!D132</f>
        <v>0</v>
      </c>
      <c r="C136" s="269" t="str">
        <f>'Chấm công KT'!C132</f>
        <v>Xôm Phon 1</v>
      </c>
      <c r="D136" s="145" t="s">
        <v>43</v>
      </c>
      <c r="E136" s="352"/>
      <c r="F136" s="352"/>
      <c r="G136" s="352"/>
      <c r="H136" s="352"/>
      <c r="I136" s="352"/>
      <c r="J136" s="337"/>
      <c r="K136" s="267"/>
      <c r="L136" s="290"/>
      <c r="M136" s="270"/>
      <c r="N136" s="146"/>
      <c r="O136" s="270"/>
      <c r="P136" s="270"/>
      <c r="Q136" s="271">
        <f t="shared" si="17"/>
        <v>0</v>
      </c>
      <c r="R136" s="251">
        <f>VLOOKUP(C136,'BTH mủ tạp'!$C$97:$AI$180,33,0)</f>
        <v>0</v>
      </c>
      <c r="S136" s="252"/>
      <c r="T136" s="272">
        <f t="shared" si="15"/>
        <v>0</v>
      </c>
      <c r="U136" s="341">
        <f t="shared" si="8"/>
        <v>0</v>
      </c>
      <c r="V136" s="273">
        <f>VLOOKUP(C136,'Chấm công KT'!$C$92:$AJ$174,34,0)</f>
        <v>0</v>
      </c>
      <c r="W136" s="273">
        <f>VLOOKUP(C136,'Chấm công KT'!$C$92:$AK$174,35,0)</f>
        <v>0</v>
      </c>
      <c r="X136" s="1104"/>
      <c r="Y136" s="339"/>
      <c r="Z136" s="273">
        <f>VLOOKUP(C136,'Chấm công KT'!C132:AN215,38,0)</f>
        <v>0</v>
      </c>
      <c r="AA136" s="273">
        <f>VLOOKUP(C136,'Chấm công KT'!$C$92:$AO$174,39,0)</f>
        <v>0</v>
      </c>
      <c r="AB136" s="268"/>
      <c r="AC136" s="254">
        <f t="shared" si="16"/>
        <v>0</v>
      </c>
      <c r="AD136" s="147" t="str">
        <f>VLOOKUP(C136,'BTH mủ tạp'!$C$15:$AL$305,36,0)</f>
        <v>C</v>
      </c>
      <c r="AE136" s="148"/>
      <c r="AF136" s="119"/>
      <c r="AH136" s="85"/>
      <c r="AI136" s="88"/>
      <c r="AJ136" s="85"/>
      <c r="AK136" s="85"/>
      <c r="AL136" s="85"/>
      <c r="AM136" s="85"/>
      <c r="AN136" s="85"/>
      <c r="AO136" s="85"/>
    </row>
    <row r="137" spans="1:41" ht="18.75" customHeight="1">
      <c r="A137" s="96">
        <v>42</v>
      </c>
      <c r="B137" s="336" t="str">
        <f>'Chấm công KT'!D133</f>
        <v>03555</v>
      </c>
      <c r="C137" s="269" t="str">
        <f>'Chấm công KT'!C133</f>
        <v>C. Trang 1</v>
      </c>
      <c r="D137" s="145" t="s">
        <v>43</v>
      </c>
      <c r="E137" s="352"/>
      <c r="F137" s="352"/>
      <c r="G137" s="352"/>
      <c r="H137" s="352"/>
      <c r="I137" s="352"/>
      <c r="J137" s="337"/>
      <c r="K137" s="267"/>
      <c r="L137" s="290"/>
      <c r="M137" s="270"/>
      <c r="N137" s="146"/>
      <c r="O137" s="270"/>
      <c r="P137" s="270"/>
      <c r="Q137" s="271">
        <f t="shared" si="17"/>
        <v>0</v>
      </c>
      <c r="R137" s="251">
        <f>VLOOKUP(C137,'BTH mủ tạp'!$C$97:$AI$180,33,0)</f>
        <v>0</v>
      </c>
      <c r="S137" s="252"/>
      <c r="T137" s="272">
        <f t="shared" si="15"/>
        <v>0</v>
      </c>
      <c r="U137" s="341">
        <f t="shared" si="8"/>
        <v>0</v>
      </c>
      <c r="V137" s="273">
        <f>VLOOKUP(C137,'Chấm công KT'!$C$92:$AJ$174,34,0)</f>
        <v>0</v>
      </c>
      <c r="W137" s="273">
        <f>VLOOKUP(C137,'Chấm công KT'!$C$92:$AK$174,35,0)</f>
        <v>0</v>
      </c>
      <c r="X137" s="1104"/>
      <c r="Y137" s="339"/>
      <c r="Z137" s="273">
        <f>VLOOKUP(C137,'Chấm công KT'!C133:AN216,38,0)</f>
        <v>0</v>
      </c>
      <c r="AA137" s="273">
        <f>VLOOKUP(C137,'Chấm công KT'!$C$92:$AO$174,39,0)</f>
        <v>0</v>
      </c>
      <c r="AB137" s="268"/>
      <c r="AC137" s="254">
        <f t="shared" si="16"/>
        <v>0</v>
      </c>
      <c r="AD137" s="147" t="str">
        <f>VLOOKUP(C137,'BTH mủ tạp'!$C$15:$AL$305,36,0)</f>
        <v>A</v>
      </c>
      <c r="AE137" s="148"/>
      <c r="AF137" s="119"/>
      <c r="AH137" s="85"/>
      <c r="AI137" s="84"/>
      <c r="AJ137" s="85"/>
      <c r="AK137" s="85"/>
      <c r="AL137" s="85"/>
      <c r="AM137" s="85"/>
      <c r="AN137" s="85"/>
      <c r="AO137" s="85"/>
    </row>
    <row r="138" spans="1:41" ht="18.75" customHeight="1">
      <c r="A138" s="1013">
        <v>43</v>
      </c>
      <c r="B138" s="336">
        <f>'Chấm công KT'!D134</f>
        <v>0</v>
      </c>
      <c r="C138" s="269" t="str">
        <f>'Chấm công KT'!C134</f>
        <v>Lâm Ngân</v>
      </c>
      <c r="D138" s="145" t="s">
        <v>43</v>
      </c>
      <c r="E138" s="352"/>
      <c r="F138" s="352"/>
      <c r="G138" s="352"/>
      <c r="H138" s="352"/>
      <c r="I138" s="352"/>
      <c r="J138" s="337"/>
      <c r="K138" s="267"/>
      <c r="L138" s="267"/>
      <c r="M138" s="152"/>
      <c r="N138" s="146"/>
      <c r="O138" s="146"/>
      <c r="P138" s="146"/>
      <c r="Q138" s="271">
        <f t="shared" si="17"/>
        <v>0</v>
      </c>
      <c r="R138" s="251">
        <f>VLOOKUP(C138,'BTH mủ tạp'!$C$97:$AI$180,33,0)</f>
        <v>0</v>
      </c>
      <c r="S138" s="252"/>
      <c r="T138" s="272">
        <f t="shared" si="15"/>
        <v>0</v>
      </c>
      <c r="U138" s="341">
        <f t="shared" si="8"/>
        <v>0</v>
      </c>
      <c r="V138" s="273">
        <f>VLOOKUP(C138,'Chấm công KT'!$C$92:$AJ$174,34,0)</f>
        <v>0</v>
      </c>
      <c r="W138" s="273">
        <f>VLOOKUP(C138,'Chấm công KT'!$C$92:$AK$174,35,0)</f>
        <v>0</v>
      </c>
      <c r="X138" s="1104"/>
      <c r="Y138" s="339"/>
      <c r="Z138" s="273">
        <f>VLOOKUP(C138,'Chấm công KT'!C134:AN217,38,0)</f>
        <v>0</v>
      </c>
      <c r="AA138" s="273">
        <f>VLOOKUP(C138,'Chấm công KT'!$C$92:$AO$174,39,0)</f>
        <v>0</v>
      </c>
      <c r="AB138" s="268"/>
      <c r="AC138" s="254">
        <f t="shared" si="16"/>
        <v>0</v>
      </c>
      <c r="AD138" s="147" t="str">
        <f>VLOOKUP(C138,'BTH mủ tạp'!$C$15:$AL$305,36,0)</f>
        <v>A</v>
      </c>
      <c r="AE138" s="148"/>
      <c r="AF138" s="119"/>
      <c r="AH138" s="85"/>
      <c r="AI138" s="84"/>
      <c r="AJ138" s="85"/>
      <c r="AK138" s="85"/>
      <c r="AL138" s="85"/>
      <c r="AM138" s="85"/>
      <c r="AN138" s="85"/>
      <c r="AO138" s="85"/>
    </row>
    <row r="139" spans="1:41" ht="18.75" customHeight="1">
      <c r="A139" s="96">
        <v>44</v>
      </c>
      <c r="B139" s="336">
        <f>'Chấm công KT'!D135</f>
        <v>0</v>
      </c>
      <c r="C139" s="269" t="str">
        <f>'Chấm công KT'!C135</f>
        <v>T. Thong A</v>
      </c>
      <c r="D139" s="145" t="s">
        <v>43</v>
      </c>
      <c r="E139" s="352"/>
      <c r="F139" s="352"/>
      <c r="G139" s="352"/>
      <c r="H139" s="352"/>
      <c r="I139" s="352"/>
      <c r="J139" s="337"/>
      <c r="K139" s="267"/>
      <c r="L139" s="267"/>
      <c r="M139" s="152"/>
      <c r="N139" s="146"/>
      <c r="O139" s="146"/>
      <c r="P139" s="146"/>
      <c r="Q139" s="271">
        <f t="shared" si="17"/>
        <v>0</v>
      </c>
      <c r="R139" s="251">
        <f>VLOOKUP(C139,'BTH mủ tạp'!$C$97:$AI$180,33,0)</f>
        <v>0</v>
      </c>
      <c r="S139" s="252"/>
      <c r="T139" s="272">
        <f t="shared" si="15"/>
        <v>0</v>
      </c>
      <c r="U139" s="341">
        <f t="shared" si="8"/>
        <v>0</v>
      </c>
      <c r="V139" s="273">
        <f>VLOOKUP(C139,'Chấm công KT'!$C$92:$AJ$174,34,0)</f>
        <v>0</v>
      </c>
      <c r="W139" s="273">
        <f>VLOOKUP(C139,'Chấm công KT'!$C$92:$AK$174,35,0)</f>
        <v>0</v>
      </c>
      <c r="X139" s="1104"/>
      <c r="Y139" s="339"/>
      <c r="Z139" s="273">
        <f>VLOOKUP(C139,'Chấm công KT'!C135:AN218,38,0)</f>
        <v>0</v>
      </c>
      <c r="AA139" s="273">
        <f>VLOOKUP(C139,'Chấm công KT'!$C$92:$AO$174,39,0)</f>
        <v>0</v>
      </c>
      <c r="AB139" s="268"/>
      <c r="AC139" s="254">
        <f t="shared" si="16"/>
        <v>0</v>
      </c>
      <c r="AD139" s="147" t="str">
        <f>VLOOKUP(C139,'BTH mủ tạp'!$C$15:$AL$305,36,0)</f>
        <v>A</v>
      </c>
      <c r="AE139" s="148"/>
      <c r="AF139" s="119"/>
      <c r="AH139" s="85"/>
      <c r="AI139" s="88"/>
      <c r="AJ139" s="85"/>
      <c r="AK139" s="85"/>
      <c r="AL139" s="85"/>
      <c r="AM139" s="85"/>
      <c r="AN139" s="85"/>
      <c r="AO139" s="85"/>
    </row>
    <row r="140" spans="1:41" ht="18.75" customHeight="1">
      <c r="A140" s="1013">
        <v>45</v>
      </c>
      <c r="B140" s="336">
        <f>'Chấm công KT'!D136</f>
        <v>0</v>
      </c>
      <c r="C140" s="269" t="str">
        <f>'Chấm công KT'!C136</f>
        <v>T Phù</v>
      </c>
      <c r="D140" s="145" t="s">
        <v>43</v>
      </c>
      <c r="E140" s="352"/>
      <c r="F140" s="352"/>
      <c r="G140" s="352"/>
      <c r="H140" s="352"/>
      <c r="I140" s="352"/>
      <c r="J140" s="337"/>
      <c r="K140" s="267"/>
      <c r="L140" s="290"/>
      <c r="M140" s="270"/>
      <c r="N140" s="146"/>
      <c r="O140" s="146"/>
      <c r="P140" s="146"/>
      <c r="Q140" s="271">
        <f t="shared" si="17"/>
        <v>0</v>
      </c>
      <c r="R140" s="251">
        <f>VLOOKUP(C140,'BTH mủ tạp'!$C$97:$AI$180,33,0)</f>
        <v>0</v>
      </c>
      <c r="S140" s="252"/>
      <c r="T140" s="272">
        <f t="shared" si="15"/>
        <v>0</v>
      </c>
      <c r="U140" s="341">
        <f t="shared" si="8"/>
        <v>0</v>
      </c>
      <c r="V140" s="273">
        <f>VLOOKUP(C140,'Chấm công KT'!$C$92:$AJ$174,34,0)</f>
        <v>0</v>
      </c>
      <c r="W140" s="273">
        <f>VLOOKUP(C140,'Chấm công KT'!$C$92:$AK$174,35,0)</f>
        <v>0</v>
      </c>
      <c r="X140" s="1104"/>
      <c r="Y140" s="339"/>
      <c r="Z140" s="273">
        <f>VLOOKUP(C140,'Chấm công KT'!C136:AN219,38,0)</f>
        <v>0</v>
      </c>
      <c r="AA140" s="273">
        <f>VLOOKUP(C140,'Chấm công KT'!$C$92:$AO$174,39,0)</f>
        <v>0</v>
      </c>
      <c r="AB140" s="268"/>
      <c r="AC140" s="254">
        <f t="shared" si="16"/>
        <v>0</v>
      </c>
      <c r="AD140" s="147" t="str">
        <f>VLOOKUP(C140,'BTH mủ tạp'!$C$15:$AL$305,36,0)</f>
        <v>A</v>
      </c>
      <c r="AE140" s="148"/>
      <c r="AF140" s="119"/>
      <c r="AH140" s="85"/>
      <c r="AI140" s="88"/>
      <c r="AJ140" s="85"/>
      <c r="AK140" s="85"/>
      <c r="AL140" s="85"/>
      <c r="AM140" s="85"/>
      <c r="AN140" s="85"/>
      <c r="AO140" s="85"/>
    </row>
    <row r="141" spans="1:41" ht="18.75" customHeight="1">
      <c r="A141" s="96">
        <v>46</v>
      </c>
      <c r="B141" s="336" t="str">
        <f>'Chấm công KT'!D137</f>
        <v>03559</v>
      </c>
      <c r="C141" s="269" t="str">
        <f>'Chấm công KT'!C137</f>
        <v>Viêng Khăm</v>
      </c>
      <c r="D141" s="145" t="s">
        <v>43</v>
      </c>
      <c r="E141" s="352"/>
      <c r="F141" s="352"/>
      <c r="G141" s="352"/>
      <c r="H141" s="352"/>
      <c r="I141" s="352"/>
      <c r="J141" s="337"/>
      <c r="K141" s="267"/>
      <c r="L141" s="267"/>
      <c r="M141" s="152"/>
      <c r="N141" s="146"/>
      <c r="O141" s="146"/>
      <c r="P141" s="146"/>
      <c r="Q141" s="271">
        <f t="shared" si="17"/>
        <v>0</v>
      </c>
      <c r="R141" s="251">
        <f>VLOOKUP(C141,'BTH mủ tạp'!$C$97:$AI$180,33,0)</f>
        <v>0</v>
      </c>
      <c r="S141" s="252"/>
      <c r="T141" s="272">
        <f t="shared" si="15"/>
        <v>0</v>
      </c>
      <c r="U141" s="341">
        <f t="shared" si="8"/>
        <v>0</v>
      </c>
      <c r="V141" s="273">
        <f>VLOOKUP(C141,'Chấm công KT'!$C$92:$AJ$174,34,0)</f>
        <v>0</v>
      </c>
      <c r="W141" s="273">
        <f>VLOOKUP(C141,'Chấm công KT'!$C$92:$AK$174,35,0)</f>
        <v>0</v>
      </c>
      <c r="X141" s="1104"/>
      <c r="Y141" s="339"/>
      <c r="Z141" s="273">
        <f>VLOOKUP(C141,'Chấm công KT'!C137:AN220,38,0)</f>
        <v>0</v>
      </c>
      <c r="AA141" s="273">
        <f>VLOOKUP(C141,'Chấm công KT'!$C$92:$AO$174,39,0)</f>
        <v>0</v>
      </c>
      <c r="AB141" s="268"/>
      <c r="AC141" s="254">
        <f t="shared" si="16"/>
        <v>0</v>
      </c>
      <c r="AD141" s="147" t="str">
        <f>VLOOKUP(C141,'BTH mủ tạp'!$C$15:$AL$305,36,0)</f>
        <v>B</v>
      </c>
      <c r="AE141" s="148"/>
      <c r="AF141" s="119"/>
      <c r="AH141" s="85"/>
      <c r="AI141" s="84"/>
      <c r="AJ141" s="85"/>
      <c r="AK141" s="85"/>
      <c r="AL141" s="85"/>
      <c r="AM141" s="85"/>
      <c r="AN141" s="85"/>
      <c r="AO141" s="85"/>
    </row>
    <row r="142" spans="1:41" ht="18.75" customHeight="1">
      <c r="A142" s="1013">
        <v>47</v>
      </c>
      <c r="B142" s="336" t="str">
        <f>'Chấm công KT'!D138</f>
        <v>03560</v>
      </c>
      <c r="C142" s="269" t="str">
        <f>'Chấm công KT'!C138</f>
        <v>Veo Khăm</v>
      </c>
      <c r="D142" s="145" t="s">
        <v>43</v>
      </c>
      <c r="E142" s="352"/>
      <c r="F142" s="352"/>
      <c r="G142" s="352"/>
      <c r="H142" s="352"/>
      <c r="I142" s="352"/>
      <c r="J142" s="337"/>
      <c r="K142" s="267"/>
      <c r="L142" s="267"/>
      <c r="M142" s="152"/>
      <c r="N142" s="146"/>
      <c r="O142" s="146"/>
      <c r="P142" s="146"/>
      <c r="Q142" s="271">
        <f t="shared" si="17"/>
        <v>0</v>
      </c>
      <c r="R142" s="251">
        <f>VLOOKUP(C142,'BTH mủ tạp'!$C$97:$AI$180,33,0)</f>
        <v>0</v>
      </c>
      <c r="S142" s="252"/>
      <c r="T142" s="272">
        <f t="shared" si="15"/>
        <v>0</v>
      </c>
      <c r="U142" s="341">
        <f t="shared" si="8"/>
        <v>0</v>
      </c>
      <c r="V142" s="273">
        <f>VLOOKUP(C142,'Chấm công KT'!$C$92:$AJ$174,34,0)</f>
        <v>0</v>
      </c>
      <c r="W142" s="273">
        <f>VLOOKUP(C142,'Chấm công KT'!$C$92:$AK$174,35,0)</f>
        <v>0</v>
      </c>
      <c r="X142" s="1104"/>
      <c r="Y142" s="339"/>
      <c r="Z142" s="273">
        <f>VLOOKUP(C142,'Chấm công KT'!C138:AN221,38,0)</f>
        <v>0</v>
      </c>
      <c r="AA142" s="273">
        <f>VLOOKUP(C142,'Chấm công KT'!$C$92:$AO$174,39,0)</f>
        <v>0</v>
      </c>
      <c r="AB142" s="268"/>
      <c r="AC142" s="254">
        <f t="shared" si="16"/>
        <v>0</v>
      </c>
      <c r="AD142" s="147" t="str">
        <f>VLOOKUP(C142,'BTH mủ tạp'!$C$15:$AL$305,36,0)</f>
        <v>A</v>
      </c>
      <c r="AE142" s="148"/>
      <c r="AF142" s="119"/>
      <c r="AH142" s="85"/>
      <c r="AI142" s="88"/>
      <c r="AJ142" s="85"/>
      <c r="AK142" s="85"/>
      <c r="AL142" s="85"/>
      <c r="AM142" s="85"/>
      <c r="AN142" s="85"/>
      <c r="AO142" s="85"/>
    </row>
    <row r="143" spans="1:41" ht="18.75" customHeight="1">
      <c r="A143" s="96">
        <v>48</v>
      </c>
      <c r="B143" s="336" t="str">
        <f>'Chấm công KT'!D139</f>
        <v>03561</v>
      </c>
      <c r="C143" s="269" t="str">
        <f>'Chấm công KT'!C139</f>
        <v>T . Khon</v>
      </c>
      <c r="D143" s="145" t="s">
        <v>43</v>
      </c>
      <c r="E143" s="352"/>
      <c r="F143" s="352"/>
      <c r="G143" s="352"/>
      <c r="H143" s="352"/>
      <c r="I143" s="352"/>
      <c r="J143" s="337"/>
      <c r="K143" s="267"/>
      <c r="L143" s="267"/>
      <c r="M143" s="152"/>
      <c r="N143" s="146"/>
      <c r="O143" s="146"/>
      <c r="P143" s="146"/>
      <c r="Q143" s="271">
        <f t="shared" si="17"/>
        <v>0</v>
      </c>
      <c r="R143" s="251">
        <f>VLOOKUP(C143,'BTH mủ tạp'!$C$97:$AI$180,33,0)</f>
        <v>0</v>
      </c>
      <c r="S143" s="252"/>
      <c r="T143" s="272">
        <f t="shared" si="15"/>
        <v>0</v>
      </c>
      <c r="U143" s="341">
        <f t="shared" si="8"/>
        <v>0</v>
      </c>
      <c r="V143" s="273">
        <f>VLOOKUP(C143,'Chấm công KT'!$C$92:$AJ$174,34,0)</f>
        <v>0</v>
      </c>
      <c r="W143" s="273">
        <f>VLOOKUP(C143,'Chấm công KT'!$C$92:$AK$174,35,0)</f>
        <v>0</v>
      </c>
      <c r="X143" s="1104"/>
      <c r="Y143" s="339"/>
      <c r="Z143" s="273">
        <f>VLOOKUP(C143,'Chấm công KT'!C139:AN222,38,0)</f>
        <v>0</v>
      </c>
      <c r="AA143" s="273">
        <f>VLOOKUP(C143,'Chấm công KT'!$C$92:$AO$174,39,0)</f>
        <v>0</v>
      </c>
      <c r="AB143" s="268"/>
      <c r="AC143" s="254">
        <f t="shared" si="16"/>
        <v>0</v>
      </c>
      <c r="AD143" s="147" t="str">
        <f>VLOOKUP(C143,'BTH mủ tạp'!$C$15:$AL$305,36,0)</f>
        <v>C</v>
      </c>
      <c r="AE143" s="148"/>
      <c r="AF143" s="119"/>
      <c r="AH143" s="85"/>
      <c r="AI143" s="88"/>
      <c r="AJ143" s="85"/>
      <c r="AK143" s="85"/>
      <c r="AL143" s="85"/>
      <c r="AM143" s="85"/>
      <c r="AN143" s="85"/>
      <c r="AO143" s="85"/>
    </row>
    <row r="144" spans="1:41" ht="18.75" customHeight="1">
      <c r="A144" s="1013">
        <v>49</v>
      </c>
      <c r="B144" s="336" t="str">
        <f>'Chấm công KT'!D140</f>
        <v>03562</v>
      </c>
      <c r="C144" s="269" t="str">
        <f>'Chấm công KT'!C140</f>
        <v>N. Nun</v>
      </c>
      <c r="D144" s="145" t="s">
        <v>43</v>
      </c>
      <c r="E144" s="352"/>
      <c r="F144" s="352"/>
      <c r="G144" s="352"/>
      <c r="H144" s="352"/>
      <c r="I144" s="352"/>
      <c r="J144" s="337"/>
      <c r="K144" s="267"/>
      <c r="L144" s="290"/>
      <c r="M144" s="270"/>
      <c r="N144" s="146"/>
      <c r="O144" s="270"/>
      <c r="P144" s="270"/>
      <c r="Q144" s="271">
        <f t="shared" si="17"/>
        <v>0</v>
      </c>
      <c r="R144" s="251">
        <f>VLOOKUP(C144,'BTH mủ tạp'!$C$97:$AI$180,33,0)</f>
        <v>0</v>
      </c>
      <c r="S144" s="252"/>
      <c r="T144" s="272">
        <f t="shared" si="15"/>
        <v>0</v>
      </c>
      <c r="U144" s="341">
        <f t="shared" si="8"/>
        <v>0</v>
      </c>
      <c r="V144" s="273">
        <f>VLOOKUP(C144,'Chấm công KT'!$C$92:$AJ$174,34,0)</f>
        <v>0</v>
      </c>
      <c r="W144" s="273">
        <f>VLOOKUP(C144,'Chấm công KT'!$C$92:$AK$174,35,0)</f>
        <v>0</v>
      </c>
      <c r="X144" s="1104"/>
      <c r="Y144" s="339"/>
      <c r="Z144" s="273">
        <f>VLOOKUP(C144,'Chấm công KT'!C140:AN223,38,0)</f>
        <v>0</v>
      </c>
      <c r="AA144" s="273">
        <f>VLOOKUP(C144,'Chấm công KT'!$C$92:$AO$174,39,0)</f>
        <v>0</v>
      </c>
      <c r="AB144" s="268"/>
      <c r="AC144" s="254">
        <f t="shared" si="16"/>
        <v>0</v>
      </c>
      <c r="AD144" s="147" t="str">
        <f>VLOOKUP(C144,'BTH mủ tạp'!$C$15:$AL$305,36,0)</f>
        <v>A</v>
      </c>
      <c r="AE144" s="148"/>
      <c r="AF144" s="119"/>
      <c r="AH144" s="85"/>
      <c r="AI144" s="88"/>
      <c r="AJ144" s="85"/>
      <c r="AK144" s="85"/>
      <c r="AL144" s="85"/>
      <c r="AM144" s="85"/>
      <c r="AN144" s="85"/>
      <c r="AO144" s="85"/>
    </row>
    <row r="145" spans="1:41" ht="18.75" customHeight="1">
      <c r="A145" s="96">
        <v>50</v>
      </c>
      <c r="B145" s="336" t="str">
        <f>'Chấm công KT'!D141</f>
        <v>03563</v>
      </c>
      <c r="C145" s="269" t="str">
        <f>'Chấm công KT'!C141</f>
        <v>In Pông</v>
      </c>
      <c r="D145" s="145" t="s">
        <v>43</v>
      </c>
      <c r="E145" s="352"/>
      <c r="F145" s="352"/>
      <c r="G145" s="352"/>
      <c r="H145" s="352"/>
      <c r="I145" s="352"/>
      <c r="J145" s="337"/>
      <c r="K145" s="267"/>
      <c r="L145" s="290"/>
      <c r="M145" s="270"/>
      <c r="N145" s="146"/>
      <c r="O145" s="270"/>
      <c r="P145" s="270"/>
      <c r="Q145" s="271">
        <f t="shared" si="17"/>
        <v>0</v>
      </c>
      <c r="R145" s="251">
        <f>VLOOKUP(C145,'BTH mủ tạp'!$C$97:$AI$180,33,0)</f>
        <v>0</v>
      </c>
      <c r="S145" s="252"/>
      <c r="T145" s="272">
        <f t="shared" si="15"/>
        <v>0</v>
      </c>
      <c r="U145" s="341">
        <f t="shared" si="8"/>
        <v>0</v>
      </c>
      <c r="V145" s="273">
        <f>VLOOKUP(C145,'Chấm công KT'!$C$92:$AJ$174,34,0)</f>
        <v>0</v>
      </c>
      <c r="W145" s="273">
        <f>VLOOKUP(C145,'Chấm công KT'!$C$92:$AK$174,35,0)</f>
        <v>0</v>
      </c>
      <c r="X145" s="1104"/>
      <c r="Y145" s="339"/>
      <c r="Z145" s="273">
        <f>VLOOKUP(C145,'Chấm công KT'!C141:AN224,38,0)</f>
        <v>0</v>
      </c>
      <c r="AA145" s="273">
        <f>VLOOKUP(C145,'Chấm công KT'!$C$92:$AO$174,39,0)</f>
        <v>0</v>
      </c>
      <c r="AB145" s="268"/>
      <c r="AC145" s="254">
        <f t="shared" si="16"/>
        <v>0</v>
      </c>
      <c r="AD145" s="147" t="str">
        <f>VLOOKUP(C145,'BTH mủ tạp'!$C$15:$AL$305,36,0)</f>
        <v>B</v>
      </c>
      <c r="AE145" s="148"/>
      <c r="AF145" s="119"/>
      <c r="AH145" s="87"/>
      <c r="AI145" s="84"/>
      <c r="AJ145" s="85"/>
      <c r="AK145" s="85"/>
      <c r="AL145" s="85"/>
      <c r="AM145" s="85"/>
      <c r="AN145" s="85"/>
      <c r="AO145" s="85"/>
    </row>
    <row r="146" spans="1:41" ht="18.75" customHeight="1">
      <c r="A146" s="1013">
        <v>51</v>
      </c>
      <c r="B146" s="336" t="str">
        <f>'Chấm công KT'!D142</f>
        <v>03564</v>
      </c>
      <c r="C146" s="269" t="str">
        <f>'Chấm công KT'!C142</f>
        <v>A Nóc</v>
      </c>
      <c r="D146" s="145" t="s">
        <v>43</v>
      </c>
      <c r="E146" s="352"/>
      <c r="F146" s="352"/>
      <c r="G146" s="352"/>
      <c r="H146" s="352"/>
      <c r="I146" s="352"/>
      <c r="J146" s="337"/>
      <c r="K146" s="267"/>
      <c r="L146" s="267"/>
      <c r="M146" s="152"/>
      <c r="N146" s="146"/>
      <c r="O146" s="146"/>
      <c r="P146" s="146"/>
      <c r="Q146" s="271">
        <f t="shared" si="17"/>
        <v>0</v>
      </c>
      <c r="R146" s="251">
        <f>VLOOKUP(C146,'BTH mủ tạp'!$C$97:$AI$180,33,0)</f>
        <v>0</v>
      </c>
      <c r="S146" s="252"/>
      <c r="T146" s="272">
        <f t="shared" si="15"/>
        <v>0</v>
      </c>
      <c r="U146" s="341">
        <f t="shared" ref="U146:U179" si="18">R146</f>
        <v>0</v>
      </c>
      <c r="V146" s="273">
        <f>VLOOKUP(C146,'Chấm công KT'!$C$92:$AJ$174,34,0)</f>
        <v>0</v>
      </c>
      <c r="W146" s="273">
        <f>VLOOKUP(C146,'Chấm công KT'!$C$92:$AK$174,35,0)</f>
        <v>0</v>
      </c>
      <c r="X146" s="1104"/>
      <c r="Y146" s="339"/>
      <c r="Z146" s="273">
        <f>VLOOKUP(C146,'Chấm công KT'!C142:AN225,38,0)</f>
        <v>0</v>
      </c>
      <c r="AA146" s="273">
        <f>VLOOKUP(C146,'Chấm công KT'!$C$92:$AO$174,39,0)</f>
        <v>0</v>
      </c>
      <c r="AB146" s="268"/>
      <c r="AC146" s="254">
        <f t="shared" si="16"/>
        <v>0</v>
      </c>
      <c r="AD146" s="147" t="str">
        <f>VLOOKUP(C146,'BTH mủ tạp'!$C$15:$AL$305,36,0)</f>
        <v>B</v>
      </c>
      <c r="AE146" s="148"/>
      <c r="AF146" s="119"/>
      <c r="AH146" s="87"/>
      <c r="AI146" s="84"/>
      <c r="AJ146" s="85"/>
      <c r="AK146" s="85"/>
      <c r="AL146" s="85"/>
      <c r="AM146" s="85"/>
      <c r="AN146" s="85"/>
      <c r="AO146" s="85"/>
    </row>
    <row r="147" spans="1:41" ht="18.75" customHeight="1">
      <c r="A147" s="96">
        <v>52</v>
      </c>
      <c r="B147" s="336" t="e">
        <f>'Chấm công KT'!D143</f>
        <v>#N/A</v>
      </c>
      <c r="C147" s="269" t="str">
        <f>'Chấm công KT'!C143</f>
        <v>N. Lắc</v>
      </c>
      <c r="D147" s="145" t="s">
        <v>43</v>
      </c>
      <c r="E147" s="352"/>
      <c r="F147" s="352"/>
      <c r="G147" s="352"/>
      <c r="H147" s="352"/>
      <c r="I147" s="352"/>
      <c r="J147" s="337"/>
      <c r="K147" s="267"/>
      <c r="L147" s="267"/>
      <c r="M147" s="152"/>
      <c r="N147" s="146"/>
      <c r="O147" s="146"/>
      <c r="P147" s="146"/>
      <c r="Q147" s="271">
        <f t="shared" si="17"/>
        <v>0</v>
      </c>
      <c r="R147" s="251">
        <f>VLOOKUP(C147,'BTH mủ tạp'!$C$97:$AI$180,33,0)</f>
        <v>0</v>
      </c>
      <c r="S147" s="252"/>
      <c r="T147" s="272">
        <f t="shared" si="15"/>
        <v>0</v>
      </c>
      <c r="U147" s="341">
        <f t="shared" si="18"/>
        <v>0</v>
      </c>
      <c r="V147" s="273">
        <f>VLOOKUP(C147,'Chấm công KT'!$C$92:$AJ$174,34,0)</f>
        <v>0</v>
      </c>
      <c r="W147" s="273">
        <f>VLOOKUP(C147,'Chấm công KT'!$C$92:$AK$174,35,0)</f>
        <v>0</v>
      </c>
      <c r="X147" s="1104"/>
      <c r="Y147" s="339"/>
      <c r="Z147" s="273">
        <f>VLOOKUP(C147,'Chấm công KT'!C143:AN226,38,0)</f>
        <v>0</v>
      </c>
      <c r="AA147" s="273">
        <f>VLOOKUP(C147,'Chấm công KT'!$C$92:$AO$174,39,0)</f>
        <v>0</v>
      </c>
      <c r="AB147" s="268"/>
      <c r="AC147" s="254">
        <f t="shared" si="16"/>
        <v>0</v>
      </c>
      <c r="AD147" s="147" t="str">
        <f>VLOOKUP(C147,'BTH mủ tạp'!$C$15:$AL$305,36,0)</f>
        <v>A</v>
      </c>
      <c r="AE147" s="148"/>
      <c r="AF147" s="119"/>
      <c r="AH147" s="87"/>
      <c r="AI147" s="84"/>
      <c r="AJ147" s="85"/>
      <c r="AK147" s="85"/>
      <c r="AL147" s="85"/>
      <c r="AM147" s="85"/>
      <c r="AN147" s="85"/>
      <c r="AO147" s="85"/>
    </row>
    <row r="148" spans="1:41" ht="18.75" customHeight="1">
      <c r="A148" s="1013">
        <v>53</v>
      </c>
      <c r="B148" s="336" t="e">
        <f>'Chấm công KT'!D144</f>
        <v>#N/A</v>
      </c>
      <c r="C148" s="269" t="str">
        <f>'Chấm công KT'!C144</f>
        <v xml:space="preserve">T. Lăm  </v>
      </c>
      <c r="D148" s="145" t="s">
        <v>43</v>
      </c>
      <c r="E148" s="352"/>
      <c r="F148" s="352"/>
      <c r="G148" s="352"/>
      <c r="H148" s="352"/>
      <c r="I148" s="352"/>
      <c r="J148" s="337"/>
      <c r="K148" s="267"/>
      <c r="L148" s="267"/>
      <c r="M148" s="152"/>
      <c r="N148" s="146"/>
      <c r="O148" s="146"/>
      <c r="P148" s="146"/>
      <c r="Q148" s="271">
        <f t="shared" si="17"/>
        <v>0</v>
      </c>
      <c r="R148" s="251">
        <f>VLOOKUP(C148,'BTH mủ tạp'!$C$97:$AI$180,33,0)</f>
        <v>0</v>
      </c>
      <c r="S148" s="252"/>
      <c r="T148" s="272">
        <f t="shared" si="15"/>
        <v>0</v>
      </c>
      <c r="U148" s="341">
        <f t="shared" si="18"/>
        <v>0</v>
      </c>
      <c r="V148" s="273">
        <f>VLOOKUP(C148,'Chấm công KT'!$C$92:$AJ$174,34,0)</f>
        <v>0</v>
      </c>
      <c r="W148" s="273">
        <f>VLOOKUP(C148,'Chấm công KT'!$C$92:$AK$174,35,0)</f>
        <v>0</v>
      </c>
      <c r="X148" s="1104"/>
      <c r="Y148" s="339"/>
      <c r="Z148" s="273">
        <f>VLOOKUP(C148,'Chấm công KT'!C144:AN227,38,0)</f>
        <v>0</v>
      </c>
      <c r="AA148" s="273">
        <f>VLOOKUP(C148,'Chấm công KT'!$C$92:$AO$174,39,0)</f>
        <v>0</v>
      </c>
      <c r="AB148" s="268"/>
      <c r="AC148" s="254">
        <f t="shared" si="16"/>
        <v>0</v>
      </c>
      <c r="AD148" s="147" t="str">
        <f>VLOOKUP(C148,'BTH mủ tạp'!$C$15:$AL$305,36,0)</f>
        <v>A</v>
      </c>
      <c r="AE148" s="148"/>
      <c r="AF148" s="119"/>
      <c r="AH148" s="87"/>
      <c r="AI148" s="84"/>
      <c r="AJ148" s="85"/>
      <c r="AK148" s="85"/>
      <c r="AL148" s="85"/>
      <c r="AM148" s="85"/>
      <c r="AN148" s="85"/>
      <c r="AO148" s="85"/>
    </row>
    <row r="149" spans="1:41" ht="18.75" customHeight="1">
      <c r="A149" s="96">
        <v>54</v>
      </c>
      <c r="B149" s="336" t="str">
        <f>'Chấm công KT'!D145</f>
        <v>03567</v>
      </c>
      <c r="C149" s="269" t="str">
        <f>'Chấm công KT'!C145</f>
        <v>Khăm Phiêng</v>
      </c>
      <c r="D149" s="145" t="s">
        <v>43</v>
      </c>
      <c r="E149" s="352"/>
      <c r="F149" s="352"/>
      <c r="G149" s="352"/>
      <c r="H149" s="352"/>
      <c r="I149" s="352"/>
      <c r="J149" s="337"/>
      <c r="K149" s="267"/>
      <c r="L149" s="267"/>
      <c r="M149" s="152"/>
      <c r="N149" s="146"/>
      <c r="O149" s="146"/>
      <c r="P149" s="146"/>
      <c r="Q149" s="271">
        <f t="shared" si="17"/>
        <v>0</v>
      </c>
      <c r="R149" s="251">
        <f>VLOOKUP(C149,'BTH mủ tạp'!$C$97:$AI$180,33,0)</f>
        <v>0</v>
      </c>
      <c r="S149" s="252"/>
      <c r="T149" s="272">
        <f t="shared" si="15"/>
        <v>0</v>
      </c>
      <c r="U149" s="341">
        <f t="shared" si="18"/>
        <v>0</v>
      </c>
      <c r="V149" s="273">
        <f>VLOOKUP(C149,'Chấm công KT'!$C$92:$AJ$174,34,0)</f>
        <v>0</v>
      </c>
      <c r="W149" s="273">
        <f>VLOOKUP(C149,'Chấm công KT'!$C$92:$AK$174,35,0)</f>
        <v>0</v>
      </c>
      <c r="X149" s="1104"/>
      <c r="Y149" s="339"/>
      <c r="Z149" s="273">
        <f>VLOOKUP(C149,'Chấm công KT'!C145:AN228,38,0)</f>
        <v>0</v>
      </c>
      <c r="AA149" s="273">
        <f>VLOOKUP(C149,'Chấm công KT'!$C$92:$AO$174,39,0)</f>
        <v>0</v>
      </c>
      <c r="AB149" s="268"/>
      <c r="AC149" s="254">
        <f t="shared" si="16"/>
        <v>0</v>
      </c>
      <c r="AD149" s="147" t="str">
        <f>VLOOKUP(C149,'BTH mủ tạp'!$C$15:$AL$305,36,0)</f>
        <v>A</v>
      </c>
      <c r="AE149" s="148"/>
      <c r="AF149" s="119"/>
      <c r="AH149" s="87"/>
      <c r="AI149" s="84"/>
      <c r="AJ149" s="85"/>
      <c r="AK149" s="85"/>
      <c r="AL149" s="85"/>
      <c r="AM149" s="85"/>
      <c r="AN149" s="85"/>
      <c r="AO149" s="85"/>
    </row>
    <row r="150" spans="1:41" ht="18.75" customHeight="1">
      <c r="A150" s="1013">
        <v>55</v>
      </c>
      <c r="B150" s="336" t="str">
        <f>'Chấm công KT'!D146</f>
        <v>03568</v>
      </c>
      <c r="C150" s="269" t="str">
        <f>'Chấm công KT'!C146</f>
        <v>Khiêng Khăm</v>
      </c>
      <c r="D150" s="145" t="s">
        <v>43</v>
      </c>
      <c r="E150" s="352"/>
      <c r="F150" s="352"/>
      <c r="G150" s="352"/>
      <c r="H150" s="352"/>
      <c r="I150" s="352"/>
      <c r="J150" s="337"/>
      <c r="K150" s="267"/>
      <c r="L150" s="267"/>
      <c r="M150" s="152"/>
      <c r="N150" s="146"/>
      <c r="O150" s="146"/>
      <c r="P150" s="146"/>
      <c r="Q150" s="271">
        <f t="shared" si="17"/>
        <v>0</v>
      </c>
      <c r="R150" s="251">
        <f>VLOOKUP(C150,'BTH mủ tạp'!$C$97:$AI$180,33,0)</f>
        <v>0</v>
      </c>
      <c r="S150" s="252"/>
      <c r="T150" s="272">
        <f t="shared" si="15"/>
        <v>0</v>
      </c>
      <c r="U150" s="341">
        <f t="shared" si="18"/>
        <v>0</v>
      </c>
      <c r="V150" s="273">
        <f>VLOOKUP(C150,'Chấm công KT'!$C$92:$AJ$174,34,0)</f>
        <v>0</v>
      </c>
      <c r="W150" s="273">
        <f>VLOOKUP(C150,'Chấm công KT'!$C$92:$AK$174,35,0)</f>
        <v>0</v>
      </c>
      <c r="X150" s="1104"/>
      <c r="Y150" s="339"/>
      <c r="Z150" s="273">
        <f>VLOOKUP(C150,'Chấm công KT'!C146:AN229,38,0)</f>
        <v>0</v>
      </c>
      <c r="AA150" s="273">
        <f>VLOOKUP(C150,'Chấm công KT'!$C$92:$AO$174,39,0)</f>
        <v>0</v>
      </c>
      <c r="AB150" s="268"/>
      <c r="AC150" s="254">
        <f t="shared" si="16"/>
        <v>0</v>
      </c>
      <c r="AD150" s="147" t="str">
        <f>VLOOKUP(C150,'BTH mủ tạp'!$C$15:$AL$305,36,0)</f>
        <v>A</v>
      </c>
      <c r="AE150" s="148"/>
      <c r="AF150" s="119"/>
      <c r="AH150" s="87"/>
      <c r="AI150" s="88"/>
      <c r="AJ150" s="85"/>
      <c r="AK150" s="85"/>
      <c r="AL150" s="85"/>
      <c r="AM150" s="85"/>
      <c r="AN150" s="85"/>
      <c r="AO150" s="85"/>
    </row>
    <row r="151" spans="1:41" ht="18.75" customHeight="1">
      <c r="A151" s="96">
        <v>56</v>
      </c>
      <c r="B151" s="336" t="str">
        <f>'Chấm công KT'!D147</f>
        <v>03569</v>
      </c>
      <c r="C151" s="269" t="str">
        <f>'Chấm công KT'!C147</f>
        <v>T. Kỷ</v>
      </c>
      <c r="D151" s="145" t="s">
        <v>43</v>
      </c>
      <c r="E151" s="352"/>
      <c r="F151" s="352"/>
      <c r="G151" s="352"/>
      <c r="H151" s="352"/>
      <c r="I151" s="352"/>
      <c r="J151" s="337"/>
      <c r="K151" s="267"/>
      <c r="L151" s="290"/>
      <c r="M151" s="270"/>
      <c r="N151" s="146"/>
      <c r="O151" s="270"/>
      <c r="P151" s="270"/>
      <c r="Q151" s="271">
        <f t="shared" si="17"/>
        <v>0</v>
      </c>
      <c r="R151" s="251">
        <f>VLOOKUP(C151,'BTH mủ tạp'!$C$97:$AI$180,33,0)</f>
        <v>0</v>
      </c>
      <c r="S151" s="252"/>
      <c r="T151" s="272">
        <f t="shared" si="15"/>
        <v>0</v>
      </c>
      <c r="U151" s="341">
        <f t="shared" si="18"/>
        <v>0</v>
      </c>
      <c r="V151" s="273">
        <f>VLOOKUP(C151,'Chấm công KT'!$C$92:$AJ$174,34,0)</f>
        <v>0</v>
      </c>
      <c r="W151" s="273">
        <f>VLOOKUP(C151,'Chấm công KT'!$C$92:$AK$174,35,0)</f>
        <v>0</v>
      </c>
      <c r="X151" s="1104"/>
      <c r="Y151" s="339"/>
      <c r="Z151" s="273">
        <f>VLOOKUP(C151,'Chấm công KT'!C147:AN230,38,0)</f>
        <v>0</v>
      </c>
      <c r="AA151" s="273">
        <f>VLOOKUP(C151,'Chấm công KT'!$C$92:$AO$174,39,0)</f>
        <v>0</v>
      </c>
      <c r="AB151" s="268"/>
      <c r="AC151" s="254">
        <f t="shared" si="16"/>
        <v>0</v>
      </c>
      <c r="AD151" s="147" t="str">
        <f>VLOOKUP(C151,'BTH mủ tạp'!$C$15:$AL$305,36,0)</f>
        <v>A</v>
      </c>
      <c r="AE151" s="148"/>
      <c r="AF151" s="119"/>
      <c r="AH151" s="87"/>
      <c r="AI151" s="88"/>
      <c r="AJ151" s="85"/>
      <c r="AK151" s="85"/>
      <c r="AL151" s="85"/>
      <c r="AM151" s="85"/>
      <c r="AN151" s="85"/>
      <c r="AO151" s="85"/>
    </row>
    <row r="152" spans="1:41" ht="18.75" customHeight="1">
      <c r="A152" s="1013">
        <v>57</v>
      </c>
      <c r="B152" s="336" t="str">
        <f>'Chấm công KT'!D148</f>
        <v>03570</v>
      </c>
      <c r="C152" s="269" t="str">
        <f>'Chấm công KT'!C148</f>
        <v>T. Vi Lai Văn</v>
      </c>
      <c r="D152" s="145" t="s">
        <v>43</v>
      </c>
      <c r="E152" s="352"/>
      <c r="F152" s="352"/>
      <c r="G152" s="352"/>
      <c r="H152" s="352"/>
      <c r="I152" s="352"/>
      <c r="J152" s="337"/>
      <c r="K152" s="267"/>
      <c r="L152" s="290"/>
      <c r="M152" s="270"/>
      <c r="N152" s="146"/>
      <c r="O152" s="270"/>
      <c r="P152" s="270"/>
      <c r="Q152" s="271">
        <f t="shared" si="17"/>
        <v>0</v>
      </c>
      <c r="R152" s="251">
        <f>VLOOKUP(C152,'BTH mủ tạp'!$C$97:$AI$180,33,0)</f>
        <v>0</v>
      </c>
      <c r="S152" s="252"/>
      <c r="T152" s="272">
        <f t="shared" si="15"/>
        <v>0</v>
      </c>
      <c r="U152" s="341">
        <f t="shared" si="18"/>
        <v>0</v>
      </c>
      <c r="V152" s="273">
        <f>VLOOKUP(C152,'Chấm công KT'!$C$92:$AJ$174,34,0)</f>
        <v>0</v>
      </c>
      <c r="W152" s="273">
        <f>VLOOKUP(C152,'Chấm công KT'!$C$92:$AK$174,35,0)</f>
        <v>0</v>
      </c>
      <c r="X152" s="1104"/>
      <c r="Y152" s="339"/>
      <c r="Z152" s="273">
        <f>VLOOKUP(C152,'Chấm công KT'!C148:AN231,38,0)</f>
        <v>0</v>
      </c>
      <c r="AA152" s="273">
        <f>VLOOKUP(C152,'Chấm công KT'!$C$92:$AO$174,39,0)</f>
        <v>0</v>
      </c>
      <c r="AB152" s="268"/>
      <c r="AC152" s="254">
        <f t="shared" si="16"/>
        <v>0</v>
      </c>
      <c r="AD152" s="147" t="str">
        <f>VLOOKUP(C152,'BTH mủ tạp'!$C$15:$AL$305,36,0)</f>
        <v>A</v>
      </c>
      <c r="AE152" s="148"/>
      <c r="AF152" s="119"/>
      <c r="AH152" s="87"/>
      <c r="AI152" s="88"/>
      <c r="AJ152" s="85"/>
      <c r="AK152" s="85"/>
      <c r="AL152" s="85"/>
      <c r="AM152" s="85"/>
      <c r="AN152" s="85"/>
      <c r="AO152" s="85"/>
    </row>
    <row r="153" spans="1:41" ht="18.75" customHeight="1">
      <c r="A153" s="96">
        <v>58</v>
      </c>
      <c r="B153" s="336" t="str">
        <f>'Chấm công KT'!D149</f>
        <v>03571</v>
      </c>
      <c r="C153" s="269" t="str">
        <f>'Chấm công KT'!C149</f>
        <v>T. Ê</v>
      </c>
      <c r="D153" s="145" t="s">
        <v>43</v>
      </c>
      <c r="E153" s="352"/>
      <c r="F153" s="352"/>
      <c r="G153" s="352"/>
      <c r="H153" s="352"/>
      <c r="I153" s="352"/>
      <c r="J153" s="337"/>
      <c r="K153" s="267"/>
      <c r="L153" s="290"/>
      <c r="M153" s="270"/>
      <c r="N153" s="146"/>
      <c r="O153" s="270"/>
      <c r="P153" s="270"/>
      <c r="Q153" s="271">
        <f t="shared" si="17"/>
        <v>0</v>
      </c>
      <c r="R153" s="251">
        <f>VLOOKUP(C153,'BTH mủ tạp'!$C$97:$AI$180,33,0)</f>
        <v>0</v>
      </c>
      <c r="S153" s="252"/>
      <c r="T153" s="272">
        <f t="shared" si="15"/>
        <v>0</v>
      </c>
      <c r="U153" s="341">
        <f t="shared" si="18"/>
        <v>0</v>
      </c>
      <c r="V153" s="273">
        <f>VLOOKUP(C153,'Chấm công KT'!$C$92:$AJ$174,34,0)</f>
        <v>0</v>
      </c>
      <c r="W153" s="273">
        <f>VLOOKUP(C153,'Chấm công KT'!$C$92:$AK$174,35,0)</f>
        <v>0</v>
      </c>
      <c r="X153" s="1104"/>
      <c r="Y153" s="339"/>
      <c r="Z153" s="273">
        <f>VLOOKUP(C153,'Chấm công KT'!C149:AN232,38,0)</f>
        <v>0</v>
      </c>
      <c r="AA153" s="273">
        <f>VLOOKUP(C153,'Chấm công KT'!$C$92:$AO$174,39,0)</f>
        <v>0</v>
      </c>
      <c r="AB153" s="268"/>
      <c r="AC153" s="254">
        <f t="shared" si="16"/>
        <v>0</v>
      </c>
      <c r="AD153" s="147" t="str">
        <f>VLOOKUP(C153,'BTH mủ tạp'!$C$15:$AL$305,36,0)</f>
        <v>A</v>
      </c>
      <c r="AE153" s="148"/>
      <c r="AF153" s="119"/>
      <c r="AH153" s="87"/>
      <c r="AI153" s="88"/>
      <c r="AJ153" s="85"/>
      <c r="AK153" s="85"/>
      <c r="AL153" s="85"/>
      <c r="AM153" s="85"/>
      <c r="AN153" s="85"/>
      <c r="AO153" s="85"/>
    </row>
    <row r="154" spans="1:41" ht="18.75" customHeight="1">
      <c r="A154" s="1013">
        <v>59</v>
      </c>
      <c r="B154" s="336" t="str">
        <f>'Chấm công KT'!D150</f>
        <v>03572</v>
      </c>
      <c r="C154" s="269" t="str">
        <f>'Chấm công KT'!C150</f>
        <v>N. Lắt Đa</v>
      </c>
      <c r="D154" s="145" t="s">
        <v>43</v>
      </c>
      <c r="E154" s="352"/>
      <c r="F154" s="352"/>
      <c r="G154" s="352"/>
      <c r="H154" s="352"/>
      <c r="I154" s="352"/>
      <c r="J154" s="337"/>
      <c r="K154" s="267"/>
      <c r="L154" s="290"/>
      <c r="M154" s="270"/>
      <c r="N154" s="146"/>
      <c r="O154" s="270"/>
      <c r="P154" s="270"/>
      <c r="Q154" s="271">
        <f t="shared" si="17"/>
        <v>0</v>
      </c>
      <c r="R154" s="251">
        <f>VLOOKUP(C154,'BTH mủ tạp'!$C$97:$AI$180,33,0)</f>
        <v>0</v>
      </c>
      <c r="S154" s="252"/>
      <c r="T154" s="272">
        <f t="shared" si="15"/>
        <v>0</v>
      </c>
      <c r="U154" s="341">
        <f t="shared" si="18"/>
        <v>0</v>
      </c>
      <c r="V154" s="273">
        <f>VLOOKUP(C154,'Chấm công KT'!$C$92:$AJ$174,34,0)</f>
        <v>0</v>
      </c>
      <c r="W154" s="273">
        <f>VLOOKUP(C154,'Chấm công KT'!$C$92:$AK$174,35,0)</f>
        <v>0</v>
      </c>
      <c r="X154" s="1104"/>
      <c r="Y154" s="339"/>
      <c r="Z154" s="273">
        <f>VLOOKUP(C154,'Chấm công KT'!C150:AN233,38,0)</f>
        <v>0</v>
      </c>
      <c r="AA154" s="273">
        <f>VLOOKUP(C154,'Chấm công KT'!$C$92:$AO$174,39,0)</f>
        <v>0</v>
      </c>
      <c r="AB154" s="268"/>
      <c r="AC154" s="254">
        <f t="shared" si="16"/>
        <v>0</v>
      </c>
      <c r="AD154" s="147" t="str">
        <f>VLOOKUP(C154,'BTH mủ tạp'!$C$15:$AL$305,36,0)</f>
        <v>A</v>
      </c>
      <c r="AE154" s="148"/>
      <c r="AF154" s="119"/>
      <c r="AH154" s="87"/>
      <c r="AI154" s="88"/>
      <c r="AJ154" s="85"/>
      <c r="AK154" s="85"/>
      <c r="AL154" s="85"/>
      <c r="AM154" s="85"/>
      <c r="AN154" s="85"/>
      <c r="AO154" s="85"/>
    </row>
    <row r="155" spans="1:41" ht="18.75" customHeight="1">
      <c r="A155" s="96">
        <v>60</v>
      </c>
      <c r="B155" s="336" t="str">
        <f>'Chấm công KT'!D151</f>
        <v>03573</v>
      </c>
      <c r="C155" s="269" t="str">
        <f>'Chấm công KT'!C151</f>
        <v>N. Tieng Na</v>
      </c>
      <c r="D155" s="145" t="s">
        <v>43</v>
      </c>
      <c r="E155" s="352"/>
      <c r="F155" s="352"/>
      <c r="G155" s="352"/>
      <c r="H155" s="352"/>
      <c r="I155" s="352"/>
      <c r="J155" s="337"/>
      <c r="K155" s="267"/>
      <c r="L155" s="290"/>
      <c r="M155" s="152"/>
      <c r="N155" s="146"/>
      <c r="O155" s="270"/>
      <c r="P155" s="270"/>
      <c r="Q155" s="271">
        <f t="shared" si="17"/>
        <v>0</v>
      </c>
      <c r="R155" s="251">
        <f>VLOOKUP(C155,'BTH mủ tạp'!$C$97:$AI$180,33,0)</f>
        <v>0</v>
      </c>
      <c r="S155" s="252"/>
      <c r="T155" s="272">
        <f t="shared" si="15"/>
        <v>0</v>
      </c>
      <c r="U155" s="341">
        <f t="shared" si="18"/>
        <v>0</v>
      </c>
      <c r="V155" s="273">
        <f>VLOOKUP(C155,'Chấm công KT'!$C$92:$AJ$174,34,0)</f>
        <v>0</v>
      </c>
      <c r="W155" s="273">
        <f>VLOOKUP(C155,'Chấm công KT'!$C$92:$AK$174,35,0)</f>
        <v>0</v>
      </c>
      <c r="X155" s="1104"/>
      <c r="Y155" s="339"/>
      <c r="Z155" s="273">
        <f>VLOOKUP(C155,'Chấm công KT'!C151:AN234,38,0)</f>
        <v>0</v>
      </c>
      <c r="AA155" s="273">
        <f>VLOOKUP(C155,'Chấm công KT'!$C$92:$AO$174,39,0)</f>
        <v>0</v>
      </c>
      <c r="AB155" s="268"/>
      <c r="AC155" s="254">
        <f t="shared" si="16"/>
        <v>0</v>
      </c>
      <c r="AD155" s="147" t="str">
        <f>VLOOKUP(C155,'BTH mủ tạp'!$C$15:$AL$305,36,0)</f>
        <v>A</v>
      </c>
      <c r="AE155" s="148"/>
      <c r="AF155" s="119"/>
      <c r="AH155" s="87"/>
      <c r="AI155" s="88"/>
      <c r="AJ155" s="85"/>
      <c r="AK155" s="85"/>
      <c r="AL155" s="85"/>
      <c r="AM155" s="85"/>
      <c r="AN155" s="85"/>
      <c r="AO155" s="85"/>
    </row>
    <row r="156" spans="1:41" ht="18.75" customHeight="1">
      <c r="A156" s="1013">
        <v>61</v>
      </c>
      <c r="B156" s="336" t="str">
        <f>'Chấm công KT'!D152</f>
        <v>03574</v>
      </c>
      <c r="C156" s="269" t="str">
        <f>'Chấm công KT'!C152</f>
        <v>T. Đăm</v>
      </c>
      <c r="D156" s="145" t="s">
        <v>43</v>
      </c>
      <c r="E156" s="352"/>
      <c r="F156" s="352"/>
      <c r="G156" s="352"/>
      <c r="H156" s="352"/>
      <c r="I156" s="352"/>
      <c r="J156" s="337"/>
      <c r="K156" s="267"/>
      <c r="L156" s="290"/>
      <c r="M156" s="270"/>
      <c r="N156" s="146"/>
      <c r="O156" s="270"/>
      <c r="P156" s="270"/>
      <c r="Q156" s="271">
        <f t="shared" si="17"/>
        <v>0</v>
      </c>
      <c r="R156" s="251">
        <f>VLOOKUP(C156,'BTH mủ tạp'!$C$97:$AI$180,33,0)</f>
        <v>0</v>
      </c>
      <c r="S156" s="252"/>
      <c r="T156" s="272">
        <f t="shared" si="15"/>
        <v>0</v>
      </c>
      <c r="U156" s="341">
        <f t="shared" si="18"/>
        <v>0</v>
      </c>
      <c r="V156" s="273">
        <f>VLOOKUP(C156,'Chấm công KT'!$C$92:$AJ$174,34,0)</f>
        <v>0</v>
      </c>
      <c r="W156" s="273">
        <f>VLOOKUP(C156,'Chấm công KT'!$C$92:$AK$174,35,0)</f>
        <v>0</v>
      </c>
      <c r="X156" s="1104"/>
      <c r="Y156" s="339"/>
      <c r="Z156" s="273">
        <f>VLOOKUP(C156,'Chấm công KT'!C152:AN235,38,0)</f>
        <v>0</v>
      </c>
      <c r="AA156" s="273">
        <f>VLOOKUP(C156,'Chấm công KT'!$C$92:$AO$174,39,0)</f>
        <v>0</v>
      </c>
      <c r="AB156" s="268"/>
      <c r="AC156" s="254">
        <f t="shared" si="16"/>
        <v>0</v>
      </c>
      <c r="AD156" s="147" t="str">
        <f>VLOOKUP(C156,'BTH mủ tạp'!$C$15:$AL$305,36,0)</f>
        <v>B</v>
      </c>
      <c r="AE156" s="148"/>
      <c r="AF156" s="119"/>
      <c r="AH156" s="87"/>
      <c r="AI156" s="88"/>
      <c r="AJ156" s="85"/>
      <c r="AK156" s="85"/>
      <c r="AL156" s="85"/>
      <c r="AM156" s="85"/>
      <c r="AN156" s="85"/>
      <c r="AO156" s="85"/>
    </row>
    <row r="157" spans="1:41" ht="18.75" customHeight="1">
      <c r="A157" s="96">
        <v>62</v>
      </c>
      <c r="B157" s="336" t="e">
        <f>'Chấm công KT'!D153</f>
        <v>#N/A</v>
      </c>
      <c r="C157" s="269" t="str">
        <f>'Chấm công KT'!C153</f>
        <v>T. Văn Ê</v>
      </c>
      <c r="D157" s="145" t="s">
        <v>43</v>
      </c>
      <c r="E157" s="352"/>
      <c r="F157" s="352"/>
      <c r="G157" s="352"/>
      <c r="H157" s="352"/>
      <c r="I157" s="352"/>
      <c r="J157" s="337"/>
      <c r="K157" s="290"/>
      <c r="L157" s="290"/>
      <c r="M157" s="270"/>
      <c r="N157" s="291"/>
      <c r="O157" s="291"/>
      <c r="P157" s="291"/>
      <c r="Q157" s="271">
        <f t="shared" si="17"/>
        <v>0</v>
      </c>
      <c r="R157" s="251">
        <f>VLOOKUP(C157,'BTH mủ tạp'!$C$97:$AI$180,33,0)</f>
        <v>0</v>
      </c>
      <c r="S157" s="252"/>
      <c r="T157" s="272">
        <f t="shared" si="15"/>
        <v>0</v>
      </c>
      <c r="U157" s="341">
        <f t="shared" si="18"/>
        <v>0</v>
      </c>
      <c r="V157" s="273">
        <f>VLOOKUP(C157,'Chấm công KT'!$C$92:$AJ$174,34,0)</f>
        <v>0</v>
      </c>
      <c r="W157" s="273">
        <f>VLOOKUP(C157,'Chấm công KT'!$C$92:$AK$174,35,0)</f>
        <v>0</v>
      </c>
      <c r="X157" s="1104"/>
      <c r="Y157" s="339"/>
      <c r="Z157" s="273">
        <f>VLOOKUP(C157,'Chấm công KT'!C153:AN236,38,0)</f>
        <v>0</v>
      </c>
      <c r="AA157" s="273">
        <f>VLOOKUP(C157,'Chấm công KT'!$C$92:$AO$174,39,0)</f>
        <v>0</v>
      </c>
      <c r="AB157" s="268"/>
      <c r="AC157" s="254">
        <f t="shared" si="16"/>
        <v>0</v>
      </c>
      <c r="AD157" s="147" t="str">
        <f>VLOOKUP(C157,'BTH mủ tạp'!$C$15:$AL$305,36,0)</f>
        <v>A</v>
      </c>
      <c r="AE157" s="292"/>
      <c r="AF157" s="119"/>
      <c r="AH157" s="87"/>
      <c r="AI157" s="88"/>
      <c r="AJ157" s="85"/>
      <c r="AK157" s="85"/>
      <c r="AL157" s="85"/>
      <c r="AM157" s="85"/>
      <c r="AN157" s="85"/>
      <c r="AO157" s="85"/>
    </row>
    <row r="158" spans="1:41" ht="18.75" customHeight="1">
      <c r="A158" s="1013">
        <v>63</v>
      </c>
      <c r="B158" s="336" t="str">
        <f>'Chấm công KT'!D154</f>
        <v>03576</v>
      </c>
      <c r="C158" s="269" t="str">
        <f>'Chấm công KT'!C154</f>
        <v>T. Sinh</v>
      </c>
      <c r="D158" s="145" t="s">
        <v>43</v>
      </c>
      <c r="E158" s="352"/>
      <c r="F158" s="352"/>
      <c r="G158" s="352"/>
      <c r="H158" s="352"/>
      <c r="I158" s="352"/>
      <c r="J158" s="337"/>
      <c r="K158" s="290"/>
      <c r="L158" s="290"/>
      <c r="M158" s="270"/>
      <c r="N158" s="291"/>
      <c r="O158" s="291"/>
      <c r="P158" s="291"/>
      <c r="Q158" s="271">
        <f t="shared" si="17"/>
        <v>0</v>
      </c>
      <c r="R158" s="251">
        <f>VLOOKUP(C158,'BTH mủ tạp'!$C$97:$AI$180,33,0)</f>
        <v>0</v>
      </c>
      <c r="S158" s="252"/>
      <c r="T158" s="272">
        <f t="shared" si="15"/>
        <v>0</v>
      </c>
      <c r="U158" s="341">
        <f t="shared" si="18"/>
        <v>0</v>
      </c>
      <c r="V158" s="273">
        <f>VLOOKUP(C158,'Chấm công KT'!$C$92:$AJ$174,34,0)</f>
        <v>0</v>
      </c>
      <c r="W158" s="273">
        <f>VLOOKUP(C158,'Chấm công KT'!$C$92:$AK$174,35,0)</f>
        <v>0</v>
      </c>
      <c r="X158" s="1104"/>
      <c r="Y158" s="339"/>
      <c r="Z158" s="273">
        <f>VLOOKUP(C158,'Chấm công KT'!C154:AN237,38,0)</f>
        <v>0</v>
      </c>
      <c r="AA158" s="273">
        <f>VLOOKUP(C158,'Chấm công KT'!$C$92:$AO$174,39,0)</f>
        <v>0</v>
      </c>
      <c r="AB158" s="268"/>
      <c r="AC158" s="254">
        <f t="shared" si="16"/>
        <v>0</v>
      </c>
      <c r="AD158" s="147" t="str">
        <f>VLOOKUP(C158,'BTH mủ tạp'!$C$15:$AL$305,36,0)</f>
        <v>A</v>
      </c>
      <c r="AE158" s="292"/>
      <c r="AF158" s="119"/>
      <c r="AH158" s="87"/>
      <c r="AI158" s="88"/>
      <c r="AJ158" s="85"/>
      <c r="AK158" s="85"/>
      <c r="AL158" s="85"/>
      <c r="AM158" s="85"/>
      <c r="AN158" s="85"/>
      <c r="AO158" s="85"/>
    </row>
    <row r="159" spans="1:41" ht="18.75" customHeight="1">
      <c r="A159" s="96">
        <v>64</v>
      </c>
      <c r="B159" s="336">
        <f>'Chấm công KT'!D155</f>
        <v>0</v>
      </c>
      <c r="C159" s="269" t="str">
        <f>'Chấm công KT'!C155</f>
        <v>T. Khăm Công</v>
      </c>
      <c r="D159" s="145" t="s">
        <v>43</v>
      </c>
      <c r="E159" s="352"/>
      <c r="F159" s="352"/>
      <c r="G159" s="352"/>
      <c r="H159" s="352"/>
      <c r="I159" s="352"/>
      <c r="J159" s="337"/>
      <c r="K159" s="290"/>
      <c r="L159" s="290"/>
      <c r="M159" s="270"/>
      <c r="N159" s="291"/>
      <c r="O159" s="291"/>
      <c r="P159" s="291"/>
      <c r="Q159" s="271">
        <f t="shared" si="17"/>
        <v>0</v>
      </c>
      <c r="R159" s="251">
        <f>VLOOKUP(C159,'BTH mủ tạp'!$C$97:$AI$180,33,0)</f>
        <v>0</v>
      </c>
      <c r="S159" s="252"/>
      <c r="T159" s="272">
        <f t="shared" si="15"/>
        <v>0</v>
      </c>
      <c r="U159" s="341">
        <f t="shared" si="18"/>
        <v>0</v>
      </c>
      <c r="V159" s="273">
        <f>VLOOKUP(C159,'Chấm công KT'!$C$92:$AJ$174,34,0)</f>
        <v>0</v>
      </c>
      <c r="W159" s="273">
        <f>VLOOKUP(C159,'Chấm công KT'!$C$92:$AK$174,35,0)</f>
        <v>0</v>
      </c>
      <c r="X159" s="1104"/>
      <c r="Y159" s="339"/>
      <c r="Z159" s="273">
        <f>VLOOKUP(C159,'Chấm công KT'!C155:AN238,38,0)</f>
        <v>0</v>
      </c>
      <c r="AA159" s="273">
        <f>VLOOKUP(C159,'Chấm công KT'!$C$92:$AO$174,39,0)</f>
        <v>0</v>
      </c>
      <c r="AB159" s="268"/>
      <c r="AC159" s="254">
        <f t="shared" si="16"/>
        <v>0</v>
      </c>
      <c r="AD159" s="147" t="str">
        <f>VLOOKUP(C159,'BTH mủ tạp'!$C$15:$AL$305,36,0)</f>
        <v>B</v>
      </c>
      <c r="AE159" s="292"/>
      <c r="AF159" s="119"/>
      <c r="AH159" s="87"/>
      <c r="AI159" s="88"/>
      <c r="AJ159" s="85"/>
      <c r="AK159" s="85"/>
      <c r="AL159" s="85"/>
      <c r="AM159" s="85"/>
      <c r="AN159" s="85"/>
      <c r="AO159" s="85"/>
    </row>
    <row r="160" spans="1:41" ht="18.75" customHeight="1">
      <c r="A160" s="1013">
        <v>65</v>
      </c>
      <c r="B160" s="336" t="str">
        <f>'Chấm công KT'!D156</f>
        <v>03578</v>
      </c>
      <c r="C160" s="269" t="str">
        <f>'Chấm công KT'!C156</f>
        <v>T. Ngon</v>
      </c>
      <c r="D160" s="145" t="s">
        <v>43</v>
      </c>
      <c r="E160" s="352"/>
      <c r="F160" s="352"/>
      <c r="G160" s="352"/>
      <c r="H160" s="352"/>
      <c r="I160" s="352"/>
      <c r="J160" s="337"/>
      <c r="K160" s="290"/>
      <c r="L160" s="290"/>
      <c r="M160" s="270"/>
      <c r="N160" s="146"/>
      <c r="O160" s="291"/>
      <c r="P160" s="291"/>
      <c r="Q160" s="271">
        <f t="shared" si="17"/>
        <v>0</v>
      </c>
      <c r="R160" s="251">
        <f>VLOOKUP(C160,'BTH mủ tạp'!$C$97:$AI$180,33,0)</f>
        <v>0</v>
      </c>
      <c r="S160" s="252"/>
      <c r="T160" s="272">
        <f t="shared" si="15"/>
        <v>0</v>
      </c>
      <c r="U160" s="341">
        <f t="shared" si="18"/>
        <v>0</v>
      </c>
      <c r="V160" s="273">
        <f>VLOOKUP(C160,'Chấm công KT'!$C$92:$AJ$174,34,0)</f>
        <v>0</v>
      </c>
      <c r="W160" s="273">
        <f>VLOOKUP(C160,'Chấm công KT'!$C$92:$AK$174,35,0)</f>
        <v>0</v>
      </c>
      <c r="X160" s="1104"/>
      <c r="Y160" s="339"/>
      <c r="Z160" s="273">
        <f>VLOOKUP(C160,'Chấm công KT'!C156:AN239,38,0)</f>
        <v>0</v>
      </c>
      <c r="AA160" s="273">
        <f>VLOOKUP(C160,'Chấm công KT'!$C$92:$AO$174,39,0)</f>
        <v>0</v>
      </c>
      <c r="AB160" s="268"/>
      <c r="AC160" s="254">
        <f t="shared" si="16"/>
        <v>0</v>
      </c>
      <c r="AD160" s="147" t="str">
        <f>VLOOKUP(C160,'BTH mủ tạp'!$C$15:$AL$305,36,0)</f>
        <v>A</v>
      </c>
      <c r="AE160" s="292"/>
      <c r="AF160" s="119"/>
      <c r="AH160" s="87"/>
      <c r="AI160" s="88"/>
      <c r="AJ160" s="85"/>
      <c r="AK160" s="85"/>
      <c r="AL160" s="85"/>
      <c r="AM160" s="85"/>
      <c r="AN160" s="85"/>
      <c r="AO160" s="85"/>
    </row>
    <row r="161" spans="1:41" ht="18.75" customHeight="1">
      <c r="A161" s="96">
        <v>66</v>
      </c>
      <c r="B161" s="336">
        <f>'Chấm công KT'!D157</f>
        <v>0</v>
      </c>
      <c r="C161" s="269" t="str">
        <f>'Chấm công KT'!C157</f>
        <v>N . Lạ</v>
      </c>
      <c r="D161" s="145" t="s">
        <v>43</v>
      </c>
      <c r="E161" s="352"/>
      <c r="F161" s="352"/>
      <c r="G161" s="352"/>
      <c r="H161" s="352"/>
      <c r="I161" s="352"/>
      <c r="J161" s="337"/>
      <c r="K161" s="290"/>
      <c r="L161" s="290"/>
      <c r="M161" s="270"/>
      <c r="N161" s="291"/>
      <c r="O161" s="291"/>
      <c r="P161" s="291"/>
      <c r="Q161" s="271">
        <f t="shared" si="17"/>
        <v>0</v>
      </c>
      <c r="R161" s="251">
        <f>VLOOKUP(C161,'BTH mủ tạp'!$C$97:$AI$180,33,0)</f>
        <v>0</v>
      </c>
      <c r="S161" s="252"/>
      <c r="T161" s="272">
        <f t="shared" ref="T161:T173" si="19">S161*50/100</f>
        <v>0</v>
      </c>
      <c r="U161" s="341">
        <f t="shared" si="18"/>
        <v>0</v>
      </c>
      <c r="V161" s="273">
        <f>VLOOKUP(C161,'Chấm công KT'!$C$92:$AJ$174,34,0)</f>
        <v>0</v>
      </c>
      <c r="W161" s="273">
        <f>VLOOKUP(C161,'Chấm công KT'!$C$92:$AK$174,35,0)</f>
        <v>0</v>
      </c>
      <c r="X161" s="1104"/>
      <c r="Y161" s="339"/>
      <c r="Z161" s="273">
        <f>VLOOKUP(C161,'Chấm công KT'!C157:AN240,38,0)</f>
        <v>0</v>
      </c>
      <c r="AA161" s="273">
        <f>VLOOKUP(C161,'Chấm công KT'!$C$92:$AO$174,39,0)</f>
        <v>0</v>
      </c>
      <c r="AB161" s="268"/>
      <c r="AC161" s="254">
        <f t="shared" ref="AC161:AC169" si="20">Q161</f>
        <v>0</v>
      </c>
      <c r="AD161" s="147" t="str">
        <f>VLOOKUP(C161,'BTH mủ tạp'!$C$15:$AL$305,36,0)</f>
        <v>A</v>
      </c>
      <c r="AE161" s="292"/>
      <c r="AF161" s="119"/>
      <c r="AH161" s="87"/>
      <c r="AI161" s="88"/>
      <c r="AJ161" s="85"/>
      <c r="AK161" s="85"/>
      <c r="AL161" s="85"/>
      <c r="AM161" s="85"/>
      <c r="AN161" s="85"/>
      <c r="AO161" s="85"/>
    </row>
    <row r="162" spans="1:41" ht="18.75" customHeight="1">
      <c r="A162" s="1013">
        <v>67</v>
      </c>
      <c r="B162" s="336">
        <f>'Chấm công KT'!D158</f>
        <v>0</v>
      </c>
      <c r="C162" s="269" t="str">
        <f>'Chấm công KT'!C158</f>
        <v>T. Chỏ</v>
      </c>
      <c r="D162" s="145" t="s">
        <v>43</v>
      </c>
      <c r="E162" s="352"/>
      <c r="F162" s="352"/>
      <c r="G162" s="352"/>
      <c r="H162" s="352"/>
      <c r="I162" s="352"/>
      <c r="J162" s="337"/>
      <c r="K162" s="267"/>
      <c r="L162" s="267"/>
      <c r="M162" s="152"/>
      <c r="N162" s="146"/>
      <c r="O162" s="146"/>
      <c r="P162" s="146"/>
      <c r="Q162" s="271">
        <f t="shared" ref="Q162:Q183" si="21">SUM(E162:P162)</f>
        <v>0</v>
      </c>
      <c r="R162" s="251">
        <f>VLOOKUP(C162,'BTH mủ tạp'!$C$97:$AI$180,33,0)</f>
        <v>0</v>
      </c>
      <c r="S162" s="252"/>
      <c r="T162" s="272">
        <f t="shared" si="19"/>
        <v>0</v>
      </c>
      <c r="U162" s="341">
        <f t="shared" si="18"/>
        <v>0</v>
      </c>
      <c r="V162" s="273">
        <f>VLOOKUP(C162,'Chấm công KT'!$C$92:$AJ$174,34,0)</f>
        <v>0</v>
      </c>
      <c r="W162" s="273">
        <f>VLOOKUP(C162,'Chấm công KT'!$C$92:$AK$174,35,0)</f>
        <v>0</v>
      </c>
      <c r="X162" s="1104"/>
      <c r="Y162" s="339"/>
      <c r="Z162" s="273">
        <f>VLOOKUP(C162,'Chấm công KT'!C158:AN241,38,0)</f>
        <v>0</v>
      </c>
      <c r="AA162" s="273">
        <f>VLOOKUP(C162,'Chấm công KT'!$C$92:$AO$174,39,0)</f>
        <v>0</v>
      </c>
      <c r="AB162" s="268"/>
      <c r="AC162" s="254">
        <f t="shared" si="20"/>
        <v>0</v>
      </c>
      <c r="AD162" s="147" t="str">
        <f>VLOOKUP(C162,'BTH mủ tạp'!$C$15:$AL$305,36,0)</f>
        <v>B</v>
      </c>
      <c r="AE162" s="292"/>
      <c r="AF162" s="119"/>
      <c r="AH162" s="87"/>
      <c r="AI162" s="88"/>
      <c r="AJ162" s="85"/>
      <c r="AK162" s="85"/>
      <c r="AL162" s="85"/>
      <c r="AM162" s="85"/>
      <c r="AN162" s="85"/>
      <c r="AO162" s="85"/>
    </row>
    <row r="163" spans="1:41" ht="15.75">
      <c r="A163" s="96">
        <v>68</v>
      </c>
      <c r="B163" s="336" t="str">
        <f>'Chấm công KT'!D159</f>
        <v>03581</v>
      </c>
      <c r="C163" s="269" t="str">
        <f>'Chấm công KT'!C159</f>
        <v>Chăn Đen</v>
      </c>
      <c r="D163" s="145" t="s">
        <v>43</v>
      </c>
      <c r="E163" s="352"/>
      <c r="F163" s="352"/>
      <c r="G163" s="352"/>
      <c r="H163" s="352"/>
      <c r="I163" s="352"/>
      <c r="J163" s="337"/>
      <c r="K163" s="267"/>
      <c r="L163" s="267"/>
      <c r="M163" s="152"/>
      <c r="N163" s="146"/>
      <c r="O163" s="146"/>
      <c r="P163" s="146"/>
      <c r="Q163" s="271">
        <f t="shared" si="21"/>
        <v>0</v>
      </c>
      <c r="R163" s="251">
        <f>VLOOKUP(C163,'BTH mủ tạp'!$C$97:$AI$180,33,0)</f>
        <v>0</v>
      </c>
      <c r="S163" s="252"/>
      <c r="T163" s="272">
        <f t="shared" si="19"/>
        <v>0</v>
      </c>
      <c r="U163" s="341">
        <f t="shared" si="18"/>
        <v>0</v>
      </c>
      <c r="V163" s="273">
        <f>VLOOKUP(C163,'Chấm công KT'!$C$92:$AJ$174,34,0)</f>
        <v>0</v>
      </c>
      <c r="W163" s="273">
        <f>VLOOKUP(C163,'Chấm công KT'!$C$92:$AK$174,35,0)</f>
        <v>0</v>
      </c>
      <c r="X163" s="1104"/>
      <c r="Y163" s="339"/>
      <c r="Z163" s="273">
        <f>VLOOKUP(C163,'Chấm công KT'!C159:AN242,38,0)</f>
        <v>0</v>
      </c>
      <c r="AA163" s="273">
        <f>VLOOKUP(C163,'Chấm công KT'!$C$92:$AO$174,39,0)</f>
        <v>0</v>
      </c>
      <c r="AB163" s="268"/>
      <c r="AC163" s="254">
        <f t="shared" si="20"/>
        <v>0</v>
      </c>
      <c r="AD163" s="147" t="str">
        <f>VLOOKUP(C163,'BTH mủ tạp'!$C$15:$AL$305,36,0)</f>
        <v>B</v>
      </c>
      <c r="AE163" s="292"/>
      <c r="AF163" s="119"/>
      <c r="AH163" s="87"/>
      <c r="AI163" s="88"/>
      <c r="AJ163" s="85"/>
      <c r="AK163" s="85"/>
      <c r="AL163" s="85"/>
      <c r="AM163" s="85"/>
      <c r="AN163" s="85"/>
      <c r="AO163" s="85"/>
    </row>
    <row r="164" spans="1:41" ht="18.75" customHeight="1">
      <c r="A164" s="1013">
        <v>69</v>
      </c>
      <c r="B164" s="336" t="str">
        <f>'Chấm công KT'!D160</f>
        <v>03456</v>
      </c>
      <c r="C164" s="269" t="str">
        <f>'Chấm công KT'!C160</f>
        <v>T. Vôn</v>
      </c>
      <c r="D164" s="145" t="s">
        <v>43</v>
      </c>
      <c r="E164" s="352"/>
      <c r="F164" s="352"/>
      <c r="G164" s="352"/>
      <c r="H164" s="352"/>
      <c r="I164" s="352"/>
      <c r="J164" s="337"/>
      <c r="K164" s="267"/>
      <c r="L164" s="290"/>
      <c r="M164" s="291"/>
      <c r="N164" s="291"/>
      <c r="O164" s="291"/>
      <c r="P164" s="291"/>
      <c r="Q164" s="271">
        <f t="shared" si="21"/>
        <v>0</v>
      </c>
      <c r="R164" s="251">
        <f>VLOOKUP(C164,'BTH mủ tạp'!$C$97:$AI$180,33,0)</f>
        <v>0</v>
      </c>
      <c r="S164" s="252"/>
      <c r="T164" s="272">
        <f t="shared" si="19"/>
        <v>0</v>
      </c>
      <c r="U164" s="341">
        <f t="shared" si="18"/>
        <v>0</v>
      </c>
      <c r="V164" s="273">
        <f>VLOOKUP(C164,'Chấm công KT'!$C$92:$AJ$174,34,0)</f>
        <v>0</v>
      </c>
      <c r="W164" s="273">
        <f>VLOOKUP(C164,'Chấm công KT'!$C$92:$AK$174,35,0)</f>
        <v>0</v>
      </c>
      <c r="X164" s="1104"/>
      <c r="Y164" s="339"/>
      <c r="Z164" s="273">
        <f>VLOOKUP(C164,'Chấm công KT'!C160:AN243,38,0)</f>
        <v>0</v>
      </c>
      <c r="AA164" s="273">
        <f>VLOOKUP(C164,'Chấm công KT'!$C$92:$AO$174,39,0)</f>
        <v>0</v>
      </c>
      <c r="AB164" s="268"/>
      <c r="AC164" s="254">
        <f t="shared" si="20"/>
        <v>0</v>
      </c>
      <c r="AD164" s="147" t="str">
        <f>VLOOKUP(C164,'BTH mủ tạp'!$C$15:$AL$305,36,0)</f>
        <v>C</v>
      </c>
      <c r="AE164" s="292"/>
      <c r="AF164" s="119"/>
      <c r="AH164" s="87"/>
      <c r="AI164" s="88"/>
      <c r="AJ164" s="85"/>
      <c r="AK164" s="85"/>
      <c r="AL164" s="85"/>
      <c r="AM164" s="85"/>
      <c r="AN164" s="85"/>
      <c r="AO164" s="85"/>
    </row>
    <row r="165" spans="1:41" ht="18.75" customHeight="1">
      <c r="A165" s="96">
        <v>70</v>
      </c>
      <c r="B165" s="336" t="str">
        <f>'Chấm công KT'!D161</f>
        <v>03583</v>
      </c>
      <c r="C165" s="269" t="str">
        <f>'Chấm công KT'!C161</f>
        <v>Đa Ly</v>
      </c>
      <c r="D165" s="145" t="s">
        <v>43</v>
      </c>
      <c r="E165" s="352"/>
      <c r="F165" s="352"/>
      <c r="G165" s="352"/>
      <c r="H165" s="352"/>
      <c r="I165" s="352"/>
      <c r="J165" s="337"/>
      <c r="K165" s="267"/>
      <c r="L165" s="290"/>
      <c r="M165" s="291"/>
      <c r="N165" s="291"/>
      <c r="O165" s="291"/>
      <c r="P165" s="291"/>
      <c r="Q165" s="271">
        <f t="shared" si="21"/>
        <v>0</v>
      </c>
      <c r="R165" s="251">
        <f>VLOOKUP(C165,'BTH mủ tạp'!$C$97:$AI$180,33,0)</f>
        <v>0</v>
      </c>
      <c r="S165" s="252"/>
      <c r="T165" s="272">
        <f t="shared" si="19"/>
        <v>0</v>
      </c>
      <c r="U165" s="341">
        <f t="shared" si="18"/>
        <v>0</v>
      </c>
      <c r="V165" s="273">
        <f>VLOOKUP(C165,'Chấm công KT'!$C$92:$AJ$174,34,0)</f>
        <v>0</v>
      </c>
      <c r="W165" s="273">
        <f>VLOOKUP(C165,'Chấm công KT'!$C$92:$AK$174,35,0)</f>
        <v>0</v>
      </c>
      <c r="X165" s="1104"/>
      <c r="Y165" s="339"/>
      <c r="Z165" s="273">
        <f>VLOOKUP(C165,'Chấm công KT'!C161:AN244,38,0)</f>
        <v>0</v>
      </c>
      <c r="AA165" s="273">
        <f>VLOOKUP(C165,'Chấm công KT'!$C$92:$AO$174,39,0)</f>
        <v>0</v>
      </c>
      <c r="AB165" s="268"/>
      <c r="AC165" s="254">
        <f t="shared" si="20"/>
        <v>0</v>
      </c>
      <c r="AD165" s="147" t="str">
        <f>VLOOKUP(C165,'BTH mủ tạp'!$C$15:$AL$305,36,0)</f>
        <v>A</v>
      </c>
      <c r="AE165" s="292"/>
      <c r="AF165" s="119"/>
      <c r="AH165" s="87"/>
      <c r="AI165" s="88"/>
      <c r="AJ165" s="85"/>
      <c r="AK165" s="85"/>
      <c r="AL165" s="85"/>
      <c r="AM165" s="85"/>
      <c r="AN165" s="85"/>
      <c r="AO165" s="85"/>
    </row>
    <row r="166" spans="1:41" ht="18.75" customHeight="1">
      <c r="A166" s="1013">
        <v>71</v>
      </c>
      <c r="B166" s="336">
        <f>'Chấm công KT'!D162</f>
        <v>0</v>
      </c>
      <c r="C166" s="269" t="str">
        <f>'Chấm công KT'!C162</f>
        <v>Na Ly ...</v>
      </c>
      <c r="D166" s="145" t="s">
        <v>43</v>
      </c>
      <c r="E166" s="352"/>
      <c r="F166" s="352"/>
      <c r="G166" s="352"/>
      <c r="H166" s="352"/>
      <c r="I166" s="352"/>
      <c r="J166" s="337"/>
      <c r="K166" s="267"/>
      <c r="L166" s="290"/>
      <c r="M166" s="337"/>
      <c r="N166" s="291"/>
      <c r="O166" s="291"/>
      <c r="P166" s="291"/>
      <c r="Q166" s="271">
        <f t="shared" si="21"/>
        <v>0</v>
      </c>
      <c r="R166" s="251">
        <f>VLOOKUP(C166,'BTH mủ tạp'!$C$97:$AI$180,33,0)</f>
        <v>0</v>
      </c>
      <c r="S166" s="252"/>
      <c r="T166" s="272">
        <f t="shared" si="19"/>
        <v>0</v>
      </c>
      <c r="U166" s="341">
        <f t="shared" si="18"/>
        <v>0</v>
      </c>
      <c r="V166" s="273">
        <f>VLOOKUP(C166,'Chấm công KT'!$C$92:$AJ$174,34,0)</f>
        <v>0</v>
      </c>
      <c r="W166" s="273">
        <f>VLOOKUP(C166,'Chấm công KT'!$C$92:$AK$174,35,0)</f>
        <v>0</v>
      </c>
      <c r="X166" s="1104"/>
      <c r="Y166" s="339"/>
      <c r="Z166" s="273">
        <f>VLOOKUP(C166,'Chấm công KT'!C162:AN245,38,0)</f>
        <v>0</v>
      </c>
      <c r="AA166" s="273">
        <f>VLOOKUP(C166,'Chấm công KT'!$C$92:$AO$174,39,0)</f>
        <v>0</v>
      </c>
      <c r="AB166" s="268"/>
      <c r="AC166" s="254">
        <f t="shared" si="20"/>
        <v>0</v>
      </c>
      <c r="AD166" s="147" t="str">
        <f>VLOOKUP(C166,'BTH mủ tạp'!$C$15:$AL$305,36,0)</f>
        <v>A</v>
      </c>
      <c r="AE166" s="292"/>
      <c r="AF166" s="119"/>
      <c r="AH166" s="87"/>
      <c r="AI166" s="88"/>
      <c r="AJ166" s="85"/>
      <c r="AK166" s="85"/>
      <c r="AL166" s="85"/>
      <c r="AM166" s="85"/>
      <c r="AN166" s="85"/>
      <c r="AO166" s="85"/>
    </row>
    <row r="167" spans="1:41" ht="18.75" customHeight="1">
      <c r="A167" s="96">
        <v>72</v>
      </c>
      <c r="B167" s="336" t="str">
        <f>'Chấm công KT'!D163</f>
        <v>03585</v>
      </c>
      <c r="C167" s="269" t="str">
        <f>'Chấm công KT'!C163</f>
        <v>Lắc Xa Mi</v>
      </c>
      <c r="D167" s="145" t="s">
        <v>43</v>
      </c>
      <c r="E167" s="352"/>
      <c r="F167" s="352"/>
      <c r="G167" s="352"/>
      <c r="H167" s="352"/>
      <c r="I167" s="352"/>
      <c r="J167" s="337"/>
      <c r="K167" s="267"/>
      <c r="L167" s="267"/>
      <c r="M167" s="152"/>
      <c r="N167" s="146"/>
      <c r="O167" s="291"/>
      <c r="P167" s="291"/>
      <c r="Q167" s="271">
        <f t="shared" si="21"/>
        <v>0</v>
      </c>
      <c r="R167" s="251">
        <f>VLOOKUP(C167,'BTH mủ tạp'!$C$97:$AI$180,33,0)</f>
        <v>0</v>
      </c>
      <c r="S167" s="252"/>
      <c r="T167" s="272">
        <f t="shared" si="19"/>
        <v>0</v>
      </c>
      <c r="U167" s="341">
        <f t="shared" si="18"/>
        <v>0</v>
      </c>
      <c r="V167" s="273">
        <f>VLOOKUP(C167,'Chấm công KT'!$C$92:$AJ$174,34,0)</f>
        <v>0</v>
      </c>
      <c r="W167" s="273">
        <f>VLOOKUP(C167,'Chấm công KT'!$C$92:$AK$174,35,0)</f>
        <v>0</v>
      </c>
      <c r="X167" s="1104"/>
      <c r="Y167" s="339"/>
      <c r="Z167" s="273">
        <f>VLOOKUP(C167,'Chấm công KT'!C163:AN246,38,0)</f>
        <v>0</v>
      </c>
      <c r="AA167" s="273">
        <f>VLOOKUP(C167,'Chấm công KT'!$C$92:$AO$174,39,0)</f>
        <v>0</v>
      </c>
      <c r="AB167" s="268"/>
      <c r="AC167" s="254">
        <f t="shared" si="20"/>
        <v>0</v>
      </c>
      <c r="AD167" s="147" t="str">
        <f>VLOOKUP(C167,'BTH mủ tạp'!$C$15:$AL$305,36,0)</f>
        <v>A</v>
      </c>
      <c r="AE167" s="292"/>
      <c r="AF167" s="119"/>
      <c r="AH167" s="87"/>
      <c r="AI167" s="88"/>
      <c r="AJ167" s="85"/>
      <c r="AK167" s="85"/>
      <c r="AL167" s="85"/>
      <c r="AM167" s="85"/>
      <c r="AN167" s="85"/>
      <c r="AO167" s="85"/>
    </row>
    <row r="168" spans="1:41" ht="18.75" customHeight="1">
      <c r="A168" s="1013">
        <v>73</v>
      </c>
      <c r="B168" s="336">
        <f>'Chấm công KT'!D164</f>
        <v>0</v>
      </c>
      <c r="C168" s="269" t="str">
        <f>'Chấm công KT'!C164</f>
        <v>A Xít</v>
      </c>
      <c r="D168" s="145" t="s">
        <v>43</v>
      </c>
      <c r="E168" s="352"/>
      <c r="F168" s="352"/>
      <c r="G168" s="352"/>
      <c r="H168" s="352"/>
      <c r="I168" s="352"/>
      <c r="J168" s="337"/>
      <c r="K168" s="267"/>
      <c r="L168" s="267"/>
      <c r="M168" s="152"/>
      <c r="N168" s="146"/>
      <c r="O168" s="291"/>
      <c r="P168" s="291"/>
      <c r="Q168" s="271">
        <f t="shared" si="21"/>
        <v>0</v>
      </c>
      <c r="R168" s="251">
        <f>VLOOKUP(C168,'BTH mủ tạp'!$C$97:$AI$180,33,0)</f>
        <v>0</v>
      </c>
      <c r="S168" s="252"/>
      <c r="T168" s="272">
        <f t="shared" si="19"/>
        <v>0</v>
      </c>
      <c r="U168" s="341">
        <f t="shared" si="18"/>
        <v>0</v>
      </c>
      <c r="V168" s="273">
        <f>VLOOKUP(C168,'Chấm công KT'!$C$92:$AJ$174,34,0)</f>
        <v>0</v>
      </c>
      <c r="W168" s="273">
        <f>VLOOKUP(C168,'Chấm công KT'!$C$92:$AK$174,35,0)</f>
        <v>0</v>
      </c>
      <c r="X168" s="1104"/>
      <c r="Y168" s="339"/>
      <c r="Z168" s="273">
        <f>VLOOKUP(C168,'Chấm công KT'!C164:AN247,38,0)</f>
        <v>0</v>
      </c>
      <c r="AA168" s="273">
        <f>VLOOKUP(C168,'Chấm công KT'!$C$92:$AO$174,39,0)</f>
        <v>0</v>
      </c>
      <c r="AB168" s="268"/>
      <c r="AC168" s="254">
        <f t="shared" si="20"/>
        <v>0</v>
      </c>
      <c r="AD168" s="147" t="str">
        <f>VLOOKUP(C168,'BTH mủ tạp'!$C$15:$AL$305,36,0)</f>
        <v>B</v>
      </c>
      <c r="AE168" s="292"/>
      <c r="AF168" s="119"/>
      <c r="AH168" s="87"/>
      <c r="AI168" s="88"/>
      <c r="AJ168" s="85"/>
      <c r="AK168" s="85"/>
      <c r="AL168" s="85"/>
      <c r="AM168" s="85"/>
      <c r="AN168" s="85"/>
      <c r="AO168" s="85"/>
    </row>
    <row r="169" spans="1:41" ht="18.75" customHeight="1">
      <c r="A169" s="96">
        <v>74</v>
      </c>
      <c r="B169" s="336">
        <f>'Chấm công KT'!D165</f>
        <v>0</v>
      </c>
      <c r="C169" s="269" t="str">
        <f>'Chấm công KT'!C165</f>
        <v>Bợt</v>
      </c>
      <c r="D169" s="145" t="s">
        <v>43</v>
      </c>
      <c r="E169" s="352"/>
      <c r="F169" s="352"/>
      <c r="G169" s="352"/>
      <c r="H169" s="352"/>
      <c r="I169" s="352"/>
      <c r="J169" s="337"/>
      <c r="K169" s="267"/>
      <c r="L169" s="267"/>
      <c r="M169" s="152"/>
      <c r="N169" s="146"/>
      <c r="O169" s="146"/>
      <c r="P169" s="146"/>
      <c r="Q169" s="271">
        <f t="shared" si="21"/>
        <v>0</v>
      </c>
      <c r="R169" s="251">
        <f>VLOOKUP(C169,'BTH mủ tạp'!$C$97:$AI$180,33,0)</f>
        <v>0</v>
      </c>
      <c r="S169" s="252"/>
      <c r="T169" s="272">
        <f t="shared" si="19"/>
        <v>0</v>
      </c>
      <c r="U169" s="341">
        <f t="shared" si="18"/>
        <v>0</v>
      </c>
      <c r="V169" s="273">
        <f>VLOOKUP(C169,'Chấm công KT'!$C$92:$AJ$174,34,0)</f>
        <v>0</v>
      </c>
      <c r="W169" s="273">
        <f>VLOOKUP(C169,'Chấm công KT'!$C$92:$AK$174,35,0)</f>
        <v>0</v>
      </c>
      <c r="X169" s="1104"/>
      <c r="Y169" s="339"/>
      <c r="Z169" s="273">
        <f>VLOOKUP(C169,'Chấm công KT'!C165:AN248,38,0)</f>
        <v>0</v>
      </c>
      <c r="AA169" s="273">
        <f>VLOOKUP(C169,'Chấm công KT'!$C$92:$AO$174,39,0)</f>
        <v>0</v>
      </c>
      <c r="AB169" s="268"/>
      <c r="AC169" s="254">
        <f t="shared" si="20"/>
        <v>0</v>
      </c>
      <c r="AD169" s="147" t="str">
        <f>VLOOKUP(C169,'BTH mủ tạp'!$C$15:$AL$305,36,0)</f>
        <v>C.</v>
      </c>
      <c r="AE169" s="292"/>
      <c r="AF169" s="119"/>
      <c r="AH169" s="87"/>
      <c r="AI169" s="88"/>
      <c r="AJ169" s="85"/>
      <c r="AK169" s="85"/>
      <c r="AL169" s="85"/>
      <c r="AM169" s="85"/>
      <c r="AN169" s="85"/>
      <c r="AO169" s="85"/>
    </row>
    <row r="170" spans="1:41" s="971" customFormat="1" ht="18.75" customHeight="1">
      <c r="A170" s="1013">
        <v>75</v>
      </c>
      <c r="B170" s="955"/>
      <c r="C170" s="269" t="str">
        <f>'Chấm công KT'!C166</f>
        <v>Đức Văn</v>
      </c>
      <c r="D170" s="1001" t="s">
        <v>43</v>
      </c>
      <c r="E170" s="956"/>
      <c r="F170" s="957"/>
      <c r="G170" s="957"/>
      <c r="H170" s="957"/>
      <c r="I170" s="957"/>
      <c r="J170" s="958"/>
      <c r="K170" s="956"/>
      <c r="L170" s="956"/>
      <c r="M170" s="1668"/>
      <c r="N170" s="1004"/>
      <c r="O170" s="1004"/>
      <c r="P170" s="1004"/>
      <c r="Q170" s="271">
        <f t="shared" si="21"/>
        <v>0</v>
      </c>
      <c r="R170" s="251">
        <f>VLOOKUP(C170,'BTH mủ tạp'!$C$97:$AI$180,33,0)</f>
        <v>0</v>
      </c>
      <c r="S170" s="446"/>
      <c r="T170" s="1027">
        <f t="shared" si="19"/>
        <v>0</v>
      </c>
      <c r="U170" s="341">
        <f t="shared" si="18"/>
        <v>0</v>
      </c>
      <c r="V170" s="273">
        <f>VLOOKUP(C170,'Chấm công KT'!$C$92:$AJ$174,34,0)</f>
        <v>0</v>
      </c>
      <c r="W170" s="273">
        <f>VLOOKUP(C170,'Chấm công KT'!$C$92:$AK$174,35,0)</f>
        <v>0</v>
      </c>
      <c r="X170" s="1104"/>
      <c r="Y170" s="339"/>
      <c r="Z170" s="273">
        <f>VLOOKUP(C170,'Chấm công KT'!C166:AN249,38,0)</f>
        <v>0</v>
      </c>
      <c r="AA170" s="273">
        <f>VLOOKUP(C170,'Chấm công KT'!$C$92:$AO$174,39,0)</f>
        <v>0</v>
      </c>
      <c r="AB170" s="967"/>
      <c r="AC170" s="981">
        <f t="shared" ref="AC170:AC173" si="22">Q170</f>
        <v>0</v>
      </c>
      <c r="AD170" s="147" t="str">
        <f>VLOOKUP(C170,'BTH mủ tạp'!$C$15:$AL$305,36,0)</f>
        <v>C.</v>
      </c>
      <c r="AE170" s="982"/>
      <c r="AF170" s="970"/>
      <c r="AH170" s="983"/>
      <c r="AI170" s="984"/>
      <c r="AJ170" s="985"/>
      <c r="AK170" s="985"/>
      <c r="AL170" s="985"/>
      <c r="AM170" s="985"/>
      <c r="AN170" s="985"/>
      <c r="AO170" s="985"/>
    </row>
    <row r="171" spans="1:41" s="971" customFormat="1" ht="18.75" customHeight="1">
      <c r="A171" s="96">
        <v>76</v>
      </c>
      <c r="B171" s="955"/>
      <c r="C171" s="269" t="str">
        <f>'Chấm công KT'!C167</f>
        <v>A Van</v>
      </c>
      <c r="D171" s="1001" t="s">
        <v>43</v>
      </c>
      <c r="E171" s="956"/>
      <c r="F171" s="957"/>
      <c r="G171" s="957"/>
      <c r="H171" s="957"/>
      <c r="I171" s="957"/>
      <c r="J171" s="958"/>
      <c r="K171" s="956"/>
      <c r="L171" s="956"/>
      <c r="M171" s="1668"/>
      <c r="N171" s="1004"/>
      <c r="O171" s="1004"/>
      <c r="P171" s="1004"/>
      <c r="Q171" s="271">
        <f t="shared" si="21"/>
        <v>0</v>
      </c>
      <c r="R171" s="251">
        <f>VLOOKUP(C171,'BTH mủ tạp'!$C$97:$AI$180,33,0)</f>
        <v>0</v>
      </c>
      <c r="S171" s="446"/>
      <c r="T171" s="1027">
        <f t="shared" si="19"/>
        <v>0</v>
      </c>
      <c r="U171" s="341">
        <f t="shared" si="18"/>
        <v>0</v>
      </c>
      <c r="V171" s="273">
        <f>VLOOKUP(C171,'Chấm công KT'!$C$92:$AJ$174,34,0)</f>
        <v>0</v>
      </c>
      <c r="W171" s="273">
        <f>VLOOKUP(C171,'Chấm công KT'!$C$92:$AK$174,35,0)</f>
        <v>0</v>
      </c>
      <c r="X171" s="1104"/>
      <c r="Y171" s="339"/>
      <c r="Z171" s="273">
        <f>VLOOKUP(C171,'Chấm công KT'!C167:AN250,38,0)</f>
        <v>0</v>
      </c>
      <c r="AA171" s="273">
        <f>VLOOKUP(C171,'Chấm công KT'!$C$92:$AO$174,39,0)</f>
        <v>0</v>
      </c>
      <c r="AB171" s="967"/>
      <c r="AC171" s="981">
        <f t="shared" si="22"/>
        <v>0</v>
      </c>
      <c r="AD171" s="147" t="str">
        <f>VLOOKUP(C171,'BTH mủ tạp'!$C$15:$AL$305,36,0)</f>
        <v>C.</v>
      </c>
      <c r="AE171" s="982"/>
      <c r="AF171" s="970"/>
      <c r="AH171" s="983"/>
      <c r="AI171" s="984"/>
      <c r="AJ171" s="985"/>
      <c r="AK171" s="985"/>
      <c r="AL171" s="985"/>
      <c r="AM171" s="985"/>
      <c r="AN171" s="985"/>
      <c r="AO171" s="985"/>
    </row>
    <row r="172" spans="1:41" s="971" customFormat="1" ht="18.75" customHeight="1">
      <c r="A172" s="1013">
        <v>77</v>
      </c>
      <c r="B172" s="955"/>
      <c r="C172" s="269" t="str">
        <f>'Chấm công KT'!C168</f>
        <v>A thít</v>
      </c>
      <c r="D172" s="972"/>
      <c r="E172" s="959"/>
      <c r="F172" s="973"/>
      <c r="G172" s="973"/>
      <c r="H172" s="973"/>
      <c r="I172" s="973"/>
      <c r="J172" s="974"/>
      <c r="K172" s="959"/>
      <c r="L172" s="959"/>
      <c r="M172" s="959"/>
      <c r="N172" s="960"/>
      <c r="O172" s="960"/>
      <c r="P172" s="960"/>
      <c r="Q172" s="271">
        <f t="shared" si="21"/>
        <v>0</v>
      </c>
      <c r="R172" s="251">
        <f>VLOOKUP(C172,'BTH mủ tạp'!$C$97:$AI$180,33,0)</f>
        <v>0</v>
      </c>
      <c r="S172" s="446"/>
      <c r="T172" s="1027">
        <f t="shared" si="19"/>
        <v>0</v>
      </c>
      <c r="U172" s="341">
        <f t="shared" si="18"/>
        <v>0</v>
      </c>
      <c r="V172" s="273">
        <f>VLOOKUP(C172,'Chấm công KT'!$C$92:$AJ$174,34,0)</f>
        <v>0</v>
      </c>
      <c r="W172" s="273">
        <f>VLOOKUP(C172,'Chấm công KT'!$C$92:$AK$174,35,0)</f>
        <v>0</v>
      </c>
      <c r="X172" s="1104"/>
      <c r="Y172" s="339"/>
      <c r="Z172" s="273">
        <f>VLOOKUP(C172,'Chấm công KT'!C168:AN251,38,0)</f>
        <v>0</v>
      </c>
      <c r="AA172" s="273">
        <f>VLOOKUP(C172,'Chấm công KT'!$C$92:$AO$174,39,0)</f>
        <v>0</v>
      </c>
      <c r="AB172" s="967"/>
      <c r="AC172" s="981">
        <f t="shared" si="22"/>
        <v>0</v>
      </c>
      <c r="AD172" s="147" t="str">
        <f>VLOOKUP(C172,'BTH mủ tạp'!$C$15:$AL$305,36,0)</f>
        <v>C.</v>
      </c>
      <c r="AE172" s="982"/>
      <c r="AF172" s="970"/>
      <c r="AH172" s="983"/>
      <c r="AI172" s="984"/>
      <c r="AJ172" s="985"/>
      <c r="AK172" s="985"/>
      <c r="AL172" s="985"/>
      <c r="AM172" s="985"/>
      <c r="AN172" s="985"/>
      <c r="AO172" s="985"/>
    </row>
    <row r="173" spans="1:41" s="971" customFormat="1" ht="18.75" customHeight="1">
      <c r="A173" s="96">
        <v>78</v>
      </c>
      <c r="B173" s="955"/>
      <c r="C173" s="269" t="str">
        <f>'Chấm công KT'!C169</f>
        <v>Món</v>
      </c>
      <c r="D173" s="972"/>
      <c r="E173" s="959"/>
      <c r="F173" s="973"/>
      <c r="G173" s="973"/>
      <c r="H173" s="973"/>
      <c r="I173" s="973"/>
      <c r="J173" s="974"/>
      <c r="K173" s="959"/>
      <c r="L173" s="959"/>
      <c r="M173" s="959"/>
      <c r="N173" s="960"/>
      <c r="O173" s="960"/>
      <c r="P173" s="960"/>
      <c r="Q173" s="271">
        <f t="shared" si="21"/>
        <v>0</v>
      </c>
      <c r="R173" s="251">
        <f>VLOOKUP(C173,'BTH mủ tạp'!$C$97:$AI$180,33,0)</f>
        <v>0</v>
      </c>
      <c r="S173" s="446"/>
      <c r="T173" s="1027">
        <f t="shared" si="19"/>
        <v>0</v>
      </c>
      <c r="U173" s="341">
        <f t="shared" si="18"/>
        <v>0</v>
      </c>
      <c r="V173" s="273">
        <f>VLOOKUP(C173,'Chấm công KT'!$C$92:$AJ$174,34,0)</f>
        <v>0</v>
      </c>
      <c r="W173" s="273">
        <f>VLOOKUP(C173,'Chấm công KT'!$C$92:$AK$174,35,0)</f>
        <v>0</v>
      </c>
      <c r="X173" s="1104"/>
      <c r="Y173" s="339"/>
      <c r="Z173" s="273">
        <f>VLOOKUP(C173,'Chấm công KT'!C169:AN252,38,0)</f>
        <v>0</v>
      </c>
      <c r="AA173" s="273">
        <f>VLOOKUP(C173,'Chấm công KT'!$C$92:$AO$174,39,0)</f>
        <v>0</v>
      </c>
      <c r="AB173" s="967"/>
      <c r="AC173" s="981">
        <f t="shared" si="22"/>
        <v>0</v>
      </c>
      <c r="AD173" s="147" t="str">
        <f>VLOOKUP(C173,'BTH mủ tạp'!$C$15:$AL$305,36,0)</f>
        <v>C.</v>
      </c>
      <c r="AE173" s="982"/>
      <c r="AF173" s="970"/>
      <c r="AH173" s="983"/>
      <c r="AI173" s="984"/>
      <c r="AJ173" s="985"/>
      <c r="AK173" s="985"/>
      <c r="AL173" s="985"/>
      <c r="AM173" s="985"/>
      <c r="AN173" s="985"/>
      <c r="AO173" s="985"/>
    </row>
    <row r="174" spans="1:41" s="971" customFormat="1" ht="18.75" customHeight="1">
      <c r="A174" s="1013">
        <v>79</v>
      </c>
      <c r="B174" s="955"/>
      <c r="C174" s="269" t="str">
        <f>'Chấm công KT'!C170</f>
        <v>A tèng</v>
      </c>
      <c r="D174" s="972"/>
      <c r="E174" s="959"/>
      <c r="F174" s="973"/>
      <c r="G174" s="973"/>
      <c r="H174" s="973"/>
      <c r="I174" s="973"/>
      <c r="J174" s="974"/>
      <c r="K174" s="959"/>
      <c r="L174" s="959"/>
      <c r="M174" s="959"/>
      <c r="N174" s="960"/>
      <c r="O174" s="960"/>
      <c r="P174" s="960"/>
      <c r="Q174" s="271">
        <f t="shared" si="21"/>
        <v>0</v>
      </c>
      <c r="R174" s="251">
        <f>VLOOKUP(C174,'BTH mủ tạp'!$C$97:$AI$180,33,0)</f>
        <v>0</v>
      </c>
      <c r="S174" s="446"/>
      <c r="T174" s="1027"/>
      <c r="U174" s="341">
        <f t="shared" si="18"/>
        <v>0</v>
      </c>
      <c r="V174" s="273">
        <f>VLOOKUP(C174,'Chấm công KT'!$C$92:$AJ$174,34,0)</f>
        <v>0</v>
      </c>
      <c r="W174" s="273">
        <f>VLOOKUP(C174,'Chấm công KT'!$C$92:$AK$174,35,0)</f>
        <v>0</v>
      </c>
      <c r="X174" s="1104"/>
      <c r="Y174" s="339"/>
      <c r="Z174" s="273">
        <f>VLOOKUP(C174,'Chấm công KT'!C170:AN253,38,0)</f>
        <v>0</v>
      </c>
      <c r="AA174" s="273">
        <f>VLOOKUP(C174,'Chấm công KT'!$C$92:$AO$174,39,0)</f>
        <v>0</v>
      </c>
      <c r="AB174" s="967"/>
      <c r="AC174" s="981">
        <f t="shared" ref="AC174:AC183" si="23">Q174</f>
        <v>0</v>
      </c>
      <c r="AD174" s="147" t="str">
        <f>VLOOKUP(C174,'BTH mủ tạp'!$C$15:$AL$305,36,0)</f>
        <v>C.</v>
      </c>
      <c r="AE174" s="982"/>
      <c r="AF174" s="970"/>
      <c r="AH174" s="983"/>
      <c r="AI174" s="984"/>
      <c r="AJ174" s="985"/>
      <c r="AK174" s="985"/>
      <c r="AL174" s="985"/>
      <c r="AM174" s="985"/>
      <c r="AN174" s="985"/>
      <c r="AO174" s="985"/>
    </row>
    <row r="175" spans="1:41" s="971" customFormat="1" ht="18.75" customHeight="1">
      <c r="A175" s="96">
        <v>80</v>
      </c>
      <c r="B175" s="955"/>
      <c r="C175" s="269" t="str">
        <f>'Chấm công KT'!C171</f>
        <v xml:space="preserve">Đao </v>
      </c>
      <c r="D175" s="972"/>
      <c r="E175" s="959"/>
      <c r="F175" s="973"/>
      <c r="G175" s="973"/>
      <c r="H175" s="973"/>
      <c r="I175" s="973"/>
      <c r="J175" s="974"/>
      <c r="K175" s="959"/>
      <c r="L175" s="959"/>
      <c r="M175" s="959"/>
      <c r="N175" s="960"/>
      <c r="O175" s="960"/>
      <c r="P175" s="960"/>
      <c r="Q175" s="271">
        <f t="shared" si="21"/>
        <v>0</v>
      </c>
      <c r="R175" s="251">
        <f>VLOOKUP(C175,'BTH mủ tạp'!$C$97:$AI$180,33,0)</f>
        <v>0</v>
      </c>
      <c r="S175" s="446"/>
      <c r="T175" s="1027"/>
      <c r="U175" s="341">
        <f t="shared" si="18"/>
        <v>0</v>
      </c>
      <c r="V175" s="273">
        <f>VLOOKUP(C175,'Chấm công KT'!$C$92:$AJ$174,34,0)</f>
        <v>0</v>
      </c>
      <c r="W175" s="273">
        <f>VLOOKUP(C175,'Chấm công KT'!$C$92:$AK$174,35,0)</f>
        <v>0</v>
      </c>
      <c r="X175" s="1104"/>
      <c r="Y175" s="339"/>
      <c r="Z175" s="273">
        <f>VLOOKUP(C175,'Chấm công KT'!C171:AN254,38,0)</f>
        <v>0</v>
      </c>
      <c r="AA175" s="273">
        <f>VLOOKUP(C175,'Chấm công KT'!$C$92:$AO$174,39,0)</f>
        <v>0</v>
      </c>
      <c r="AB175" s="967"/>
      <c r="AC175" s="981">
        <f t="shared" si="23"/>
        <v>0</v>
      </c>
      <c r="AD175" s="147" t="str">
        <f>VLOOKUP(C175,'BTH mủ tạp'!$C$15:$AL$305,36,0)</f>
        <v>C.</v>
      </c>
      <c r="AE175" s="982"/>
      <c r="AF175" s="970"/>
      <c r="AH175" s="983"/>
      <c r="AI175" s="984"/>
      <c r="AJ175" s="985"/>
      <c r="AK175" s="985"/>
      <c r="AL175" s="985"/>
      <c r="AM175" s="985"/>
      <c r="AN175" s="985"/>
      <c r="AO175" s="985"/>
    </row>
    <row r="176" spans="1:41" s="971" customFormat="1" ht="18.75" customHeight="1">
      <c r="A176" s="1013">
        <v>81</v>
      </c>
      <c r="B176" s="955"/>
      <c r="C176" s="269" t="str">
        <f>'Chấm công KT'!C172</f>
        <v>Lôn</v>
      </c>
      <c r="D176" s="972"/>
      <c r="E176" s="959"/>
      <c r="F176" s="973"/>
      <c r="G176" s="973"/>
      <c r="H176" s="973"/>
      <c r="I176" s="973"/>
      <c r="J176" s="974"/>
      <c r="K176" s="959"/>
      <c r="L176" s="959"/>
      <c r="M176" s="959"/>
      <c r="N176" s="960"/>
      <c r="O176" s="960"/>
      <c r="P176" s="960"/>
      <c r="Q176" s="271">
        <f t="shared" si="21"/>
        <v>0</v>
      </c>
      <c r="R176" s="251">
        <f>VLOOKUP(C176,'BTH mủ tạp'!$C$97:$AI$180,33,0)</f>
        <v>0</v>
      </c>
      <c r="S176" s="446"/>
      <c r="T176" s="1027"/>
      <c r="U176" s="341">
        <f t="shared" si="18"/>
        <v>0</v>
      </c>
      <c r="V176" s="273">
        <f>VLOOKUP(C176,'Chấm công KT'!$C$92:$AJ$174,34,0)</f>
        <v>0</v>
      </c>
      <c r="W176" s="273">
        <f>VLOOKUP(C176,'Chấm công KT'!$C$92:$AK$174,35,0)</f>
        <v>0</v>
      </c>
      <c r="X176" s="1104"/>
      <c r="Y176" s="339"/>
      <c r="Z176" s="273">
        <f>VLOOKUP(C176,'Chấm công KT'!C172:AN255,38,0)</f>
        <v>0</v>
      </c>
      <c r="AA176" s="273">
        <f>VLOOKUP(C176,'Chấm công KT'!$C$92:$AO$174,39,0)</f>
        <v>0</v>
      </c>
      <c r="AB176" s="967"/>
      <c r="AC176" s="981">
        <f t="shared" si="23"/>
        <v>0</v>
      </c>
      <c r="AD176" s="147" t="str">
        <f>VLOOKUP(C176,'BTH mủ tạp'!$C$15:$AL$305,36,0)</f>
        <v>C.</v>
      </c>
      <c r="AE176" s="982"/>
      <c r="AF176" s="970"/>
      <c r="AH176" s="983"/>
      <c r="AI176" s="984"/>
      <c r="AJ176" s="985"/>
      <c r="AK176" s="985"/>
      <c r="AL176" s="985"/>
      <c r="AM176" s="985"/>
      <c r="AN176" s="985"/>
      <c r="AO176" s="985"/>
    </row>
    <row r="177" spans="1:41" s="971" customFormat="1" ht="18.75" customHeight="1">
      <c r="A177" s="96">
        <v>82</v>
      </c>
      <c r="B177" s="955"/>
      <c r="C177" s="269" t="str">
        <f>'Chấm công KT'!C173</f>
        <v>Phay</v>
      </c>
      <c r="D177" s="972"/>
      <c r="E177" s="959"/>
      <c r="F177" s="973"/>
      <c r="G177" s="973"/>
      <c r="H177" s="973"/>
      <c r="I177" s="973"/>
      <c r="J177" s="974"/>
      <c r="K177" s="959"/>
      <c r="L177" s="959"/>
      <c r="M177" s="959"/>
      <c r="N177" s="960"/>
      <c r="O177" s="960"/>
      <c r="P177" s="960"/>
      <c r="Q177" s="271">
        <f t="shared" si="21"/>
        <v>0</v>
      </c>
      <c r="R177" s="251">
        <f>VLOOKUP(C177,'BTH mủ tạp'!$C$97:$AI$180,33,0)</f>
        <v>0</v>
      </c>
      <c r="S177" s="446"/>
      <c r="T177" s="1027"/>
      <c r="U177" s="341">
        <f t="shared" si="18"/>
        <v>0</v>
      </c>
      <c r="V177" s="273">
        <f>VLOOKUP(C177,'Chấm công KT'!$C$92:$AJ$174,34,0)</f>
        <v>0</v>
      </c>
      <c r="W177" s="273">
        <f>VLOOKUP(C177,'Chấm công KT'!$C$92:$AK$174,35,0)</f>
        <v>0</v>
      </c>
      <c r="X177" s="1104"/>
      <c r="Y177" s="339"/>
      <c r="Z177" s="273">
        <f>VLOOKUP(C177,'Chấm công KT'!C173:AN256,38,0)</f>
        <v>0</v>
      </c>
      <c r="AA177" s="273">
        <f>VLOOKUP(C177,'Chấm công KT'!$C$92:$AO$174,39,0)</f>
        <v>0</v>
      </c>
      <c r="AB177" s="967"/>
      <c r="AC177" s="981">
        <f t="shared" si="23"/>
        <v>0</v>
      </c>
      <c r="AD177" s="147" t="str">
        <f>VLOOKUP(C177,'BTH mủ tạp'!$C$15:$AL$305,36,0)</f>
        <v>C.</v>
      </c>
      <c r="AE177" s="982"/>
      <c r="AF177" s="970"/>
      <c r="AH177" s="983"/>
      <c r="AI177" s="984"/>
      <c r="AJ177" s="985"/>
      <c r="AK177" s="985"/>
      <c r="AL177" s="985"/>
      <c r="AM177" s="985"/>
      <c r="AN177" s="985"/>
      <c r="AO177" s="985"/>
    </row>
    <row r="178" spans="1:41" s="971" customFormat="1" ht="18.75" customHeight="1">
      <c r="A178" s="1013">
        <v>83</v>
      </c>
      <c r="B178" s="955"/>
      <c r="C178" s="269" t="str">
        <f>'Chấm công KT'!C174</f>
        <v xml:space="preserve">Chày </v>
      </c>
      <c r="D178" s="972"/>
      <c r="E178" s="959"/>
      <c r="F178" s="973"/>
      <c r="G178" s="973"/>
      <c r="H178" s="973"/>
      <c r="I178" s="973"/>
      <c r="J178" s="974"/>
      <c r="K178" s="959"/>
      <c r="L178" s="959"/>
      <c r="M178" s="959"/>
      <c r="N178" s="960"/>
      <c r="O178" s="960"/>
      <c r="P178" s="960"/>
      <c r="Q178" s="271">
        <f t="shared" si="21"/>
        <v>0</v>
      </c>
      <c r="R178" s="251">
        <f>VLOOKUP(C178,'BTH mủ tạp'!$C$97:$AI$180,33,0)</f>
        <v>0</v>
      </c>
      <c r="S178" s="446"/>
      <c r="T178" s="1027"/>
      <c r="U178" s="341">
        <f t="shared" si="18"/>
        <v>0</v>
      </c>
      <c r="V178" s="273">
        <f>VLOOKUP(C178,'Chấm công KT'!$C$92:$AJ$174,34,0)</f>
        <v>0</v>
      </c>
      <c r="W178" s="273">
        <f>VLOOKUP(C178,'Chấm công KT'!$C$92:$AK$174,35,0)</f>
        <v>0</v>
      </c>
      <c r="X178" s="1104"/>
      <c r="Y178" s="339"/>
      <c r="Z178" s="273">
        <f>VLOOKUP(C178,'Chấm công KT'!C174:AN257,38,0)</f>
        <v>0</v>
      </c>
      <c r="AA178" s="273">
        <f>VLOOKUP(C178,'Chấm công KT'!$C$92:$AO$174,39,0)</f>
        <v>0</v>
      </c>
      <c r="AB178" s="967"/>
      <c r="AC178" s="981">
        <f t="shared" si="23"/>
        <v>0</v>
      </c>
      <c r="AD178" s="147" t="str">
        <f>VLOOKUP(C178,'BTH mủ tạp'!$C$15:$AL$305,36,0)</f>
        <v>C.</v>
      </c>
      <c r="AE178" s="982"/>
      <c r="AF178" s="970"/>
      <c r="AH178" s="983"/>
      <c r="AI178" s="984"/>
      <c r="AJ178" s="985"/>
      <c r="AK178" s="985"/>
      <c r="AL178" s="985"/>
      <c r="AM178" s="985"/>
      <c r="AN178" s="985"/>
      <c r="AO178" s="985"/>
    </row>
    <row r="179" spans="1:41" s="971" customFormat="1" ht="18.75" customHeight="1">
      <c r="A179" s="96">
        <v>84</v>
      </c>
      <c r="B179" s="955"/>
      <c r="C179" s="269" t="str">
        <f>'Chấm công KT'!C175</f>
        <v>Mày</v>
      </c>
      <c r="D179" s="972"/>
      <c r="E179" s="959"/>
      <c r="F179" s="973"/>
      <c r="G179" s="973"/>
      <c r="H179" s="973"/>
      <c r="I179" s="973"/>
      <c r="J179" s="974"/>
      <c r="K179" s="959"/>
      <c r="L179" s="959"/>
      <c r="M179" s="959"/>
      <c r="N179" s="960"/>
      <c r="O179" s="960"/>
      <c r="P179" s="960"/>
      <c r="Q179" s="271">
        <f t="shared" si="21"/>
        <v>0</v>
      </c>
      <c r="R179" s="251">
        <f>VLOOKUP(C179,'BTH mủ tạp'!$C$97:$AI$180,33,0)</f>
        <v>0</v>
      </c>
      <c r="S179" s="446"/>
      <c r="T179" s="1027"/>
      <c r="U179" s="341">
        <f t="shared" si="18"/>
        <v>0</v>
      </c>
      <c r="V179" s="273">
        <f>VLOOKUP(C179,'Chấm công KT'!$C$92:$AJ$175,34,0)</f>
        <v>0</v>
      </c>
      <c r="W179" s="273">
        <f>VLOOKUP(C179,'Chấm công KT'!$C$92:$AK$175,35,0)</f>
        <v>0</v>
      </c>
      <c r="X179" s="1104"/>
      <c r="Y179" s="339"/>
      <c r="Z179" s="273">
        <f>VLOOKUP(C179,'Chấm công KT'!C175:AN258,38,0)</f>
        <v>0</v>
      </c>
      <c r="AA179" s="273">
        <f>VLOOKUP(C179,'Chấm công KT'!$C$92:$AO$175,39,0)</f>
        <v>0</v>
      </c>
      <c r="AB179" s="967"/>
      <c r="AC179" s="981">
        <f t="shared" si="23"/>
        <v>0</v>
      </c>
      <c r="AD179" s="147"/>
      <c r="AE179" s="982"/>
      <c r="AF179" s="970"/>
      <c r="AH179" s="983"/>
      <c r="AI179" s="984"/>
      <c r="AJ179" s="985"/>
      <c r="AK179" s="985"/>
      <c r="AL179" s="985"/>
      <c r="AM179" s="985"/>
      <c r="AN179" s="985"/>
      <c r="AO179" s="985"/>
    </row>
    <row r="180" spans="1:41" s="971" customFormat="1" ht="18.75" customHeight="1">
      <c r="A180" s="1013">
        <v>85</v>
      </c>
      <c r="B180" s="955"/>
      <c r="C180" s="1570" t="s">
        <v>1020</v>
      </c>
      <c r="D180" s="972"/>
      <c r="E180" s="959"/>
      <c r="F180" s="973"/>
      <c r="G180" s="973"/>
      <c r="H180" s="973"/>
      <c r="I180" s="973"/>
      <c r="J180" s="974"/>
      <c r="K180" s="959"/>
      <c r="L180" s="959"/>
      <c r="M180" s="959"/>
      <c r="N180" s="960"/>
      <c r="O180" s="960"/>
      <c r="P180" s="960"/>
      <c r="Q180" s="271"/>
      <c r="R180" s="251"/>
      <c r="S180" s="446"/>
      <c r="T180" s="1027"/>
      <c r="U180" s="341"/>
      <c r="V180" s="273"/>
      <c r="W180" s="273"/>
      <c r="X180" s="1104"/>
      <c r="Y180" s="339"/>
      <c r="Z180" s="273"/>
      <c r="AA180" s="273"/>
      <c r="AB180" s="967"/>
      <c r="AC180" s="981"/>
      <c r="AD180" s="147"/>
      <c r="AE180" s="982"/>
      <c r="AF180" s="970"/>
      <c r="AH180" s="983"/>
      <c r="AI180" s="984"/>
      <c r="AJ180" s="985"/>
      <c r="AK180" s="985"/>
      <c r="AL180" s="985"/>
      <c r="AM180" s="985"/>
      <c r="AN180" s="985"/>
      <c r="AO180" s="985"/>
    </row>
    <row r="181" spans="1:41" s="971" customFormat="1" ht="18.75" customHeight="1">
      <c r="A181" s="96">
        <v>86</v>
      </c>
      <c r="B181" s="955"/>
      <c r="C181" s="1261" t="s">
        <v>1011</v>
      </c>
      <c r="D181" s="972"/>
      <c r="E181" s="959"/>
      <c r="F181" s="973"/>
      <c r="G181" s="973"/>
      <c r="H181" s="973"/>
      <c r="I181" s="973"/>
      <c r="J181" s="974"/>
      <c r="K181" s="959"/>
      <c r="L181" s="959"/>
      <c r="M181" s="959"/>
      <c r="N181" s="960"/>
      <c r="O181" s="960"/>
      <c r="P181" s="960"/>
      <c r="Q181" s="977">
        <f t="shared" si="21"/>
        <v>0</v>
      </c>
      <c r="R181" s="251"/>
      <c r="S181" s="446"/>
      <c r="T181" s="1027"/>
      <c r="U181" s="341"/>
      <c r="V181" s="273"/>
      <c r="W181" s="273"/>
      <c r="X181" s="1104"/>
      <c r="Y181" s="339"/>
      <c r="Z181" s="273"/>
      <c r="AA181" s="273"/>
      <c r="AB181" s="967"/>
      <c r="AC181" s="981">
        <f t="shared" si="23"/>
        <v>0</v>
      </c>
      <c r="AD181" s="147"/>
      <c r="AE181" s="982"/>
      <c r="AF181" s="970"/>
      <c r="AH181" s="983"/>
      <c r="AI181" s="984"/>
      <c r="AJ181" s="985"/>
      <c r="AK181" s="985"/>
      <c r="AL181" s="985"/>
      <c r="AM181" s="985"/>
      <c r="AN181" s="985"/>
      <c r="AO181" s="985"/>
    </row>
    <row r="182" spans="1:41" s="971" customFormat="1" ht="18.75" customHeight="1">
      <c r="A182" s="1013">
        <v>87</v>
      </c>
      <c r="B182" s="955"/>
      <c r="C182" s="1261" t="s">
        <v>1012</v>
      </c>
      <c r="D182" s="972"/>
      <c r="E182" s="959"/>
      <c r="F182" s="973"/>
      <c r="G182" s="973"/>
      <c r="H182" s="973"/>
      <c r="I182" s="973"/>
      <c r="J182" s="974"/>
      <c r="K182" s="959"/>
      <c r="L182" s="959"/>
      <c r="M182" s="959"/>
      <c r="N182" s="960"/>
      <c r="O182" s="960"/>
      <c r="P182" s="960">
        <v>3852.99</v>
      </c>
      <c r="Q182" s="977">
        <f t="shared" si="21"/>
        <v>3852.99</v>
      </c>
      <c r="R182" s="251"/>
      <c r="S182" s="446"/>
      <c r="T182" s="1027"/>
      <c r="U182" s="341"/>
      <c r="V182" s="273"/>
      <c r="W182" s="273"/>
      <c r="X182" s="1104"/>
      <c r="Y182" s="339"/>
      <c r="Z182" s="273"/>
      <c r="AA182" s="273"/>
      <c r="AB182" s="967"/>
      <c r="AC182" s="981">
        <f t="shared" si="23"/>
        <v>3852.99</v>
      </c>
      <c r="AD182" s="147"/>
      <c r="AE182" s="982"/>
      <c r="AF182" s="970"/>
      <c r="AH182" s="983"/>
      <c r="AI182" s="984"/>
      <c r="AJ182" s="985"/>
      <c r="AK182" s="985"/>
      <c r="AL182" s="985"/>
      <c r="AM182" s="985"/>
      <c r="AN182" s="985"/>
      <c r="AO182" s="985"/>
    </row>
    <row r="183" spans="1:41" s="971" customFormat="1" ht="18.75" customHeight="1">
      <c r="A183" s="96">
        <v>88</v>
      </c>
      <c r="B183" s="955"/>
      <c r="C183" s="976" t="s">
        <v>910</v>
      </c>
      <c r="D183" s="972"/>
      <c r="E183" s="959"/>
      <c r="F183" s="973"/>
      <c r="G183" s="973"/>
      <c r="H183" s="973"/>
      <c r="I183" s="973"/>
      <c r="J183" s="974"/>
      <c r="K183" s="959"/>
      <c r="L183" s="959"/>
      <c r="M183" s="959"/>
      <c r="N183" s="960"/>
      <c r="O183" s="960"/>
      <c r="P183" s="960"/>
      <c r="Q183" s="977">
        <f t="shared" si="21"/>
        <v>0</v>
      </c>
      <c r="R183" s="251"/>
      <c r="S183" s="446"/>
      <c r="T183" s="978"/>
      <c r="U183" s="979"/>
      <c r="V183" s="273"/>
      <c r="W183" s="273"/>
      <c r="X183" s="1104"/>
      <c r="Y183" s="339"/>
      <c r="Z183" s="273"/>
      <c r="AA183" s="273"/>
      <c r="AB183" s="967"/>
      <c r="AC183" s="981">
        <f t="shared" si="23"/>
        <v>0</v>
      </c>
      <c r="AD183" s="147"/>
      <c r="AE183" s="982"/>
      <c r="AF183" s="970"/>
      <c r="AH183" s="983"/>
      <c r="AI183" s="984"/>
      <c r="AJ183" s="985"/>
      <c r="AK183" s="985"/>
      <c r="AL183" s="985"/>
      <c r="AM183" s="985"/>
      <c r="AN183" s="985"/>
      <c r="AO183" s="985"/>
    </row>
    <row r="184" spans="1:41" s="1515" customFormat="1" ht="18.75" customHeight="1">
      <c r="A184" s="1563"/>
      <c r="B184" s="1991" t="s">
        <v>112</v>
      </c>
      <c r="C184" s="1991"/>
      <c r="D184" s="1991"/>
      <c r="E184" s="1255">
        <f>SUM(E185:E249)</f>
        <v>0</v>
      </c>
      <c r="F184" s="1255">
        <f t="shared" ref="F184:AC184" si="24">SUM(F185:F249)</f>
        <v>0</v>
      </c>
      <c r="G184" s="1255">
        <f t="shared" si="24"/>
        <v>0</v>
      </c>
      <c r="H184" s="1255">
        <f t="shared" si="24"/>
        <v>0</v>
      </c>
      <c r="I184" s="1255">
        <f t="shared" si="24"/>
        <v>0</v>
      </c>
      <c r="J184" s="1255">
        <f t="shared" si="24"/>
        <v>0</v>
      </c>
      <c r="K184" s="1255">
        <f t="shared" si="24"/>
        <v>0</v>
      </c>
      <c r="L184" s="1255">
        <f t="shared" si="24"/>
        <v>0</v>
      </c>
      <c r="M184" s="1669">
        <f t="shared" si="24"/>
        <v>0</v>
      </c>
      <c r="N184" s="1255">
        <f t="shared" si="24"/>
        <v>0</v>
      </c>
      <c r="O184" s="1255">
        <f t="shared" si="24"/>
        <v>0</v>
      </c>
      <c r="P184" s="1255">
        <f t="shared" si="24"/>
        <v>3218.16</v>
      </c>
      <c r="Q184" s="1255">
        <f t="shared" si="24"/>
        <v>3218.16</v>
      </c>
      <c r="R184" s="1255">
        <f t="shared" si="24"/>
        <v>0</v>
      </c>
      <c r="S184" s="1255">
        <f t="shared" si="24"/>
        <v>0</v>
      </c>
      <c r="T184" s="1255">
        <f t="shared" si="24"/>
        <v>0</v>
      </c>
      <c r="U184" s="1255">
        <f t="shared" si="24"/>
        <v>0</v>
      </c>
      <c r="V184" s="1255">
        <f t="shared" si="24"/>
        <v>0</v>
      </c>
      <c r="W184" s="1255">
        <f t="shared" si="24"/>
        <v>0</v>
      </c>
      <c r="X184" s="1255">
        <f t="shared" si="24"/>
        <v>0</v>
      </c>
      <c r="Y184" s="1255">
        <f t="shared" si="24"/>
        <v>0</v>
      </c>
      <c r="Z184" s="1255">
        <f t="shared" si="24"/>
        <v>0</v>
      </c>
      <c r="AA184" s="1255">
        <f t="shared" si="24"/>
        <v>0</v>
      </c>
      <c r="AB184" s="1255">
        <f t="shared" si="24"/>
        <v>0</v>
      </c>
      <c r="AC184" s="1255">
        <f t="shared" si="24"/>
        <v>3218.16</v>
      </c>
      <c r="AD184" s="1564"/>
      <c r="AE184" s="1255">
        <f>SUM(AE185:AE248)</f>
        <v>0</v>
      </c>
      <c r="AF184" s="1565">
        <v>1121</v>
      </c>
      <c r="AG184" s="1566">
        <v>135</v>
      </c>
      <c r="AH184" s="1567">
        <v>1191</v>
      </c>
      <c r="AI184" s="1568">
        <v>173</v>
      </c>
      <c r="AJ184" s="1569"/>
      <c r="AK184" s="1569"/>
      <c r="AL184" s="1569"/>
      <c r="AM184" s="1569"/>
      <c r="AN184" s="1569"/>
      <c r="AO184" s="1569"/>
    </row>
    <row r="185" spans="1:41" ht="18.75" customHeight="1">
      <c r="A185" s="255">
        <v>1</v>
      </c>
      <c r="B185" s="336" t="str">
        <f>'Chấm công KT'!D177</f>
        <v>03588</v>
      </c>
      <c r="C185" s="261" t="str">
        <f>'Chấm công KT'!C177</f>
        <v>T.Son say A</v>
      </c>
      <c r="D185" s="255" t="s">
        <v>43</v>
      </c>
      <c r="E185" s="352"/>
      <c r="F185" s="352"/>
      <c r="G185" s="352"/>
      <c r="H185" s="352"/>
      <c r="I185" s="352"/>
      <c r="J185" s="337"/>
      <c r="K185" s="267"/>
      <c r="L185" s="267"/>
      <c r="M185" s="152"/>
      <c r="N185" s="146"/>
      <c r="O185" s="291"/>
      <c r="P185" s="249"/>
      <c r="Q185" s="258">
        <f>SUM(E185:P185)</f>
        <v>0</v>
      </c>
      <c r="R185" s="251">
        <f>VLOOKUP(C185,'BTH mủ tạp'!$C$183:$AI$244,33,0)</f>
        <v>0</v>
      </c>
      <c r="S185" s="262"/>
      <c r="T185" s="250">
        <f t="shared" ref="T185" si="25">S185*50/100</f>
        <v>0</v>
      </c>
      <c r="U185" s="341">
        <f t="shared" ref="U185:U246" si="26">R185</f>
        <v>0</v>
      </c>
      <c r="V185" s="980">
        <f>VLOOKUP(C185,'Chấm công KT'!$C$177:$AJ$238,34,0)</f>
        <v>0</v>
      </c>
      <c r="W185" s="980">
        <f>VLOOKUP(C185,'Chấm công KT'!$C$177:$AK$238,35,0)</f>
        <v>0</v>
      </c>
      <c r="X185" s="980">
        <f>VLOOKUP(C185,'Chấm công KT'!C177:AL238,36,0)</f>
        <v>0</v>
      </c>
      <c r="Y185" s="1146"/>
      <c r="Z185" s="1146"/>
      <c r="AA185" s="1146"/>
      <c r="AB185" s="268"/>
      <c r="AC185" s="260">
        <f t="shared" ref="AC185:AC241" si="27">Q185</f>
        <v>0</v>
      </c>
      <c r="AD185" s="147" t="str">
        <f>VLOOKUP(C185,'BTH mủ tạp'!$C$15:$AL$305,36,0)</f>
        <v>B</v>
      </c>
      <c r="AE185" s="256"/>
      <c r="AF185" s="119"/>
      <c r="AH185" s="87"/>
      <c r="AI185" s="84"/>
      <c r="AJ185" s="85"/>
      <c r="AK185" s="85"/>
      <c r="AL185" s="85"/>
      <c r="AM185" s="85"/>
      <c r="AN185" s="85"/>
      <c r="AO185" s="85"/>
    </row>
    <row r="186" spans="1:41" ht="18.75" customHeight="1">
      <c r="A186" s="248">
        <v>2</v>
      </c>
      <c r="B186" s="336" t="str">
        <f>'Chấm công KT'!D178</f>
        <v>03466</v>
      </c>
      <c r="C186" s="261" t="str">
        <f>'Chấm công KT'!C178</f>
        <v>N. Keo</v>
      </c>
      <c r="D186" s="248" t="s">
        <v>43</v>
      </c>
      <c r="E186" s="352"/>
      <c r="F186" s="352"/>
      <c r="G186" s="352"/>
      <c r="H186" s="352"/>
      <c r="I186" s="352"/>
      <c r="J186" s="337"/>
      <c r="K186" s="267"/>
      <c r="L186" s="267"/>
      <c r="M186" s="152"/>
      <c r="N186" s="146"/>
      <c r="O186" s="291"/>
      <c r="P186" s="249"/>
      <c r="Q186" s="258">
        <f t="shared" ref="Q186:Q249" si="28">SUM(E186:P186)</f>
        <v>0</v>
      </c>
      <c r="R186" s="251">
        <f>VLOOKUP(C186,'BTH mủ tạp'!$C$183:$AI$244,33,0)</f>
        <v>0</v>
      </c>
      <c r="S186" s="262"/>
      <c r="T186" s="250">
        <f t="shared" ref="T186:T245" si="29">S186*50/100</f>
        <v>0</v>
      </c>
      <c r="U186" s="341">
        <f t="shared" si="26"/>
        <v>0</v>
      </c>
      <c r="V186" s="980">
        <f>VLOOKUP(C186,'Chấm công KT'!$C$177:$AJ$238,34,0)</f>
        <v>0</v>
      </c>
      <c r="W186" s="980">
        <f>VLOOKUP(C186,'Chấm công KT'!$C$177:$AK$238,35,0)</f>
        <v>0</v>
      </c>
      <c r="X186" s="980">
        <f>VLOOKUP(C186,'Chấm công KT'!C178:AL239,36,0)</f>
        <v>0</v>
      </c>
      <c r="Y186" s="1146"/>
      <c r="Z186" s="1146"/>
      <c r="AA186" s="1146"/>
      <c r="AB186" s="268"/>
      <c r="AC186" s="260">
        <f t="shared" si="27"/>
        <v>0</v>
      </c>
      <c r="AD186" s="147" t="str">
        <f>VLOOKUP(C186,'BTH mủ tạp'!$C$15:$AL$305,36,0)</f>
        <v>A</v>
      </c>
      <c r="AE186" s="261"/>
      <c r="AF186" s="119"/>
      <c r="AH186" s="91"/>
      <c r="AI186" s="90"/>
      <c r="AJ186" s="89"/>
      <c r="AK186" s="89"/>
      <c r="AL186" s="89"/>
      <c r="AM186" s="89"/>
      <c r="AN186" s="89"/>
      <c r="AO186" s="85"/>
    </row>
    <row r="187" spans="1:41" ht="18.75" customHeight="1">
      <c r="A187" s="248">
        <v>3</v>
      </c>
      <c r="B187" s="336" t="str">
        <f>'Chấm công KT'!D179</f>
        <v>03590</v>
      </c>
      <c r="C187" s="261" t="str">
        <f>'Chấm công KT'!C179</f>
        <v>T .Nhum</v>
      </c>
      <c r="D187" s="248" t="s">
        <v>43</v>
      </c>
      <c r="E187" s="352"/>
      <c r="F187" s="352"/>
      <c r="G187" s="352"/>
      <c r="H187" s="352"/>
      <c r="I187" s="352"/>
      <c r="J187" s="337"/>
      <c r="K187" s="267"/>
      <c r="L187" s="267"/>
      <c r="M187" s="152"/>
      <c r="N187" s="146"/>
      <c r="O187" s="291"/>
      <c r="P187" s="249"/>
      <c r="Q187" s="258">
        <f t="shared" si="28"/>
        <v>0</v>
      </c>
      <c r="R187" s="251">
        <f>VLOOKUP(C187,'BTH mủ tạp'!$C$183:$AI$244,33,0)</f>
        <v>0</v>
      </c>
      <c r="S187" s="262"/>
      <c r="T187" s="250">
        <f t="shared" si="29"/>
        <v>0</v>
      </c>
      <c r="U187" s="341">
        <f t="shared" si="26"/>
        <v>0</v>
      </c>
      <c r="V187" s="980">
        <f>VLOOKUP(C187,'Chấm công KT'!$C$177:$AJ$238,34,0)</f>
        <v>0</v>
      </c>
      <c r="W187" s="980">
        <f>VLOOKUP(C187,'Chấm công KT'!$C$177:$AK$238,35,0)</f>
        <v>0</v>
      </c>
      <c r="X187" s="980">
        <f>VLOOKUP(C187,'Chấm công KT'!C179:AL240,36,0)</f>
        <v>0</v>
      </c>
      <c r="Y187" s="1146"/>
      <c r="Z187" s="1146"/>
      <c r="AA187" s="1146"/>
      <c r="AB187" s="268"/>
      <c r="AC187" s="260">
        <f t="shared" si="27"/>
        <v>0</v>
      </c>
      <c r="AD187" s="147" t="str">
        <f>VLOOKUP(C187,'BTH mủ tạp'!$C$15:$AL$305,36,0)</f>
        <v>B</v>
      </c>
      <c r="AE187" s="261"/>
      <c r="AF187" s="119"/>
      <c r="AG187" s="116"/>
      <c r="AH187" s="116"/>
    </row>
    <row r="188" spans="1:41" ht="18.75" customHeight="1">
      <c r="A188" s="248">
        <v>4</v>
      </c>
      <c r="B188" s="336" t="str">
        <f>'Chấm công KT'!D180</f>
        <v>03591</v>
      </c>
      <c r="C188" s="261" t="str">
        <f>'Chấm công KT'!C180</f>
        <v>N.Vông Ma Ni</v>
      </c>
      <c r="D188" s="248" t="s">
        <v>43</v>
      </c>
      <c r="E188" s="352"/>
      <c r="F188" s="352"/>
      <c r="G188" s="352"/>
      <c r="H188" s="352"/>
      <c r="I188" s="352"/>
      <c r="J188" s="337"/>
      <c r="K188" s="267"/>
      <c r="L188" s="267"/>
      <c r="M188" s="152"/>
      <c r="N188" s="146"/>
      <c r="O188" s="291"/>
      <c r="P188" s="249"/>
      <c r="Q188" s="258">
        <f t="shared" si="28"/>
        <v>0</v>
      </c>
      <c r="R188" s="251">
        <f>VLOOKUP(C188,'BTH mủ tạp'!$C$183:$AI$244,33,0)</f>
        <v>0</v>
      </c>
      <c r="S188" s="262"/>
      <c r="T188" s="250">
        <f t="shared" si="29"/>
        <v>0</v>
      </c>
      <c r="U188" s="341">
        <f t="shared" si="26"/>
        <v>0</v>
      </c>
      <c r="V188" s="980">
        <f>VLOOKUP(C188,'Chấm công KT'!$C$177:$AJ$238,34,0)</f>
        <v>0</v>
      </c>
      <c r="W188" s="980">
        <f>VLOOKUP(C188,'Chấm công KT'!$C$177:$AK$238,35,0)</f>
        <v>0</v>
      </c>
      <c r="X188" s="980">
        <f>VLOOKUP(C188,'Chấm công KT'!C180:AL241,36,0)</f>
        <v>0</v>
      </c>
      <c r="Y188" s="1146"/>
      <c r="Z188" s="1146"/>
      <c r="AA188" s="1146"/>
      <c r="AB188" s="268"/>
      <c r="AC188" s="260">
        <f t="shared" si="27"/>
        <v>0</v>
      </c>
      <c r="AD188" s="147" t="str">
        <f>VLOOKUP(C188,'BTH mủ tạp'!$C$15:$AL$305,36,0)</f>
        <v>A</v>
      </c>
      <c r="AE188" s="261"/>
      <c r="AF188" s="119"/>
    </row>
    <row r="189" spans="1:41" ht="18.75" customHeight="1">
      <c r="A189" s="248">
        <v>5</v>
      </c>
      <c r="B189" s="336" t="str">
        <f>'Chấm công KT'!D181</f>
        <v>03592</v>
      </c>
      <c r="C189" s="261" t="str">
        <f>'Chấm công KT'!C181</f>
        <v>Đao Hương</v>
      </c>
      <c r="D189" s="248" t="s">
        <v>43</v>
      </c>
      <c r="E189" s="352"/>
      <c r="F189" s="352"/>
      <c r="G189" s="352"/>
      <c r="H189" s="352"/>
      <c r="I189" s="352"/>
      <c r="J189" s="337"/>
      <c r="K189" s="267"/>
      <c r="L189" s="267"/>
      <c r="M189" s="152"/>
      <c r="N189" s="146"/>
      <c r="O189" s="291"/>
      <c r="P189" s="249"/>
      <c r="Q189" s="258">
        <f t="shared" si="28"/>
        <v>0</v>
      </c>
      <c r="R189" s="251">
        <f>VLOOKUP(C189,'BTH mủ tạp'!$C$183:$AI$244,33,0)</f>
        <v>0</v>
      </c>
      <c r="S189" s="262"/>
      <c r="T189" s="250">
        <f t="shared" si="29"/>
        <v>0</v>
      </c>
      <c r="U189" s="341">
        <f t="shared" si="26"/>
        <v>0</v>
      </c>
      <c r="V189" s="980">
        <f>VLOOKUP(C189,'Chấm công KT'!$C$177:$AJ$238,34,0)</f>
        <v>0</v>
      </c>
      <c r="W189" s="980">
        <f>VLOOKUP(C189,'Chấm công KT'!$C$177:$AK$238,35,0)</f>
        <v>0</v>
      </c>
      <c r="X189" s="980">
        <f>VLOOKUP(C189,'Chấm công KT'!C181:AL242,36,0)</f>
        <v>0</v>
      </c>
      <c r="Y189" s="1146"/>
      <c r="Z189" s="1146"/>
      <c r="AA189" s="1146"/>
      <c r="AB189" s="268"/>
      <c r="AC189" s="260">
        <f t="shared" si="27"/>
        <v>0</v>
      </c>
      <c r="AD189" s="147" t="str">
        <f>VLOOKUP(C189,'BTH mủ tạp'!$C$15:$AL$305,36,0)</f>
        <v>A</v>
      </c>
      <c r="AE189" s="261"/>
      <c r="AF189" s="119">
        <f>241.33-E184</f>
        <v>241.33</v>
      </c>
    </row>
    <row r="190" spans="1:41" ht="18.75" customHeight="1">
      <c r="A190" s="248">
        <v>6</v>
      </c>
      <c r="B190" s="336" t="str">
        <f>'Chấm công KT'!D182</f>
        <v>03593</v>
      </c>
      <c r="C190" s="261" t="str">
        <f>'Chấm công KT'!C182</f>
        <v>T. Xi Nun</v>
      </c>
      <c r="D190" s="248" t="s">
        <v>43</v>
      </c>
      <c r="E190" s="352"/>
      <c r="F190" s="352"/>
      <c r="G190" s="352"/>
      <c r="H190" s="352"/>
      <c r="I190" s="352"/>
      <c r="J190" s="337"/>
      <c r="K190" s="152"/>
      <c r="L190" s="152"/>
      <c r="M190" s="152"/>
      <c r="N190" s="146"/>
      <c r="O190" s="291"/>
      <c r="P190" s="249"/>
      <c r="Q190" s="258">
        <f t="shared" si="28"/>
        <v>0</v>
      </c>
      <c r="R190" s="251">
        <f>VLOOKUP(C190,'BTH mủ tạp'!$C$183:$AI$244,33,0)</f>
        <v>0</v>
      </c>
      <c r="S190" s="262"/>
      <c r="T190" s="250">
        <f t="shared" si="29"/>
        <v>0</v>
      </c>
      <c r="U190" s="341">
        <f t="shared" si="26"/>
        <v>0</v>
      </c>
      <c r="V190" s="980">
        <f>VLOOKUP(C190,'Chấm công KT'!$C$177:$AJ$238,34,0)</f>
        <v>0</v>
      </c>
      <c r="W190" s="980">
        <f>VLOOKUP(C190,'Chấm công KT'!$C$177:$AK$238,35,0)</f>
        <v>0</v>
      </c>
      <c r="X190" s="980">
        <f>VLOOKUP(C190,'Chấm công KT'!C182:AL243,36,0)</f>
        <v>0</v>
      </c>
      <c r="Y190" s="1146"/>
      <c r="Z190" s="1146"/>
      <c r="AA190" s="1146"/>
      <c r="AB190" s="268"/>
      <c r="AC190" s="260">
        <f t="shared" si="27"/>
        <v>0</v>
      </c>
      <c r="AD190" s="147" t="str">
        <f>VLOOKUP(C190,'BTH mủ tạp'!$C$15:$AL$305,36,0)</f>
        <v>A</v>
      </c>
      <c r="AE190" s="261"/>
      <c r="AF190" s="119"/>
      <c r="AG190" s="117">
        <f>183*0.5</f>
        <v>91.5</v>
      </c>
    </row>
    <row r="191" spans="1:41" ht="18.75" customHeight="1">
      <c r="A191" s="248">
        <v>7</v>
      </c>
      <c r="B191" s="336" t="str">
        <f>'Chấm công KT'!D183</f>
        <v>03594</v>
      </c>
      <c r="C191" s="261" t="str">
        <f>'Chấm công KT'!C183</f>
        <v>T. Bun Hinh</v>
      </c>
      <c r="D191" s="248" t="s">
        <v>43</v>
      </c>
      <c r="E191" s="352"/>
      <c r="F191" s="352"/>
      <c r="G191" s="352"/>
      <c r="H191" s="352"/>
      <c r="I191" s="352"/>
      <c r="J191" s="337"/>
      <c r="K191" s="267"/>
      <c r="L191" s="267"/>
      <c r="M191" s="152"/>
      <c r="N191" s="146"/>
      <c r="O191" s="291"/>
      <c r="P191" s="249"/>
      <c r="Q191" s="258">
        <f t="shared" si="28"/>
        <v>0</v>
      </c>
      <c r="R191" s="251">
        <f>VLOOKUP(C191,'BTH mủ tạp'!$C$183:$AI$244,33,0)</f>
        <v>0</v>
      </c>
      <c r="S191" s="262"/>
      <c r="T191" s="250">
        <f t="shared" si="29"/>
        <v>0</v>
      </c>
      <c r="U191" s="341">
        <f t="shared" si="26"/>
        <v>0</v>
      </c>
      <c r="V191" s="980">
        <f>VLOOKUP(C191,'Chấm công KT'!$C$177:$AJ$238,34,0)</f>
        <v>0</v>
      </c>
      <c r="W191" s="980">
        <f>VLOOKUP(C191,'Chấm công KT'!$C$177:$AK$238,35,0)</f>
        <v>0</v>
      </c>
      <c r="X191" s="980">
        <f>VLOOKUP(C191,'Chấm công KT'!C183:AL244,36,0)</f>
        <v>0</v>
      </c>
      <c r="Y191" s="1146"/>
      <c r="Z191" s="1146"/>
      <c r="AA191" s="1146"/>
      <c r="AB191" s="268"/>
      <c r="AC191" s="260">
        <f t="shared" si="27"/>
        <v>0</v>
      </c>
      <c r="AD191" s="147" t="str">
        <f>VLOOKUP(C191,'BTH mủ tạp'!$C$15:$AL$305,36,0)</f>
        <v>A</v>
      </c>
      <c r="AE191" s="261"/>
      <c r="AF191" s="119"/>
    </row>
    <row r="192" spans="1:41" ht="18.75" customHeight="1">
      <c r="A192" s="248">
        <v>8</v>
      </c>
      <c r="B192" s="336" t="str">
        <f>'Chấm công KT'!D184</f>
        <v>03595</v>
      </c>
      <c r="C192" s="261" t="str">
        <f>'Chấm công KT'!C184</f>
        <v>N. Lăm</v>
      </c>
      <c r="D192" s="248" t="s">
        <v>43</v>
      </c>
      <c r="E192" s="352"/>
      <c r="F192" s="352"/>
      <c r="G192" s="352"/>
      <c r="H192" s="352"/>
      <c r="I192" s="352"/>
      <c r="J192" s="337"/>
      <c r="K192" s="267"/>
      <c r="L192" s="267"/>
      <c r="M192" s="352"/>
      <c r="N192" s="257"/>
      <c r="O192" s="368"/>
      <c r="P192" s="249"/>
      <c r="Q192" s="258">
        <f t="shared" si="28"/>
        <v>0</v>
      </c>
      <c r="R192" s="251">
        <f>VLOOKUP(C192,'BTH mủ tạp'!$C$183:$AI$244,33,0)</f>
        <v>0</v>
      </c>
      <c r="S192" s="262"/>
      <c r="T192" s="250">
        <f t="shared" si="29"/>
        <v>0</v>
      </c>
      <c r="U192" s="341">
        <f t="shared" si="26"/>
        <v>0</v>
      </c>
      <c r="V192" s="980">
        <f>VLOOKUP(C192,'Chấm công KT'!$C$177:$AJ$238,34,0)</f>
        <v>0</v>
      </c>
      <c r="W192" s="980">
        <f>VLOOKUP(C192,'Chấm công KT'!$C$177:$AK$238,35,0)</f>
        <v>0</v>
      </c>
      <c r="X192" s="980">
        <f>VLOOKUP(C192,'Chấm công KT'!C184:AL245,36,0)</f>
        <v>0</v>
      </c>
      <c r="Y192" s="1146"/>
      <c r="Z192" s="1146"/>
      <c r="AA192" s="1146"/>
      <c r="AB192" s="268"/>
      <c r="AC192" s="260">
        <f t="shared" si="27"/>
        <v>0</v>
      </c>
      <c r="AD192" s="147" t="str">
        <f>VLOOKUP(C192,'BTH mủ tạp'!$C$15:$AL$305,36,0)</f>
        <v>A</v>
      </c>
      <c r="AE192" s="261"/>
      <c r="AF192" s="119"/>
    </row>
    <row r="193" spans="1:33" ht="18.75" customHeight="1">
      <c r="A193" s="248">
        <v>9</v>
      </c>
      <c r="B193" s="336" t="str">
        <f>'Chấm công KT'!D185</f>
        <v>03596</v>
      </c>
      <c r="C193" s="261" t="str">
        <f>'Chấm công KT'!C185</f>
        <v>N. Xúc</v>
      </c>
      <c r="D193" s="248" t="s">
        <v>43</v>
      </c>
      <c r="E193" s="352"/>
      <c r="F193" s="352"/>
      <c r="G193" s="352"/>
      <c r="H193" s="352"/>
      <c r="I193" s="352"/>
      <c r="J193" s="337"/>
      <c r="K193" s="267"/>
      <c r="L193" s="267"/>
      <c r="M193" s="257"/>
      <c r="N193" s="257"/>
      <c r="O193" s="368"/>
      <c r="P193" s="249"/>
      <c r="Q193" s="258">
        <f t="shared" si="28"/>
        <v>0</v>
      </c>
      <c r="R193" s="251">
        <f>VLOOKUP(C193,'BTH mủ tạp'!$C$183:$AI$244,33,0)</f>
        <v>0</v>
      </c>
      <c r="S193" s="262"/>
      <c r="T193" s="250">
        <f t="shared" si="29"/>
        <v>0</v>
      </c>
      <c r="U193" s="341">
        <f t="shared" si="26"/>
        <v>0</v>
      </c>
      <c r="V193" s="980">
        <f>VLOOKUP(C193,'Chấm công KT'!$C$177:$AJ$238,34,0)</f>
        <v>0</v>
      </c>
      <c r="W193" s="980">
        <f>VLOOKUP(C193,'Chấm công KT'!$C$177:$AK$238,35,0)</f>
        <v>0</v>
      </c>
      <c r="X193" s="980">
        <f>VLOOKUP(C193,'Chấm công KT'!C185:AL246,36,0)</f>
        <v>0</v>
      </c>
      <c r="Y193" s="1146"/>
      <c r="Z193" s="1146"/>
      <c r="AA193" s="1146"/>
      <c r="AB193" s="268"/>
      <c r="AC193" s="260">
        <f t="shared" si="27"/>
        <v>0</v>
      </c>
      <c r="AD193" s="147" t="str">
        <f>VLOOKUP(C193,'BTH mủ tạp'!$C$15:$AL$305,36,0)</f>
        <v>A</v>
      </c>
      <c r="AE193" s="261"/>
      <c r="AF193" s="119"/>
    </row>
    <row r="194" spans="1:33" ht="18.75" customHeight="1">
      <c r="A194" s="248">
        <v>10</v>
      </c>
      <c r="B194" s="336" t="str">
        <f>'Chấm công KT'!D186</f>
        <v>03597</v>
      </c>
      <c r="C194" s="261" t="str">
        <f>'Chấm công KT'!C186</f>
        <v>N. Lẹ</v>
      </c>
      <c r="D194" s="248" t="s">
        <v>43</v>
      </c>
      <c r="E194" s="352"/>
      <c r="F194" s="352"/>
      <c r="G194" s="352"/>
      <c r="H194" s="352"/>
      <c r="I194" s="352"/>
      <c r="J194" s="337"/>
      <c r="K194" s="267"/>
      <c r="L194" s="267"/>
      <c r="M194" s="337"/>
      <c r="N194" s="146"/>
      <c r="O194" s="291"/>
      <c r="P194" s="249"/>
      <c r="Q194" s="258">
        <f t="shared" si="28"/>
        <v>0</v>
      </c>
      <c r="R194" s="251">
        <f>VLOOKUP(C194,'BTH mủ tạp'!$C$183:$AI$244,33,0)</f>
        <v>0</v>
      </c>
      <c r="S194" s="262"/>
      <c r="T194" s="250">
        <f t="shared" si="29"/>
        <v>0</v>
      </c>
      <c r="U194" s="341">
        <f t="shared" si="26"/>
        <v>0</v>
      </c>
      <c r="V194" s="980">
        <f>VLOOKUP(C194,'Chấm công KT'!$C$177:$AJ$238,34,0)</f>
        <v>0</v>
      </c>
      <c r="W194" s="980">
        <f>VLOOKUP(C194,'Chấm công KT'!$C$177:$AK$238,35,0)</f>
        <v>0</v>
      </c>
      <c r="X194" s="980">
        <f>VLOOKUP(C194,'Chấm công KT'!C186:AL247,36,0)</f>
        <v>0</v>
      </c>
      <c r="Y194" s="1146"/>
      <c r="Z194" s="1146"/>
      <c r="AA194" s="1146"/>
      <c r="AB194" s="268"/>
      <c r="AC194" s="260">
        <f t="shared" si="27"/>
        <v>0</v>
      </c>
      <c r="AD194" s="147" t="str">
        <f>VLOOKUP(C194,'BTH mủ tạp'!$C$15:$AL$305,36,0)</f>
        <v>B</v>
      </c>
      <c r="AE194" s="261"/>
      <c r="AF194" s="119"/>
    </row>
    <row r="195" spans="1:33" ht="18.75" customHeight="1">
      <c r="A195" s="248">
        <v>11</v>
      </c>
      <c r="B195" s="336" t="str">
        <f>'Chấm công KT'!D187</f>
        <v>03598</v>
      </c>
      <c r="C195" s="261" t="str">
        <f>'Chấm công KT'!C187</f>
        <v>N . Thích</v>
      </c>
      <c r="D195" s="248" t="s">
        <v>43</v>
      </c>
      <c r="E195" s="352"/>
      <c r="F195" s="352"/>
      <c r="G195" s="352"/>
      <c r="H195" s="352"/>
      <c r="I195" s="352"/>
      <c r="J195" s="337"/>
      <c r="K195" s="267"/>
      <c r="L195" s="267"/>
      <c r="M195" s="152"/>
      <c r="N195" s="146"/>
      <c r="O195" s="291"/>
      <c r="P195" s="249"/>
      <c r="Q195" s="258">
        <f t="shared" si="28"/>
        <v>0</v>
      </c>
      <c r="R195" s="251">
        <f>VLOOKUP(C195,'BTH mủ tạp'!$C$183:$AI$244,33,0)</f>
        <v>0</v>
      </c>
      <c r="S195" s="262"/>
      <c r="T195" s="250">
        <f t="shared" si="29"/>
        <v>0</v>
      </c>
      <c r="U195" s="341">
        <f t="shared" si="26"/>
        <v>0</v>
      </c>
      <c r="V195" s="980">
        <f>VLOOKUP(C195,'Chấm công KT'!$C$177:$AJ$238,34,0)</f>
        <v>0</v>
      </c>
      <c r="W195" s="980">
        <f>VLOOKUP(C195,'Chấm công KT'!$C$177:$AK$238,35,0)</f>
        <v>0</v>
      </c>
      <c r="X195" s="980">
        <f>VLOOKUP(C195,'Chấm công KT'!C187:AL248,36,0)</f>
        <v>0</v>
      </c>
      <c r="Y195" s="1146"/>
      <c r="Z195" s="1146"/>
      <c r="AA195" s="1146"/>
      <c r="AB195" s="268"/>
      <c r="AC195" s="260">
        <f t="shared" si="27"/>
        <v>0</v>
      </c>
      <c r="AD195" s="147" t="str">
        <f>VLOOKUP(C195,'BTH mủ tạp'!$C$15:$AL$305,36,0)</f>
        <v>A</v>
      </c>
      <c r="AE195" s="261"/>
      <c r="AF195" s="119"/>
    </row>
    <row r="196" spans="1:33" ht="18.75" customHeight="1">
      <c r="A196" s="248">
        <v>12</v>
      </c>
      <c r="B196" s="336" t="str">
        <f>'Chấm công KT'!D188</f>
        <v>03599</v>
      </c>
      <c r="C196" s="261" t="str">
        <f>'Chấm công KT'!C188</f>
        <v>N. Cong Mi</v>
      </c>
      <c r="D196" s="248" t="s">
        <v>43</v>
      </c>
      <c r="E196" s="352"/>
      <c r="F196" s="352"/>
      <c r="G196" s="352"/>
      <c r="H196" s="352"/>
      <c r="I196" s="352"/>
      <c r="J196" s="337"/>
      <c r="K196" s="267"/>
      <c r="L196" s="267"/>
      <c r="M196" s="152"/>
      <c r="N196" s="146"/>
      <c r="O196" s="291"/>
      <c r="P196" s="249"/>
      <c r="Q196" s="258">
        <f t="shared" si="28"/>
        <v>0</v>
      </c>
      <c r="R196" s="251">
        <f>VLOOKUP(C196,'BTH mủ tạp'!$C$183:$AI$244,33,0)</f>
        <v>0</v>
      </c>
      <c r="S196" s="262"/>
      <c r="T196" s="250">
        <f t="shared" si="29"/>
        <v>0</v>
      </c>
      <c r="U196" s="341">
        <f t="shared" si="26"/>
        <v>0</v>
      </c>
      <c r="V196" s="980">
        <f>VLOOKUP(C196,'Chấm công KT'!$C$177:$AJ$238,34,0)</f>
        <v>0</v>
      </c>
      <c r="W196" s="980">
        <f>VLOOKUP(C196,'Chấm công KT'!$C$177:$AK$238,35,0)</f>
        <v>0</v>
      </c>
      <c r="X196" s="980">
        <f>VLOOKUP(C196,'Chấm công KT'!C188:AL249,36,0)</f>
        <v>0</v>
      </c>
      <c r="Y196" s="1146"/>
      <c r="Z196" s="1146"/>
      <c r="AA196" s="1146"/>
      <c r="AB196" s="268"/>
      <c r="AC196" s="260">
        <f t="shared" si="27"/>
        <v>0</v>
      </c>
      <c r="AD196" s="147" t="str">
        <f>VLOOKUP(C196,'BTH mủ tạp'!$C$15:$AL$305,36,0)</f>
        <v>A</v>
      </c>
      <c r="AE196" s="261"/>
      <c r="AF196" s="119"/>
    </row>
    <row r="197" spans="1:33" ht="18.75" customHeight="1">
      <c r="A197" s="248">
        <v>13</v>
      </c>
      <c r="B197" s="336" t="str">
        <f>'Chấm công KT'!D189</f>
        <v>03600</v>
      </c>
      <c r="C197" s="261" t="str">
        <f>'Chấm công KT'!C189</f>
        <v>T . Vay</v>
      </c>
      <c r="D197" s="248" t="s">
        <v>43</v>
      </c>
      <c r="E197" s="352"/>
      <c r="F197" s="352"/>
      <c r="G197" s="352"/>
      <c r="H197" s="352"/>
      <c r="I197" s="352"/>
      <c r="J197" s="337"/>
      <c r="K197" s="267"/>
      <c r="L197" s="267"/>
      <c r="M197" s="152"/>
      <c r="N197" s="146"/>
      <c r="O197" s="291"/>
      <c r="P197" s="249"/>
      <c r="Q197" s="258">
        <f t="shared" si="28"/>
        <v>0</v>
      </c>
      <c r="R197" s="251">
        <f>VLOOKUP(C197,'BTH mủ tạp'!$C$183:$AI$244,33,0)</f>
        <v>0</v>
      </c>
      <c r="S197" s="262"/>
      <c r="T197" s="250">
        <f t="shared" si="29"/>
        <v>0</v>
      </c>
      <c r="U197" s="341">
        <f t="shared" si="26"/>
        <v>0</v>
      </c>
      <c r="V197" s="980">
        <f>VLOOKUP(C197,'Chấm công KT'!$C$177:$AJ$238,34,0)</f>
        <v>0</v>
      </c>
      <c r="W197" s="980">
        <f>VLOOKUP(C197,'Chấm công KT'!$C$177:$AK$238,35,0)</f>
        <v>0</v>
      </c>
      <c r="X197" s="980">
        <f>VLOOKUP(C197,'Chấm công KT'!C189:AL250,36,0)</f>
        <v>0</v>
      </c>
      <c r="Y197" s="1146"/>
      <c r="Z197" s="1146"/>
      <c r="AA197" s="1146"/>
      <c r="AB197" s="268"/>
      <c r="AC197" s="260">
        <f t="shared" si="27"/>
        <v>0</v>
      </c>
      <c r="AD197" s="147" t="str">
        <f>VLOOKUP(C197,'BTH mủ tạp'!$C$15:$AL$305,36,0)</f>
        <v>A</v>
      </c>
      <c r="AE197" s="261"/>
      <c r="AF197" s="119"/>
    </row>
    <row r="198" spans="1:33" ht="18.75" customHeight="1">
      <c r="A198" s="248">
        <v>14</v>
      </c>
      <c r="B198" s="336" t="str">
        <f>'Chấm công KT'!D190</f>
        <v>03601</v>
      </c>
      <c r="C198" s="261" t="str">
        <f>'Chấm công KT'!C190</f>
        <v>T. Khăm Mặn</v>
      </c>
      <c r="D198" s="248" t="s">
        <v>43</v>
      </c>
      <c r="E198" s="352"/>
      <c r="F198" s="352"/>
      <c r="G198" s="352"/>
      <c r="H198" s="352"/>
      <c r="I198" s="352"/>
      <c r="J198" s="337"/>
      <c r="K198" s="267"/>
      <c r="L198" s="267"/>
      <c r="M198" s="337"/>
      <c r="N198" s="257"/>
      <c r="O198" s="368"/>
      <c r="P198" s="249"/>
      <c r="Q198" s="258">
        <f t="shared" si="28"/>
        <v>0</v>
      </c>
      <c r="R198" s="251">
        <f>VLOOKUP(C198,'BTH mủ tạp'!$C$183:$AI$244,33,0)</f>
        <v>0</v>
      </c>
      <c r="S198" s="262"/>
      <c r="T198" s="250">
        <f t="shared" si="29"/>
        <v>0</v>
      </c>
      <c r="U198" s="341">
        <f t="shared" si="26"/>
        <v>0</v>
      </c>
      <c r="V198" s="980">
        <f>VLOOKUP(C198,'Chấm công KT'!$C$177:$AJ$238,34,0)</f>
        <v>0</v>
      </c>
      <c r="W198" s="980">
        <f>VLOOKUP(C198,'Chấm công KT'!$C$177:$AK$238,35,0)</f>
        <v>0</v>
      </c>
      <c r="X198" s="980">
        <f>VLOOKUP(C198,'Chấm công KT'!C190:AL251,36,0)</f>
        <v>0</v>
      </c>
      <c r="Y198" s="1146"/>
      <c r="Z198" s="1146"/>
      <c r="AA198" s="1146"/>
      <c r="AB198" s="268"/>
      <c r="AC198" s="260">
        <f t="shared" si="27"/>
        <v>0</v>
      </c>
      <c r="AD198" s="147" t="str">
        <f>VLOOKUP(C198,'BTH mủ tạp'!$C$15:$AL$305,36,0)</f>
        <v>A</v>
      </c>
      <c r="AE198" s="261"/>
      <c r="AF198" s="119"/>
      <c r="AG198" s="92"/>
    </row>
    <row r="199" spans="1:33" ht="18.75" customHeight="1">
      <c r="A199" s="248">
        <v>15</v>
      </c>
      <c r="B199" s="336" t="str">
        <f>'Chấm công KT'!D191</f>
        <v>03602</v>
      </c>
      <c r="C199" s="261" t="str">
        <f>'Chấm công KT'!C191</f>
        <v>T . In Tong</v>
      </c>
      <c r="D199" s="248" t="s">
        <v>43</v>
      </c>
      <c r="E199" s="352"/>
      <c r="F199" s="352"/>
      <c r="G199" s="352"/>
      <c r="H199" s="352"/>
      <c r="I199" s="352"/>
      <c r="J199" s="337"/>
      <c r="K199" s="267"/>
      <c r="L199" s="267"/>
      <c r="M199" s="152"/>
      <c r="N199" s="146"/>
      <c r="O199" s="291"/>
      <c r="P199" s="249"/>
      <c r="Q199" s="258">
        <f t="shared" si="28"/>
        <v>0</v>
      </c>
      <c r="R199" s="251">
        <f>VLOOKUP(C199,'BTH mủ tạp'!$C$183:$AI$244,33,0)</f>
        <v>0</v>
      </c>
      <c r="S199" s="262"/>
      <c r="T199" s="250">
        <f t="shared" si="29"/>
        <v>0</v>
      </c>
      <c r="U199" s="341">
        <f t="shared" si="26"/>
        <v>0</v>
      </c>
      <c r="V199" s="980">
        <f>VLOOKUP(C199,'Chấm công KT'!$C$177:$AJ$238,34,0)</f>
        <v>0</v>
      </c>
      <c r="W199" s="980">
        <f>VLOOKUP(C199,'Chấm công KT'!$C$177:$AK$238,35,0)</f>
        <v>0</v>
      </c>
      <c r="X199" s="980">
        <f>VLOOKUP(C199,'Chấm công KT'!C191:AL252,36,0)</f>
        <v>0</v>
      </c>
      <c r="Y199" s="1146"/>
      <c r="Z199" s="1146"/>
      <c r="AA199" s="1146"/>
      <c r="AB199" s="268"/>
      <c r="AC199" s="260">
        <f t="shared" si="27"/>
        <v>0</v>
      </c>
      <c r="AD199" s="147" t="str">
        <f>VLOOKUP(C199,'BTH mủ tạp'!$C$15:$AL$305,36,0)</f>
        <v>A</v>
      </c>
      <c r="AE199" s="261"/>
      <c r="AF199" s="119"/>
    </row>
    <row r="200" spans="1:33" ht="18.75" customHeight="1">
      <c r="A200" s="248">
        <v>16</v>
      </c>
      <c r="B200" s="336" t="str">
        <f>'Chấm công KT'!D192</f>
        <v>03603</v>
      </c>
      <c r="C200" s="261" t="str">
        <f>'Chấm công KT'!C192</f>
        <v>T. Sòn</v>
      </c>
      <c r="D200" s="248" t="s">
        <v>43</v>
      </c>
      <c r="E200" s="352"/>
      <c r="F200" s="352"/>
      <c r="G200" s="352"/>
      <c r="H200" s="352"/>
      <c r="I200" s="352"/>
      <c r="J200" s="337"/>
      <c r="K200" s="267"/>
      <c r="L200" s="267"/>
      <c r="M200" s="152"/>
      <c r="N200" s="146"/>
      <c r="O200" s="291"/>
      <c r="P200" s="249"/>
      <c r="Q200" s="258">
        <f t="shared" si="28"/>
        <v>0</v>
      </c>
      <c r="R200" s="251">
        <f>VLOOKUP(C200,'BTH mủ tạp'!$C$183:$AI$244,33,0)</f>
        <v>0</v>
      </c>
      <c r="S200" s="262"/>
      <c r="T200" s="250">
        <f t="shared" si="29"/>
        <v>0</v>
      </c>
      <c r="U200" s="341">
        <f t="shared" si="26"/>
        <v>0</v>
      </c>
      <c r="V200" s="980">
        <f>VLOOKUP(C200,'Chấm công KT'!$C$177:$AJ$238,34,0)</f>
        <v>0</v>
      </c>
      <c r="W200" s="980">
        <f>VLOOKUP(C200,'Chấm công KT'!$C$177:$AK$238,35,0)</f>
        <v>0</v>
      </c>
      <c r="X200" s="980">
        <f>VLOOKUP(C200,'Chấm công KT'!C192:AL253,36,0)</f>
        <v>0</v>
      </c>
      <c r="Y200" s="1146"/>
      <c r="Z200" s="1146"/>
      <c r="AA200" s="1146"/>
      <c r="AB200" s="268"/>
      <c r="AC200" s="260">
        <f t="shared" si="27"/>
        <v>0</v>
      </c>
      <c r="AD200" s="147" t="str">
        <f>VLOOKUP(C200,'BTH mủ tạp'!$C$15:$AL$305,36,0)</f>
        <v>B</v>
      </c>
      <c r="AE200" s="261"/>
      <c r="AF200" s="119"/>
    </row>
    <row r="201" spans="1:33" ht="18.75" customHeight="1">
      <c r="A201" s="248">
        <v>17</v>
      </c>
      <c r="B201" s="336" t="str">
        <f>'Chấm công KT'!D193</f>
        <v>03604</v>
      </c>
      <c r="C201" s="261" t="str">
        <f>'Chấm công KT'!C193</f>
        <v>T. Lăm Phêng</v>
      </c>
      <c r="D201" s="248" t="s">
        <v>43</v>
      </c>
      <c r="E201" s="352"/>
      <c r="F201" s="352"/>
      <c r="G201" s="352"/>
      <c r="H201" s="352"/>
      <c r="I201" s="352"/>
      <c r="J201" s="337"/>
      <c r="K201" s="267"/>
      <c r="L201" s="267"/>
      <c r="M201" s="337"/>
      <c r="N201" s="257"/>
      <c r="O201" s="368"/>
      <c r="P201" s="249"/>
      <c r="Q201" s="258">
        <f t="shared" si="28"/>
        <v>0</v>
      </c>
      <c r="R201" s="251">
        <f>VLOOKUP(C201,'BTH mủ tạp'!$C$183:$AI$244,33,0)</f>
        <v>0</v>
      </c>
      <c r="S201" s="262"/>
      <c r="T201" s="250">
        <f t="shared" si="29"/>
        <v>0</v>
      </c>
      <c r="U201" s="341">
        <f t="shared" si="26"/>
        <v>0</v>
      </c>
      <c r="V201" s="980">
        <f>VLOOKUP(C201,'Chấm công KT'!$C$177:$AJ$238,34,0)</f>
        <v>0</v>
      </c>
      <c r="W201" s="980">
        <f>VLOOKUP(C201,'Chấm công KT'!$C$177:$AK$238,35,0)</f>
        <v>0</v>
      </c>
      <c r="X201" s="980">
        <f>VLOOKUP(C201,'Chấm công KT'!C193:AL254,36,0)</f>
        <v>0</v>
      </c>
      <c r="Y201" s="1146"/>
      <c r="Z201" s="1146"/>
      <c r="AA201" s="1146"/>
      <c r="AB201" s="268"/>
      <c r="AC201" s="260">
        <f t="shared" si="27"/>
        <v>0</v>
      </c>
      <c r="AD201" s="147" t="str">
        <f>VLOOKUP(C201,'BTH mủ tạp'!$C$15:$AL$305,36,0)</f>
        <v>A</v>
      </c>
      <c r="AE201" s="261"/>
      <c r="AF201" s="119"/>
    </row>
    <row r="202" spans="1:33" ht="18.75" customHeight="1">
      <c r="A202" s="248">
        <v>18</v>
      </c>
      <c r="B202" s="336" t="e">
        <f>'Chấm công KT'!D194</f>
        <v>#N/A</v>
      </c>
      <c r="C202" s="261" t="str">
        <f>'Chấm công KT'!C194</f>
        <v>T Xèng</v>
      </c>
      <c r="D202" s="248" t="s">
        <v>43</v>
      </c>
      <c r="E202" s="352"/>
      <c r="F202" s="352"/>
      <c r="G202" s="352"/>
      <c r="H202" s="352"/>
      <c r="I202" s="352"/>
      <c r="J202" s="337"/>
      <c r="K202" s="267"/>
      <c r="L202" s="267"/>
      <c r="M202" s="337"/>
      <c r="N202" s="257"/>
      <c r="O202" s="368"/>
      <c r="P202" s="249"/>
      <c r="Q202" s="258">
        <f t="shared" si="28"/>
        <v>0</v>
      </c>
      <c r="R202" s="251">
        <f>VLOOKUP(C202,'BTH mủ tạp'!$C$183:$AI$244,33,0)</f>
        <v>0</v>
      </c>
      <c r="S202" s="262"/>
      <c r="T202" s="250">
        <f t="shared" si="29"/>
        <v>0</v>
      </c>
      <c r="U202" s="341">
        <f t="shared" si="26"/>
        <v>0</v>
      </c>
      <c r="V202" s="980">
        <f>VLOOKUP(C202,'Chấm công KT'!$C$177:$AJ$238,34,0)</f>
        <v>0</v>
      </c>
      <c r="W202" s="980">
        <f>VLOOKUP(C202,'Chấm công KT'!$C$177:$AK$238,35,0)</f>
        <v>0</v>
      </c>
      <c r="X202" s="980">
        <f>VLOOKUP(C202,'Chấm công KT'!C194:AL255,36,0)</f>
        <v>0</v>
      </c>
      <c r="Y202" s="1146"/>
      <c r="Z202" s="1146"/>
      <c r="AA202" s="1146"/>
      <c r="AB202" s="268"/>
      <c r="AC202" s="260">
        <f t="shared" si="27"/>
        <v>0</v>
      </c>
      <c r="AD202" s="147" t="str">
        <f>VLOOKUP(C202,'BTH mủ tạp'!$C$15:$AL$305,36,0)</f>
        <v>A</v>
      </c>
      <c r="AE202" s="261"/>
      <c r="AF202" s="119"/>
    </row>
    <row r="203" spans="1:33" ht="18.75" customHeight="1">
      <c r="A203" s="248">
        <v>19</v>
      </c>
      <c r="B203" s="336" t="str">
        <f>'Chấm công KT'!D195</f>
        <v>03606</v>
      </c>
      <c r="C203" s="261" t="str">
        <f>'Chấm công KT'!C195</f>
        <v>N. Phăn</v>
      </c>
      <c r="D203" s="248" t="s">
        <v>43</v>
      </c>
      <c r="E203" s="352"/>
      <c r="F203" s="352"/>
      <c r="G203" s="352"/>
      <c r="H203" s="352"/>
      <c r="I203" s="352"/>
      <c r="J203" s="337"/>
      <c r="K203" s="267"/>
      <c r="L203" s="267"/>
      <c r="M203" s="152"/>
      <c r="N203" s="146"/>
      <c r="O203" s="291"/>
      <c r="P203" s="249"/>
      <c r="Q203" s="258">
        <f t="shared" si="28"/>
        <v>0</v>
      </c>
      <c r="R203" s="251">
        <f>VLOOKUP(C203,'BTH mủ tạp'!$C$183:$AI$244,33,0)</f>
        <v>0</v>
      </c>
      <c r="S203" s="262"/>
      <c r="T203" s="250">
        <f t="shared" si="29"/>
        <v>0</v>
      </c>
      <c r="U203" s="341">
        <f t="shared" si="26"/>
        <v>0</v>
      </c>
      <c r="V203" s="980">
        <f>VLOOKUP(C203,'Chấm công KT'!$C$177:$AJ$238,34,0)</f>
        <v>0</v>
      </c>
      <c r="W203" s="980">
        <f>VLOOKUP(C203,'Chấm công KT'!$C$177:$AK$238,35,0)</f>
        <v>0</v>
      </c>
      <c r="X203" s="980">
        <f>VLOOKUP(C203,'Chấm công KT'!C195:AL256,36,0)</f>
        <v>0</v>
      </c>
      <c r="Y203" s="1146"/>
      <c r="Z203" s="1146"/>
      <c r="AA203" s="1146"/>
      <c r="AB203" s="268"/>
      <c r="AC203" s="260">
        <f t="shared" si="27"/>
        <v>0</v>
      </c>
      <c r="AD203" s="147" t="str">
        <f>VLOOKUP(C203,'BTH mủ tạp'!$C$15:$AL$305,36,0)</f>
        <v>B</v>
      </c>
      <c r="AE203" s="261"/>
      <c r="AF203" s="119"/>
    </row>
    <row r="204" spans="1:33" ht="18.75" customHeight="1">
      <c r="A204" s="248">
        <v>20</v>
      </c>
      <c r="B204" s="336" t="str">
        <f>'Chấm công KT'!D196</f>
        <v>03607</v>
      </c>
      <c r="C204" s="261" t="str">
        <f>'Chấm công KT'!C196</f>
        <v>T. Huôn</v>
      </c>
      <c r="D204" s="248" t="s">
        <v>43</v>
      </c>
      <c r="E204" s="352"/>
      <c r="F204" s="352"/>
      <c r="G204" s="352"/>
      <c r="H204" s="352"/>
      <c r="I204" s="352"/>
      <c r="J204" s="337"/>
      <c r="K204" s="267"/>
      <c r="L204" s="267"/>
      <c r="M204" s="152"/>
      <c r="N204" s="146"/>
      <c r="O204" s="291"/>
      <c r="P204" s="249"/>
      <c r="Q204" s="258">
        <f t="shared" si="28"/>
        <v>0</v>
      </c>
      <c r="R204" s="251">
        <f>VLOOKUP(C204,'BTH mủ tạp'!$C$183:$AI$244,33,0)</f>
        <v>0</v>
      </c>
      <c r="S204" s="262"/>
      <c r="T204" s="250">
        <f t="shared" si="29"/>
        <v>0</v>
      </c>
      <c r="U204" s="341">
        <f t="shared" si="26"/>
        <v>0</v>
      </c>
      <c r="V204" s="980">
        <f>VLOOKUP(C204,'Chấm công KT'!$C$177:$AJ$238,34,0)</f>
        <v>0</v>
      </c>
      <c r="W204" s="980">
        <f>VLOOKUP(C204,'Chấm công KT'!$C$177:$AK$238,35,0)</f>
        <v>0</v>
      </c>
      <c r="X204" s="980">
        <f>VLOOKUP(C204,'Chấm công KT'!C196:AL257,36,0)</f>
        <v>0</v>
      </c>
      <c r="Y204" s="1146"/>
      <c r="Z204" s="1146"/>
      <c r="AA204" s="1146"/>
      <c r="AB204" s="268"/>
      <c r="AC204" s="260">
        <f t="shared" si="27"/>
        <v>0</v>
      </c>
      <c r="AD204" s="147" t="str">
        <f>VLOOKUP(C204,'BTH mủ tạp'!$C$15:$AL$305,36,0)</f>
        <v>A</v>
      </c>
      <c r="AE204" s="261"/>
      <c r="AF204" s="119"/>
    </row>
    <row r="205" spans="1:33" ht="18.75" customHeight="1">
      <c r="A205" s="248">
        <v>21</v>
      </c>
      <c r="B205" s="336" t="str">
        <f>'Chấm công KT'!D197</f>
        <v>02729</v>
      </c>
      <c r="C205" s="261" t="str">
        <f>'Chấm công KT'!C197</f>
        <v>N. Lay</v>
      </c>
      <c r="D205" s="248" t="s">
        <v>43</v>
      </c>
      <c r="E205" s="352"/>
      <c r="F205" s="352"/>
      <c r="G205" s="352"/>
      <c r="H205" s="352"/>
      <c r="I205" s="352"/>
      <c r="J205" s="337"/>
      <c r="K205" s="267"/>
      <c r="L205" s="267"/>
      <c r="M205" s="337"/>
      <c r="N205" s="257"/>
      <c r="O205" s="368"/>
      <c r="P205" s="249"/>
      <c r="Q205" s="258">
        <f t="shared" si="28"/>
        <v>0</v>
      </c>
      <c r="R205" s="251">
        <f>VLOOKUP(C205,'BTH mủ tạp'!$C$183:$AI$244,33,0)</f>
        <v>0</v>
      </c>
      <c r="S205" s="262"/>
      <c r="T205" s="250">
        <f t="shared" si="29"/>
        <v>0</v>
      </c>
      <c r="U205" s="341">
        <f t="shared" si="26"/>
        <v>0</v>
      </c>
      <c r="V205" s="980">
        <f>VLOOKUP(C205,'Chấm công KT'!$C$177:$AJ$238,34,0)</f>
        <v>0</v>
      </c>
      <c r="W205" s="980">
        <f>VLOOKUP(C205,'Chấm công KT'!$C$177:$AK$238,35,0)</f>
        <v>0</v>
      </c>
      <c r="X205" s="980">
        <f>VLOOKUP(C205,'Chấm công KT'!C197:AL258,36,0)</f>
        <v>0</v>
      </c>
      <c r="Y205" s="1146"/>
      <c r="Z205" s="1146"/>
      <c r="AA205" s="1146"/>
      <c r="AB205" s="268"/>
      <c r="AC205" s="260">
        <f t="shared" si="27"/>
        <v>0</v>
      </c>
      <c r="AD205" s="147" t="str">
        <f>VLOOKUP(C205,'BTH mủ tạp'!$C$15:$AL$305,36,0)</f>
        <v>A</v>
      </c>
      <c r="AE205" s="261"/>
      <c r="AF205" s="119"/>
    </row>
    <row r="206" spans="1:33" ht="18.75" customHeight="1">
      <c r="A206" s="248">
        <v>22</v>
      </c>
      <c r="B206" s="336" t="str">
        <f>'Chấm công KT'!D198</f>
        <v>03608</v>
      </c>
      <c r="C206" s="261" t="str">
        <f>'Chấm công KT'!C198</f>
        <v>N. Pon</v>
      </c>
      <c r="D206" s="248" t="s">
        <v>43</v>
      </c>
      <c r="E206" s="352"/>
      <c r="F206" s="352"/>
      <c r="G206" s="352"/>
      <c r="H206" s="352"/>
      <c r="I206" s="352"/>
      <c r="J206" s="337"/>
      <c r="K206" s="267"/>
      <c r="L206" s="267"/>
      <c r="M206" s="152"/>
      <c r="N206" s="146"/>
      <c r="O206" s="291"/>
      <c r="P206" s="249"/>
      <c r="Q206" s="258">
        <f t="shared" si="28"/>
        <v>0</v>
      </c>
      <c r="R206" s="251">
        <f>VLOOKUP(C206,'BTH mủ tạp'!$C$183:$AI$244,33,0)</f>
        <v>0</v>
      </c>
      <c r="S206" s="262"/>
      <c r="T206" s="250">
        <f t="shared" si="29"/>
        <v>0</v>
      </c>
      <c r="U206" s="341">
        <f t="shared" si="26"/>
        <v>0</v>
      </c>
      <c r="V206" s="980">
        <f>VLOOKUP(C206,'Chấm công KT'!$C$177:$AJ$238,34,0)</f>
        <v>0</v>
      </c>
      <c r="W206" s="980">
        <f>VLOOKUP(C206,'Chấm công KT'!$C$177:$AK$238,35,0)</f>
        <v>0</v>
      </c>
      <c r="X206" s="980">
        <f>VLOOKUP(C206,'Chấm công KT'!C198:AL259,36,0)</f>
        <v>0</v>
      </c>
      <c r="Y206" s="1146"/>
      <c r="Z206" s="1146"/>
      <c r="AA206" s="1146"/>
      <c r="AB206" s="268"/>
      <c r="AC206" s="260">
        <f t="shared" si="27"/>
        <v>0</v>
      </c>
      <c r="AD206" s="147" t="str">
        <f>VLOOKUP(C206,'BTH mủ tạp'!$C$15:$AL$305,36,0)</f>
        <v>A</v>
      </c>
      <c r="AE206" s="261"/>
      <c r="AF206" s="119"/>
    </row>
    <row r="207" spans="1:33" ht="18.75" customHeight="1">
      <c r="A207" s="248">
        <v>23</v>
      </c>
      <c r="B207" s="336" t="str">
        <f>'Chấm công KT'!D199</f>
        <v>03609</v>
      </c>
      <c r="C207" s="261" t="str">
        <f>'Chấm công KT'!C199</f>
        <v>N. Bun Đi</v>
      </c>
      <c r="D207" s="248" t="s">
        <v>43</v>
      </c>
      <c r="E207" s="352"/>
      <c r="F207" s="352"/>
      <c r="G207" s="352"/>
      <c r="H207" s="352"/>
      <c r="I207" s="352"/>
      <c r="J207" s="337"/>
      <c r="K207" s="267"/>
      <c r="L207" s="267"/>
      <c r="M207" s="152"/>
      <c r="N207" s="146"/>
      <c r="O207" s="291"/>
      <c r="P207" s="249"/>
      <c r="Q207" s="258">
        <f t="shared" si="28"/>
        <v>0</v>
      </c>
      <c r="R207" s="251">
        <f>VLOOKUP(C207,'BTH mủ tạp'!$C$183:$AI$244,33,0)</f>
        <v>0</v>
      </c>
      <c r="S207" s="262"/>
      <c r="T207" s="250">
        <f t="shared" si="29"/>
        <v>0</v>
      </c>
      <c r="U207" s="341">
        <f t="shared" si="26"/>
        <v>0</v>
      </c>
      <c r="V207" s="980">
        <f>VLOOKUP(C207,'Chấm công KT'!$C$177:$AJ$238,34,0)</f>
        <v>0</v>
      </c>
      <c r="W207" s="980">
        <f>VLOOKUP(C207,'Chấm công KT'!$C$177:$AK$238,35,0)</f>
        <v>0</v>
      </c>
      <c r="X207" s="980">
        <f>VLOOKUP(C207,'Chấm công KT'!C199:AL260,36,0)</f>
        <v>0</v>
      </c>
      <c r="Y207" s="1146"/>
      <c r="Z207" s="1146"/>
      <c r="AA207" s="1146"/>
      <c r="AB207" s="268"/>
      <c r="AC207" s="260">
        <f t="shared" si="27"/>
        <v>0</v>
      </c>
      <c r="AD207" s="147" t="str">
        <f>VLOOKUP(C207,'BTH mủ tạp'!$C$15:$AL$305,36,0)</f>
        <v>A</v>
      </c>
      <c r="AE207" s="261"/>
      <c r="AF207" s="119"/>
    </row>
    <row r="208" spans="1:33" ht="18.75" customHeight="1">
      <c r="A208" s="248">
        <v>24</v>
      </c>
      <c r="B208" s="336" t="str">
        <f>'Chấm công KT'!D200</f>
        <v>03610</v>
      </c>
      <c r="C208" s="261" t="str">
        <f>'Chấm công KT'!C200</f>
        <v>N. Phon</v>
      </c>
      <c r="D208" s="248" t="s">
        <v>43</v>
      </c>
      <c r="E208" s="352"/>
      <c r="F208" s="352"/>
      <c r="G208" s="352"/>
      <c r="H208" s="352"/>
      <c r="I208" s="352"/>
      <c r="J208" s="337"/>
      <c r="K208" s="267"/>
      <c r="L208" s="267"/>
      <c r="M208" s="152"/>
      <c r="N208" s="146"/>
      <c r="O208" s="291"/>
      <c r="P208" s="249"/>
      <c r="Q208" s="258">
        <f t="shared" si="28"/>
        <v>0</v>
      </c>
      <c r="R208" s="251">
        <f>VLOOKUP(C208,'BTH mủ tạp'!$C$183:$AI$244,33,0)</f>
        <v>0</v>
      </c>
      <c r="S208" s="262"/>
      <c r="T208" s="250">
        <f t="shared" si="29"/>
        <v>0</v>
      </c>
      <c r="U208" s="341">
        <f t="shared" si="26"/>
        <v>0</v>
      </c>
      <c r="V208" s="980">
        <f>VLOOKUP(C208,'Chấm công KT'!$C$177:$AJ$238,34,0)</f>
        <v>0</v>
      </c>
      <c r="W208" s="980">
        <f>VLOOKUP(C208,'Chấm công KT'!$C$177:$AK$238,35,0)</f>
        <v>0</v>
      </c>
      <c r="X208" s="980">
        <f>VLOOKUP(C208,'Chấm công KT'!C200:AL261,36,0)</f>
        <v>0</v>
      </c>
      <c r="Y208" s="1146"/>
      <c r="Z208" s="1146"/>
      <c r="AA208" s="1146"/>
      <c r="AB208" s="268"/>
      <c r="AC208" s="260">
        <f t="shared" si="27"/>
        <v>0</v>
      </c>
      <c r="AD208" s="147" t="str">
        <f>VLOOKUP(C208,'BTH mủ tạp'!$C$15:$AL$305,36,0)</f>
        <v>A</v>
      </c>
      <c r="AE208" s="261"/>
      <c r="AF208" s="119"/>
    </row>
    <row r="209" spans="1:32" ht="18.75" customHeight="1">
      <c r="A209" s="248">
        <v>25</v>
      </c>
      <c r="B209" s="336" t="str">
        <f>'Chấm công KT'!D201</f>
        <v>03611</v>
      </c>
      <c r="C209" s="261" t="str">
        <f>'Chấm công KT'!C201</f>
        <v>T. Cỏ</v>
      </c>
      <c r="D209" s="248" t="s">
        <v>43</v>
      </c>
      <c r="E209" s="352"/>
      <c r="F209" s="352"/>
      <c r="G209" s="352"/>
      <c r="H209" s="352"/>
      <c r="I209" s="352"/>
      <c r="J209" s="337"/>
      <c r="K209" s="267"/>
      <c r="L209" s="267"/>
      <c r="M209" s="152"/>
      <c r="N209" s="146"/>
      <c r="O209" s="291"/>
      <c r="P209" s="249"/>
      <c r="Q209" s="258">
        <f t="shared" si="28"/>
        <v>0</v>
      </c>
      <c r="R209" s="251">
        <f>VLOOKUP(C209,'BTH mủ tạp'!$C$183:$AI$244,33,0)</f>
        <v>0</v>
      </c>
      <c r="S209" s="262"/>
      <c r="T209" s="250">
        <f t="shared" si="29"/>
        <v>0</v>
      </c>
      <c r="U209" s="341">
        <f t="shared" si="26"/>
        <v>0</v>
      </c>
      <c r="V209" s="980">
        <f>VLOOKUP(C209,'Chấm công KT'!$C$177:$AJ$238,34,0)</f>
        <v>0</v>
      </c>
      <c r="W209" s="980">
        <f>VLOOKUP(C209,'Chấm công KT'!$C$177:$AK$238,35,0)</f>
        <v>0</v>
      </c>
      <c r="X209" s="980">
        <f>VLOOKUP(C209,'Chấm công KT'!C201:AL262,36,0)</f>
        <v>0</v>
      </c>
      <c r="Y209" s="1146"/>
      <c r="Z209" s="1146"/>
      <c r="AA209" s="1146"/>
      <c r="AB209" s="268"/>
      <c r="AC209" s="260">
        <f t="shared" si="27"/>
        <v>0</v>
      </c>
      <c r="AD209" s="147" t="str">
        <f>VLOOKUP(C209,'BTH mủ tạp'!$C$15:$AL$305,36,0)</f>
        <v>A</v>
      </c>
      <c r="AE209" s="261"/>
      <c r="AF209" s="119"/>
    </row>
    <row r="210" spans="1:32" ht="18.75" customHeight="1">
      <c r="A210" s="248">
        <v>26</v>
      </c>
      <c r="B210" s="336" t="str">
        <f>'Chấm công KT'!D202</f>
        <v>03612</v>
      </c>
      <c r="C210" s="261" t="str">
        <f>'Chấm công KT'!C202</f>
        <v>N. Phu Văn</v>
      </c>
      <c r="D210" s="248" t="s">
        <v>43</v>
      </c>
      <c r="E210" s="352"/>
      <c r="F210" s="352"/>
      <c r="G210" s="352"/>
      <c r="H210" s="352"/>
      <c r="I210" s="352"/>
      <c r="J210" s="337"/>
      <c r="K210" s="267"/>
      <c r="L210" s="267"/>
      <c r="M210" s="337"/>
      <c r="N210" s="257"/>
      <c r="O210" s="368"/>
      <c r="P210" s="249"/>
      <c r="Q210" s="258">
        <f t="shared" si="28"/>
        <v>0</v>
      </c>
      <c r="R210" s="251">
        <f>VLOOKUP(C210,'BTH mủ tạp'!$C$183:$AI$244,33,0)</f>
        <v>0</v>
      </c>
      <c r="S210" s="262"/>
      <c r="T210" s="250">
        <f t="shared" si="29"/>
        <v>0</v>
      </c>
      <c r="U210" s="341">
        <f t="shared" si="26"/>
        <v>0</v>
      </c>
      <c r="V210" s="980">
        <f>VLOOKUP(C210,'Chấm công KT'!$C$177:$AJ$238,34,0)</f>
        <v>0</v>
      </c>
      <c r="W210" s="980">
        <f>VLOOKUP(C210,'Chấm công KT'!$C$177:$AK$238,35,0)</f>
        <v>0</v>
      </c>
      <c r="X210" s="980">
        <f>VLOOKUP(C210,'Chấm công KT'!C202:AL263,36,0)</f>
        <v>0</v>
      </c>
      <c r="Y210" s="1146"/>
      <c r="Z210" s="1146"/>
      <c r="AA210" s="1146"/>
      <c r="AB210" s="268"/>
      <c r="AC210" s="260">
        <f t="shared" si="27"/>
        <v>0</v>
      </c>
      <c r="AD210" s="147" t="str">
        <f>VLOOKUP(C210,'BTH mủ tạp'!$C$15:$AL$305,36,0)</f>
        <v>A</v>
      </c>
      <c r="AE210" s="261"/>
      <c r="AF210" s="119"/>
    </row>
    <row r="211" spans="1:32" ht="18.75" customHeight="1">
      <c r="A211" s="248">
        <v>27</v>
      </c>
      <c r="B211" s="336" t="str">
        <f>'Chấm công KT'!D203</f>
        <v>03613</v>
      </c>
      <c r="C211" s="261" t="str">
        <f>'Chấm công KT'!C203</f>
        <v>N. Lỷ</v>
      </c>
      <c r="D211" s="248" t="s">
        <v>43</v>
      </c>
      <c r="E211" s="352"/>
      <c r="F211" s="352"/>
      <c r="G211" s="352"/>
      <c r="H211" s="352"/>
      <c r="I211" s="352"/>
      <c r="J211" s="337"/>
      <c r="K211" s="267"/>
      <c r="L211" s="267"/>
      <c r="M211" s="337"/>
      <c r="N211" s="257"/>
      <c r="O211" s="368"/>
      <c r="P211" s="249"/>
      <c r="Q211" s="258">
        <f t="shared" si="28"/>
        <v>0</v>
      </c>
      <c r="R211" s="251">
        <f>VLOOKUP(C211,'BTH mủ tạp'!$C$183:$AI$244,33,0)</f>
        <v>0</v>
      </c>
      <c r="S211" s="262"/>
      <c r="T211" s="250">
        <f t="shared" si="29"/>
        <v>0</v>
      </c>
      <c r="U211" s="341">
        <f t="shared" si="26"/>
        <v>0</v>
      </c>
      <c r="V211" s="980">
        <f>VLOOKUP(C211,'Chấm công KT'!$C$177:$AJ$238,34,0)</f>
        <v>0</v>
      </c>
      <c r="W211" s="980">
        <f>VLOOKUP(C211,'Chấm công KT'!$C$177:$AK$238,35,0)</f>
        <v>0</v>
      </c>
      <c r="X211" s="980">
        <f>VLOOKUP(C211,'Chấm công KT'!C203:AL264,36,0)</f>
        <v>0</v>
      </c>
      <c r="Y211" s="1146"/>
      <c r="Z211" s="1146"/>
      <c r="AA211" s="1146"/>
      <c r="AB211" s="268"/>
      <c r="AC211" s="260">
        <f>Q211</f>
        <v>0</v>
      </c>
      <c r="AD211" s="147" t="str">
        <f>VLOOKUP(C211,'BTH mủ tạp'!$C$15:$AL$305,36,0)</f>
        <v>A</v>
      </c>
      <c r="AE211" s="261"/>
      <c r="AF211" s="119"/>
    </row>
    <row r="212" spans="1:32" ht="18.75" customHeight="1">
      <c r="A212" s="248">
        <v>28</v>
      </c>
      <c r="B212" s="336" t="str">
        <f>'Chấm công KT'!D204</f>
        <v>03614</v>
      </c>
      <c r="C212" s="261" t="str">
        <f>'Chấm công KT'!C204</f>
        <v>T. Vy</v>
      </c>
      <c r="D212" s="248" t="s">
        <v>43</v>
      </c>
      <c r="E212" s="352"/>
      <c r="F212" s="352"/>
      <c r="G212" s="352"/>
      <c r="H212" s="352"/>
      <c r="I212" s="352"/>
      <c r="J212" s="337"/>
      <c r="K212" s="267"/>
      <c r="L212" s="267"/>
      <c r="M212" s="257"/>
      <c r="N212" s="257"/>
      <c r="O212" s="368"/>
      <c r="P212" s="249"/>
      <c r="Q212" s="258">
        <f t="shared" si="28"/>
        <v>0</v>
      </c>
      <c r="R212" s="251">
        <f>VLOOKUP(C212,'BTH mủ tạp'!$C$183:$AI$244,33,0)</f>
        <v>0</v>
      </c>
      <c r="S212" s="262"/>
      <c r="T212" s="250">
        <f t="shared" si="29"/>
        <v>0</v>
      </c>
      <c r="U212" s="341">
        <f t="shared" si="26"/>
        <v>0</v>
      </c>
      <c r="V212" s="980">
        <f>VLOOKUP(C212,'Chấm công KT'!$C$177:$AJ$238,34,0)</f>
        <v>0</v>
      </c>
      <c r="W212" s="980">
        <f>VLOOKUP(C212,'Chấm công KT'!$C$177:$AK$238,35,0)</f>
        <v>0</v>
      </c>
      <c r="X212" s="980">
        <f>VLOOKUP(C212,'Chấm công KT'!C204:AL265,36,0)</f>
        <v>0</v>
      </c>
      <c r="Y212" s="1146"/>
      <c r="Z212" s="1146"/>
      <c r="AA212" s="1146"/>
      <c r="AB212" s="268"/>
      <c r="AC212" s="260">
        <f t="shared" si="27"/>
        <v>0</v>
      </c>
      <c r="AD212" s="147" t="str">
        <f>VLOOKUP(C212,'BTH mủ tạp'!$C$15:$AL$305,36,0)</f>
        <v>A</v>
      </c>
      <c r="AE212" s="261"/>
      <c r="AF212" s="119"/>
    </row>
    <row r="213" spans="1:32" ht="18.75" customHeight="1">
      <c r="A213" s="248">
        <v>29</v>
      </c>
      <c r="B213" s="336" t="str">
        <f>'Chấm công KT'!D205</f>
        <v>03615</v>
      </c>
      <c r="C213" s="261" t="str">
        <f>'Chấm công KT'!C205</f>
        <v>T. Xi Nuôn</v>
      </c>
      <c r="D213" s="248" t="s">
        <v>43</v>
      </c>
      <c r="E213" s="352"/>
      <c r="F213" s="352"/>
      <c r="G213" s="352"/>
      <c r="H213" s="352"/>
      <c r="I213" s="352"/>
      <c r="J213" s="337"/>
      <c r="K213" s="152"/>
      <c r="L213" s="152"/>
      <c r="M213" s="152"/>
      <c r="N213" s="257"/>
      <c r="O213" s="368"/>
      <c r="P213" s="249"/>
      <c r="Q213" s="258">
        <f t="shared" si="28"/>
        <v>0</v>
      </c>
      <c r="R213" s="251">
        <f>VLOOKUP(C213,'BTH mủ tạp'!$C$183:$AI$244,33,0)</f>
        <v>0</v>
      </c>
      <c r="S213" s="262"/>
      <c r="T213" s="250">
        <f t="shared" si="29"/>
        <v>0</v>
      </c>
      <c r="U213" s="341">
        <f t="shared" si="26"/>
        <v>0</v>
      </c>
      <c r="V213" s="980">
        <f>VLOOKUP(C213,'Chấm công KT'!$C$177:$AJ$238,34,0)</f>
        <v>0</v>
      </c>
      <c r="W213" s="980">
        <f>VLOOKUP(C213,'Chấm công KT'!$C$177:$AK$238,35,0)</f>
        <v>0</v>
      </c>
      <c r="X213" s="980">
        <f>VLOOKUP(C213,'Chấm công KT'!C205:AL266,36,0)</f>
        <v>0</v>
      </c>
      <c r="Y213" s="1146"/>
      <c r="Z213" s="1146"/>
      <c r="AA213" s="1146"/>
      <c r="AB213" s="268"/>
      <c r="AC213" s="260">
        <f t="shared" si="27"/>
        <v>0</v>
      </c>
      <c r="AD213" s="147" t="str">
        <f>VLOOKUP(C213,'BTH mủ tạp'!$C$15:$AL$305,36,0)</f>
        <v>B</v>
      </c>
      <c r="AE213" s="261"/>
      <c r="AF213" s="119"/>
    </row>
    <row r="214" spans="1:32" ht="18.75" customHeight="1">
      <c r="A214" s="248">
        <v>30</v>
      </c>
      <c r="B214" s="336" t="str">
        <f>'Chấm công KT'!D206</f>
        <v>03616</v>
      </c>
      <c r="C214" s="261" t="str">
        <f>'Chấm công KT'!C206</f>
        <v>N. Ốc</v>
      </c>
      <c r="D214" s="248" t="s">
        <v>43</v>
      </c>
      <c r="E214" s="352"/>
      <c r="F214" s="352"/>
      <c r="G214" s="352"/>
      <c r="H214" s="352"/>
      <c r="I214" s="352"/>
      <c r="J214" s="337"/>
      <c r="K214" s="267"/>
      <c r="L214" s="267"/>
      <c r="M214" s="152"/>
      <c r="N214" s="146"/>
      <c r="O214" s="291"/>
      <c r="P214" s="249"/>
      <c r="Q214" s="258">
        <f t="shared" si="28"/>
        <v>0</v>
      </c>
      <c r="R214" s="251">
        <f>VLOOKUP(C214,'BTH mủ tạp'!$C$183:$AI$244,33,0)</f>
        <v>0</v>
      </c>
      <c r="S214" s="262"/>
      <c r="T214" s="250">
        <f t="shared" si="29"/>
        <v>0</v>
      </c>
      <c r="U214" s="341">
        <f t="shared" si="26"/>
        <v>0</v>
      </c>
      <c r="V214" s="980">
        <f>VLOOKUP(C214,'Chấm công KT'!$C$177:$AJ$238,34,0)</f>
        <v>0</v>
      </c>
      <c r="W214" s="980">
        <f>VLOOKUP(C214,'Chấm công KT'!$C$177:$AK$238,35,0)</f>
        <v>0</v>
      </c>
      <c r="X214" s="980">
        <f>VLOOKUP(C214,'Chấm công KT'!C206:AL267,36,0)</f>
        <v>0</v>
      </c>
      <c r="Y214" s="1146"/>
      <c r="Z214" s="1146"/>
      <c r="AA214" s="1146"/>
      <c r="AB214" s="268"/>
      <c r="AC214" s="260">
        <f t="shared" si="27"/>
        <v>0</v>
      </c>
      <c r="AD214" s="147" t="str">
        <f>VLOOKUP(C214,'BTH mủ tạp'!$C$15:$AL$305,36,0)</f>
        <v>A</v>
      </c>
      <c r="AE214" s="261"/>
      <c r="AF214" s="119"/>
    </row>
    <row r="215" spans="1:32" ht="18.75" customHeight="1">
      <c r="A215" s="248">
        <v>31</v>
      </c>
      <c r="B215" s="336" t="str">
        <f>'Chấm công KT'!D207</f>
        <v>03617</v>
      </c>
      <c r="C215" s="261" t="str">
        <f>'Chấm công KT'!C207</f>
        <v>T. Văn Nô</v>
      </c>
      <c r="D215" s="248" t="s">
        <v>43</v>
      </c>
      <c r="E215" s="352"/>
      <c r="F215" s="352"/>
      <c r="G215" s="352"/>
      <c r="H215" s="352"/>
      <c r="I215" s="352"/>
      <c r="J215" s="337"/>
      <c r="K215" s="267"/>
      <c r="L215" s="267"/>
      <c r="M215" s="152"/>
      <c r="N215" s="146"/>
      <c r="O215" s="291"/>
      <c r="P215" s="249"/>
      <c r="Q215" s="258">
        <f t="shared" si="28"/>
        <v>0</v>
      </c>
      <c r="R215" s="251">
        <f>VLOOKUP(C215,'BTH mủ tạp'!$C$183:$AI$244,33,0)</f>
        <v>0</v>
      </c>
      <c r="S215" s="262"/>
      <c r="T215" s="250">
        <f t="shared" si="29"/>
        <v>0</v>
      </c>
      <c r="U215" s="341">
        <f t="shared" si="26"/>
        <v>0</v>
      </c>
      <c r="V215" s="980">
        <f>VLOOKUP(C215,'Chấm công KT'!$C$177:$AJ$238,34,0)</f>
        <v>0</v>
      </c>
      <c r="W215" s="980">
        <f>VLOOKUP(C215,'Chấm công KT'!$C$177:$AK$238,35,0)</f>
        <v>0</v>
      </c>
      <c r="X215" s="980">
        <f>VLOOKUP(C215,'Chấm công KT'!C207:AL268,36,0)</f>
        <v>0</v>
      </c>
      <c r="Y215" s="1146"/>
      <c r="Z215" s="1146"/>
      <c r="AA215" s="1146"/>
      <c r="AB215" s="268"/>
      <c r="AC215" s="260">
        <f t="shared" si="27"/>
        <v>0</v>
      </c>
      <c r="AD215" s="147" t="str">
        <f>VLOOKUP(C215,'BTH mủ tạp'!$C$15:$AL$305,36,0)</f>
        <v>A</v>
      </c>
      <c r="AE215" s="261"/>
      <c r="AF215" s="119"/>
    </row>
    <row r="216" spans="1:32" ht="18.75" customHeight="1">
      <c r="A216" s="248">
        <v>32</v>
      </c>
      <c r="B216" s="336" t="str">
        <f>'Chấm công KT'!D208</f>
        <v>03618</v>
      </c>
      <c r="C216" s="261" t="str">
        <f>'Chấm công KT'!C208</f>
        <v>N. Văn Ta</v>
      </c>
      <c r="D216" s="248" t="s">
        <v>43</v>
      </c>
      <c r="E216" s="352"/>
      <c r="F216" s="352"/>
      <c r="G216" s="352"/>
      <c r="H216" s="352"/>
      <c r="I216" s="352"/>
      <c r="J216" s="337"/>
      <c r="K216" s="267"/>
      <c r="L216" s="267"/>
      <c r="M216" s="337"/>
      <c r="N216" s="257"/>
      <c r="O216" s="368"/>
      <c r="P216" s="249"/>
      <c r="Q216" s="258">
        <f t="shared" si="28"/>
        <v>0</v>
      </c>
      <c r="R216" s="251">
        <f>VLOOKUP(C216,'BTH mủ tạp'!$C$183:$AI$244,33,0)</f>
        <v>0</v>
      </c>
      <c r="S216" s="262"/>
      <c r="T216" s="250">
        <f t="shared" si="29"/>
        <v>0</v>
      </c>
      <c r="U216" s="341">
        <f t="shared" si="26"/>
        <v>0</v>
      </c>
      <c r="V216" s="980">
        <f>VLOOKUP(C216,'Chấm công KT'!$C$177:$AJ$238,34,0)</f>
        <v>0</v>
      </c>
      <c r="W216" s="980">
        <f>VLOOKUP(C216,'Chấm công KT'!$C$177:$AK$238,35,0)</f>
        <v>0</v>
      </c>
      <c r="X216" s="980">
        <f>VLOOKUP(C216,'Chấm công KT'!C208:AL269,36,0)</f>
        <v>0</v>
      </c>
      <c r="Y216" s="1146"/>
      <c r="Z216" s="1146"/>
      <c r="AA216" s="1146"/>
      <c r="AB216" s="268"/>
      <c r="AC216" s="260">
        <f t="shared" si="27"/>
        <v>0</v>
      </c>
      <c r="AD216" s="147" t="str">
        <f>VLOOKUP(C216,'BTH mủ tạp'!$C$15:$AL$305,36,0)</f>
        <v>B</v>
      </c>
      <c r="AE216" s="261"/>
      <c r="AF216" s="119"/>
    </row>
    <row r="217" spans="1:32" ht="18.75" customHeight="1">
      <c r="A217" s="248">
        <v>33</v>
      </c>
      <c r="B217" s="336" t="str">
        <f>'Chấm công KT'!D209</f>
        <v>03619</v>
      </c>
      <c r="C217" s="261" t="str">
        <f>'Chấm công KT'!C209</f>
        <v>T. Thon</v>
      </c>
      <c r="D217" s="248" t="s">
        <v>43</v>
      </c>
      <c r="E217" s="352"/>
      <c r="F217" s="352"/>
      <c r="G217" s="352"/>
      <c r="H217" s="352"/>
      <c r="I217" s="352"/>
      <c r="J217" s="337"/>
      <c r="K217" s="267"/>
      <c r="L217" s="267"/>
      <c r="M217" s="152"/>
      <c r="N217" s="146"/>
      <c r="O217" s="291"/>
      <c r="P217" s="249"/>
      <c r="Q217" s="258">
        <f t="shared" si="28"/>
        <v>0</v>
      </c>
      <c r="R217" s="251">
        <f>VLOOKUP(C217,'BTH mủ tạp'!$C$183:$AI$244,33,0)</f>
        <v>0</v>
      </c>
      <c r="S217" s="262"/>
      <c r="T217" s="250">
        <f t="shared" si="29"/>
        <v>0</v>
      </c>
      <c r="U217" s="341">
        <f t="shared" si="26"/>
        <v>0</v>
      </c>
      <c r="V217" s="980">
        <f>VLOOKUP(C217,'Chấm công KT'!$C$177:$AJ$238,34,0)</f>
        <v>0</v>
      </c>
      <c r="W217" s="980">
        <f>VLOOKUP(C217,'Chấm công KT'!$C$177:$AK$238,35,0)</f>
        <v>0</v>
      </c>
      <c r="X217" s="980">
        <f>VLOOKUP(C217,'Chấm công KT'!C209:AL270,36,0)</f>
        <v>0</v>
      </c>
      <c r="Y217" s="1146"/>
      <c r="Z217" s="1146"/>
      <c r="AA217" s="1146"/>
      <c r="AB217" s="268"/>
      <c r="AC217" s="260">
        <f t="shared" si="27"/>
        <v>0</v>
      </c>
      <c r="AD217" s="147" t="str">
        <f>VLOOKUP(C217,'BTH mủ tạp'!$C$15:$AL$305,36,0)</f>
        <v>A</v>
      </c>
      <c r="AE217" s="261"/>
      <c r="AF217" s="119"/>
    </row>
    <row r="218" spans="1:32" ht="18.75" customHeight="1">
      <c r="A218" s="248">
        <v>34</v>
      </c>
      <c r="B218" s="336" t="str">
        <f>'Chấm công KT'!D210</f>
        <v>03620</v>
      </c>
      <c r="C218" s="261" t="str">
        <f>'Chấm công KT'!C210</f>
        <v>Bun Thon</v>
      </c>
      <c r="D218" s="248" t="s">
        <v>43</v>
      </c>
      <c r="E218" s="352"/>
      <c r="F218" s="352"/>
      <c r="G218" s="352"/>
      <c r="H218" s="352"/>
      <c r="I218" s="352"/>
      <c r="J218" s="337"/>
      <c r="K218" s="267"/>
      <c r="L218" s="267"/>
      <c r="M218" s="152"/>
      <c r="N218" s="146"/>
      <c r="O218" s="291"/>
      <c r="P218" s="249"/>
      <c r="Q218" s="258">
        <f t="shared" si="28"/>
        <v>0</v>
      </c>
      <c r="R218" s="251">
        <f>VLOOKUP(C218,'BTH mủ tạp'!$C$183:$AI$244,33,0)</f>
        <v>0</v>
      </c>
      <c r="S218" s="262"/>
      <c r="T218" s="250">
        <f t="shared" si="29"/>
        <v>0</v>
      </c>
      <c r="U218" s="341">
        <f t="shared" si="26"/>
        <v>0</v>
      </c>
      <c r="V218" s="980">
        <f>VLOOKUP(C218,'Chấm công KT'!$C$177:$AJ$238,34,0)</f>
        <v>0</v>
      </c>
      <c r="W218" s="980">
        <f>VLOOKUP(C218,'Chấm công KT'!$C$177:$AK$238,35,0)</f>
        <v>0</v>
      </c>
      <c r="X218" s="980">
        <f>VLOOKUP(C218,'Chấm công KT'!C210:AL271,36,0)</f>
        <v>0</v>
      </c>
      <c r="Y218" s="1146"/>
      <c r="Z218" s="1146"/>
      <c r="AA218" s="1146"/>
      <c r="AB218" s="268"/>
      <c r="AC218" s="260">
        <f t="shared" si="27"/>
        <v>0</v>
      </c>
      <c r="AD218" s="147" t="str">
        <f>VLOOKUP(C218,'BTH mủ tạp'!$C$15:$AL$305,36,0)</f>
        <v>A</v>
      </c>
      <c r="AE218" s="261"/>
      <c r="AF218" s="119"/>
    </row>
    <row r="219" spans="1:32" ht="18.75" customHeight="1">
      <c r="A219" s="248">
        <v>35</v>
      </c>
      <c r="B219" s="336" t="str">
        <f>'Chấm công KT'!D211</f>
        <v>03532</v>
      </c>
      <c r="C219" s="261" t="str">
        <f>'Chấm công KT'!C211</f>
        <v>N. Túc</v>
      </c>
      <c r="D219" s="248" t="s">
        <v>43</v>
      </c>
      <c r="E219" s="352"/>
      <c r="F219" s="352"/>
      <c r="G219" s="352"/>
      <c r="H219" s="352"/>
      <c r="I219" s="352"/>
      <c r="J219" s="337"/>
      <c r="K219" s="267"/>
      <c r="L219" s="267"/>
      <c r="M219" s="152"/>
      <c r="N219" s="146"/>
      <c r="O219" s="291"/>
      <c r="P219" s="249"/>
      <c r="Q219" s="258">
        <f t="shared" si="28"/>
        <v>0</v>
      </c>
      <c r="R219" s="251">
        <f>VLOOKUP(C219,'BTH mủ tạp'!$C$183:$AI$244,33,0)</f>
        <v>0</v>
      </c>
      <c r="S219" s="262"/>
      <c r="T219" s="250">
        <f t="shared" si="29"/>
        <v>0</v>
      </c>
      <c r="U219" s="341">
        <f t="shared" si="26"/>
        <v>0</v>
      </c>
      <c r="V219" s="980">
        <f>VLOOKUP(C219,'Chấm công KT'!$C$177:$AJ$238,34,0)</f>
        <v>0</v>
      </c>
      <c r="W219" s="980">
        <f>VLOOKUP(C219,'Chấm công KT'!$C$177:$AK$238,35,0)</f>
        <v>0</v>
      </c>
      <c r="X219" s="980">
        <f>VLOOKUP(C219,'Chấm công KT'!C211:AL272,36,0)</f>
        <v>0</v>
      </c>
      <c r="Y219" s="1146"/>
      <c r="Z219" s="1146"/>
      <c r="AA219" s="1146"/>
      <c r="AB219" s="268"/>
      <c r="AC219" s="260">
        <f t="shared" si="27"/>
        <v>0</v>
      </c>
      <c r="AD219" s="147" t="str">
        <f>VLOOKUP(C219,'BTH mủ tạp'!$C$15:$AL$305,36,0)</f>
        <v>A</v>
      </c>
      <c r="AE219" s="261"/>
      <c r="AF219" s="119"/>
    </row>
    <row r="220" spans="1:32" ht="18.75" customHeight="1">
      <c r="A220" s="248">
        <v>36</v>
      </c>
      <c r="B220" s="336" t="str">
        <f>'Chấm công KT'!D212</f>
        <v>03622</v>
      </c>
      <c r="C220" s="261" t="str">
        <f>'Chấm công KT'!C212</f>
        <v>N. Xeo Khăm</v>
      </c>
      <c r="D220" s="248" t="s">
        <v>43</v>
      </c>
      <c r="E220" s="352"/>
      <c r="F220" s="352"/>
      <c r="G220" s="352"/>
      <c r="H220" s="352"/>
      <c r="I220" s="352"/>
      <c r="J220" s="337"/>
      <c r="K220" s="267"/>
      <c r="L220" s="267"/>
      <c r="M220" s="152"/>
      <c r="N220" s="146"/>
      <c r="O220" s="291"/>
      <c r="P220" s="249"/>
      <c r="Q220" s="258">
        <f t="shared" si="28"/>
        <v>0</v>
      </c>
      <c r="R220" s="251">
        <f>VLOOKUP(C220,'BTH mủ tạp'!$C$183:$AI$244,33,0)</f>
        <v>0</v>
      </c>
      <c r="S220" s="262"/>
      <c r="T220" s="250">
        <f t="shared" si="29"/>
        <v>0</v>
      </c>
      <c r="U220" s="341">
        <f t="shared" si="26"/>
        <v>0</v>
      </c>
      <c r="V220" s="980">
        <f>VLOOKUP(C220,'Chấm công KT'!$C$177:$AJ$238,34,0)</f>
        <v>0</v>
      </c>
      <c r="W220" s="980">
        <f>VLOOKUP(C220,'Chấm công KT'!$C$177:$AK$238,35,0)</f>
        <v>0</v>
      </c>
      <c r="X220" s="980">
        <f>VLOOKUP(C220,'Chấm công KT'!C212:AL273,36,0)</f>
        <v>0</v>
      </c>
      <c r="Y220" s="1146"/>
      <c r="Z220" s="1146"/>
      <c r="AA220" s="1146"/>
      <c r="AB220" s="268"/>
      <c r="AC220" s="260">
        <f t="shared" si="27"/>
        <v>0</v>
      </c>
      <c r="AD220" s="147" t="str">
        <f>VLOOKUP(C220,'BTH mủ tạp'!$C$15:$AL$305,36,0)</f>
        <v>B</v>
      </c>
      <c r="AE220" s="261"/>
      <c r="AF220" s="119"/>
    </row>
    <row r="221" spans="1:32" ht="18.75" customHeight="1">
      <c r="A221" s="248">
        <v>37</v>
      </c>
      <c r="B221" s="336" t="str">
        <f>'Chấm công KT'!D213</f>
        <v>03623</v>
      </c>
      <c r="C221" s="261" t="str">
        <f>'Chấm công KT'!C213</f>
        <v>T. Khăm...</v>
      </c>
      <c r="D221" s="248" t="s">
        <v>43</v>
      </c>
      <c r="E221" s="352"/>
      <c r="F221" s="352"/>
      <c r="G221" s="352"/>
      <c r="H221" s="352"/>
      <c r="I221" s="352"/>
      <c r="J221" s="337"/>
      <c r="K221" s="267"/>
      <c r="L221" s="267"/>
      <c r="M221" s="152"/>
      <c r="N221" s="146"/>
      <c r="O221" s="291"/>
      <c r="P221" s="249"/>
      <c r="Q221" s="258">
        <f t="shared" si="28"/>
        <v>0</v>
      </c>
      <c r="R221" s="251">
        <f>VLOOKUP(C221,'BTH mủ tạp'!$C$183:$AI$244,33,0)</f>
        <v>0</v>
      </c>
      <c r="S221" s="262"/>
      <c r="T221" s="250">
        <f t="shared" si="29"/>
        <v>0</v>
      </c>
      <c r="U221" s="341">
        <f t="shared" si="26"/>
        <v>0</v>
      </c>
      <c r="V221" s="980">
        <f>VLOOKUP(C221,'Chấm công KT'!$C$177:$AJ$238,34,0)</f>
        <v>0</v>
      </c>
      <c r="W221" s="980">
        <f>VLOOKUP(C221,'Chấm công KT'!$C$177:$AK$238,35,0)</f>
        <v>0</v>
      </c>
      <c r="X221" s="980">
        <f>VLOOKUP(C221,'Chấm công KT'!C213:AL274,36,0)</f>
        <v>0</v>
      </c>
      <c r="Y221" s="1146"/>
      <c r="Z221" s="1146"/>
      <c r="AA221" s="1146"/>
      <c r="AB221" s="268"/>
      <c r="AC221" s="260">
        <f t="shared" si="27"/>
        <v>0</v>
      </c>
      <c r="AD221" s="147" t="str">
        <f>VLOOKUP(C221,'BTH mủ tạp'!$C$15:$AL$305,36,0)</f>
        <v>A</v>
      </c>
      <c r="AE221" s="261"/>
      <c r="AF221" s="119"/>
    </row>
    <row r="222" spans="1:32" ht="18.75" customHeight="1">
      <c r="A222" s="248">
        <v>38</v>
      </c>
      <c r="B222" s="336" t="e">
        <f>'Chấm công KT'!D214</f>
        <v>#N/A</v>
      </c>
      <c r="C222" s="261" t="str">
        <f>'Chấm công KT'!C214</f>
        <v>T. Đôn</v>
      </c>
      <c r="D222" s="248" t="s">
        <v>43</v>
      </c>
      <c r="E222" s="352"/>
      <c r="F222" s="352"/>
      <c r="G222" s="352"/>
      <c r="H222" s="352"/>
      <c r="I222" s="352"/>
      <c r="J222" s="337"/>
      <c r="K222" s="267"/>
      <c r="L222" s="267"/>
      <c r="M222" s="152"/>
      <c r="N222" s="146"/>
      <c r="O222" s="291"/>
      <c r="P222" s="249"/>
      <c r="Q222" s="258">
        <f t="shared" si="28"/>
        <v>0</v>
      </c>
      <c r="R222" s="251">
        <f>VLOOKUP(C222,'BTH mủ tạp'!$C$183:$AI$244,33,0)</f>
        <v>0</v>
      </c>
      <c r="S222" s="262"/>
      <c r="T222" s="250">
        <f t="shared" si="29"/>
        <v>0</v>
      </c>
      <c r="U222" s="341">
        <f t="shared" si="26"/>
        <v>0</v>
      </c>
      <c r="V222" s="980">
        <f>VLOOKUP(C222,'Chấm công KT'!$C$177:$AJ$238,34,0)</f>
        <v>0</v>
      </c>
      <c r="W222" s="980">
        <f>VLOOKUP(C222,'Chấm công KT'!$C$177:$AK$238,35,0)</f>
        <v>0</v>
      </c>
      <c r="X222" s="980">
        <f>VLOOKUP(C222,'Chấm công KT'!C214:AL275,36,0)</f>
        <v>0</v>
      </c>
      <c r="Y222" s="1146"/>
      <c r="Z222" s="1146"/>
      <c r="AA222" s="1146"/>
      <c r="AB222" s="268"/>
      <c r="AC222" s="260">
        <f t="shared" si="27"/>
        <v>0</v>
      </c>
      <c r="AD222" s="147" t="str">
        <f>VLOOKUP(C222,'BTH mủ tạp'!$C$15:$AL$305,36,0)</f>
        <v>C</v>
      </c>
      <c r="AE222" s="261"/>
      <c r="AF222" s="119"/>
    </row>
    <row r="223" spans="1:32" ht="18.75" customHeight="1">
      <c r="A223" s="248">
        <v>39</v>
      </c>
      <c r="B223" s="336" t="str">
        <f>'Chấm công KT'!D215</f>
        <v>03625</v>
      </c>
      <c r="C223" s="261" t="str">
        <f>'Chấm công KT'!C215</f>
        <v>N. Pheng</v>
      </c>
      <c r="D223" s="248" t="s">
        <v>43</v>
      </c>
      <c r="E223" s="352"/>
      <c r="F223" s="352"/>
      <c r="G223" s="352"/>
      <c r="H223" s="352"/>
      <c r="I223" s="352"/>
      <c r="J223" s="337"/>
      <c r="K223" s="152"/>
      <c r="L223" s="152"/>
      <c r="M223" s="152"/>
      <c r="N223" s="257"/>
      <c r="O223" s="368"/>
      <c r="P223" s="249"/>
      <c r="Q223" s="258">
        <f t="shared" si="28"/>
        <v>0</v>
      </c>
      <c r="R223" s="251">
        <f>VLOOKUP(C223,'BTH mủ tạp'!$C$183:$AI$244,33,0)</f>
        <v>0</v>
      </c>
      <c r="S223" s="262"/>
      <c r="T223" s="250">
        <f t="shared" si="29"/>
        <v>0</v>
      </c>
      <c r="U223" s="341">
        <f t="shared" si="26"/>
        <v>0</v>
      </c>
      <c r="V223" s="980">
        <f>VLOOKUP(C223,'Chấm công KT'!$C$177:$AJ$238,34,0)</f>
        <v>0</v>
      </c>
      <c r="W223" s="980">
        <f>VLOOKUP(C223,'Chấm công KT'!$C$177:$AK$238,35,0)</f>
        <v>0</v>
      </c>
      <c r="X223" s="980">
        <f>VLOOKUP(C223,'Chấm công KT'!C215:AL276,36,0)</f>
        <v>0</v>
      </c>
      <c r="Y223" s="1146"/>
      <c r="Z223" s="1146"/>
      <c r="AA223" s="1146"/>
      <c r="AB223" s="268"/>
      <c r="AC223" s="260">
        <f t="shared" si="27"/>
        <v>0</v>
      </c>
      <c r="AD223" s="147" t="str">
        <f>VLOOKUP(C223,'BTH mủ tạp'!$C$15:$AL$305,36,0)</f>
        <v>A</v>
      </c>
      <c r="AE223" s="261"/>
      <c r="AF223" s="119"/>
    </row>
    <row r="224" spans="1:32" ht="18.75" customHeight="1">
      <c r="A224" s="248">
        <v>40</v>
      </c>
      <c r="B224" s="336" t="str">
        <f>'Chấm công KT'!D216</f>
        <v>03587</v>
      </c>
      <c r="C224" s="261" t="str">
        <f>'Chấm công KT'!C216</f>
        <v>N. Mom</v>
      </c>
      <c r="D224" s="248" t="s">
        <v>43</v>
      </c>
      <c r="E224" s="352"/>
      <c r="F224" s="352"/>
      <c r="G224" s="352"/>
      <c r="H224" s="352"/>
      <c r="I224" s="352"/>
      <c r="J224" s="337"/>
      <c r="K224" s="267"/>
      <c r="L224" s="267"/>
      <c r="M224" s="152"/>
      <c r="N224" s="257"/>
      <c r="O224" s="368"/>
      <c r="P224" s="249"/>
      <c r="Q224" s="258">
        <f t="shared" si="28"/>
        <v>0</v>
      </c>
      <c r="R224" s="251">
        <f>VLOOKUP(C224,'BTH mủ tạp'!$C$183:$AI$244,33,0)</f>
        <v>0</v>
      </c>
      <c r="S224" s="262"/>
      <c r="T224" s="250">
        <f t="shared" si="29"/>
        <v>0</v>
      </c>
      <c r="U224" s="341">
        <f t="shared" si="26"/>
        <v>0</v>
      </c>
      <c r="V224" s="980">
        <f>VLOOKUP(C224,'Chấm công KT'!$C$177:$AJ$238,34,0)</f>
        <v>0</v>
      </c>
      <c r="W224" s="980">
        <f>VLOOKUP(C224,'Chấm công KT'!$C$177:$AK$238,35,0)</f>
        <v>0</v>
      </c>
      <c r="X224" s="980">
        <f>VLOOKUP(C224,'Chấm công KT'!C216:AL277,36,0)</f>
        <v>0</v>
      </c>
      <c r="Y224" s="1146"/>
      <c r="Z224" s="1146"/>
      <c r="AA224" s="1146"/>
      <c r="AB224" s="268"/>
      <c r="AC224" s="260">
        <f t="shared" si="27"/>
        <v>0</v>
      </c>
      <c r="AD224" s="147" t="str">
        <f>VLOOKUP(C224,'BTH mủ tạp'!$C$15:$AL$305,36,0)</f>
        <v>A</v>
      </c>
      <c r="AE224" s="261"/>
      <c r="AF224" s="119"/>
    </row>
    <row r="225" spans="1:33" ht="18.75" customHeight="1">
      <c r="A225" s="248">
        <v>41</v>
      </c>
      <c r="B225" s="336" t="str">
        <f>'Chấm công KT'!D217</f>
        <v>03627</v>
      </c>
      <c r="C225" s="261" t="str">
        <f>'Chấm công KT'!C217</f>
        <v>Phắt Ta Na</v>
      </c>
      <c r="D225" s="248" t="s">
        <v>43</v>
      </c>
      <c r="E225" s="352"/>
      <c r="F225" s="352"/>
      <c r="G225" s="352"/>
      <c r="H225" s="352"/>
      <c r="I225" s="352"/>
      <c r="J225" s="337"/>
      <c r="K225" s="267"/>
      <c r="L225" s="267"/>
      <c r="M225" s="337"/>
      <c r="N225" s="257"/>
      <c r="O225" s="368"/>
      <c r="P225" s="249"/>
      <c r="Q225" s="258">
        <f t="shared" si="28"/>
        <v>0</v>
      </c>
      <c r="R225" s="251">
        <f>VLOOKUP(C225,'BTH mủ tạp'!$C$183:$AI$244,33,0)</f>
        <v>0</v>
      </c>
      <c r="S225" s="262"/>
      <c r="T225" s="250">
        <f t="shared" si="29"/>
        <v>0</v>
      </c>
      <c r="U225" s="341">
        <f t="shared" si="26"/>
        <v>0</v>
      </c>
      <c r="V225" s="980">
        <f>VLOOKUP(C225,'Chấm công KT'!$C$177:$AJ$238,34,0)</f>
        <v>0</v>
      </c>
      <c r="W225" s="980">
        <f>VLOOKUP(C225,'Chấm công KT'!$C$177:$AK$238,35,0)</f>
        <v>0</v>
      </c>
      <c r="X225" s="980">
        <f>VLOOKUP(C225,'Chấm công KT'!C217:AL278,36,0)</f>
        <v>0</v>
      </c>
      <c r="Y225" s="1146"/>
      <c r="Z225" s="1146"/>
      <c r="AA225" s="1146"/>
      <c r="AB225" s="268"/>
      <c r="AC225" s="260">
        <f t="shared" si="27"/>
        <v>0</v>
      </c>
      <c r="AD225" s="147" t="str">
        <f>VLOOKUP(C225,'BTH mủ tạp'!$C$15:$AL$305,36,0)</f>
        <v>B</v>
      </c>
      <c r="AE225" s="261"/>
      <c r="AF225" s="119"/>
    </row>
    <row r="226" spans="1:33" ht="18.75" customHeight="1">
      <c r="A226" s="248">
        <v>42</v>
      </c>
      <c r="B226" s="336" t="str">
        <f>'Chấm công KT'!D218</f>
        <v>03628</v>
      </c>
      <c r="C226" s="261" t="str">
        <f>'Chấm công KT'!C218</f>
        <v>Khăn Hạ</v>
      </c>
      <c r="D226" s="248" t="s">
        <v>43</v>
      </c>
      <c r="E226" s="352"/>
      <c r="F226" s="352"/>
      <c r="G226" s="352"/>
      <c r="H226" s="352"/>
      <c r="I226" s="352"/>
      <c r="J226" s="337"/>
      <c r="K226" s="267"/>
      <c r="L226" s="267"/>
      <c r="M226" s="152"/>
      <c r="N226" s="146"/>
      <c r="O226" s="291"/>
      <c r="P226" s="249"/>
      <c r="Q226" s="258">
        <f t="shared" si="28"/>
        <v>0</v>
      </c>
      <c r="R226" s="251">
        <f>VLOOKUP(C226,'BTH mủ tạp'!$C$183:$AI$244,33,0)</f>
        <v>0</v>
      </c>
      <c r="S226" s="262"/>
      <c r="T226" s="250">
        <f t="shared" si="29"/>
        <v>0</v>
      </c>
      <c r="U226" s="341">
        <f t="shared" si="26"/>
        <v>0</v>
      </c>
      <c r="V226" s="980">
        <f>VLOOKUP(C226,'Chấm công KT'!$C$177:$AJ$238,34,0)</f>
        <v>0</v>
      </c>
      <c r="W226" s="980">
        <f>VLOOKUP(C226,'Chấm công KT'!$C$177:$AK$238,35,0)</f>
        <v>0</v>
      </c>
      <c r="X226" s="980">
        <f>VLOOKUP(C226,'Chấm công KT'!C218:AL279,36,0)</f>
        <v>0</v>
      </c>
      <c r="Y226" s="1146"/>
      <c r="Z226" s="1146"/>
      <c r="AA226" s="1146"/>
      <c r="AB226" s="268"/>
      <c r="AC226" s="260">
        <f t="shared" si="27"/>
        <v>0</v>
      </c>
      <c r="AD226" s="147" t="str">
        <f>VLOOKUP(C226,'BTH mủ tạp'!$C$15:$AL$305,36,0)</f>
        <v>A</v>
      </c>
      <c r="AE226" s="261"/>
      <c r="AF226" s="119"/>
    </row>
    <row r="227" spans="1:33" ht="18.75" customHeight="1">
      <c r="A227" s="248">
        <v>43</v>
      </c>
      <c r="B227" s="336" t="str">
        <f>'Chấm công KT'!D219</f>
        <v>03629</v>
      </c>
      <c r="C227" s="261" t="str">
        <f>'Chấm công KT'!C219</f>
        <v>T. Chăn La .</v>
      </c>
      <c r="D227" s="248" t="s">
        <v>43</v>
      </c>
      <c r="E227" s="352"/>
      <c r="F227" s="352"/>
      <c r="G227" s="352"/>
      <c r="H227" s="352"/>
      <c r="I227" s="352"/>
      <c r="J227" s="337"/>
      <c r="K227" s="152"/>
      <c r="L227" s="152"/>
      <c r="M227" s="152"/>
      <c r="N227" s="257"/>
      <c r="O227" s="368"/>
      <c r="P227" s="249"/>
      <c r="Q227" s="258">
        <f t="shared" si="28"/>
        <v>0</v>
      </c>
      <c r="R227" s="251">
        <f>VLOOKUP(C227,'BTH mủ tạp'!$C$183:$AI$244,33,0)</f>
        <v>0</v>
      </c>
      <c r="S227" s="262"/>
      <c r="T227" s="250">
        <f t="shared" si="29"/>
        <v>0</v>
      </c>
      <c r="U227" s="341">
        <f t="shared" si="26"/>
        <v>0</v>
      </c>
      <c r="V227" s="980">
        <f>VLOOKUP(C227,'Chấm công KT'!$C$177:$AJ$238,34,0)</f>
        <v>0</v>
      </c>
      <c r="W227" s="980">
        <f>VLOOKUP(C227,'Chấm công KT'!$C$177:$AK$238,35,0)</f>
        <v>0</v>
      </c>
      <c r="X227" s="980">
        <f>VLOOKUP(C227,'Chấm công KT'!C219:AL280,36,0)</f>
        <v>0</v>
      </c>
      <c r="Y227" s="1146"/>
      <c r="Z227" s="1146"/>
      <c r="AA227" s="1146"/>
      <c r="AB227" s="268"/>
      <c r="AC227" s="260">
        <f t="shared" si="27"/>
        <v>0</v>
      </c>
      <c r="AD227" s="147" t="str">
        <f>VLOOKUP(C227,'BTH mủ tạp'!$C$15:$AL$305,36,0)</f>
        <v>A</v>
      </c>
      <c r="AE227" s="261"/>
      <c r="AF227" s="119"/>
    </row>
    <row r="228" spans="1:33" ht="18.75" customHeight="1">
      <c r="A228" s="248">
        <v>44</v>
      </c>
      <c r="B228" s="336" t="str">
        <f>'Chấm công KT'!D220</f>
        <v>03630</v>
      </c>
      <c r="C228" s="261" t="str">
        <f>'Chấm công KT'!C220</f>
        <v>T. Nú</v>
      </c>
      <c r="D228" s="248" t="s">
        <v>43</v>
      </c>
      <c r="E228" s="352"/>
      <c r="F228" s="352"/>
      <c r="G228" s="352"/>
      <c r="H228" s="352"/>
      <c r="I228" s="352"/>
      <c r="J228" s="337"/>
      <c r="K228" s="267"/>
      <c r="L228" s="267"/>
      <c r="M228" s="152"/>
      <c r="N228" s="146"/>
      <c r="O228" s="291"/>
      <c r="P228" s="249"/>
      <c r="Q228" s="258">
        <f t="shared" si="28"/>
        <v>0</v>
      </c>
      <c r="R228" s="251">
        <f>VLOOKUP(C228,'BTH mủ tạp'!$C$183:$AI$244,33,0)</f>
        <v>0</v>
      </c>
      <c r="S228" s="262"/>
      <c r="T228" s="250">
        <f t="shared" si="29"/>
        <v>0</v>
      </c>
      <c r="U228" s="341">
        <f t="shared" si="26"/>
        <v>0</v>
      </c>
      <c r="V228" s="980">
        <f>VLOOKUP(C228,'Chấm công KT'!$C$177:$AJ$238,34,0)</f>
        <v>0</v>
      </c>
      <c r="W228" s="980">
        <f>VLOOKUP(C228,'Chấm công KT'!$C$177:$AK$238,35,0)</f>
        <v>0</v>
      </c>
      <c r="X228" s="980">
        <f>VLOOKUP(C228,'Chấm công KT'!C220:AL281,36,0)</f>
        <v>0</v>
      </c>
      <c r="Y228" s="1146"/>
      <c r="Z228" s="1146"/>
      <c r="AA228" s="1146"/>
      <c r="AB228" s="268"/>
      <c r="AC228" s="260">
        <f t="shared" si="27"/>
        <v>0</v>
      </c>
      <c r="AD228" s="147" t="str">
        <f>VLOOKUP(C228,'BTH mủ tạp'!$C$15:$AL$305,36,0)</f>
        <v>A</v>
      </c>
      <c r="AE228" s="261"/>
      <c r="AF228" s="119" t="s">
        <v>258</v>
      </c>
      <c r="AG228" s="2">
        <f>1.1-3.19</f>
        <v>-2.09</v>
      </c>
    </row>
    <row r="229" spans="1:33" ht="18.75" customHeight="1">
      <c r="A229" s="248">
        <v>45</v>
      </c>
      <c r="B229" s="336" t="str">
        <f>'Chấm công KT'!D221</f>
        <v>03631</v>
      </c>
      <c r="C229" s="261" t="str">
        <f>'Chấm công KT'!C221</f>
        <v>T. Xan Nha</v>
      </c>
      <c r="D229" s="248" t="s">
        <v>43</v>
      </c>
      <c r="E229" s="352"/>
      <c r="F229" s="352"/>
      <c r="G229" s="352"/>
      <c r="H229" s="352"/>
      <c r="I229" s="352"/>
      <c r="J229" s="337"/>
      <c r="K229" s="152"/>
      <c r="L229" s="152"/>
      <c r="M229" s="152"/>
      <c r="N229" s="257"/>
      <c r="O229" s="368"/>
      <c r="P229" s="249"/>
      <c r="Q229" s="258">
        <f t="shared" si="28"/>
        <v>0</v>
      </c>
      <c r="R229" s="251">
        <f>VLOOKUP(C229,'BTH mủ tạp'!$C$183:$AI$244,33,0)</f>
        <v>0</v>
      </c>
      <c r="S229" s="262"/>
      <c r="T229" s="250">
        <f t="shared" si="29"/>
        <v>0</v>
      </c>
      <c r="U229" s="341">
        <f t="shared" si="26"/>
        <v>0</v>
      </c>
      <c r="V229" s="980">
        <f>VLOOKUP(C229,'Chấm công KT'!$C$177:$AJ$238,34,0)</f>
        <v>0</v>
      </c>
      <c r="W229" s="980">
        <f>VLOOKUP(C229,'Chấm công KT'!$C$177:$AK$238,35,0)</f>
        <v>0</v>
      </c>
      <c r="X229" s="980">
        <f>VLOOKUP(C229,'Chấm công KT'!C221:AL282,36,0)</f>
        <v>0</v>
      </c>
      <c r="Y229" s="1146"/>
      <c r="Z229" s="1146"/>
      <c r="AA229" s="1146"/>
      <c r="AB229" s="268"/>
      <c r="AC229" s="260">
        <f t="shared" si="27"/>
        <v>0</v>
      </c>
      <c r="AD229" s="147" t="str">
        <f>VLOOKUP(C229,'BTH mủ tạp'!$C$15:$AL$305,36,0)</f>
        <v>A</v>
      </c>
      <c r="AE229" s="261"/>
      <c r="AF229" s="119"/>
    </row>
    <row r="230" spans="1:33" ht="18.75" customHeight="1">
      <c r="A230" s="248">
        <v>46</v>
      </c>
      <c r="B230" s="336" t="str">
        <f>'Chấm công KT'!D222</f>
        <v>03632</v>
      </c>
      <c r="C230" s="261" t="str">
        <f>'Chấm công KT'!C222</f>
        <v>T. A lem</v>
      </c>
      <c r="D230" s="248" t="s">
        <v>43</v>
      </c>
      <c r="E230" s="352"/>
      <c r="F230" s="352"/>
      <c r="G230" s="352"/>
      <c r="H230" s="352"/>
      <c r="I230" s="352"/>
      <c r="J230" s="337"/>
      <c r="K230" s="152"/>
      <c r="L230" s="152"/>
      <c r="M230" s="152"/>
      <c r="N230" s="257"/>
      <c r="O230" s="368"/>
      <c r="P230" s="249"/>
      <c r="Q230" s="258">
        <f t="shared" si="28"/>
        <v>0</v>
      </c>
      <c r="R230" s="251">
        <f>VLOOKUP(C230,'BTH mủ tạp'!$C$183:$AI$244,33,0)</f>
        <v>0</v>
      </c>
      <c r="S230" s="262"/>
      <c r="T230" s="250">
        <f t="shared" si="29"/>
        <v>0</v>
      </c>
      <c r="U230" s="341">
        <f t="shared" si="26"/>
        <v>0</v>
      </c>
      <c r="V230" s="980">
        <f>VLOOKUP(C230,'Chấm công KT'!$C$177:$AJ$238,34,0)</f>
        <v>0</v>
      </c>
      <c r="W230" s="980">
        <f>VLOOKUP(C230,'Chấm công KT'!$C$177:$AK$238,35,0)</f>
        <v>0</v>
      </c>
      <c r="X230" s="980">
        <f>VLOOKUP(C230,'Chấm công KT'!C222:AL283,36,0)</f>
        <v>0</v>
      </c>
      <c r="Y230" s="1146"/>
      <c r="Z230" s="1146"/>
      <c r="AA230" s="1146"/>
      <c r="AB230" s="268"/>
      <c r="AC230" s="260">
        <f t="shared" si="27"/>
        <v>0</v>
      </c>
      <c r="AD230" s="147" t="str">
        <f>VLOOKUP(C230,'BTH mủ tạp'!$C$15:$AL$305,36,0)</f>
        <v>A</v>
      </c>
      <c r="AE230" s="261"/>
      <c r="AF230" s="119"/>
    </row>
    <row r="231" spans="1:33" ht="18.75" customHeight="1">
      <c r="A231" s="248">
        <v>47</v>
      </c>
      <c r="B231" s="336" t="str">
        <f>'Chấm công KT'!D223</f>
        <v>03633</v>
      </c>
      <c r="C231" s="261" t="str">
        <f>'Chấm công KT'!C223</f>
        <v>T. Chăn</v>
      </c>
      <c r="D231" s="248" t="s">
        <v>43</v>
      </c>
      <c r="E231" s="352"/>
      <c r="F231" s="352"/>
      <c r="G231" s="352"/>
      <c r="H231" s="352"/>
      <c r="I231" s="352"/>
      <c r="J231" s="337"/>
      <c r="K231" s="152"/>
      <c r="L231" s="152"/>
      <c r="M231" s="152"/>
      <c r="N231" s="257"/>
      <c r="O231" s="368"/>
      <c r="P231" s="249"/>
      <c r="Q231" s="258">
        <f t="shared" si="28"/>
        <v>0</v>
      </c>
      <c r="R231" s="251">
        <f>VLOOKUP(C231,'BTH mủ tạp'!$C$183:$AI$244,33,0)</f>
        <v>0</v>
      </c>
      <c r="S231" s="262"/>
      <c r="T231" s="250">
        <f t="shared" si="29"/>
        <v>0</v>
      </c>
      <c r="U231" s="341">
        <f t="shared" si="26"/>
        <v>0</v>
      </c>
      <c r="V231" s="980">
        <f>VLOOKUP(C231,'Chấm công KT'!$C$177:$AJ$238,34,0)</f>
        <v>0</v>
      </c>
      <c r="W231" s="980">
        <f>VLOOKUP(C231,'Chấm công KT'!$C$177:$AK$238,35,0)</f>
        <v>0</v>
      </c>
      <c r="X231" s="980">
        <f>VLOOKUP(C231,'Chấm công KT'!C223:AL284,36,0)</f>
        <v>0</v>
      </c>
      <c r="Y231" s="1146"/>
      <c r="Z231" s="1146"/>
      <c r="AA231" s="1146"/>
      <c r="AB231" s="268"/>
      <c r="AC231" s="260">
        <f t="shared" si="27"/>
        <v>0</v>
      </c>
      <c r="AD231" s="147" t="str">
        <f>VLOOKUP(C231,'BTH mủ tạp'!$C$15:$AL$305,36,0)</f>
        <v>B</v>
      </c>
      <c r="AE231" s="293"/>
      <c r="AF231" s="119"/>
    </row>
    <row r="232" spans="1:33" ht="18.75" customHeight="1">
      <c r="A232" s="248">
        <v>48</v>
      </c>
      <c r="B232" s="336" t="str">
        <f>'Chấm công KT'!D224</f>
        <v>03634</v>
      </c>
      <c r="C232" s="261" t="str">
        <f>'Chấm công KT'!C224</f>
        <v>T . Cổ</v>
      </c>
      <c r="D232" s="248" t="s">
        <v>43</v>
      </c>
      <c r="E232" s="352"/>
      <c r="F232" s="352"/>
      <c r="G232" s="352"/>
      <c r="H232" s="352"/>
      <c r="I232" s="352"/>
      <c r="J232" s="337"/>
      <c r="K232" s="152"/>
      <c r="L232" s="152"/>
      <c r="M232" s="152"/>
      <c r="N232" s="257"/>
      <c r="O232" s="368"/>
      <c r="P232" s="249"/>
      <c r="Q232" s="258">
        <f t="shared" si="28"/>
        <v>0</v>
      </c>
      <c r="R232" s="251">
        <f>VLOOKUP(C232,'BTH mủ tạp'!$C$183:$AI$244,33,0)</f>
        <v>0</v>
      </c>
      <c r="S232" s="262"/>
      <c r="T232" s="250">
        <f t="shared" si="29"/>
        <v>0</v>
      </c>
      <c r="U232" s="341">
        <f t="shared" si="26"/>
        <v>0</v>
      </c>
      <c r="V232" s="980">
        <f>VLOOKUP(C232,'Chấm công KT'!$C$177:$AJ$238,34,0)</f>
        <v>0</v>
      </c>
      <c r="W232" s="980">
        <f>VLOOKUP(C232,'Chấm công KT'!$C$177:$AK$238,35,0)</f>
        <v>0</v>
      </c>
      <c r="X232" s="980">
        <f>VLOOKUP(C232,'Chấm công KT'!C224:AL285,36,0)</f>
        <v>0</v>
      </c>
      <c r="Y232" s="1146"/>
      <c r="Z232" s="1146"/>
      <c r="AA232" s="1146"/>
      <c r="AB232" s="268"/>
      <c r="AC232" s="260">
        <f t="shared" si="27"/>
        <v>0</v>
      </c>
      <c r="AD232" s="147" t="str">
        <f>VLOOKUP(C232,'BTH mủ tạp'!$C$15:$AL$305,36,0)</f>
        <v>B</v>
      </c>
      <c r="AE232" s="293"/>
      <c r="AF232" s="119"/>
    </row>
    <row r="233" spans="1:33" ht="18.75" customHeight="1">
      <c r="A233" s="248">
        <v>49</v>
      </c>
      <c r="B233" s="336" t="str">
        <f>'Chấm công KT'!D225</f>
        <v>03635</v>
      </c>
      <c r="C233" s="261" t="str">
        <f>'Chấm công KT'!C225</f>
        <v>N. Phim Pha</v>
      </c>
      <c r="D233" s="248" t="s">
        <v>43</v>
      </c>
      <c r="E233" s="352"/>
      <c r="F233" s="352"/>
      <c r="G233" s="352"/>
      <c r="H233" s="352"/>
      <c r="I233" s="352"/>
      <c r="J233" s="337"/>
      <c r="K233" s="267"/>
      <c r="L233" s="267"/>
      <c r="M233" s="152"/>
      <c r="N233" s="146"/>
      <c r="O233" s="291"/>
      <c r="P233" s="249"/>
      <c r="Q233" s="258">
        <f t="shared" si="28"/>
        <v>0</v>
      </c>
      <c r="R233" s="251">
        <f>VLOOKUP(C233,'BTH mủ tạp'!$C$183:$AI$244,33,0)</f>
        <v>0</v>
      </c>
      <c r="S233" s="262"/>
      <c r="T233" s="250">
        <f t="shared" si="29"/>
        <v>0</v>
      </c>
      <c r="U233" s="341">
        <f t="shared" si="26"/>
        <v>0</v>
      </c>
      <c r="V233" s="980">
        <f>VLOOKUP(C233,'Chấm công KT'!$C$177:$AJ$238,34,0)</f>
        <v>0</v>
      </c>
      <c r="W233" s="980">
        <f>VLOOKUP(C233,'Chấm công KT'!$C$177:$AK$238,35,0)</f>
        <v>0</v>
      </c>
      <c r="X233" s="980">
        <f>VLOOKUP(C233,'Chấm công KT'!C225:AL286,36,0)</f>
        <v>0</v>
      </c>
      <c r="Y233" s="1146"/>
      <c r="Z233" s="1146"/>
      <c r="AA233" s="1146"/>
      <c r="AB233" s="268"/>
      <c r="AC233" s="260">
        <f t="shared" si="27"/>
        <v>0</v>
      </c>
      <c r="AD233" s="147" t="str">
        <f>VLOOKUP(C233,'BTH mủ tạp'!$C$15:$AL$305,36,0)</f>
        <v>A</v>
      </c>
      <c r="AE233" s="293"/>
      <c r="AF233" s="119"/>
    </row>
    <row r="234" spans="1:33" ht="18.75" customHeight="1">
      <c r="A234" s="248">
        <v>50</v>
      </c>
      <c r="B234" s="336" t="str">
        <f>'Chấm công KT'!D226</f>
        <v>03636</v>
      </c>
      <c r="C234" s="261" t="str">
        <f>'Chấm công KT'!C226</f>
        <v xml:space="preserve">T. Xeng </v>
      </c>
      <c r="D234" s="248" t="s">
        <v>43</v>
      </c>
      <c r="E234" s="352"/>
      <c r="F234" s="352"/>
      <c r="G234" s="352"/>
      <c r="H234" s="352"/>
      <c r="I234" s="352"/>
      <c r="J234" s="337"/>
      <c r="K234" s="152"/>
      <c r="L234" s="152"/>
      <c r="M234" s="152"/>
      <c r="N234" s="257"/>
      <c r="O234" s="368"/>
      <c r="P234" s="249"/>
      <c r="Q234" s="258">
        <f t="shared" si="28"/>
        <v>0</v>
      </c>
      <c r="R234" s="251">
        <f>VLOOKUP(C234,'BTH mủ tạp'!$C$183:$AI$244,33,0)</f>
        <v>0</v>
      </c>
      <c r="S234" s="262"/>
      <c r="T234" s="250">
        <f t="shared" si="29"/>
        <v>0</v>
      </c>
      <c r="U234" s="341">
        <f t="shared" si="26"/>
        <v>0</v>
      </c>
      <c r="V234" s="980">
        <f>VLOOKUP(C234,'Chấm công KT'!$C$177:$AJ$238,34,0)</f>
        <v>0</v>
      </c>
      <c r="W234" s="980">
        <f>VLOOKUP(C234,'Chấm công KT'!$C$177:$AK$238,35,0)</f>
        <v>0</v>
      </c>
      <c r="X234" s="980">
        <f>VLOOKUP(C234,'Chấm công KT'!C226:AL287,36,0)</f>
        <v>0</v>
      </c>
      <c r="Y234" s="1146"/>
      <c r="Z234" s="1146"/>
      <c r="AA234" s="1146"/>
      <c r="AB234" s="268"/>
      <c r="AC234" s="260">
        <f t="shared" si="27"/>
        <v>0</v>
      </c>
      <c r="AD234" s="147" t="str">
        <f>VLOOKUP(C234,'BTH mủ tạp'!$C$15:$AL$305,36,0)</f>
        <v>A</v>
      </c>
      <c r="AE234" s="293"/>
      <c r="AF234" s="119"/>
    </row>
    <row r="235" spans="1:33" ht="18.75" customHeight="1">
      <c r="A235" s="248">
        <v>51</v>
      </c>
      <c r="B235" s="336" t="str">
        <f>'Chấm công KT'!D227</f>
        <v>03637</v>
      </c>
      <c r="C235" s="261" t="str">
        <f>'Chấm công KT'!C227</f>
        <v>T. Vạt</v>
      </c>
      <c r="D235" s="248" t="s">
        <v>43</v>
      </c>
      <c r="E235" s="352"/>
      <c r="F235" s="352"/>
      <c r="G235" s="352"/>
      <c r="H235" s="352"/>
      <c r="I235" s="352"/>
      <c r="J235" s="337"/>
      <c r="K235" s="152"/>
      <c r="L235" s="152"/>
      <c r="M235" s="152"/>
      <c r="N235" s="257"/>
      <c r="O235" s="368"/>
      <c r="P235" s="249"/>
      <c r="Q235" s="258">
        <f t="shared" si="28"/>
        <v>0</v>
      </c>
      <c r="R235" s="251">
        <f>VLOOKUP(C235,'BTH mủ tạp'!$C$183:$AI$244,33,0)</f>
        <v>0</v>
      </c>
      <c r="S235" s="262"/>
      <c r="T235" s="250">
        <f t="shared" si="29"/>
        <v>0</v>
      </c>
      <c r="U235" s="341">
        <f t="shared" si="26"/>
        <v>0</v>
      </c>
      <c r="V235" s="980">
        <f>VLOOKUP(C235,'Chấm công KT'!$C$177:$AJ$238,34,0)</f>
        <v>0</v>
      </c>
      <c r="W235" s="980">
        <f>VLOOKUP(C235,'Chấm công KT'!$C$177:$AK$238,35,0)</f>
        <v>0</v>
      </c>
      <c r="X235" s="980">
        <f>VLOOKUP(C235,'Chấm công KT'!C227:AL288,36,0)</f>
        <v>0</v>
      </c>
      <c r="Y235" s="1146"/>
      <c r="Z235" s="1146"/>
      <c r="AA235" s="1146"/>
      <c r="AB235" s="268"/>
      <c r="AC235" s="260">
        <f t="shared" si="27"/>
        <v>0</v>
      </c>
      <c r="AD235" s="147" t="str">
        <f>VLOOKUP(C235,'BTH mủ tạp'!$C$15:$AL$305,36,0)</f>
        <v>A</v>
      </c>
      <c r="AE235" s="293"/>
      <c r="AF235" s="119"/>
    </row>
    <row r="236" spans="1:33" ht="18.75" customHeight="1">
      <c r="A236" s="248">
        <v>52</v>
      </c>
      <c r="B236" s="336" t="str">
        <f>'Chấm công KT'!D228</f>
        <v>03638</v>
      </c>
      <c r="C236" s="261" t="str">
        <f>'Chấm công KT'!C228</f>
        <v>T. Lay</v>
      </c>
      <c r="D236" s="248" t="s">
        <v>43</v>
      </c>
      <c r="E236" s="352"/>
      <c r="F236" s="352"/>
      <c r="G236" s="352"/>
      <c r="H236" s="352"/>
      <c r="I236" s="352"/>
      <c r="J236" s="337"/>
      <c r="K236" s="152"/>
      <c r="L236" s="152"/>
      <c r="M236" s="152"/>
      <c r="N236" s="257"/>
      <c r="O236" s="368"/>
      <c r="P236" s="249"/>
      <c r="Q236" s="258">
        <f t="shared" si="28"/>
        <v>0</v>
      </c>
      <c r="R236" s="251">
        <f>VLOOKUP(C236,'BTH mủ tạp'!$C$183:$AI$244,33,0)</f>
        <v>0</v>
      </c>
      <c r="S236" s="262"/>
      <c r="T236" s="250">
        <f t="shared" si="29"/>
        <v>0</v>
      </c>
      <c r="U236" s="341">
        <f t="shared" si="26"/>
        <v>0</v>
      </c>
      <c r="V236" s="980">
        <f>VLOOKUP(C236,'Chấm công KT'!$C$177:$AJ$238,34,0)</f>
        <v>0</v>
      </c>
      <c r="W236" s="980">
        <f>VLOOKUP(C236,'Chấm công KT'!$C$177:$AK$238,35,0)</f>
        <v>0</v>
      </c>
      <c r="X236" s="980">
        <f>VLOOKUP(C236,'Chấm công KT'!C228:AL289,36,0)</f>
        <v>0</v>
      </c>
      <c r="Y236" s="1146"/>
      <c r="Z236" s="1146"/>
      <c r="AA236" s="1146"/>
      <c r="AB236" s="268"/>
      <c r="AC236" s="260">
        <f t="shared" si="27"/>
        <v>0</v>
      </c>
      <c r="AD236" s="147" t="str">
        <f>VLOOKUP(C236,'BTH mủ tạp'!$C$15:$AL$305,36,0)</f>
        <v>A</v>
      </c>
      <c r="AE236" s="293"/>
      <c r="AF236" s="119"/>
    </row>
    <row r="237" spans="1:33" ht="18.75" customHeight="1">
      <c r="A237" s="248">
        <v>53</v>
      </c>
      <c r="B237" s="336" t="str">
        <f>'Chấm công KT'!D229</f>
        <v>03639</v>
      </c>
      <c r="C237" s="261" t="str">
        <f>'Chấm công KT'!C229</f>
        <v>Lăm Thon</v>
      </c>
      <c r="D237" s="248" t="s">
        <v>43</v>
      </c>
      <c r="E237" s="352"/>
      <c r="F237" s="352"/>
      <c r="G237" s="352"/>
      <c r="H237" s="352"/>
      <c r="I237" s="352"/>
      <c r="J237" s="337"/>
      <c r="K237" s="152"/>
      <c r="L237" s="152"/>
      <c r="M237" s="152"/>
      <c r="N237" s="257"/>
      <c r="O237" s="368"/>
      <c r="P237" s="249"/>
      <c r="Q237" s="258">
        <f t="shared" si="28"/>
        <v>0</v>
      </c>
      <c r="R237" s="251">
        <f>VLOOKUP(C237,'BTH mủ tạp'!$C$183:$AI$244,33,0)</f>
        <v>0</v>
      </c>
      <c r="S237" s="262"/>
      <c r="T237" s="250">
        <f t="shared" si="29"/>
        <v>0</v>
      </c>
      <c r="U237" s="341">
        <f t="shared" si="26"/>
        <v>0</v>
      </c>
      <c r="V237" s="980">
        <f>VLOOKUP(C237,'Chấm công KT'!$C$177:$AJ$238,34,0)</f>
        <v>0</v>
      </c>
      <c r="W237" s="980">
        <f>VLOOKUP(C237,'Chấm công KT'!$C$177:$AK$238,35,0)</f>
        <v>0</v>
      </c>
      <c r="X237" s="980">
        <f>VLOOKUP(C237,'Chấm công KT'!C229:AL290,36,0)</f>
        <v>0</v>
      </c>
      <c r="Y237" s="1146"/>
      <c r="Z237" s="1146"/>
      <c r="AA237" s="1146"/>
      <c r="AB237" s="268"/>
      <c r="AC237" s="260">
        <f t="shared" si="27"/>
        <v>0</v>
      </c>
      <c r="AD237" s="147" t="str">
        <f>VLOOKUP(C237,'BTH mủ tạp'!$C$15:$AL$305,36,0)</f>
        <v>A</v>
      </c>
      <c r="AE237" s="293"/>
      <c r="AF237" s="119"/>
    </row>
    <row r="238" spans="1:33" ht="18.75" customHeight="1">
      <c r="A238" s="248">
        <v>54</v>
      </c>
      <c r="B238" s="336">
        <f>'Chấm công KT'!D230</f>
        <v>0</v>
      </c>
      <c r="C238" s="261" t="str">
        <f>'Chấm công KT'!C230</f>
        <v>T Bun Xi</v>
      </c>
      <c r="D238" s="248" t="s">
        <v>43</v>
      </c>
      <c r="E238" s="352"/>
      <c r="F238" s="352"/>
      <c r="G238" s="352"/>
      <c r="H238" s="352"/>
      <c r="I238" s="352"/>
      <c r="J238" s="337"/>
      <c r="K238" s="267"/>
      <c r="L238" s="290"/>
      <c r="M238" s="337"/>
      <c r="N238" s="257"/>
      <c r="O238" s="368"/>
      <c r="P238" s="249"/>
      <c r="Q238" s="258">
        <f t="shared" si="28"/>
        <v>0</v>
      </c>
      <c r="R238" s="251">
        <f>VLOOKUP(C238,'BTH mủ tạp'!$C$183:$AI$244,33,0)</f>
        <v>0</v>
      </c>
      <c r="S238" s="262"/>
      <c r="T238" s="250">
        <f t="shared" si="29"/>
        <v>0</v>
      </c>
      <c r="U238" s="341">
        <f t="shared" si="26"/>
        <v>0</v>
      </c>
      <c r="V238" s="980">
        <f>VLOOKUP(C238,'Chấm công KT'!$C$177:$AJ$238,34,0)</f>
        <v>0</v>
      </c>
      <c r="W238" s="980">
        <f>VLOOKUP(C238,'Chấm công KT'!$C$177:$AK$238,35,0)</f>
        <v>0</v>
      </c>
      <c r="X238" s="980">
        <f>VLOOKUP(C238,'Chấm công KT'!C230:AL291,36,0)</f>
        <v>0</v>
      </c>
      <c r="Y238" s="1146"/>
      <c r="Z238" s="1146"/>
      <c r="AA238" s="1146"/>
      <c r="AB238" s="268"/>
      <c r="AC238" s="260">
        <f t="shared" si="27"/>
        <v>0</v>
      </c>
      <c r="AD238" s="147" t="str">
        <f>VLOOKUP(C238,'BTH mủ tạp'!$C$15:$AL$305,36,0)</f>
        <v>A</v>
      </c>
      <c r="AE238" s="293"/>
      <c r="AF238" s="119"/>
    </row>
    <row r="239" spans="1:33" ht="18.75" customHeight="1">
      <c r="A239" s="248">
        <v>55</v>
      </c>
      <c r="B239" s="336" t="str">
        <f>'Chấm công KT'!D231</f>
        <v>03641</v>
      </c>
      <c r="C239" s="261" t="str">
        <f>'Chấm công KT'!C231</f>
        <v>Xô La</v>
      </c>
      <c r="D239" s="248" t="s">
        <v>43</v>
      </c>
      <c r="E239" s="352"/>
      <c r="F239" s="352"/>
      <c r="G239" s="352"/>
      <c r="H239" s="352"/>
      <c r="I239" s="352"/>
      <c r="J239" s="337"/>
      <c r="K239" s="152"/>
      <c r="L239" s="152"/>
      <c r="M239" s="152"/>
      <c r="N239" s="257"/>
      <c r="O239" s="368"/>
      <c r="P239" s="249"/>
      <c r="Q239" s="258">
        <f t="shared" si="28"/>
        <v>0</v>
      </c>
      <c r="R239" s="251">
        <f>VLOOKUP(C239,'BTH mủ tạp'!$C$183:$AI$244,33,0)</f>
        <v>0</v>
      </c>
      <c r="S239" s="262"/>
      <c r="T239" s="250">
        <f t="shared" si="29"/>
        <v>0</v>
      </c>
      <c r="U239" s="341">
        <f t="shared" si="26"/>
        <v>0</v>
      </c>
      <c r="V239" s="980">
        <f>VLOOKUP(C239,'Chấm công KT'!$C$177:$AJ$238,34,0)</f>
        <v>0</v>
      </c>
      <c r="W239" s="980">
        <f>VLOOKUP(C239,'Chấm công KT'!$C$177:$AK$238,35,0)</f>
        <v>0</v>
      </c>
      <c r="X239" s="980">
        <f>VLOOKUP(C239,'Chấm công KT'!C231:AL292,36,0)</f>
        <v>0</v>
      </c>
      <c r="Y239" s="1146"/>
      <c r="Z239" s="1146"/>
      <c r="AA239" s="1146"/>
      <c r="AB239" s="268"/>
      <c r="AC239" s="260">
        <f t="shared" si="27"/>
        <v>0</v>
      </c>
      <c r="AD239" s="147" t="str">
        <f>VLOOKUP(C239,'BTH mủ tạp'!$C$15:$AL$305,36,0)</f>
        <v>A</v>
      </c>
      <c r="AE239" s="293"/>
      <c r="AF239" s="119"/>
    </row>
    <row r="240" spans="1:33" ht="18.75" customHeight="1">
      <c r="A240" s="248">
        <v>56</v>
      </c>
      <c r="B240" s="336" t="str">
        <f>'Chấm công KT'!D232</f>
        <v>03642</v>
      </c>
      <c r="C240" s="261" t="str">
        <f>'Chấm công KT'!C232</f>
        <v>T. Xơn</v>
      </c>
      <c r="D240" s="248" t="s">
        <v>43</v>
      </c>
      <c r="E240" s="352"/>
      <c r="F240" s="352"/>
      <c r="G240" s="352"/>
      <c r="H240" s="352"/>
      <c r="I240" s="352"/>
      <c r="J240" s="337"/>
      <c r="K240" s="267"/>
      <c r="L240" s="290"/>
      <c r="M240" s="337"/>
      <c r="N240" s="291"/>
      <c r="O240" s="291"/>
      <c r="P240" s="291"/>
      <c r="Q240" s="258">
        <f t="shared" si="28"/>
        <v>0</v>
      </c>
      <c r="R240" s="251">
        <f>VLOOKUP(C240,'BTH mủ tạp'!$C$183:$AI$244,33,0)</f>
        <v>0</v>
      </c>
      <c r="S240" s="262"/>
      <c r="T240" s="250">
        <f t="shared" si="29"/>
        <v>0</v>
      </c>
      <c r="U240" s="341">
        <f t="shared" si="26"/>
        <v>0</v>
      </c>
      <c r="V240" s="980">
        <f>VLOOKUP(C240,'Chấm công KT'!$C$177:$AJ$238,34,0)</f>
        <v>0</v>
      </c>
      <c r="W240" s="980">
        <f>VLOOKUP(C240,'Chấm công KT'!$C$177:$AK$238,35,0)</f>
        <v>0</v>
      </c>
      <c r="X240" s="980">
        <f>VLOOKUP(C240,'Chấm công KT'!C232:AL293,36,0)</f>
        <v>0</v>
      </c>
      <c r="Y240" s="1146"/>
      <c r="Z240" s="1146"/>
      <c r="AA240" s="1146"/>
      <c r="AB240" s="268"/>
      <c r="AC240" s="260">
        <f t="shared" si="27"/>
        <v>0</v>
      </c>
      <c r="AD240" s="147" t="str">
        <f>VLOOKUP(C240,'BTH mủ tạp'!$C$15:$AL$305,36,0)</f>
        <v>A</v>
      </c>
      <c r="AE240" s="293"/>
      <c r="AF240" s="119"/>
    </row>
    <row r="241" spans="1:35" ht="18.75" customHeight="1">
      <c r="A241" s="248">
        <v>57</v>
      </c>
      <c r="B241" s="336" t="str">
        <f>'Chấm công KT'!D233</f>
        <v>03643</v>
      </c>
      <c r="C241" s="261" t="str">
        <f>'Chấm công KT'!C233</f>
        <v>T. K Đăm</v>
      </c>
      <c r="D241" s="248" t="s">
        <v>43</v>
      </c>
      <c r="E241" s="352"/>
      <c r="F241" s="352"/>
      <c r="G241" s="352"/>
      <c r="H241" s="352"/>
      <c r="I241" s="352"/>
      <c r="J241" s="337"/>
      <c r="K241" s="290"/>
      <c r="L241" s="290"/>
      <c r="M241" s="337"/>
      <c r="N241" s="291"/>
      <c r="O241" s="291"/>
      <c r="P241" s="291"/>
      <c r="Q241" s="258">
        <f t="shared" si="28"/>
        <v>0</v>
      </c>
      <c r="R241" s="251">
        <f>VLOOKUP(C241,'BTH mủ tạp'!$C$183:$AI$244,33,0)</f>
        <v>0</v>
      </c>
      <c r="S241" s="262"/>
      <c r="T241" s="250">
        <f t="shared" si="29"/>
        <v>0</v>
      </c>
      <c r="U241" s="341">
        <f t="shared" si="26"/>
        <v>0</v>
      </c>
      <c r="V241" s="980">
        <f>VLOOKUP(C241,'Chấm công KT'!$C$177:$AJ$238,34,0)</f>
        <v>0</v>
      </c>
      <c r="W241" s="980">
        <f>VLOOKUP(C241,'Chấm công KT'!$C$177:$AK$238,35,0)</f>
        <v>0</v>
      </c>
      <c r="X241" s="980">
        <f>VLOOKUP(C241,'Chấm công KT'!C233:AL294,36,0)</f>
        <v>0</v>
      </c>
      <c r="Y241" s="1146"/>
      <c r="Z241" s="1146"/>
      <c r="AA241" s="1146"/>
      <c r="AB241" s="268"/>
      <c r="AC241" s="260">
        <f t="shared" si="27"/>
        <v>0</v>
      </c>
      <c r="AD241" s="147" t="str">
        <f>VLOOKUP(C241,'BTH mủ tạp'!$C$15:$AL$305,36,0)</f>
        <v>A</v>
      </c>
      <c r="AE241" s="293"/>
      <c r="AF241" s="119"/>
    </row>
    <row r="242" spans="1:35" ht="18.75" customHeight="1">
      <c r="A242" s="248">
        <v>58</v>
      </c>
      <c r="B242" s="336" t="str">
        <f>'Chấm công KT'!D234</f>
        <v>03644</v>
      </c>
      <c r="C242" s="261" t="str">
        <f>'Chấm công KT'!C234</f>
        <v>N. Nô La</v>
      </c>
      <c r="D242" s="248" t="s">
        <v>43</v>
      </c>
      <c r="E242" s="352"/>
      <c r="F242" s="352"/>
      <c r="G242" s="352"/>
      <c r="H242" s="352"/>
      <c r="I242" s="352"/>
      <c r="J242" s="337"/>
      <c r="K242" s="290"/>
      <c r="L242" s="290"/>
      <c r="M242" s="337"/>
      <c r="N242" s="291"/>
      <c r="O242" s="291"/>
      <c r="P242" s="291"/>
      <c r="Q242" s="258">
        <f t="shared" si="28"/>
        <v>0</v>
      </c>
      <c r="R242" s="251">
        <f>VLOOKUP(C242,'BTH mủ tạp'!$C$183:$AI$244,33,0)</f>
        <v>0</v>
      </c>
      <c r="S242" s="262"/>
      <c r="T242" s="250">
        <f t="shared" si="29"/>
        <v>0</v>
      </c>
      <c r="U242" s="341">
        <f t="shared" si="26"/>
        <v>0</v>
      </c>
      <c r="V242" s="980">
        <f>VLOOKUP(C242,'Chấm công KT'!$C$177:$AJ$238,34,0)</f>
        <v>0</v>
      </c>
      <c r="W242" s="980">
        <f>VLOOKUP(C242,'Chấm công KT'!$C$177:$AK$238,35,0)</f>
        <v>0</v>
      </c>
      <c r="X242" s="980">
        <f>VLOOKUP(C242,'Chấm công KT'!C234:AL295,36,0)</f>
        <v>0</v>
      </c>
      <c r="Y242" s="1146"/>
      <c r="Z242" s="1146"/>
      <c r="AA242" s="1146"/>
      <c r="AB242" s="268"/>
      <c r="AC242" s="260">
        <f t="shared" ref="AC242:AC249" si="30">Q242</f>
        <v>0</v>
      </c>
      <c r="AD242" s="147" t="str">
        <f>VLOOKUP(C242,'BTH mủ tạp'!$C$15:$AL$305,36,0)</f>
        <v>A</v>
      </c>
      <c r="AE242" s="293"/>
      <c r="AF242" s="119"/>
    </row>
    <row r="243" spans="1:35" ht="18.75" customHeight="1">
      <c r="A243" s="248">
        <v>59</v>
      </c>
      <c r="B243" s="1030"/>
      <c r="C243" s="261" t="str">
        <f>'Chấm công KT'!C235</f>
        <v>T. Thong</v>
      </c>
      <c r="D243" s="248" t="s">
        <v>43</v>
      </c>
      <c r="E243" s="267"/>
      <c r="F243" s="352"/>
      <c r="G243" s="352"/>
      <c r="H243" s="352"/>
      <c r="I243" s="352"/>
      <c r="J243" s="337"/>
      <c r="K243" s="290"/>
      <c r="L243" s="290"/>
      <c r="M243" s="337"/>
      <c r="N243" s="291"/>
      <c r="O243" s="291"/>
      <c r="P243" s="291"/>
      <c r="Q243" s="258">
        <f t="shared" si="28"/>
        <v>0</v>
      </c>
      <c r="R243" s="251">
        <f>VLOOKUP(C243,'BTH mủ tạp'!$C$183:$AI$244,33,0)</f>
        <v>0</v>
      </c>
      <c r="S243" s="262"/>
      <c r="T243" s="250">
        <f t="shared" si="29"/>
        <v>0</v>
      </c>
      <c r="U243" s="341">
        <f t="shared" si="26"/>
        <v>0</v>
      </c>
      <c r="V243" s="980">
        <f>VLOOKUP(C243,'Chấm công KT'!$C$177:$AJ$238,34,0)</f>
        <v>0</v>
      </c>
      <c r="W243" s="980">
        <f>VLOOKUP(C243,'Chấm công KT'!$C$177:$AK$238,35,0)</f>
        <v>0</v>
      </c>
      <c r="X243" s="980">
        <f>VLOOKUP(C243,'Chấm công KT'!C235:AL296,36,0)</f>
        <v>0</v>
      </c>
      <c r="Y243" s="1146"/>
      <c r="Z243" s="1146"/>
      <c r="AA243" s="1146"/>
      <c r="AB243" s="268"/>
      <c r="AC243" s="260">
        <f t="shared" si="30"/>
        <v>0</v>
      </c>
      <c r="AD243" s="147" t="str">
        <f>VLOOKUP(C243,'BTH mủ tạp'!$C$15:$AL$305,36,0)</f>
        <v>C.</v>
      </c>
      <c r="AE243" s="293"/>
      <c r="AF243" s="119"/>
    </row>
    <row r="244" spans="1:35" ht="18.75" customHeight="1">
      <c r="A244" s="248">
        <v>60</v>
      </c>
      <c r="B244" s="1030"/>
      <c r="C244" s="261" t="str">
        <f>'Chấm công KT'!C236</f>
        <v>T. Khách</v>
      </c>
      <c r="D244" s="248" t="s">
        <v>43</v>
      </c>
      <c r="E244" s="267"/>
      <c r="F244" s="352"/>
      <c r="G244" s="352"/>
      <c r="H244" s="352"/>
      <c r="I244" s="352"/>
      <c r="J244" s="337"/>
      <c r="K244" s="290"/>
      <c r="L244" s="290"/>
      <c r="M244" s="337"/>
      <c r="N244" s="291"/>
      <c r="O244" s="291"/>
      <c r="P244" s="291"/>
      <c r="Q244" s="258">
        <f t="shared" si="28"/>
        <v>0</v>
      </c>
      <c r="R244" s="251">
        <f>VLOOKUP(C244,'BTH mủ tạp'!$C$183:$AI$244,33,0)</f>
        <v>0</v>
      </c>
      <c r="S244" s="262"/>
      <c r="T244" s="250">
        <f t="shared" si="29"/>
        <v>0</v>
      </c>
      <c r="U244" s="341">
        <f t="shared" si="26"/>
        <v>0</v>
      </c>
      <c r="V244" s="980">
        <f>VLOOKUP(C244,'Chấm công KT'!$C$177:$AJ$238,34,0)</f>
        <v>0</v>
      </c>
      <c r="W244" s="980">
        <f>VLOOKUP(C244,'Chấm công KT'!$C$177:$AK$238,35,0)</f>
        <v>0</v>
      </c>
      <c r="X244" s="980">
        <f>VLOOKUP(C244,'Chấm công KT'!C236:AL297,36,0)</f>
        <v>0</v>
      </c>
      <c r="Y244" s="1146"/>
      <c r="Z244" s="1146"/>
      <c r="AA244" s="1146"/>
      <c r="AB244" s="268"/>
      <c r="AC244" s="260">
        <f t="shared" si="30"/>
        <v>0</v>
      </c>
      <c r="AD244" s="147" t="str">
        <f>VLOOKUP(C244,'BTH mủ tạp'!$C$15:$AL$305,36,0)</f>
        <v>C.</v>
      </c>
      <c r="AE244" s="293"/>
      <c r="AF244" s="119"/>
    </row>
    <row r="245" spans="1:35" ht="18.75" customHeight="1">
      <c r="A245" s="248">
        <v>61</v>
      </c>
      <c r="B245" s="1030"/>
      <c r="C245" s="261" t="str">
        <f>'Chấm công KT'!C237</f>
        <v>Nang On Xi</v>
      </c>
      <c r="D245" s="248" t="s">
        <v>43</v>
      </c>
      <c r="E245" s="267"/>
      <c r="F245" s="352"/>
      <c r="G245" s="352"/>
      <c r="H245" s="352"/>
      <c r="I245" s="352"/>
      <c r="J245" s="337"/>
      <c r="K245" s="290"/>
      <c r="L245" s="290"/>
      <c r="M245" s="337"/>
      <c r="N245" s="291"/>
      <c r="O245" s="291"/>
      <c r="P245" s="291"/>
      <c r="Q245" s="258">
        <f t="shared" si="28"/>
        <v>0</v>
      </c>
      <c r="R245" s="251">
        <f>VLOOKUP(C245,'BTH mủ tạp'!$C$183:$AI$244,33,0)</f>
        <v>0</v>
      </c>
      <c r="S245" s="262"/>
      <c r="T245" s="250">
        <f t="shared" si="29"/>
        <v>0</v>
      </c>
      <c r="U245" s="341">
        <f t="shared" si="26"/>
        <v>0</v>
      </c>
      <c r="V245" s="980">
        <f>VLOOKUP(C245,'Chấm công KT'!$C$177:$AJ$238,34,0)</f>
        <v>0</v>
      </c>
      <c r="W245" s="980">
        <f>VLOOKUP(C245,'Chấm công KT'!$C$177:$AK$238,35,0)</f>
        <v>0</v>
      </c>
      <c r="X245" s="980">
        <f>VLOOKUP(C245,'Chấm công KT'!C237:AL298,36,0)</f>
        <v>0</v>
      </c>
      <c r="Y245" s="1146"/>
      <c r="Z245" s="1146"/>
      <c r="AA245" s="1146"/>
      <c r="AB245" s="268"/>
      <c r="AC245" s="260">
        <f t="shared" si="30"/>
        <v>0</v>
      </c>
      <c r="AD245" s="147" t="str">
        <f>VLOOKUP(C245,'BTH mủ tạp'!$C$15:$AL$305,36,0)</f>
        <v>C.</v>
      </c>
      <c r="AE245" s="293"/>
      <c r="AF245" s="119"/>
    </row>
    <row r="246" spans="1:35" ht="18.75" customHeight="1">
      <c r="A246" s="248">
        <v>62</v>
      </c>
      <c r="B246" s="1030"/>
      <c r="C246" s="261" t="str">
        <f>'Chấm công KT'!C238</f>
        <v>Thảo Túc</v>
      </c>
      <c r="D246" s="1013"/>
      <c r="E246" s="290"/>
      <c r="F246" s="1103"/>
      <c r="G246" s="1103"/>
      <c r="H246" s="1103"/>
      <c r="I246" s="1103"/>
      <c r="J246" s="1102"/>
      <c r="K246" s="290"/>
      <c r="L246" s="290"/>
      <c r="M246" s="1670"/>
      <c r="N246" s="291"/>
      <c r="O246" s="291"/>
      <c r="P246" s="291"/>
      <c r="Q246" s="258">
        <f t="shared" si="28"/>
        <v>0</v>
      </c>
      <c r="R246" s="251">
        <f>VLOOKUP(C246,'BTH mủ tạp'!$C$183:$AI$244,33,0)</f>
        <v>0</v>
      </c>
      <c r="S246" s="262"/>
      <c r="T246" s="250"/>
      <c r="U246" s="341">
        <f t="shared" si="26"/>
        <v>0</v>
      </c>
      <c r="V246" s="980">
        <f>VLOOKUP(C246,'Chấm công KT'!$C$177:$AJ$238,34,0)</f>
        <v>0</v>
      </c>
      <c r="W246" s="980">
        <f>VLOOKUP(C246,'Chấm công KT'!$C$177:$AK$238,35,0)</f>
        <v>0</v>
      </c>
      <c r="X246" s="980">
        <f>VLOOKUP(C246,'Chấm công KT'!C238:AL299,36,0)</f>
        <v>0</v>
      </c>
      <c r="Y246" s="1146"/>
      <c r="Z246" s="1146"/>
      <c r="AA246" s="1146"/>
      <c r="AB246" s="268"/>
      <c r="AC246" s="260">
        <f t="shared" si="30"/>
        <v>0</v>
      </c>
      <c r="AD246" s="147" t="str">
        <f>VLOOKUP(C246,'BTH mủ tạp'!$C$15:$AL$305,36,0)</f>
        <v>C.</v>
      </c>
      <c r="AE246" s="293"/>
      <c r="AF246" s="119"/>
    </row>
    <row r="247" spans="1:35" s="971" customFormat="1" ht="18.75" customHeight="1">
      <c r="A247" s="248">
        <v>63</v>
      </c>
      <c r="B247" s="1263"/>
      <c r="C247" s="969" t="s">
        <v>1020</v>
      </c>
      <c r="D247" s="972"/>
      <c r="E247" s="959"/>
      <c r="F247" s="973"/>
      <c r="G247" s="973"/>
      <c r="H247" s="973"/>
      <c r="I247" s="973"/>
      <c r="J247" s="974"/>
      <c r="K247" s="959"/>
      <c r="L247" s="959"/>
      <c r="M247" s="1009"/>
      <c r="N247" s="960"/>
      <c r="O247" s="960"/>
      <c r="P247" s="960"/>
      <c r="Q247" s="961">
        <f t="shared" si="28"/>
        <v>0</v>
      </c>
      <c r="R247" s="1264"/>
      <c r="S247" s="962"/>
      <c r="T247" s="963"/>
      <c r="U247" s="1259"/>
      <c r="V247" s="980"/>
      <c r="W247" s="980"/>
      <c r="X247" s="1147"/>
      <c r="Y247" s="1146"/>
      <c r="Z247" s="1146"/>
      <c r="AA247" s="1146"/>
      <c r="AB247" s="967"/>
      <c r="AC247" s="1265">
        <f t="shared" ref="AC247" si="31">Q247</f>
        <v>0</v>
      </c>
      <c r="AD247" s="1260"/>
      <c r="AE247" s="969"/>
      <c r="AF247" s="970"/>
    </row>
    <row r="248" spans="1:35" s="971" customFormat="1" ht="18.75" customHeight="1">
      <c r="A248" s="248">
        <v>64</v>
      </c>
      <c r="B248" s="955"/>
      <c r="C248" s="976" t="s">
        <v>888</v>
      </c>
      <c r="D248" s="972"/>
      <c r="E248" s="959"/>
      <c r="F248" s="973"/>
      <c r="G248" s="973"/>
      <c r="H248" s="973"/>
      <c r="I248" s="973"/>
      <c r="J248" s="974"/>
      <c r="K248" s="959"/>
      <c r="L248" s="959"/>
      <c r="M248" s="959"/>
      <c r="N248" s="960"/>
      <c r="O248" s="960"/>
      <c r="P248" s="960">
        <v>3218.16</v>
      </c>
      <c r="Q248" s="961">
        <f t="shared" si="28"/>
        <v>3218.16</v>
      </c>
      <c r="R248" s="1264"/>
      <c r="S248" s="962"/>
      <c r="T248" s="963"/>
      <c r="U248" s="1259"/>
      <c r="V248" s="980"/>
      <c r="W248" s="980"/>
      <c r="X248" s="1147"/>
      <c r="Y248" s="1146"/>
      <c r="Z248" s="1218"/>
      <c r="AA248" s="1218"/>
      <c r="AB248" s="967"/>
      <c r="AC248" s="1265">
        <f t="shared" si="30"/>
        <v>3218.16</v>
      </c>
      <c r="AD248" s="1260"/>
      <c r="AE248" s="969"/>
      <c r="AF248" s="970"/>
    </row>
    <row r="249" spans="1:35" s="971" customFormat="1" ht="18.75" customHeight="1">
      <c r="A249" s="248">
        <v>65</v>
      </c>
      <c r="B249" s="955"/>
      <c r="C249" s="1261" t="s">
        <v>1010</v>
      </c>
      <c r="D249" s="972"/>
      <c r="E249" s="959"/>
      <c r="F249" s="973"/>
      <c r="G249" s="973"/>
      <c r="H249" s="973"/>
      <c r="I249" s="973"/>
      <c r="J249" s="974"/>
      <c r="K249" s="959"/>
      <c r="L249" s="959"/>
      <c r="M249" s="974"/>
      <c r="N249" s="960"/>
      <c r="O249" s="960"/>
      <c r="P249" s="960"/>
      <c r="Q249" s="961">
        <f t="shared" si="28"/>
        <v>0</v>
      </c>
      <c r="R249" s="1264"/>
      <c r="S249" s="1133"/>
      <c r="T249" s="996"/>
      <c r="U249" s="1262"/>
      <c r="V249" s="998"/>
      <c r="W249" s="998"/>
      <c r="X249" s="999"/>
      <c r="Y249" s="998"/>
      <c r="Z249" s="1218"/>
      <c r="AA249" s="1218"/>
      <c r="AB249" s="1000"/>
      <c r="AC249" s="1265">
        <f t="shared" si="30"/>
        <v>0</v>
      </c>
      <c r="AD249" s="1260"/>
      <c r="AE249" s="969"/>
      <c r="AF249" s="970"/>
    </row>
    <row r="250" spans="1:35" ht="18.75" customHeight="1">
      <c r="A250" s="882" t="s">
        <v>80</v>
      </c>
      <c r="B250" s="1990" t="s">
        <v>169</v>
      </c>
      <c r="C250" s="1990"/>
      <c r="D250" s="1990"/>
      <c r="E250" s="1256">
        <f>SUM(E251:E319)</f>
        <v>0</v>
      </c>
      <c r="F250" s="1256">
        <f t="shared" ref="F250:AC250" si="32">SUM(F251:F319)</f>
        <v>0</v>
      </c>
      <c r="G250" s="1256">
        <f t="shared" si="32"/>
        <v>0</v>
      </c>
      <c r="H250" s="1256">
        <f t="shared" si="32"/>
        <v>0</v>
      </c>
      <c r="I250" s="1256">
        <f t="shared" si="32"/>
        <v>0</v>
      </c>
      <c r="J250" s="1256">
        <f t="shared" si="32"/>
        <v>0</v>
      </c>
      <c r="K250" s="1256">
        <f t="shared" si="32"/>
        <v>0</v>
      </c>
      <c r="L250" s="1256">
        <f t="shared" si="32"/>
        <v>0</v>
      </c>
      <c r="M250" s="1028">
        <f t="shared" si="32"/>
        <v>0</v>
      </c>
      <c r="N250" s="1256">
        <f t="shared" si="32"/>
        <v>0</v>
      </c>
      <c r="O250" s="1256">
        <f t="shared" si="32"/>
        <v>0</v>
      </c>
      <c r="P250" s="1256">
        <f t="shared" si="32"/>
        <v>2841.86</v>
      </c>
      <c r="Q250" s="1256">
        <f t="shared" si="32"/>
        <v>2841.86</v>
      </c>
      <c r="R250" s="1256">
        <f t="shared" si="32"/>
        <v>0</v>
      </c>
      <c r="S250" s="1256">
        <f t="shared" si="32"/>
        <v>0</v>
      </c>
      <c r="T250" s="1256">
        <f t="shared" si="32"/>
        <v>0</v>
      </c>
      <c r="U250" s="1256">
        <f t="shared" si="32"/>
        <v>0</v>
      </c>
      <c r="V250" s="1256">
        <f t="shared" si="32"/>
        <v>0</v>
      </c>
      <c r="W250" s="1256">
        <f t="shared" si="32"/>
        <v>0</v>
      </c>
      <c r="X250" s="1256">
        <f t="shared" si="32"/>
        <v>0</v>
      </c>
      <c r="Y250" s="1256">
        <f t="shared" si="32"/>
        <v>0</v>
      </c>
      <c r="Z250" s="1256">
        <f t="shared" si="32"/>
        <v>0</v>
      </c>
      <c r="AA250" s="1256">
        <f t="shared" si="32"/>
        <v>0</v>
      </c>
      <c r="AB250" s="1256">
        <f t="shared" si="32"/>
        <v>0</v>
      </c>
      <c r="AC250" s="1256">
        <f t="shared" si="32"/>
        <v>2841.86</v>
      </c>
      <c r="AD250" s="147"/>
      <c r="AE250" s="1028">
        <f>SUM(AE251:AE303)</f>
        <v>0</v>
      </c>
      <c r="AF250" s="119">
        <v>19236</v>
      </c>
      <c r="AG250" s="1029">
        <v>44</v>
      </c>
      <c r="AH250" s="2">
        <v>1027</v>
      </c>
      <c r="AI250" s="2">
        <v>164</v>
      </c>
    </row>
    <row r="251" spans="1:35" ht="18.75" customHeight="1">
      <c r="A251" s="255">
        <v>1</v>
      </c>
      <c r="B251" s="336" t="str">
        <f>'Chấm công KT'!D240</f>
        <v>03645</v>
      </c>
      <c r="C251" s="265" t="str">
        <f>'Chấm công KT'!C240</f>
        <v>N. Teo</v>
      </c>
      <c r="D251" s="143" t="s">
        <v>43</v>
      </c>
      <c r="E251" s="352"/>
      <c r="F251" s="352"/>
      <c r="G251" s="352"/>
      <c r="H251" s="352"/>
      <c r="I251" s="353"/>
      <c r="J251" s="337"/>
      <c r="K251" s="267"/>
      <c r="L251" s="267"/>
      <c r="M251" s="267"/>
      <c r="N251" s="257"/>
      <c r="O251" s="257"/>
      <c r="P251" s="257"/>
      <c r="Q251" s="258">
        <f>SUM(E251:P251)</f>
        <v>0</v>
      </c>
      <c r="R251" s="251">
        <f>VLOOKUP(C251,'BTH mủ tạp'!$C$247:$AI$312,33,0)</f>
        <v>0</v>
      </c>
      <c r="S251" s="264"/>
      <c r="T251" s="259">
        <f>S251*50/100</f>
        <v>0</v>
      </c>
      <c r="U251" s="341">
        <f t="shared" ref="U251:U314" si="33">R251</f>
        <v>0</v>
      </c>
      <c r="V251" s="273">
        <f>VLOOKUP(C251,'Chấm công KT'!$C$240:$AJ$305,34,0)</f>
        <v>0</v>
      </c>
      <c r="W251" s="273">
        <f>VLOOKUP(C251,'Chấm công KT'!$C$240:$AK$305,35,0)</f>
        <v>0</v>
      </c>
      <c r="X251" s="1147">
        <f>VLOOKUP(C251,'Chấm công KT'!C240:AL305,36,0)</f>
        <v>0</v>
      </c>
      <c r="Y251" s="1146"/>
      <c r="Z251" s="1146"/>
      <c r="AA251" s="1146"/>
      <c r="AB251" s="268"/>
      <c r="AC251" s="260">
        <f t="shared" ref="AC251:AC295" si="34">+Q251</f>
        <v>0</v>
      </c>
      <c r="AD251" s="147" t="str">
        <f>VLOOKUP(C251,'BTH mủ tạp'!$C$15:$AL$305,36,0)</f>
        <v>C</v>
      </c>
      <c r="AE251" s="256"/>
      <c r="AF251" s="119"/>
    </row>
    <row r="252" spans="1:35" ht="18.75" customHeight="1">
      <c r="A252" s="248">
        <v>2</v>
      </c>
      <c r="B252" s="336" t="str">
        <f>'Chấm công KT'!D241</f>
        <v>03646</v>
      </c>
      <c r="C252" s="265" t="str">
        <f>'Chấm công KT'!C241</f>
        <v>T . Thau</v>
      </c>
      <c r="D252" s="144" t="s">
        <v>43</v>
      </c>
      <c r="E252" s="352"/>
      <c r="F252" s="352"/>
      <c r="G252" s="352"/>
      <c r="H252" s="352"/>
      <c r="I252" s="353"/>
      <c r="J252" s="337"/>
      <c r="K252" s="267"/>
      <c r="L252" s="267"/>
      <c r="M252" s="267"/>
      <c r="N252" s="249"/>
      <c r="O252" s="368"/>
      <c r="P252" s="257"/>
      <c r="Q252" s="258">
        <f>SUM(E252:P252)</f>
        <v>0</v>
      </c>
      <c r="R252" s="251">
        <f>VLOOKUP(C252,'BTH mủ tạp'!$C$247:$AI$312,33,0)</f>
        <v>0</v>
      </c>
      <c r="S252" s="264"/>
      <c r="T252" s="259">
        <f t="shared" ref="T252:T307" si="35">S252*50/100</f>
        <v>0</v>
      </c>
      <c r="U252" s="341">
        <f t="shared" si="33"/>
        <v>0</v>
      </c>
      <c r="V252" s="273">
        <f>VLOOKUP(C252,'Chấm công KT'!$C$240:$AJ$305,34,0)</f>
        <v>0</v>
      </c>
      <c r="W252" s="273">
        <f>VLOOKUP(C252,'Chấm công KT'!$C$240:$AK$305,35,0)</f>
        <v>0</v>
      </c>
      <c r="X252" s="1147">
        <f>VLOOKUP(C252,'Chấm công KT'!C241:AL306,36,0)</f>
        <v>0</v>
      </c>
      <c r="Y252" s="1146"/>
      <c r="Z252" s="1146"/>
      <c r="AA252" s="1146"/>
      <c r="AB252" s="268"/>
      <c r="AC252" s="263">
        <f t="shared" si="34"/>
        <v>0</v>
      </c>
      <c r="AD252" s="147" t="str">
        <f>VLOOKUP(C252,'BTH mủ tạp'!$C$15:$AL$305,36,0)</f>
        <v>B</v>
      </c>
      <c r="AE252" s="261"/>
      <c r="AF252" s="119"/>
    </row>
    <row r="253" spans="1:35" ht="18.75" customHeight="1">
      <c r="A253" s="248">
        <v>3</v>
      </c>
      <c r="B253" s="336">
        <f>'Chấm công KT'!D242</f>
        <v>0</v>
      </c>
      <c r="C253" s="265" t="str">
        <f>'Chấm công KT'!C242</f>
        <v>T . Vi</v>
      </c>
      <c r="D253" s="144" t="s">
        <v>43</v>
      </c>
      <c r="E253" s="352"/>
      <c r="F253" s="352"/>
      <c r="G253" s="352"/>
      <c r="H253" s="352"/>
      <c r="I253" s="353"/>
      <c r="J253" s="337"/>
      <c r="K253" s="267"/>
      <c r="L253" s="267"/>
      <c r="M253" s="267"/>
      <c r="N253" s="249"/>
      <c r="O253" s="368"/>
      <c r="P253" s="257"/>
      <c r="Q253" s="258">
        <f t="shared" ref="Q253:Q317" si="36">SUM(E253:P253)</f>
        <v>0</v>
      </c>
      <c r="R253" s="251">
        <f>VLOOKUP(C253,'BTH mủ tạp'!$C$247:$AI$312,33,0)</f>
        <v>0</v>
      </c>
      <c r="S253" s="264"/>
      <c r="T253" s="259">
        <f t="shared" si="35"/>
        <v>0</v>
      </c>
      <c r="U253" s="341">
        <f t="shared" si="33"/>
        <v>0</v>
      </c>
      <c r="V253" s="273">
        <f>VLOOKUP(C253,'Chấm công KT'!$C$240:$AJ$305,34,0)</f>
        <v>0</v>
      </c>
      <c r="W253" s="273">
        <f>VLOOKUP(C253,'Chấm công KT'!$C$240:$AK$305,35,0)</f>
        <v>0</v>
      </c>
      <c r="X253" s="1147">
        <f>VLOOKUP(C253,'Chấm công KT'!C242:AL307,36,0)</f>
        <v>0</v>
      </c>
      <c r="Y253" s="1146"/>
      <c r="Z253" s="1146"/>
      <c r="AA253" s="1146"/>
      <c r="AB253" s="268"/>
      <c r="AC253" s="263">
        <f t="shared" si="34"/>
        <v>0</v>
      </c>
      <c r="AD253" s="147" t="str">
        <f>VLOOKUP(C253,'BTH mủ tạp'!$C$15:$AL$305,36,0)</f>
        <v>C</v>
      </c>
      <c r="AE253" s="261"/>
      <c r="AF253" s="119"/>
    </row>
    <row r="254" spans="1:35" ht="18.75" customHeight="1">
      <c r="A254" s="248">
        <v>4</v>
      </c>
      <c r="B254" s="336" t="str">
        <f>'Chấm công KT'!D243</f>
        <v>03648</v>
      </c>
      <c r="C254" s="265" t="str">
        <f>'Chấm công KT'!C243</f>
        <v>Khâm Đi</v>
      </c>
      <c r="D254" s="144" t="s">
        <v>43</v>
      </c>
      <c r="E254" s="352"/>
      <c r="F254" s="352"/>
      <c r="G254" s="352"/>
      <c r="H254" s="352"/>
      <c r="I254" s="353"/>
      <c r="J254" s="337"/>
      <c r="K254" s="267"/>
      <c r="L254" s="267"/>
      <c r="M254" s="267"/>
      <c r="N254" s="249"/>
      <c r="O254" s="368"/>
      <c r="P254" s="257"/>
      <c r="Q254" s="258">
        <f t="shared" si="36"/>
        <v>0</v>
      </c>
      <c r="R254" s="251">
        <f>VLOOKUP(C254,'BTH mủ tạp'!$C$247:$AI$312,33,0)</f>
        <v>0</v>
      </c>
      <c r="S254" s="264"/>
      <c r="T254" s="259">
        <f t="shared" si="35"/>
        <v>0</v>
      </c>
      <c r="U254" s="341">
        <f t="shared" si="33"/>
        <v>0</v>
      </c>
      <c r="V254" s="273">
        <f>VLOOKUP(C254,'Chấm công KT'!$C$240:$AJ$305,34,0)</f>
        <v>0</v>
      </c>
      <c r="W254" s="273">
        <f>VLOOKUP(C254,'Chấm công KT'!$C$240:$AK$305,35,0)</f>
        <v>0</v>
      </c>
      <c r="X254" s="1147">
        <f>VLOOKUP(C254,'Chấm công KT'!C243:AL308,36,0)</f>
        <v>0</v>
      </c>
      <c r="Y254" s="1146"/>
      <c r="Z254" s="1146"/>
      <c r="AA254" s="1146"/>
      <c r="AB254" s="268"/>
      <c r="AC254" s="263">
        <f t="shared" si="34"/>
        <v>0</v>
      </c>
      <c r="AD254" s="147" t="str">
        <f>VLOOKUP(C254,'BTH mủ tạp'!$C$15:$AL$305,36,0)</f>
        <v>C</v>
      </c>
      <c r="AE254" s="261"/>
      <c r="AF254" s="119"/>
      <c r="AG254" s="50">
        <f>Q9-10084</f>
        <v>3642.58</v>
      </c>
    </row>
    <row r="255" spans="1:35" ht="18.75" customHeight="1">
      <c r="A255" s="248">
        <v>5</v>
      </c>
      <c r="B255" s="336" t="str">
        <f>'Chấm công KT'!D244</f>
        <v>03649</v>
      </c>
      <c r="C255" s="265" t="str">
        <f>'Chấm công KT'!C244</f>
        <v>T. Ve</v>
      </c>
      <c r="D255" s="144" t="s">
        <v>43</v>
      </c>
      <c r="E255" s="352"/>
      <c r="F255" s="352"/>
      <c r="G255" s="352"/>
      <c r="H255" s="352"/>
      <c r="I255" s="353"/>
      <c r="J255" s="337"/>
      <c r="K255" s="267"/>
      <c r="L255" s="267"/>
      <c r="M255" s="267"/>
      <c r="N255" s="249"/>
      <c r="O255" s="368"/>
      <c r="P255" s="257"/>
      <c r="Q255" s="258">
        <f t="shared" si="36"/>
        <v>0</v>
      </c>
      <c r="R255" s="251">
        <f>VLOOKUP(C255,'BTH mủ tạp'!$C$247:$AI$312,33,0)</f>
        <v>0</v>
      </c>
      <c r="S255" s="264"/>
      <c r="T255" s="259">
        <f t="shared" si="35"/>
        <v>0</v>
      </c>
      <c r="U255" s="341">
        <f t="shared" si="33"/>
        <v>0</v>
      </c>
      <c r="V255" s="273">
        <f>VLOOKUP(C255,'Chấm công KT'!$C$240:$AJ$305,34,0)</f>
        <v>0</v>
      </c>
      <c r="W255" s="273">
        <f>VLOOKUP(C255,'Chấm công KT'!$C$240:$AK$305,35,0)</f>
        <v>0</v>
      </c>
      <c r="X255" s="1147">
        <f>VLOOKUP(C255,'Chấm công KT'!C244:AL309,36,0)</f>
        <v>0</v>
      </c>
      <c r="Y255" s="1146"/>
      <c r="Z255" s="1146"/>
      <c r="AA255" s="1146"/>
      <c r="AB255" s="268"/>
      <c r="AC255" s="263">
        <f t="shared" si="34"/>
        <v>0</v>
      </c>
      <c r="AD255" s="147" t="str">
        <f>VLOOKUP(C255,'BTH mủ tạp'!$C$15:$AL$305,36,0)</f>
        <v>B</v>
      </c>
      <c r="AE255" s="261"/>
      <c r="AF255" s="119"/>
    </row>
    <row r="256" spans="1:35" ht="18.75" customHeight="1">
      <c r="A256" s="248">
        <v>6</v>
      </c>
      <c r="B256" s="336" t="str">
        <f>'Chấm công KT'!D245</f>
        <v>03650</v>
      </c>
      <c r="C256" s="265" t="str">
        <f>'Chấm công KT'!C245</f>
        <v>T. Thèo</v>
      </c>
      <c r="D256" s="144" t="s">
        <v>43</v>
      </c>
      <c r="E256" s="352"/>
      <c r="F256" s="352"/>
      <c r="G256" s="352"/>
      <c r="H256" s="352"/>
      <c r="I256" s="353"/>
      <c r="J256" s="337"/>
      <c r="K256" s="267"/>
      <c r="L256" s="267"/>
      <c r="M256" s="267"/>
      <c r="N256" s="249"/>
      <c r="O256" s="368"/>
      <c r="P256" s="257"/>
      <c r="Q256" s="258">
        <f t="shared" si="36"/>
        <v>0</v>
      </c>
      <c r="R256" s="251">
        <f>VLOOKUP(C256,'BTH mủ tạp'!$C$247:$AI$312,33,0)</f>
        <v>0</v>
      </c>
      <c r="S256" s="264"/>
      <c r="T256" s="259">
        <f t="shared" si="35"/>
        <v>0</v>
      </c>
      <c r="U256" s="341">
        <f t="shared" si="33"/>
        <v>0</v>
      </c>
      <c r="V256" s="273">
        <f>VLOOKUP(C256,'Chấm công KT'!$C$240:$AJ$305,34,0)</f>
        <v>0</v>
      </c>
      <c r="W256" s="273">
        <f>VLOOKUP(C256,'Chấm công KT'!$C$240:$AK$305,35,0)</f>
        <v>0</v>
      </c>
      <c r="X256" s="1147">
        <f>VLOOKUP(C256,'Chấm công KT'!C245:AL310,36,0)</f>
        <v>0</v>
      </c>
      <c r="Y256" s="1146"/>
      <c r="Z256" s="1146"/>
      <c r="AA256" s="1146"/>
      <c r="AB256" s="268"/>
      <c r="AC256" s="263">
        <f t="shared" si="34"/>
        <v>0</v>
      </c>
      <c r="AD256" s="147" t="str">
        <f>VLOOKUP(C256,'BTH mủ tạp'!$C$15:$AL$305,36,0)</f>
        <v>C</v>
      </c>
      <c r="AE256" s="261"/>
      <c r="AF256" s="119"/>
    </row>
    <row r="257" spans="1:34" ht="18.75" customHeight="1">
      <c r="A257" s="248">
        <v>7</v>
      </c>
      <c r="B257" s="336" t="str">
        <f>'Chấm công KT'!D246</f>
        <v>03651</v>
      </c>
      <c r="C257" s="265" t="str">
        <f>'Chấm công KT'!C246</f>
        <v>Kèo Xột</v>
      </c>
      <c r="D257" s="144" t="s">
        <v>43</v>
      </c>
      <c r="E257" s="352"/>
      <c r="F257" s="352"/>
      <c r="G257" s="352"/>
      <c r="H257" s="352"/>
      <c r="I257" s="353"/>
      <c r="J257" s="337"/>
      <c r="K257" s="267"/>
      <c r="L257" s="267"/>
      <c r="M257" s="267"/>
      <c r="N257" s="249"/>
      <c r="O257" s="368"/>
      <c r="P257" s="257"/>
      <c r="Q257" s="258">
        <f t="shared" si="36"/>
        <v>0</v>
      </c>
      <c r="R257" s="251">
        <f>VLOOKUP(C257,'BTH mủ tạp'!$C$247:$AI$312,33,0)</f>
        <v>0</v>
      </c>
      <c r="S257" s="264"/>
      <c r="T257" s="259">
        <f t="shared" si="35"/>
        <v>0</v>
      </c>
      <c r="U257" s="341">
        <f t="shared" si="33"/>
        <v>0</v>
      </c>
      <c r="V257" s="273">
        <f>VLOOKUP(C257,'Chấm công KT'!$C$240:$AJ$305,34,0)</f>
        <v>0</v>
      </c>
      <c r="W257" s="273">
        <f>VLOOKUP(C257,'Chấm công KT'!$C$240:$AK$305,35,0)</f>
        <v>0</v>
      </c>
      <c r="X257" s="1147">
        <f>VLOOKUP(C257,'Chấm công KT'!C246:AL311,36,0)</f>
        <v>0</v>
      </c>
      <c r="Y257" s="1146"/>
      <c r="Z257" s="1146"/>
      <c r="AA257" s="1146"/>
      <c r="AB257" s="268"/>
      <c r="AC257" s="263">
        <f t="shared" si="34"/>
        <v>0</v>
      </c>
      <c r="AD257" s="147" t="str">
        <f>VLOOKUP(C257,'BTH mủ tạp'!$C$15:$AL$305,36,0)</f>
        <v>C</v>
      </c>
      <c r="AE257" s="261"/>
      <c r="AF257" s="119"/>
      <c r="AG257" s="119"/>
    </row>
    <row r="258" spans="1:34" ht="18.75" customHeight="1">
      <c r="A258" s="248">
        <v>8</v>
      </c>
      <c r="B258" s="336" t="str">
        <f>'Chấm công KT'!D247</f>
        <v>03652</v>
      </c>
      <c r="C258" s="265" t="str">
        <f>'Chấm công KT'!C247</f>
        <v>N. Chít</v>
      </c>
      <c r="D258" s="144" t="s">
        <v>43</v>
      </c>
      <c r="E258" s="352"/>
      <c r="F258" s="352"/>
      <c r="G258" s="352"/>
      <c r="H258" s="352"/>
      <c r="I258" s="353"/>
      <c r="J258" s="337"/>
      <c r="K258" s="267"/>
      <c r="L258" s="267"/>
      <c r="M258" s="267"/>
      <c r="N258" s="249"/>
      <c r="O258" s="368"/>
      <c r="P258" s="257"/>
      <c r="Q258" s="258">
        <f t="shared" si="36"/>
        <v>0</v>
      </c>
      <c r="R258" s="251">
        <f>VLOOKUP(C258,'BTH mủ tạp'!$C$247:$AI$312,33,0)</f>
        <v>0</v>
      </c>
      <c r="S258" s="264"/>
      <c r="T258" s="259">
        <f t="shared" si="35"/>
        <v>0</v>
      </c>
      <c r="U258" s="341">
        <f t="shared" si="33"/>
        <v>0</v>
      </c>
      <c r="V258" s="273">
        <f>VLOOKUP(C258,'Chấm công KT'!$C$240:$AJ$305,34,0)</f>
        <v>0</v>
      </c>
      <c r="W258" s="273">
        <f>VLOOKUP(C258,'Chấm công KT'!$C$240:$AK$305,35,0)</f>
        <v>0</v>
      </c>
      <c r="X258" s="1147">
        <f>VLOOKUP(C258,'Chấm công KT'!C247:AL312,36,0)</f>
        <v>0</v>
      </c>
      <c r="Y258" s="1146"/>
      <c r="Z258" s="1146"/>
      <c r="AA258" s="1146"/>
      <c r="AB258" s="268"/>
      <c r="AC258" s="263">
        <f t="shared" si="34"/>
        <v>0</v>
      </c>
      <c r="AD258" s="147" t="str">
        <f>VLOOKUP(C258,'BTH mủ tạp'!$C$15:$AL$305,36,0)</f>
        <v>C</v>
      </c>
      <c r="AE258" s="261"/>
      <c r="AF258" s="119"/>
      <c r="AG258" s="119"/>
      <c r="AH258" s="119"/>
    </row>
    <row r="259" spans="1:34" ht="18.75" customHeight="1">
      <c r="A259" s="248">
        <v>9</v>
      </c>
      <c r="B259" s="336" t="str">
        <f>'Chấm công KT'!D248</f>
        <v>03653</v>
      </c>
      <c r="C259" s="265" t="str">
        <f>'Chấm công KT'!C248</f>
        <v>N. Căn Da</v>
      </c>
      <c r="D259" s="144" t="s">
        <v>43</v>
      </c>
      <c r="E259" s="352"/>
      <c r="F259" s="352"/>
      <c r="G259" s="352"/>
      <c r="H259" s="352"/>
      <c r="I259" s="353"/>
      <c r="J259" s="337"/>
      <c r="K259" s="267"/>
      <c r="L259" s="267"/>
      <c r="M259" s="267"/>
      <c r="N259" s="249"/>
      <c r="O259" s="368"/>
      <c r="P259" s="257"/>
      <c r="Q259" s="258">
        <f t="shared" si="36"/>
        <v>0</v>
      </c>
      <c r="R259" s="251">
        <f>VLOOKUP(C259,'BTH mủ tạp'!$C$247:$AI$312,33,0)</f>
        <v>0</v>
      </c>
      <c r="S259" s="264"/>
      <c r="T259" s="259">
        <f t="shared" si="35"/>
        <v>0</v>
      </c>
      <c r="U259" s="341">
        <f t="shared" si="33"/>
        <v>0</v>
      </c>
      <c r="V259" s="273">
        <f>VLOOKUP(C259,'Chấm công KT'!$C$240:$AJ$305,34,0)</f>
        <v>0</v>
      </c>
      <c r="W259" s="273">
        <f>VLOOKUP(C259,'Chấm công KT'!$C$240:$AK$305,35,0)</f>
        <v>0</v>
      </c>
      <c r="X259" s="1147">
        <f>VLOOKUP(C259,'Chấm công KT'!C248:AL313,36,0)</f>
        <v>0</v>
      </c>
      <c r="Y259" s="1146"/>
      <c r="Z259" s="1146"/>
      <c r="AA259" s="1146"/>
      <c r="AB259" s="268"/>
      <c r="AC259" s="263">
        <f t="shared" si="34"/>
        <v>0</v>
      </c>
      <c r="AD259" s="147" t="str">
        <f>VLOOKUP(C259,'BTH mủ tạp'!$C$15:$AL$305,36,0)</f>
        <v>B</v>
      </c>
      <c r="AE259" s="261"/>
      <c r="AF259" s="119"/>
    </row>
    <row r="260" spans="1:34" ht="18.75" customHeight="1">
      <c r="A260" s="248">
        <v>10</v>
      </c>
      <c r="B260" s="336" t="str">
        <f>'Chấm công KT'!D249</f>
        <v>03654</v>
      </c>
      <c r="C260" s="265" t="str">
        <f>'Chấm công KT'!C249</f>
        <v>T. Phim</v>
      </c>
      <c r="D260" s="144" t="s">
        <v>43</v>
      </c>
      <c r="E260" s="352"/>
      <c r="F260" s="352"/>
      <c r="G260" s="352"/>
      <c r="H260" s="352"/>
      <c r="I260" s="353"/>
      <c r="J260" s="337"/>
      <c r="K260" s="267"/>
      <c r="L260" s="267"/>
      <c r="M260" s="267"/>
      <c r="N260" s="249"/>
      <c r="O260" s="368"/>
      <c r="P260" s="257"/>
      <c r="Q260" s="258">
        <f t="shared" si="36"/>
        <v>0</v>
      </c>
      <c r="R260" s="251">
        <f>VLOOKUP(C260,'BTH mủ tạp'!$C$247:$AI$312,33,0)</f>
        <v>0</v>
      </c>
      <c r="S260" s="264"/>
      <c r="T260" s="259">
        <f t="shared" si="35"/>
        <v>0</v>
      </c>
      <c r="U260" s="341">
        <f t="shared" si="33"/>
        <v>0</v>
      </c>
      <c r="V260" s="273">
        <f>VLOOKUP(C260,'Chấm công KT'!$C$240:$AJ$305,34,0)</f>
        <v>0</v>
      </c>
      <c r="W260" s="273">
        <f>VLOOKUP(C260,'Chấm công KT'!$C$240:$AK$305,35,0)</f>
        <v>0</v>
      </c>
      <c r="X260" s="1147">
        <f>VLOOKUP(C260,'Chấm công KT'!C249:AL314,36,0)</f>
        <v>0</v>
      </c>
      <c r="Y260" s="1146"/>
      <c r="Z260" s="1146"/>
      <c r="AA260" s="1146"/>
      <c r="AB260" s="268"/>
      <c r="AC260" s="263">
        <f t="shared" si="34"/>
        <v>0</v>
      </c>
      <c r="AD260" s="147" t="str">
        <f>VLOOKUP(C260,'BTH mủ tạp'!$C$15:$AL$305,36,0)</f>
        <v>B</v>
      </c>
      <c r="AE260" s="261"/>
      <c r="AF260" s="119"/>
    </row>
    <row r="261" spans="1:34" ht="18.75" customHeight="1">
      <c r="A261" s="248">
        <v>11</v>
      </c>
      <c r="B261" s="336" t="str">
        <f>'Chấm công KT'!D250</f>
        <v>03655</v>
      </c>
      <c r="C261" s="265" t="str">
        <f>'Chấm công KT'!C250</f>
        <v>T Chăn Thi</v>
      </c>
      <c r="D261" s="144" t="s">
        <v>43</v>
      </c>
      <c r="E261" s="352"/>
      <c r="F261" s="352"/>
      <c r="G261" s="352"/>
      <c r="H261" s="352"/>
      <c r="I261" s="353"/>
      <c r="J261" s="337"/>
      <c r="K261" s="267"/>
      <c r="L261" s="267"/>
      <c r="M261" s="267"/>
      <c r="N261" s="249"/>
      <c r="O261" s="368"/>
      <c r="P261" s="257"/>
      <c r="Q261" s="258">
        <f t="shared" si="36"/>
        <v>0</v>
      </c>
      <c r="R261" s="251">
        <f>VLOOKUP(C261,'BTH mủ tạp'!$C$247:$AI$312,33,0)</f>
        <v>0</v>
      </c>
      <c r="S261" s="264"/>
      <c r="T261" s="259">
        <f t="shared" si="35"/>
        <v>0</v>
      </c>
      <c r="U261" s="341">
        <f t="shared" si="33"/>
        <v>0</v>
      </c>
      <c r="V261" s="273">
        <f>VLOOKUP(C261,'Chấm công KT'!$C$240:$AJ$305,34,0)</f>
        <v>0</v>
      </c>
      <c r="W261" s="273">
        <f>VLOOKUP(C261,'Chấm công KT'!$C$240:$AK$305,35,0)</f>
        <v>0</v>
      </c>
      <c r="X261" s="1147">
        <f>VLOOKUP(C261,'Chấm công KT'!C250:AL315,36,0)</f>
        <v>0</v>
      </c>
      <c r="Y261" s="1146"/>
      <c r="Z261" s="1146"/>
      <c r="AA261" s="1146"/>
      <c r="AB261" s="268"/>
      <c r="AC261" s="263">
        <f t="shared" si="34"/>
        <v>0</v>
      </c>
      <c r="AD261" s="147" t="str">
        <f>VLOOKUP(C261,'BTH mủ tạp'!$C$15:$AL$305,36,0)</f>
        <v>C</v>
      </c>
      <c r="AE261" s="261"/>
      <c r="AF261" s="119"/>
    </row>
    <row r="262" spans="1:34" ht="18.75" customHeight="1">
      <c r="A262" s="248">
        <v>12</v>
      </c>
      <c r="B262" s="336" t="str">
        <f>'Chấm công KT'!D251</f>
        <v>03656</v>
      </c>
      <c r="C262" s="265" t="str">
        <f>'Chấm công KT'!C251</f>
        <v>N. Văn Thong</v>
      </c>
      <c r="D262" s="144" t="s">
        <v>43</v>
      </c>
      <c r="E262" s="352"/>
      <c r="F262" s="352"/>
      <c r="G262" s="352"/>
      <c r="H262" s="352"/>
      <c r="I262" s="353"/>
      <c r="J262" s="337"/>
      <c r="K262" s="267"/>
      <c r="L262" s="267"/>
      <c r="M262" s="267"/>
      <c r="N262" s="249"/>
      <c r="O262" s="368"/>
      <c r="P262" s="257"/>
      <c r="Q262" s="258">
        <f t="shared" si="36"/>
        <v>0</v>
      </c>
      <c r="R262" s="251">
        <f>VLOOKUP(C262,'BTH mủ tạp'!$C$247:$AI$312,33,0)</f>
        <v>0</v>
      </c>
      <c r="S262" s="264"/>
      <c r="T262" s="259">
        <f t="shared" si="35"/>
        <v>0</v>
      </c>
      <c r="U262" s="341">
        <f t="shared" si="33"/>
        <v>0</v>
      </c>
      <c r="V262" s="273">
        <f>VLOOKUP(C262,'Chấm công KT'!$C$240:$AJ$305,34,0)</f>
        <v>0</v>
      </c>
      <c r="W262" s="273">
        <f>VLOOKUP(C262,'Chấm công KT'!$C$240:$AK$305,35,0)</f>
        <v>0</v>
      </c>
      <c r="X262" s="1147">
        <f>VLOOKUP(C262,'Chấm công KT'!C251:AL316,36,0)</f>
        <v>0</v>
      </c>
      <c r="Y262" s="1146"/>
      <c r="Z262" s="1146"/>
      <c r="AA262" s="1146"/>
      <c r="AB262" s="268"/>
      <c r="AC262" s="263">
        <f t="shared" si="34"/>
        <v>0</v>
      </c>
      <c r="AD262" s="147" t="str">
        <f>VLOOKUP(C262,'BTH mủ tạp'!$C$15:$AL$305,36,0)</f>
        <v>B</v>
      </c>
      <c r="AE262" s="261"/>
      <c r="AF262" s="119"/>
    </row>
    <row r="263" spans="1:34" ht="18.75" customHeight="1">
      <c r="A263" s="248">
        <v>13</v>
      </c>
      <c r="B263" s="336" t="str">
        <f>'Chấm công KT'!D252</f>
        <v>03657</v>
      </c>
      <c r="C263" s="265" t="str">
        <f>'Chấm công KT'!C252</f>
        <v>Cong Khăm</v>
      </c>
      <c r="D263" s="144" t="s">
        <v>43</v>
      </c>
      <c r="E263" s="352"/>
      <c r="F263" s="352"/>
      <c r="G263" s="352"/>
      <c r="H263" s="352"/>
      <c r="I263" s="353"/>
      <c r="J263" s="337"/>
      <c r="K263" s="267"/>
      <c r="L263" s="267"/>
      <c r="M263" s="267"/>
      <c r="N263" s="249"/>
      <c r="O263" s="368"/>
      <c r="P263" s="257"/>
      <c r="Q263" s="258">
        <f t="shared" si="36"/>
        <v>0</v>
      </c>
      <c r="R263" s="251">
        <f>VLOOKUP(C263,'BTH mủ tạp'!$C$247:$AI$312,33,0)</f>
        <v>0</v>
      </c>
      <c r="S263" s="264"/>
      <c r="T263" s="259">
        <f t="shared" si="35"/>
        <v>0</v>
      </c>
      <c r="U263" s="341">
        <f t="shared" si="33"/>
        <v>0</v>
      </c>
      <c r="V263" s="273">
        <f>VLOOKUP(C263,'Chấm công KT'!$C$240:$AJ$305,34,0)</f>
        <v>0</v>
      </c>
      <c r="W263" s="273">
        <f>VLOOKUP(C263,'Chấm công KT'!$C$240:$AK$305,35,0)</f>
        <v>0</v>
      </c>
      <c r="X263" s="1147">
        <f>VLOOKUP(C263,'Chấm công KT'!C252:AL317,36,0)</f>
        <v>0</v>
      </c>
      <c r="Y263" s="1146"/>
      <c r="Z263" s="1146"/>
      <c r="AA263" s="1146"/>
      <c r="AB263" s="268"/>
      <c r="AC263" s="263">
        <f t="shared" si="34"/>
        <v>0</v>
      </c>
      <c r="AD263" s="147" t="str">
        <f>VLOOKUP(C263,'BTH mủ tạp'!$C$15:$AL$305,36,0)</f>
        <v>A</v>
      </c>
      <c r="AE263" s="261"/>
      <c r="AF263" s="119"/>
    </row>
    <row r="264" spans="1:34" ht="18.75" customHeight="1">
      <c r="A264" s="248">
        <v>14</v>
      </c>
      <c r="B264" s="336" t="str">
        <f>'Chấm công KT'!D253</f>
        <v>03658</v>
      </c>
      <c r="C264" s="265" t="str">
        <f>'Chấm công KT'!C253</f>
        <v>T. Dở</v>
      </c>
      <c r="D264" s="144" t="s">
        <v>43</v>
      </c>
      <c r="E264" s="352"/>
      <c r="F264" s="352"/>
      <c r="G264" s="352"/>
      <c r="H264" s="352"/>
      <c r="I264" s="353"/>
      <c r="J264" s="337"/>
      <c r="K264" s="267"/>
      <c r="L264" s="267"/>
      <c r="M264" s="267"/>
      <c r="N264" s="249"/>
      <c r="O264" s="368"/>
      <c r="P264" s="257"/>
      <c r="Q264" s="258">
        <f t="shared" si="36"/>
        <v>0</v>
      </c>
      <c r="R264" s="251">
        <f>VLOOKUP(C264,'BTH mủ tạp'!$C$247:$AI$312,33,0)</f>
        <v>0</v>
      </c>
      <c r="S264" s="264"/>
      <c r="T264" s="259">
        <f t="shared" si="35"/>
        <v>0</v>
      </c>
      <c r="U264" s="341">
        <f t="shared" si="33"/>
        <v>0</v>
      </c>
      <c r="V264" s="273">
        <f>VLOOKUP(C264,'Chấm công KT'!$C$240:$AJ$305,34,0)</f>
        <v>0</v>
      </c>
      <c r="W264" s="273">
        <f>VLOOKUP(C264,'Chấm công KT'!$C$240:$AK$305,35,0)</f>
        <v>0</v>
      </c>
      <c r="X264" s="1147">
        <f>VLOOKUP(C264,'Chấm công KT'!C253:AL318,36,0)</f>
        <v>0</v>
      </c>
      <c r="Y264" s="1146"/>
      <c r="Z264" s="1146"/>
      <c r="AA264" s="1146"/>
      <c r="AB264" s="268"/>
      <c r="AC264" s="263">
        <f t="shared" si="34"/>
        <v>0</v>
      </c>
      <c r="AD264" s="147" t="str">
        <f>VLOOKUP(C264,'BTH mủ tạp'!$C$15:$AL$305,36,0)</f>
        <v>B</v>
      </c>
      <c r="AE264" s="261"/>
      <c r="AF264" s="119"/>
    </row>
    <row r="265" spans="1:34" ht="18.75" customHeight="1">
      <c r="A265" s="248">
        <v>15</v>
      </c>
      <c r="B265" s="336" t="str">
        <f>'Chấm công KT'!D254</f>
        <v>03659</v>
      </c>
      <c r="C265" s="265" t="str">
        <f>'Chấm công KT'!C254</f>
        <v>N. Sủm</v>
      </c>
      <c r="D265" s="144" t="s">
        <v>43</v>
      </c>
      <c r="E265" s="352"/>
      <c r="F265" s="352"/>
      <c r="G265" s="352"/>
      <c r="H265" s="352"/>
      <c r="I265" s="353"/>
      <c r="J265" s="337"/>
      <c r="K265" s="267"/>
      <c r="L265" s="267"/>
      <c r="M265" s="267"/>
      <c r="N265" s="249"/>
      <c r="O265" s="368"/>
      <c r="P265" s="257"/>
      <c r="Q265" s="258">
        <f t="shared" si="36"/>
        <v>0</v>
      </c>
      <c r="R265" s="251">
        <f>VLOOKUP(C265,'BTH mủ tạp'!$C$247:$AI$312,33,0)</f>
        <v>0</v>
      </c>
      <c r="S265" s="264"/>
      <c r="T265" s="259">
        <f t="shared" si="35"/>
        <v>0</v>
      </c>
      <c r="U265" s="341">
        <f t="shared" si="33"/>
        <v>0</v>
      </c>
      <c r="V265" s="273">
        <f>VLOOKUP(C265,'Chấm công KT'!$C$240:$AJ$305,34,0)</f>
        <v>0</v>
      </c>
      <c r="W265" s="273">
        <f>VLOOKUP(C265,'Chấm công KT'!$C$240:$AK$305,35,0)</f>
        <v>0</v>
      </c>
      <c r="X265" s="1147">
        <f>VLOOKUP(C265,'Chấm công KT'!C254:AL319,36,0)</f>
        <v>0</v>
      </c>
      <c r="Y265" s="1146"/>
      <c r="Z265" s="1146"/>
      <c r="AA265" s="1146"/>
      <c r="AB265" s="268"/>
      <c r="AC265" s="263">
        <f t="shared" si="34"/>
        <v>0</v>
      </c>
      <c r="AD265" s="147" t="str">
        <f>VLOOKUP(C265,'BTH mủ tạp'!$C$15:$AL$305,36,0)</f>
        <v>C</v>
      </c>
      <c r="AE265" s="261"/>
      <c r="AF265" s="119"/>
    </row>
    <row r="266" spans="1:34" ht="18.75" customHeight="1">
      <c r="A266" s="248">
        <v>16</v>
      </c>
      <c r="B266" s="336" t="str">
        <f>'Chấm công KT'!D255</f>
        <v>03660</v>
      </c>
      <c r="C266" s="265" t="str">
        <f>'Chấm công KT'!C255</f>
        <v>T. Tắt</v>
      </c>
      <c r="D266" s="144" t="s">
        <v>43</v>
      </c>
      <c r="E266" s="352"/>
      <c r="F266" s="352"/>
      <c r="G266" s="352"/>
      <c r="H266" s="352"/>
      <c r="I266" s="353"/>
      <c r="J266" s="337"/>
      <c r="K266" s="267"/>
      <c r="L266" s="267"/>
      <c r="M266" s="267"/>
      <c r="N266" s="249"/>
      <c r="O266" s="368"/>
      <c r="P266" s="257"/>
      <c r="Q266" s="258">
        <f t="shared" si="36"/>
        <v>0</v>
      </c>
      <c r="R266" s="251">
        <f>VLOOKUP(C266,'BTH mủ tạp'!$C$247:$AI$312,33,0)</f>
        <v>0</v>
      </c>
      <c r="S266" s="264"/>
      <c r="T266" s="259">
        <f t="shared" si="35"/>
        <v>0</v>
      </c>
      <c r="U266" s="341">
        <f t="shared" si="33"/>
        <v>0</v>
      </c>
      <c r="V266" s="273">
        <f>VLOOKUP(C266,'Chấm công KT'!$C$240:$AJ$305,34,0)</f>
        <v>0</v>
      </c>
      <c r="W266" s="273">
        <f>VLOOKUP(C266,'Chấm công KT'!$C$240:$AK$305,35,0)</f>
        <v>0</v>
      </c>
      <c r="X266" s="1147">
        <f>VLOOKUP(C266,'Chấm công KT'!C255:AL320,36,0)</f>
        <v>0</v>
      </c>
      <c r="Y266" s="1146"/>
      <c r="Z266" s="1146"/>
      <c r="AA266" s="1146"/>
      <c r="AB266" s="268"/>
      <c r="AC266" s="263">
        <f t="shared" si="34"/>
        <v>0</v>
      </c>
      <c r="AD266" s="147" t="str">
        <f>VLOOKUP(C266,'BTH mủ tạp'!$C$15:$AL$305,36,0)</f>
        <v>B</v>
      </c>
      <c r="AE266" s="261"/>
      <c r="AF266" s="119"/>
    </row>
    <row r="267" spans="1:34" ht="18.75" customHeight="1">
      <c r="A267" s="248">
        <v>17</v>
      </c>
      <c r="B267" s="336" t="str">
        <f>'Chấm công KT'!D256</f>
        <v>03661</v>
      </c>
      <c r="C267" s="265" t="str">
        <f>'Chấm công KT'!C256</f>
        <v>T Viêng</v>
      </c>
      <c r="D267" s="144" t="s">
        <v>43</v>
      </c>
      <c r="E267" s="352"/>
      <c r="F267" s="352"/>
      <c r="G267" s="352"/>
      <c r="H267" s="352"/>
      <c r="I267" s="353"/>
      <c r="J267" s="337"/>
      <c r="K267" s="267"/>
      <c r="L267" s="267"/>
      <c r="M267" s="267"/>
      <c r="N267" s="249"/>
      <c r="O267" s="368"/>
      <c r="P267" s="257"/>
      <c r="Q267" s="258">
        <f t="shared" si="36"/>
        <v>0</v>
      </c>
      <c r="R267" s="251">
        <f>VLOOKUP(C267,'BTH mủ tạp'!$C$247:$AI$312,33,0)</f>
        <v>0</v>
      </c>
      <c r="S267" s="264"/>
      <c r="T267" s="259">
        <f t="shared" si="35"/>
        <v>0</v>
      </c>
      <c r="U267" s="341">
        <f t="shared" si="33"/>
        <v>0</v>
      </c>
      <c r="V267" s="273">
        <f>VLOOKUP(C267,'Chấm công KT'!$C$240:$AJ$305,34,0)</f>
        <v>0</v>
      </c>
      <c r="W267" s="273">
        <f>VLOOKUP(C267,'Chấm công KT'!$C$240:$AK$305,35,0)</f>
        <v>0</v>
      </c>
      <c r="X267" s="1147">
        <f>VLOOKUP(C267,'Chấm công KT'!C256:AL321,36,0)</f>
        <v>0</v>
      </c>
      <c r="Y267" s="1146"/>
      <c r="Z267" s="1146"/>
      <c r="AA267" s="1146"/>
      <c r="AB267" s="268"/>
      <c r="AC267" s="263">
        <f t="shared" si="34"/>
        <v>0</v>
      </c>
      <c r="AD267" s="147" t="str">
        <f>VLOOKUP(C267,'BTH mủ tạp'!$C$15:$AL$305,36,0)</f>
        <v>B</v>
      </c>
      <c r="AE267" s="261"/>
      <c r="AF267" s="119"/>
    </row>
    <row r="268" spans="1:34" ht="18.75" customHeight="1">
      <c r="A268" s="248">
        <v>18</v>
      </c>
      <c r="B268" s="336" t="str">
        <f>'Chấm công KT'!D257</f>
        <v>03662</v>
      </c>
      <c r="C268" s="265" t="str">
        <f>'Chấm công KT'!C257</f>
        <v>T.Xê</v>
      </c>
      <c r="D268" s="144" t="s">
        <v>43</v>
      </c>
      <c r="E268" s="352"/>
      <c r="F268" s="352"/>
      <c r="G268" s="352"/>
      <c r="H268" s="352"/>
      <c r="I268" s="353"/>
      <c r="J268" s="337"/>
      <c r="K268" s="267"/>
      <c r="L268" s="267"/>
      <c r="M268" s="267"/>
      <c r="N268" s="249"/>
      <c r="O268" s="368"/>
      <c r="P268" s="257"/>
      <c r="Q268" s="258">
        <f t="shared" si="36"/>
        <v>0</v>
      </c>
      <c r="R268" s="251">
        <f>VLOOKUP(C268,'BTH mủ tạp'!$C$247:$AI$312,33,0)</f>
        <v>0</v>
      </c>
      <c r="S268" s="264"/>
      <c r="T268" s="259">
        <f t="shared" si="35"/>
        <v>0</v>
      </c>
      <c r="U268" s="341">
        <f t="shared" si="33"/>
        <v>0</v>
      </c>
      <c r="V268" s="273">
        <f>VLOOKUP(C268,'Chấm công KT'!$C$240:$AJ$305,34,0)</f>
        <v>0</v>
      </c>
      <c r="W268" s="273">
        <f>VLOOKUP(C268,'Chấm công KT'!$C$240:$AK$305,35,0)</f>
        <v>0</v>
      </c>
      <c r="X268" s="1147">
        <f>VLOOKUP(C268,'Chấm công KT'!C257:AL322,36,0)</f>
        <v>0</v>
      </c>
      <c r="Y268" s="1146"/>
      <c r="Z268" s="1146"/>
      <c r="AA268" s="1146"/>
      <c r="AB268" s="268"/>
      <c r="AC268" s="263">
        <f t="shared" si="34"/>
        <v>0</v>
      </c>
      <c r="AD268" s="147" t="str">
        <f>VLOOKUP(C268,'BTH mủ tạp'!$C$15:$AL$305,36,0)</f>
        <v>B</v>
      </c>
      <c r="AE268" s="261"/>
      <c r="AF268" s="119"/>
    </row>
    <row r="269" spans="1:34" ht="18.75" customHeight="1">
      <c r="A269" s="248">
        <v>19</v>
      </c>
      <c r="B269" s="336" t="str">
        <f>'Chấm công KT'!D258</f>
        <v>03663</v>
      </c>
      <c r="C269" s="265" t="str">
        <f>'Chấm công KT'!C258</f>
        <v>T. Hách</v>
      </c>
      <c r="D269" s="144" t="s">
        <v>43</v>
      </c>
      <c r="E269" s="352"/>
      <c r="F269" s="352"/>
      <c r="G269" s="352"/>
      <c r="H269" s="352"/>
      <c r="I269" s="353"/>
      <c r="J269" s="337"/>
      <c r="K269" s="267"/>
      <c r="L269" s="267"/>
      <c r="M269" s="267"/>
      <c r="N269" s="249"/>
      <c r="O269" s="368"/>
      <c r="P269" s="257"/>
      <c r="Q269" s="258">
        <f t="shared" si="36"/>
        <v>0</v>
      </c>
      <c r="R269" s="251">
        <f>VLOOKUP(C269,'BTH mủ tạp'!$C$247:$AI$312,33,0)</f>
        <v>0</v>
      </c>
      <c r="S269" s="264"/>
      <c r="T269" s="259">
        <f t="shared" si="35"/>
        <v>0</v>
      </c>
      <c r="U269" s="341">
        <f t="shared" si="33"/>
        <v>0</v>
      </c>
      <c r="V269" s="273">
        <f>VLOOKUP(C269,'Chấm công KT'!$C$240:$AJ$305,34,0)</f>
        <v>0</v>
      </c>
      <c r="W269" s="273">
        <f>VLOOKUP(C269,'Chấm công KT'!$C$240:$AK$305,35,0)</f>
        <v>0</v>
      </c>
      <c r="X269" s="1147">
        <f>VLOOKUP(C269,'Chấm công KT'!C258:AL323,36,0)</f>
        <v>0</v>
      </c>
      <c r="Y269" s="1146"/>
      <c r="Z269" s="1146"/>
      <c r="AA269" s="1146"/>
      <c r="AB269" s="268"/>
      <c r="AC269" s="263">
        <f t="shared" si="34"/>
        <v>0</v>
      </c>
      <c r="AD269" s="147" t="str">
        <f>VLOOKUP(C269,'BTH mủ tạp'!$C$15:$AL$305,36,0)</f>
        <v>B</v>
      </c>
      <c r="AE269" s="261"/>
      <c r="AF269" s="119"/>
    </row>
    <row r="270" spans="1:34" ht="18.75" customHeight="1">
      <c r="A270" s="248">
        <v>20</v>
      </c>
      <c r="B270" s="336" t="str">
        <f>'Chấm công KT'!D259</f>
        <v>03664</v>
      </c>
      <c r="C270" s="265" t="str">
        <f>'Chấm công KT'!C259</f>
        <v>Khay Khăm</v>
      </c>
      <c r="D270" s="144" t="s">
        <v>43</v>
      </c>
      <c r="E270" s="352"/>
      <c r="F270" s="352"/>
      <c r="G270" s="352"/>
      <c r="H270" s="352"/>
      <c r="I270" s="353"/>
      <c r="J270" s="337"/>
      <c r="K270" s="267"/>
      <c r="L270" s="267"/>
      <c r="M270" s="267"/>
      <c r="N270" s="249"/>
      <c r="O270" s="368"/>
      <c r="P270" s="257"/>
      <c r="Q270" s="258">
        <f t="shared" si="36"/>
        <v>0</v>
      </c>
      <c r="R270" s="251">
        <f>VLOOKUP(C270,'BTH mủ tạp'!$C$247:$AI$312,33,0)</f>
        <v>0</v>
      </c>
      <c r="S270" s="264"/>
      <c r="T270" s="259">
        <f t="shared" si="35"/>
        <v>0</v>
      </c>
      <c r="U270" s="341">
        <f t="shared" si="33"/>
        <v>0</v>
      </c>
      <c r="V270" s="273">
        <f>VLOOKUP(C270,'Chấm công KT'!$C$240:$AJ$305,34,0)</f>
        <v>0</v>
      </c>
      <c r="W270" s="273">
        <f>VLOOKUP(C270,'Chấm công KT'!$C$240:$AK$305,35,0)</f>
        <v>0</v>
      </c>
      <c r="X270" s="1147">
        <f>VLOOKUP(C270,'Chấm công KT'!C259:AL324,36,0)</f>
        <v>0</v>
      </c>
      <c r="Y270" s="1146"/>
      <c r="Z270" s="1146"/>
      <c r="AA270" s="1146"/>
      <c r="AB270" s="268"/>
      <c r="AC270" s="263">
        <f t="shared" si="34"/>
        <v>0</v>
      </c>
      <c r="AD270" s="147" t="str">
        <f>VLOOKUP(C270,'BTH mủ tạp'!$C$15:$AL$305,36,0)</f>
        <v>C</v>
      </c>
      <c r="AE270" s="261"/>
      <c r="AF270" s="119"/>
    </row>
    <row r="271" spans="1:34" ht="18.75" customHeight="1">
      <c r="A271" s="248">
        <v>21</v>
      </c>
      <c r="B271" s="336" t="str">
        <f>'Chấm công KT'!D260</f>
        <v>03665</v>
      </c>
      <c r="C271" s="265" t="str">
        <f>'Chấm công KT'!C260</f>
        <v>N. Kẻ</v>
      </c>
      <c r="D271" s="144" t="s">
        <v>43</v>
      </c>
      <c r="E271" s="352"/>
      <c r="F271" s="352"/>
      <c r="G271" s="352"/>
      <c r="H271" s="352"/>
      <c r="I271" s="353"/>
      <c r="J271" s="337"/>
      <c r="K271" s="267"/>
      <c r="L271" s="267"/>
      <c r="M271" s="267"/>
      <c r="N271" s="249"/>
      <c r="O271" s="368"/>
      <c r="P271" s="257"/>
      <c r="Q271" s="258">
        <f t="shared" si="36"/>
        <v>0</v>
      </c>
      <c r="R271" s="251">
        <f>VLOOKUP(C271,'BTH mủ tạp'!$C$247:$AI$312,33,0)</f>
        <v>0</v>
      </c>
      <c r="S271" s="264"/>
      <c r="T271" s="259">
        <f t="shared" si="35"/>
        <v>0</v>
      </c>
      <c r="U271" s="341">
        <f t="shared" si="33"/>
        <v>0</v>
      </c>
      <c r="V271" s="273">
        <f>VLOOKUP(C271,'Chấm công KT'!$C$240:$AJ$305,34,0)</f>
        <v>0</v>
      </c>
      <c r="W271" s="273">
        <f>VLOOKUP(C271,'Chấm công KT'!$C$240:$AK$305,35,0)</f>
        <v>0</v>
      </c>
      <c r="X271" s="1147">
        <f>VLOOKUP(C271,'Chấm công KT'!C260:AL325,36,0)</f>
        <v>0</v>
      </c>
      <c r="Y271" s="1146"/>
      <c r="Z271" s="1146"/>
      <c r="AA271" s="1146"/>
      <c r="AB271" s="268"/>
      <c r="AC271" s="263">
        <f t="shared" si="34"/>
        <v>0</v>
      </c>
      <c r="AD271" s="147" t="str">
        <f>VLOOKUP(C271,'BTH mủ tạp'!$C$15:$AL$305,36,0)</f>
        <v>C</v>
      </c>
      <c r="AE271" s="261"/>
      <c r="AF271" s="119"/>
    </row>
    <row r="272" spans="1:34" ht="18.75" customHeight="1">
      <c r="A272" s="248">
        <v>22</v>
      </c>
      <c r="B272" s="336" t="str">
        <f>'Chấm công KT'!D261</f>
        <v>03666</v>
      </c>
      <c r="C272" s="265" t="str">
        <f>'Chấm công KT'!C261</f>
        <v>T. Chăn (4)</v>
      </c>
      <c r="D272" s="144" t="s">
        <v>43</v>
      </c>
      <c r="E272" s="352"/>
      <c r="F272" s="352"/>
      <c r="G272" s="352"/>
      <c r="H272" s="352"/>
      <c r="I272" s="353"/>
      <c r="J272" s="337"/>
      <c r="K272" s="267"/>
      <c r="L272" s="267"/>
      <c r="M272" s="267"/>
      <c r="N272" s="249"/>
      <c r="O272" s="368"/>
      <c r="P272" s="257"/>
      <c r="Q272" s="258">
        <f t="shared" si="36"/>
        <v>0</v>
      </c>
      <c r="R272" s="251">
        <f>VLOOKUP(C272,'BTH mủ tạp'!$C$247:$AI$312,33,0)</f>
        <v>0</v>
      </c>
      <c r="S272" s="264"/>
      <c r="T272" s="259">
        <f t="shared" si="35"/>
        <v>0</v>
      </c>
      <c r="U272" s="341">
        <f t="shared" si="33"/>
        <v>0</v>
      </c>
      <c r="V272" s="273">
        <f>VLOOKUP(C272,'Chấm công KT'!$C$240:$AJ$305,34,0)</f>
        <v>0</v>
      </c>
      <c r="W272" s="273">
        <f>VLOOKUP(C272,'Chấm công KT'!$C$240:$AK$305,35,0)</f>
        <v>0</v>
      </c>
      <c r="X272" s="1147">
        <f>VLOOKUP(C272,'Chấm công KT'!C261:AL326,36,0)</f>
        <v>0</v>
      </c>
      <c r="Y272" s="1146"/>
      <c r="Z272" s="1146"/>
      <c r="AA272" s="1146"/>
      <c r="AB272" s="268"/>
      <c r="AC272" s="263">
        <f t="shared" si="34"/>
        <v>0</v>
      </c>
      <c r="AD272" s="147" t="str">
        <f>VLOOKUP(C272,'BTH mủ tạp'!$C$15:$AL$305,36,0)</f>
        <v>B</v>
      </c>
      <c r="AE272" s="261"/>
      <c r="AF272" s="119"/>
    </row>
    <row r="273" spans="1:32" ht="18.75" customHeight="1">
      <c r="A273" s="248">
        <v>23</v>
      </c>
      <c r="B273" s="336" t="str">
        <f>'Chấm công KT'!D262</f>
        <v>03667</v>
      </c>
      <c r="C273" s="265" t="str">
        <f>'Chấm công KT'!C262</f>
        <v>T.Mon</v>
      </c>
      <c r="D273" s="144" t="s">
        <v>43</v>
      </c>
      <c r="E273" s="352"/>
      <c r="F273" s="352"/>
      <c r="G273" s="352"/>
      <c r="H273" s="352"/>
      <c r="I273" s="353"/>
      <c r="J273" s="337"/>
      <c r="K273" s="267"/>
      <c r="L273" s="267"/>
      <c r="M273" s="267"/>
      <c r="N273" s="249"/>
      <c r="O273" s="368"/>
      <c r="P273" s="257"/>
      <c r="Q273" s="258">
        <f t="shared" si="36"/>
        <v>0</v>
      </c>
      <c r="R273" s="251">
        <f>VLOOKUP(C273,'BTH mủ tạp'!$C$247:$AI$312,33,0)</f>
        <v>0</v>
      </c>
      <c r="S273" s="264"/>
      <c r="T273" s="259">
        <f t="shared" si="35"/>
        <v>0</v>
      </c>
      <c r="U273" s="341">
        <f t="shared" si="33"/>
        <v>0</v>
      </c>
      <c r="V273" s="273">
        <f>VLOOKUP(C273,'Chấm công KT'!$C$240:$AJ$305,34,0)</f>
        <v>0</v>
      </c>
      <c r="W273" s="273">
        <f>VLOOKUP(C273,'Chấm công KT'!$C$240:$AK$305,35,0)</f>
        <v>0</v>
      </c>
      <c r="X273" s="1147">
        <f>VLOOKUP(C273,'Chấm công KT'!C262:AL327,36,0)</f>
        <v>0</v>
      </c>
      <c r="Y273" s="1146"/>
      <c r="Z273" s="1146"/>
      <c r="AA273" s="1146"/>
      <c r="AB273" s="268"/>
      <c r="AC273" s="263">
        <f t="shared" si="34"/>
        <v>0</v>
      </c>
      <c r="AD273" s="147" t="str">
        <f>VLOOKUP(C273,'BTH mủ tạp'!$C$15:$AL$305,36,0)</f>
        <v>B</v>
      </c>
      <c r="AE273" s="261"/>
      <c r="AF273" s="119"/>
    </row>
    <row r="274" spans="1:32" ht="18.75" customHeight="1">
      <c r="A274" s="248">
        <v>24</v>
      </c>
      <c r="B274" s="336">
        <f>'Chấm công KT'!D263</f>
        <v>0</v>
      </c>
      <c r="C274" s="265" t="str">
        <f>'Chấm công KT'!C263</f>
        <v>N.. Đeng</v>
      </c>
      <c r="D274" s="144" t="s">
        <v>43</v>
      </c>
      <c r="E274" s="352"/>
      <c r="F274" s="352"/>
      <c r="G274" s="352"/>
      <c r="H274" s="352"/>
      <c r="I274" s="353"/>
      <c r="J274" s="337"/>
      <c r="K274" s="267"/>
      <c r="L274" s="267"/>
      <c r="M274" s="267"/>
      <c r="N274" s="249"/>
      <c r="O274" s="368"/>
      <c r="P274" s="257"/>
      <c r="Q274" s="258">
        <f t="shared" si="36"/>
        <v>0</v>
      </c>
      <c r="R274" s="251">
        <f>VLOOKUP(C274,'BTH mủ tạp'!$C$247:$AI$312,33,0)</f>
        <v>0</v>
      </c>
      <c r="S274" s="264"/>
      <c r="T274" s="259">
        <f t="shared" si="35"/>
        <v>0</v>
      </c>
      <c r="U274" s="341">
        <f t="shared" si="33"/>
        <v>0</v>
      </c>
      <c r="V274" s="273">
        <f>VLOOKUP(C274,'Chấm công KT'!$C$240:$AJ$305,34,0)</f>
        <v>0</v>
      </c>
      <c r="W274" s="273">
        <f>VLOOKUP(C274,'Chấm công KT'!$C$240:$AK$305,35,0)</f>
        <v>0</v>
      </c>
      <c r="X274" s="1147">
        <f>VLOOKUP(C274,'Chấm công KT'!C263:AL328,36,0)</f>
        <v>0</v>
      </c>
      <c r="Y274" s="1146"/>
      <c r="Z274" s="1146"/>
      <c r="AA274" s="1146"/>
      <c r="AB274" s="268"/>
      <c r="AC274" s="263">
        <f t="shared" si="34"/>
        <v>0</v>
      </c>
      <c r="AD274" s="147" t="str">
        <f>VLOOKUP(C274,'BTH mủ tạp'!$C$15:$AL$305,36,0)</f>
        <v>B</v>
      </c>
      <c r="AE274" s="261"/>
      <c r="AF274" s="119"/>
    </row>
    <row r="275" spans="1:32" ht="18.75" customHeight="1">
      <c r="A275" s="248">
        <v>25</v>
      </c>
      <c r="B275" s="336" t="str">
        <f>'Chấm công KT'!D264</f>
        <v>03669</v>
      </c>
      <c r="C275" s="265" t="str">
        <f>'Chấm công KT'!C264</f>
        <v>T. Cơ</v>
      </c>
      <c r="D275" s="144" t="s">
        <v>43</v>
      </c>
      <c r="E275" s="352"/>
      <c r="F275" s="352"/>
      <c r="G275" s="352"/>
      <c r="H275" s="352"/>
      <c r="I275" s="353"/>
      <c r="J275" s="337"/>
      <c r="K275" s="267"/>
      <c r="L275" s="267"/>
      <c r="M275" s="267"/>
      <c r="N275" s="249"/>
      <c r="O275" s="368"/>
      <c r="P275" s="257"/>
      <c r="Q275" s="258">
        <f t="shared" si="36"/>
        <v>0</v>
      </c>
      <c r="R275" s="251">
        <f>VLOOKUP(C275,'BTH mủ tạp'!$C$247:$AI$312,33,0)</f>
        <v>0</v>
      </c>
      <c r="S275" s="264"/>
      <c r="T275" s="259">
        <f t="shared" si="35"/>
        <v>0</v>
      </c>
      <c r="U275" s="341">
        <f t="shared" si="33"/>
        <v>0</v>
      </c>
      <c r="V275" s="273">
        <f>VLOOKUP(C275,'Chấm công KT'!$C$240:$AJ$305,34,0)</f>
        <v>0</v>
      </c>
      <c r="W275" s="273">
        <f>VLOOKUP(C275,'Chấm công KT'!$C$240:$AK$305,35,0)</f>
        <v>0</v>
      </c>
      <c r="X275" s="1147">
        <f>VLOOKUP(C275,'Chấm công KT'!C264:AL329,36,0)</f>
        <v>0</v>
      </c>
      <c r="Y275" s="1146"/>
      <c r="Z275" s="1146"/>
      <c r="AA275" s="1146"/>
      <c r="AB275" s="268"/>
      <c r="AC275" s="263">
        <f t="shared" si="34"/>
        <v>0</v>
      </c>
      <c r="AD275" s="147" t="str">
        <f>VLOOKUP(C275,'BTH mủ tạp'!$C$15:$AL$305,36,0)</f>
        <v>C</v>
      </c>
      <c r="AE275" s="261"/>
      <c r="AF275" s="119"/>
    </row>
    <row r="276" spans="1:32" ht="18.75" customHeight="1">
      <c r="A276" s="248">
        <v>26</v>
      </c>
      <c r="B276" s="336" t="str">
        <f>'Chấm công KT'!D265</f>
        <v>03670</v>
      </c>
      <c r="C276" s="265" t="str">
        <f>'Chấm công KT'!C265</f>
        <v>T Phết</v>
      </c>
      <c r="D276" s="144" t="s">
        <v>43</v>
      </c>
      <c r="E276" s="352"/>
      <c r="F276" s="352"/>
      <c r="G276" s="352"/>
      <c r="H276" s="352"/>
      <c r="I276" s="353"/>
      <c r="J276" s="337"/>
      <c r="K276" s="267"/>
      <c r="L276" s="267"/>
      <c r="M276" s="267"/>
      <c r="N276" s="249"/>
      <c r="O276" s="368"/>
      <c r="P276" s="257"/>
      <c r="Q276" s="258">
        <f t="shared" si="36"/>
        <v>0</v>
      </c>
      <c r="R276" s="251">
        <f>VLOOKUP(C276,'BTH mủ tạp'!$C$247:$AI$312,33,0)</f>
        <v>0</v>
      </c>
      <c r="S276" s="264"/>
      <c r="T276" s="259">
        <f t="shared" si="35"/>
        <v>0</v>
      </c>
      <c r="U276" s="341">
        <f t="shared" si="33"/>
        <v>0</v>
      </c>
      <c r="V276" s="273">
        <f>VLOOKUP(C276,'Chấm công KT'!$C$240:$AJ$305,34,0)</f>
        <v>0</v>
      </c>
      <c r="W276" s="273">
        <f>VLOOKUP(C276,'Chấm công KT'!$C$240:$AK$305,35,0)</f>
        <v>0</v>
      </c>
      <c r="X276" s="1147">
        <f>VLOOKUP(C276,'Chấm công KT'!C265:AL330,36,0)</f>
        <v>0</v>
      </c>
      <c r="Y276" s="1146"/>
      <c r="Z276" s="1146"/>
      <c r="AA276" s="1146"/>
      <c r="AB276" s="268"/>
      <c r="AC276" s="263">
        <f t="shared" si="34"/>
        <v>0</v>
      </c>
      <c r="AD276" s="147" t="str">
        <f>VLOOKUP(C276,'BTH mủ tạp'!$C$15:$AL$305,36,0)</f>
        <v>B</v>
      </c>
      <c r="AE276" s="261"/>
      <c r="AF276" s="119"/>
    </row>
    <row r="277" spans="1:32" ht="18.75" customHeight="1">
      <c r="A277" s="248">
        <v>27</v>
      </c>
      <c r="B277" s="336" t="str">
        <f>'Chấm công KT'!D266</f>
        <v>03516</v>
      </c>
      <c r="C277" s="265" t="str">
        <f>'Chấm công KT'!C266</f>
        <v>N. Chay</v>
      </c>
      <c r="D277" s="144" t="s">
        <v>43</v>
      </c>
      <c r="E277" s="352"/>
      <c r="F277" s="352"/>
      <c r="G277" s="352"/>
      <c r="H277" s="352"/>
      <c r="I277" s="353"/>
      <c r="J277" s="337"/>
      <c r="K277" s="267"/>
      <c r="L277" s="267"/>
      <c r="M277" s="267"/>
      <c r="N277" s="249"/>
      <c r="O277" s="368"/>
      <c r="P277" s="257"/>
      <c r="Q277" s="258">
        <f t="shared" si="36"/>
        <v>0</v>
      </c>
      <c r="R277" s="251">
        <f>VLOOKUP(C277,'BTH mủ tạp'!$C$247:$AI$312,33,0)</f>
        <v>0</v>
      </c>
      <c r="S277" s="264"/>
      <c r="T277" s="259">
        <f t="shared" si="35"/>
        <v>0</v>
      </c>
      <c r="U277" s="341">
        <f t="shared" si="33"/>
        <v>0</v>
      </c>
      <c r="V277" s="273">
        <f>VLOOKUP(C277,'Chấm công KT'!$C$240:$AJ$305,34,0)</f>
        <v>0</v>
      </c>
      <c r="W277" s="273">
        <f>VLOOKUP(C277,'Chấm công KT'!$C$240:$AK$305,35,0)</f>
        <v>0</v>
      </c>
      <c r="X277" s="1147">
        <f>VLOOKUP(C277,'Chấm công KT'!C266:AL331,36,0)</f>
        <v>0</v>
      </c>
      <c r="Y277" s="1146"/>
      <c r="Z277" s="1146"/>
      <c r="AA277" s="1146"/>
      <c r="AB277" s="268"/>
      <c r="AC277" s="263">
        <f t="shared" si="34"/>
        <v>0</v>
      </c>
      <c r="AD277" s="147" t="str">
        <f>VLOOKUP(C277,'BTH mủ tạp'!$C$15:$AL$305,36,0)</f>
        <v>A</v>
      </c>
      <c r="AE277" s="261"/>
      <c r="AF277" s="119"/>
    </row>
    <row r="278" spans="1:32" ht="18.75" customHeight="1">
      <c r="A278" s="248">
        <v>28</v>
      </c>
      <c r="B278" s="336" t="str">
        <f>'Chấm công KT'!D267</f>
        <v>03672</v>
      </c>
      <c r="C278" s="265" t="str">
        <f>'Chấm công KT'!C267</f>
        <v>T. Sắc</v>
      </c>
      <c r="D278" s="144" t="s">
        <v>43</v>
      </c>
      <c r="E278" s="352"/>
      <c r="F278" s="352"/>
      <c r="G278" s="352"/>
      <c r="H278" s="352"/>
      <c r="I278" s="353"/>
      <c r="J278" s="337"/>
      <c r="K278" s="267"/>
      <c r="L278" s="267"/>
      <c r="M278" s="267"/>
      <c r="N278" s="249"/>
      <c r="O278" s="368"/>
      <c r="P278" s="257"/>
      <c r="Q278" s="258">
        <f t="shared" si="36"/>
        <v>0</v>
      </c>
      <c r="R278" s="251">
        <f>VLOOKUP(C278,'BTH mủ tạp'!$C$247:$AI$312,33,0)</f>
        <v>0</v>
      </c>
      <c r="S278" s="264"/>
      <c r="T278" s="259">
        <f t="shared" si="35"/>
        <v>0</v>
      </c>
      <c r="U278" s="341">
        <f t="shared" si="33"/>
        <v>0</v>
      </c>
      <c r="V278" s="273">
        <f>VLOOKUP(C278,'Chấm công KT'!$C$240:$AJ$305,34,0)</f>
        <v>0</v>
      </c>
      <c r="W278" s="273">
        <f>VLOOKUP(C278,'Chấm công KT'!$C$240:$AK$305,35,0)</f>
        <v>0</v>
      </c>
      <c r="X278" s="1147">
        <f>VLOOKUP(C278,'Chấm công KT'!C267:AL332,36,0)</f>
        <v>0</v>
      </c>
      <c r="Y278" s="1146"/>
      <c r="Z278" s="1146"/>
      <c r="AA278" s="1146"/>
      <c r="AB278" s="268"/>
      <c r="AC278" s="263">
        <f t="shared" si="34"/>
        <v>0</v>
      </c>
      <c r="AD278" s="147" t="str">
        <f>VLOOKUP(C278,'BTH mủ tạp'!$C$15:$AL$305,36,0)</f>
        <v>C</v>
      </c>
      <c r="AE278" s="261"/>
      <c r="AF278" s="119"/>
    </row>
    <row r="279" spans="1:32" ht="18.75" customHeight="1">
      <c r="A279" s="248">
        <v>29</v>
      </c>
      <c r="B279" s="336" t="str">
        <f>'Chấm công KT'!D268</f>
        <v>03673</v>
      </c>
      <c r="C279" s="265" t="str">
        <f>'Chấm công KT'!C268</f>
        <v>T. Đông</v>
      </c>
      <c r="D279" s="144" t="s">
        <v>43</v>
      </c>
      <c r="E279" s="352"/>
      <c r="F279" s="352"/>
      <c r="G279" s="352"/>
      <c r="H279" s="352"/>
      <c r="I279" s="353"/>
      <c r="J279" s="337"/>
      <c r="K279" s="267"/>
      <c r="L279" s="267"/>
      <c r="M279" s="267"/>
      <c r="N279" s="249"/>
      <c r="O279" s="368"/>
      <c r="P279" s="257"/>
      <c r="Q279" s="258">
        <f t="shared" si="36"/>
        <v>0</v>
      </c>
      <c r="R279" s="251">
        <f>VLOOKUP(C279,'BTH mủ tạp'!$C$247:$AI$312,33,0)</f>
        <v>0</v>
      </c>
      <c r="S279" s="264"/>
      <c r="T279" s="259">
        <f t="shared" si="35"/>
        <v>0</v>
      </c>
      <c r="U279" s="341">
        <f t="shared" si="33"/>
        <v>0</v>
      </c>
      <c r="V279" s="273">
        <f>VLOOKUP(C279,'Chấm công KT'!$C$240:$AJ$305,34,0)</f>
        <v>0</v>
      </c>
      <c r="W279" s="273">
        <f>VLOOKUP(C279,'Chấm công KT'!$C$240:$AK$305,35,0)</f>
        <v>0</v>
      </c>
      <c r="X279" s="1147">
        <f>VLOOKUP(C279,'Chấm công KT'!C268:AL333,36,0)</f>
        <v>0</v>
      </c>
      <c r="Y279" s="1146"/>
      <c r="Z279" s="1146"/>
      <c r="AA279" s="1146"/>
      <c r="AB279" s="268"/>
      <c r="AC279" s="263">
        <f t="shared" si="34"/>
        <v>0</v>
      </c>
      <c r="AD279" s="147" t="str">
        <f>VLOOKUP(C279,'BTH mủ tạp'!$C$15:$AL$305,36,0)</f>
        <v>C</v>
      </c>
      <c r="AE279" s="261"/>
      <c r="AF279" s="119"/>
    </row>
    <row r="280" spans="1:32" ht="18.75" customHeight="1">
      <c r="A280" s="248">
        <v>30</v>
      </c>
      <c r="B280" s="336" t="str">
        <f>'Chấm công KT'!D269</f>
        <v>03674</v>
      </c>
      <c r="C280" s="265" t="str">
        <f>'Chấm công KT'!C269</f>
        <v>N. Lao</v>
      </c>
      <c r="D280" s="144" t="s">
        <v>43</v>
      </c>
      <c r="E280" s="352"/>
      <c r="F280" s="352"/>
      <c r="G280" s="352"/>
      <c r="H280" s="352"/>
      <c r="I280" s="353"/>
      <c r="J280" s="337"/>
      <c r="K280" s="267"/>
      <c r="L280" s="267"/>
      <c r="M280" s="267"/>
      <c r="N280" s="249"/>
      <c r="O280" s="368"/>
      <c r="P280" s="257"/>
      <c r="Q280" s="258">
        <f t="shared" si="36"/>
        <v>0</v>
      </c>
      <c r="R280" s="251">
        <f>VLOOKUP(C280,'BTH mủ tạp'!$C$247:$AI$312,33,0)</f>
        <v>0</v>
      </c>
      <c r="S280" s="264"/>
      <c r="T280" s="259">
        <f t="shared" si="35"/>
        <v>0</v>
      </c>
      <c r="U280" s="341">
        <f t="shared" si="33"/>
        <v>0</v>
      </c>
      <c r="V280" s="273">
        <f>VLOOKUP(C280,'Chấm công KT'!$C$240:$AJ$305,34,0)</f>
        <v>0</v>
      </c>
      <c r="W280" s="273">
        <f>VLOOKUP(C280,'Chấm công KT'!$C$240:$AK$305,35,0)</f>
        <v>0</v>
      </c>
      <c r="X280" s="1147">
        <f>VLOOKUP(C280,'Chấm công KT'!C269:AL334,36,0)</f>
        <v>0</v>
      </c>
      <c r="Y280" s="1146"/>
      <c r="Z280" s="1146"/>
      <c r="AA280" s="1146"/>
      <c r="AB280" s="268"/>
      <c r="AC280" s="263">
        <f t="shared" si="34"/>
        <v>0</v>
      </c>
      <c r="AD280" s="147" t="str">
        <f>VLOOKUP(C280,'BTH mủ tạp'!$C$15:$AL$305,36,0)</f>
        <v>B</v>
      </c>
      <c r="AE280" s="261"/>
      <c r="AF280" s="119"/>
    </row>
    <row r="281" spans="1:32" ht="18.75" customHeight="1">
      <c r="A281" s="248">
        <v>31</v>
      </c>
      <c r="B281" s="336" t="str">
        <f>'Chấm công KT'!D270</f>
        <v>03675</v>
      </c>
      <c r="C281" s="265" t="str">
        <f>'Chấm công KT'!C270</f>
        <v>N. Xum Xi</v>
      </c>
      <c r="D281" s="144" t="s">
        <v>43</v>
      </c>
      <c r="E281" s="352"/>
      <c r="F281" s="352"/>
      <c r="G281" s="352"/>
      <c r="H281" s="352"/>
      <c r="I281" s="353"/>
      <c r="J281" s="337"/>
      <c r="K281" s="267"/>
      <c r="L281" s="267"/>
      <c r="M281" s="267"/>
      <c r="N281" s="249"/>
      <c r="O281" s="368"/>
      <c r="P281" s="257"/>
      <c r="Q281" s="258">
        <f t="shared" si="36"/>
        <v>0</v>
      </c>
      <c r="R281" s="251">
        <f>VLOOKUP(C281,'BTH mủ tạp'!$C$247:$AI$312,33,0)</f>
        <v>0</v>
      </c>
      <c r="S281" s="264"/>
      <c r="T281" s="259">
        <f t="shared" si="35"/>
        <v>0</v>
      </c>
      <c r="U281" s="341">
        <f t="shared" si="33"/>
        <v>0</v>
      </c>
      <c r="V281" s="273">
        <f>VLOOKUP(C281,'Chấm công KT'!$C$240:$AJ$305,34,0)</f>
        <v>0</v>
      </c>
      <c r="W281" s="273">
        <f>VLOOKUP(C281,'Chấm công KT'!$C$240:$AK$305,35,0)</f>
        <v>0</v>
      </c>
      <c r="X281" s="1147">
        <f>VLOOKUP(C281,'Chấm công KT'!C270:AL335,36,0)</f>
        <v>0</v>
      </c>
      <c r="Y281" s="1146"/>
      <c r="Z281" s="1146"/>
      <c r="AA281" s="1146"/>
      <c r="AB281" s="268"/>
      <c r="AC281" s="263">
        <f t="shared" si="34"/>
        <v>0</v>
      </c>
      <c r="AD281" s="147" t="str">
        <f>VLOOKUP(C281,'BTH mủ tạp'!$C$15:$AL$305,36,0)</f>
        <v>B</v>
      </c>
      <c r="AE281" s="261"/>
      <c r="AF281" s="119"/>
    </row>
    <row r="282" spans="1:32" ht="18.75" customHeight="1">
      <c r="A282" s="248">
        <v>32</v>
      </c>
      <c r="B282" s="336" t="str">
        <f>'Chấm công KT'!D271</f>
        <v>03676</v>
      </c>
      <c r="C282" s="265" t="str">
        <f>'Chấm công KT'!C271</f>
        <v xml:space="preserve">T. Xi </v>
      </c>
      <c r="D282" s="144" t="s">
        <v>43</v>
      </c>
      <c r="E282" s="352"/>
      <c r="F282" s="352"/>
      <c r="G282" s="352"/>
      <c r="H282" s="352"/>
      <c r="I282" s="353"/>
      <c r="J282" s="337"/>
      <c r="K282" s="267"/>
      <c r="L282" s="267"/>
      <c r="M282" s="267"/>
      <c r="N282" s="249"/>
      <c r="O282" s="368"/>
      <c r="P282" s="257"/>
      <c r="Q282" s="258">
        <f t="shared" si="36"/>
        <v>0</v>
      </c>
      <c r="R282" s="251">
        <f>VLOOKUP(C282,'BTH mủ tạp'!$C$247:$AI$312,33,0)</f>
        <v>0</v>
      </c>
      <c r="S282" s="264"/>
      <c r="T282" s="259">
        <f t="shared" si="35"/>
        <v>0</v>
      </c>
      <c r="U282" s="341">
        <f t="shared" si="33"/>
        <v>0</v>
      </c>
      <c r="V282" s="273">
        <f>VLOOKUP(C282,'Chấm công KT'!$C$240:$AJ$305,34,0)</f>
        <v>0</v>
      </c>
      <c r="W282" s="273">
        <f>VLOOKUP(C282,'Chấm công KT'!$C$240:$AK$305,35,0)</f>
        <v>0</v>
      </c>
      <c r="X282" s="1147">
        <f>VLOOKUP(C282,'Chấm công KT'!C271:AL336,36,0)</f>
        <v>0</v>
      </c>
      <c r="Y282" s="1146"/>
      <c r="Z282" s="1146"/>
      <c r="AA282" s="1146"/>
      <c r="AB282" s="268"/>
      <c r="AC282" s="263">
        <f t="shared" si="34"/>
        <v>0</v>
      </c>
      <c r="AD282" s="147" t="str">
        <f>VLOOKUP(C282,'BTH mủ tạp'!$C$15:$AL$305,36,0)</f>
        <v>B</v>
      </c>
      <c r="AE282" s="261"/>
      <c r="AF282" s="119"/>
    </row>
    <row r="283" spans="1:32" ht="18.75" customHeight="1">
      <c r="A283" s="248">
        <v>33</v>
      </c>
      <c r="B283" s="336" t="str">
        <f>'Chấm công KT'!D272</f>
        <v>03677</v>
      </c>
      <c r="C283" s="265" t="str">
        <f>'Chấm công KT'!C272</f>
        <v>T Pết</v>
      </c>
      <c r="D283" s="144" t="s">
        <v>43</v>
      </c>
      <c r="E283" s="352"/>
      <c r="F283" s="352"/>
      <c r="G283" s="352"/>
      <c r="H283" s="352"/>
      <c r="I283" s="353"/>
      <c r="J283" s="337"/>
      <c r="K283" s="267"/>
      <c r="L283" s="267"/>
      <c r="M283" s="267"/>
      <c r="N283" s="249"/>
      <c r="O283" s="368"/>
      <c r="P283" s="257"/>
      <c r="Q283" s="258">
        <f t="shared" si="36"/>
        <v>0</v>
      </c>
      <c r="R283" s="251">
        <f>VLOOKUP(C283,'BTH mủ tạp'!$C$247:$AI$312,33,0)</f>
        <v>0</v>
      </c>
      <c r="S283" s="264"/>
      <c r="T283" s="259">
        <f t="shared" si="35"/>
        <v>0</v>
      </c>
      <c r="U283" s="341">
        <f t="shared" si="33"/>
        <v>0</v>
      </c>
      <c r="V283" s="273">
        <f>VLOOKUP(C283,'Chấm công KT'!$C$240:$AJ$305,34,0)</f>
        <v>0</v>
      </c>
      <c r="W283" s="273">
        <f>VLOOKUP(C283,'Chấm công KT'!$C$240:$AK$305,35,0)</f>
        <v>0</v>
      </c>
      <c r="X283" s="1147">
        <f>VLOOKUP(C283,'Chấm công KT'!C272:AL337,36,0)</f>
        <v>0</v>
      </c>
      <c r="Y283" s="1146"/>
      <c r="Z283" s="1146"/>
      <c r="AA283" s="1146"/>
      <c r="AB283" s="268"/>
      <c r="AC283" s="263">
        <f t="shared" si="34"/>
        <v>0</v>
      </c>
      <c r="AD283" s="147" t="str">
        <f>VLOOKUP(C283,'BTH mủ tạp'!$C$15:$AL$305,36,0)</f>
        <v>B</v>
      </c>
      <c r="AE283" s="261"/>
      <c r="AF283" s="119"/>
    </row>
    <row r="284" spans="1:32" ht="18.75" customHeight="1">
      <c r="A284" s="248">
        <v>34</v>
      </c>
      <c r="B284" s="336" t="str">
        <f>'Chấm công KT'!D273</f>
        <v>03678</v>
      </c>
      <c r="C284" s="265" t="str">
        <f>'Chấm công KT'!C273</f>
        <v>T. Von</v>
      </c>
      <c r="D284" s="144" t="s">
        <v>43</v>
      </c>
      <c r="E284" s="352"/>
      <c r="F284" s="352"/>
      <c r="G284" s="352"/>
      <c r="H284" s="352"/>
      <c r="I284" s="353"/>
      <c r="J284" s="337"/>
      <c r="K284" s="267"/>
      <c r="L284" s="267"/>
      <c r="M284" s="267"/>
      <c r="N284" s="249"/>
      <c r="O284" s="368"/>
      <c r="P284" s="257"/>
      <c r="Q284" s="258">
        <f t="shared" si="36"/>
        <v>0</v>
      </c>
      <c r="R284" s="251">
        <f>VLOOKUP(C284,'BTH mủ tạp'!$C$247:$AI$312,33,0)</f>
        <v>0</v>
      </c>
      <c r="S284" s="264"/>
      <c r="T284" s="259">
        <f t="shared" si="35"/>
        <v>0</v>
      </c>
      <c r="U284" s="341">
        <f t="shared" si="33"/>
        <v>0</v>
      </c>
      <c r="V284" s="273">
        <f>VLOOKUP(C284,'Chấm công KT'!$C$240:$AJ$305,34,0)</f>
        <v>0</v>
      </c>
      <c r="W284" s="273">
        <f>VLOOKUP(C284,'Chấm công KT'!$C$240:$AK$305,35,0)</f>
        <v>0</v>
      </c>
      <c r="X284" s="1147">
        <f>VLOOKUP(C284,'Chấm công KT'!C273:AL338,36,0)</f>
        <v>0</v>
      </c>
      <c r="Y284" s="1146"/>
      <c r="Z284" s="1146"/>
      <c r="AA284" s="1146"/>
      <c r="AB284" s="268"/>
      <c r="AC284" s="263">
        <f t="shared" si="34"/>
        <v>0</v>
      </c>
      <c r="AD284" s="147" t="str">
        <f>VLOOKUP(C284,'BTH mủ tạp'!$C$15:$AL$305,36,0)</f>
        <v>B</v>
      </c>
      <c r="AE284" s="261"/>
      <c r="AF284" s="119"/>
    </row>
    <row r="285" spans="1:32" ht="18.75" customHeight="1">
      <c r="A285" s="248">
        <v>35</v>
      </c>
      <c r="B285" s="336" t="str">
        <f>'Chấm công KT'!D274</f>
        <v>03679</v>
      </c>
      <c r="C285" s="265" t="str">
        <f>'Chấm công KT'!C274</f>
        <v>Khăm Xúc</v>
      </c>
      <c r="D285" s="144" t="s">
        <v>43</v>
      </c>
      <c r="E285" s="352"/>
      <c r="F285" s="352"/>
      <c r="G285" s="352"/>
      <c r="H285" s="352"/>
      <c r="I285" s="353"/>
      <c r="J285" s="337"/>
      <c r="K285" s="267"/>
      <c r="L285" s="267"/>
      <c r="M285" s="267"/>
      <c r="N285" s="249"/>
      <c r="O285" s="368"/>
      <c r="P285" s="257"/>
      <c r="Q285" s="258">
        <f t="shared" si="36"/>
        <v>0</v>
      </c>
      <c r="R285" s="251">
        <f>VLOOKUP(C285,'BTH mủ tạp'!$C$247:$AI$312,33,0)</f>
        <v>0</v>
      </c>
      <c r="S285" s="264"/>
      <c r="T285" s="259">
        <f t="shared" si="35"/>
        <v>0</v>
      </c>
      <c r="U285" s="341">
        <f t="shared" si="33"/>
        <v>0</v>
      </c>
      <c r="V285" s="273">
        <f>VLOOKUP(C285,'Chấm công KT'!$C$240:$AJ$305,34,0)</f>
        <v>0</v>
      </c>
      <c r="W285" s="273">
        <f>VLOOKUP(C285,'Chấm công KT'!$C$240:$AK$305,35,0)</f>
        <v>0</v>
      </c>
      <c r="X285" s="1147">
        <f>VLOOKUP(C285,'Chấm công KT'!C274:AL339,36,0)</f>
        <v>0</v>
      </c>
      <c r="Y285" s="1146"/>
      <c r="Z285" s="1146"/>
      <c r="AA285" s="1146"/>
      <c r="AB285" s="268"/>
      <c r="AC285" s="263">
        <f t="shared" si="34"/>
        <v>0</v>
      </c>
      <c r="AD285" s="147" t="str">
        <f>VLOOKUP(C285,'BTH mủ tạp'!$C$15:$AL$305,36,0)</f>
        <v>B</v>
      </c>
      <c r="AE285" s="261"/>
      <c r="AF285" s="119"/>
    </row>
    <row r="286" spans="1:32" ht="18.75" customHeight="1">
      <c r="A286" s="248">
        <v>36</v>
      </c>
      <c r="B286" s="336" t="str">
        <f>'Chấm công KT'!D275</f>
        <v>03680</v>
      </c>
      <c r="C286" s="265" t="str">
        <f>'Chấm công KT'!C275</f>
        <v>T. Phút</v>
      </c>
      <c r="D286" s="144" t="s">
        <v>43</v>
      </c>
      <c r="E286" s="352"/>
      <c r="F286" s="352"/>
      <c r="G286" s="352"/>
      <c r="H286" s="352"/>
      <c r="I286" s="353"/>
      <c r="J286" s="337"/>
      <c r="K286" s="267"/>
      <c r="L286" s="267"/>
      <c r="M286" s="267"/>
      <c r="N286" s="249"/>
      <c r="O286" s="368"/>
      <c r="P286" s="257"/>
      <c r="Q286" s="258">
        <f t="shared" si="36"/>
        <v>0</v>
      </c>
      <c r="R286" s="251">
        <f>VLOOKUP(C286,'BTH mủ tạp'!$C$247:$AI$312,33,0)</f>
        <v>0</v>
      </c>
      <c r="S286" s="264"/>
      <c r="T286" s="259">
        <f t="shared" si="35"/>
        <v>0</v>
      </c>
      <c r="U286" s="341">
        <f t="shared" si="33"/>
        <v>0</v>
      </c>
      <c r="V286" s="273">
        <f>VLOOKUP(C286,'Chấm công KT'!$C$240:$AJ$305,34,0)</f>
        <v>0</v>
      </c>
      <c r="W286" s="273">
        <f>VLOOKUP(C286,'Chấm công KT'!$C$240:$AK$305,35,0)</f>
        <v>0</v>
      </c>
      <c r="X286" s="1147">
        <f>VLOOKUP(C286,'Chấm công KT'!C275:AL340,36,0)</f>
        <v>0</v>
      </c>
      <c r="Y286" s="1146"/>
      <c r="Z286" s="1146"/>
      <c r="AA286" s="1146"/>
      <c r="AB286" s="268"/>
      <c r="AC286" s="263">
        <f t="shared" si="34"/>
        <v>0</v>
      </c>
      <c r="AD286" s="147" t="str">
        <f>VLOOKUP(C286,'BTH mủ tạp'!$C$15:$AL$305,36,0)</f>
        <v>B</v>
      </c>
      <c r="AE286" s="261"/>
      <c r="AF286" s="119"/>
    </row>
    <row r="287" spans="1:32" ht="18.75" customHeight="1">
      <c r="A287" s="248">
        <v>37</v>
      </c>
      <c r="B287" s="336" t="str">
        <f>'Chấm công KT'!D276</f>
        <v>03681</v>
      </c>
      <c r="C287" s="265" t="str">
        <f>'Chấm công KT'!C276</f>
        <v>T. Be</v>
      </c>
      <c r="D287" s="144" t="s">
        <v>43</v>
      </c>
      <c r="E287" s="352"/>
      <c r="F287" s="352"/>
      <c r="G287" s="352"/>
      <c r="H287" s="352"/>
      <c r="I287" s="353"/>
      <c r="J287" s="337"/>
      <c r="K287" s="267"/>
      <c r="L287" s="267"/>
      <c r="M287" s="267"/>
      <c r="N287" s="249"/>
      <c r="O287" s="368"/>
      <c r="P287" s="257"/>
      <c r="Q287" s="258">
        <f t="shared" si="36"/>
        <v>0</v>
      </c>
      <c r="R287" s="251">
        <f>VLOOKUP(C287,'BTH mủ tạp'!$C$247:$AI$312,33,0)</f>
        <v>0</v>
      </c>
      <c r="S287" s="264"/>
      <c r="T287" s="259">
        <f t="shared" si="35"/>
        <v>0</v>
      </c>
      <c r="U287" s="341">
        <f t="shared" si="33"/>
        <v>0</v>
      </c>
      <c r="V287" s="273">
        <f>VLOOKUP(C287,'Chấm công KT'!$C$240:$AJ$305,34,0)</f>
        <v>0</v>
      </c>
      <c r="W287" s="273">
        <f>VLOOKUP(C287,'Chấm công KT'!$C$240:$AK$305,35,0)</f>
        <v>0</v>
      </c>
      <c r="X287" s="1147">
        <f>VLOOKUP(C287,'Chấm công KT'!C276:AL341,36,0)</f>
        <v>0</v>
      </c>
      <c r="Y287" s="1146"/>
      <c r="Z287" s="1146"/>
      <c r="AA287" s="1146"/>
      <c r="AB287" s="268"/>
      <c r="AC287" s="263">
        <f t="shared" si="34"/>
        <v>0</v>
      </c>
      <c r="AD287" s="147" t="str">
        <f>VLOOKUP(C287,'BTH mủ tạp'!$C$15:$AL$305,36,0)</f>
        <v>C</v>
      </c>
      <c r="AE287" s="261"/>
      <c r="AF287" s="119"/>
    </row>
    <row r="288" spans="1:32" ht="18.75" customHeight="1">
      <c r="A288" s="248">
        <v>38</v>
      </c>
      <c r="B288" s="336" t="str">
        <f>'Chấm công KT'!D277</f>
        <v>03682</v>
      </c>
      <c r="C288" s="265" t="str">
        <f>'Chấm công KT'!C277</f>
        <v>T . Mưn</v>
      </c>
      <c r="D288" s="144" t="s">
        <v>43</v>
      </c>
      <c r="E288" s="352"/>
      <c r="F288" s="352"/>
      <c r="G288" s="352"/>
      <c r="H288" s="352"/>
      <c r="I288" s="353"/>
      <c r="J288" s="337"/>
      <c r="K288" s="267"/>
      <c r="L288" s="267"/>
      <c r="M288" s="267"/>
      <c r="N288" s="249"/>
      <c r="O288" s="368"/>
      <c r="P288" s="257"/>
      <c r="Q288" s="258">
        <f t="shared" si="36"/>
        <v>0</v>
      </c>
      <c r="R288" s="251">
        <f>VLOOKUP(C288,'BTH mủ tạp'!$C$247:$AI$312,33,0)</f>
        <v>0</v>
      </c>
      <c r="S288" s="264"/>
      <c r="T288" s="259">
        <f t="shared" si="35"/>
        <v>0</v>
      </c>
      <c r="U288" s="341">
        <f t="shared" si="33"/>
        <v>0</v>
      </c>
      <c r="V288" s="273">
        <f>VLOOKUP(C288,'Chấm công KT'!$C$240:$AJ$305,34,0)</f>
        <v>0</v>
      </c>
      <c r="W288" s="273">
        <f>VLOOKUP(C288,'Chấm công KT'!$C$240:$AK$305,35,0)</f>
        <v>0</v>
      </c>
      <c r="X288" s="1147">
        <f>VLOOKUP(C288,'Chấm công KT'!C277:AL342,36,0)</f>
        <v>0</v>
      </c>
      <c r="Y288" s="1146"/>
      <c r="Z288" s="1146"/>
      <c r="AA288" s="1146"/>
      <c r="AB288" s="268"/>
      <c r="AC288" s="263">
        <f t="shared" si="34"/>
        <v>0</v>
      </c>
      <c r="AD288" s="147" t="str">
        <f>VLOOKUP(C288,'BTH mủ tạp'!$C$15:$AL$305,36,0)</f>
        <v>B</v>
      </c>
      <c r="AE288" s="261"/>
      <c r="AF288" s="119"/>
    </row>
    <row r="289" spans="1:35" ht="18.75" customHeight="1">
      <c r="A289" s="248">
        <v>39</v>
      </c>
      <c r="B289" s="336" t="str">
        <f>'Chấm công KT'!D278</f>
        <v>03683</v>
      </c>
      <c r="C289" s="265" t="str">
        <f>'Chấm công KT'!C278</f>
        <v>T. Ô</v>
      </c>
      <c r="D289" s="144" t="s">
        <v>43</v>
      </c>
      <c r="E289" s="352"/>
      <c r="F289" s="352"/>
      <c r="G289" s="352"/>
      <c r="H289" s="352"/>
      <c r="I289" s="353"/>
      <c r="J289" s="337"/>
      <c r="K289" s="267"/>
      <c r="L289" s="267"/>
      <c r="M289" s="267"/>
      <c r="N289" s="249"/>
      <c r="O289" s="368"/>
      <c r="P289" s="257"/>
      <c r="Q289" s="258">
        <f t="shared" si="36"/>
        <v>0</v>
      </c>
      <c r="R289" s="251">
        <f>VLOOKUP(C289,'BTH mủ tạp'!$C$247:$AI$312,33,0)</f>
        <v>0</v>
      </c>
      <c r="S289" s="264"/>
      <c r="T289" s="259">
        <f t="shared" si="35"/>
        <v>0</v>
      </c>
      <c r="U289" s="341">
        <f t="shared" si="33"/>
        <v>0</v>
      </c>
      <c r="V289" s="273">
        <f>VLOOKUP(C289,'Chấm công KT'!$C$240:$AJ$305,34,0)</f>
        <v>0</v>
      </c>
      <c r="W289" s="273">
        <f>VLOOKUP(C289,'Chấm công KT'!$C$240:$AK$305,35,0)</f>
        <v>0</v>
      </c>
      <c r="X289" s="1147">
        <f>VLOOKUP(C289,'Chấm công KT'!C278:AL343,36,0)</f>
        <v>0</v>
      </c>
      <c r="Y289" s="1146"/>
      <c r="Z289" s="1146"/>
      <c r="AA289" s="1146"/>
      <c r="AB289" s="268"/>
      <c r="AC289" s="263">
        <f t="shared" si="34"/>
        <v>0</v>
      </c>
      <c r="AD289" s="147" t="str">
        <f>VLOOKUP(C289,'BTH mủ tạp'!$C$15:$AL$305,36,0)</f>
        <v>B</v>
      </c>
      <c r="AE289" s="261"/>
      <c r="AF289" s="119"/>
    </row>
    <row r="290" spans="1:35" ht="18.75" customHeight="1">
      <c r="A290" s="248">
        <v>40</v>
      </c>
      <c r="B290" s="336" t="str">
        <f>'Chấm công KT'!D279</f>
        <v>03684</v>
      </c>
      <c r="C290" s="265" t="str">
        <f>'Chấm công KT'!C279</f>
        <v>N. Lem</v>
      </c>
      <c r="D290" s="144" t="s">
        <v>43</v>
      </c>
      <c r="E290" s="352"/>
      <c r="F290" s="352"/>
      <c r="G290" s="352"/>
      <c r="H290" s="352"/>
      <c r="I290" s="353"/>
      <c r="J290" s="337"/>
      <c r="K290" s="267"/>
      <c r="L290" s="267"/>
      <c r="M290" s="267"/>
      <c r="N290" s="249"/>
      <c r="O290" s="368"/>
      <c r="P290" s="257"/>
      <c r="Q290" s="258">
        <f t="shared" si="36"/>
        <v>0</v>
      </c>
      <c r="R290" s="251">
        <f>VLOOKUP(C290,'BTH mủ tạp'!$C$247:$AI$312,33,0)</f>
        <v>0</v>
      </c>
      <c r="S290" s="264"/>
      <c r="T290" s="259">
        <f t="shared" si="35"/>
        <v>0</v>
      </c>
      <c r="U290" s="341">
        <f t="shared" si="33"/>
        <v>0</v>
      </c>
      <c r="V290" s="273">
        <f>VLOOKUP(C290,'Chấm công KT'!$C$240:$AJ$305,34,0)</f>
        <v>0</v>
      </c>
      <c r="W290" s="273">
        <f>VLOOKUP(C290,'Chấm công KT'!$C$240:$AK$305,35,0)</f>
        <v>0</v>
      </c>
      <c r="X290" s="1147">
        <f>VLOOKUP(C290,'Chấm công KT'!C279:AL344,36,0)</f>
        <v>0</v>
      </c>
      <c r="Y290" s="1146"/>
      <c r="Z290" s="1146"/>
      <c r="AA290" s="1146"/>
      <c r="AB290" s="268"/>
      <c r="AC290" s="263">
        <f t="shared" si="34"/>
        <v>0</v>
      </c>
      <c r="AD290" s="147" t="str">
        <f>VLOOKUP(C290,'BTH mủ tạp'!$C$15:$AL$305,36,0)</f>
        <v>C</v>
      </c>
      <c r="AE290" s="261"/>
      <c r="AF290" s="119"/>
    </row>
    <row r="291" spans="1:35" ht="18.75" customHeight="1">
      <c r="A291" s="248">
        <v>41</v>
      </c>
      <c r="B291" s="336" t="str">
        <f>'Chấm công KT'!D280</f>
        <v>03685</v>
      </c>
      <c r="C291" s="265" t="str">
        <f>'Chấm công KT'!C280</f>
        <v>T. Nọi (4)</v>
      </c>
      <c r="D291" s="144" t="s">
        <v>43</v>
      </c>
      <c r="E291" s="352"/>
      <c r="F291" s="352"/>
      <c r="G291" s="352"/>
      <c r="H291" s="352"/>
      <c r="I291" s="353"/>
      <c r="J291" s="337"/>
      <c r="K291" s="267"/>
      <c r="L291" s="267"/>
      <c r="M291" s="267"/>
      <c r="N291" s="249"/>
      <c r="O291" s="368"/>
      <c r="P291" s="257"/>
      <c r="Q291" s="258">
        <f t="shared" si="36"/>
        <v>0</v>
      </c>
      <c r="R291" s="251">
        <f>VLOOKUP(C291,'BTH mủ tạp'!$C$247:$AI$312,33,0)</f>
        <v>0</v>
      </c>
      <c r="S291" s="264"/>
      <c r="T291" s="259">
        <f t="shared" si="35"/>
        <v>0</v>
      </c>
      <c r="U291" s="341">
        <f t="shared" si="33"/>
        <v>0</v>
      </c>
      <c r="V291" s="273">
        <f>VLOOKUP(C291,'Chấm công KT'!$C$240:$AJ$305,34,0)</f>
        <v>0</v>
      </c>
      <c r="W291" s="273">
        <f>VLOOKUP(C291,'Chấm công KT'!$C$240:$AK$305,35,0)</f>
        <v>0</v>
      </c>
      <c r="X291" s="1147">
        <f>VLOOKUP(C291,'Chấm công KT'!C280:AL345,36,0)</f>
        <v>0</v>
      </c>
      <c r="Y291" s="1146"/>
      <c r="Z291" s="1146"/>
      <c r="AA291" s="1146"/>
      <c r="AB291" s="268"/>
      <c r="AC291" s="263">
        <f t="shared" si="34"/>
        <v>0</v>
      </c>
      <c r="AD291" s="147" t="str">
        <f>VLOOKUP(C291,'BTH mủ tạp'!$C$15:$AL$305,36,0)</f>
        <v>B</v>
      </c>
      <c r="AE291" s="261"/>
      <c r="AF291" s="119"/>
    </row>
    <row r="292" spans="1:35" ht="18.75" customHeight="1">
      <c r="A292" s="248">
        <v>42</v>
      </c>
      <c r="B292" s="336" t="str">
        <f>'Chấm công KT'!D281</f>
        <v>03556</v>
      </c>
      <c r="C292" s="265" t="str">
        <f>'Chấm công KT'!C281</f>
        <v>T. Mi</v>
      </c>
      <c r="D292" s="144" t="s">
        <v>43</v>
      </c>
      <c r="E292" s="352"/>
      <c r="F292" s="352"/>
      <c r="G292" s="352"/>
      <c r="H292" s="352"/>
      <c r="I292" s="353"/>
      <c r="J292" s="337"/>
      <c r="K292" s="267"/>
      <c r="L292" s="267"/>
      <c r="M292" s="267"/>
      <c r="N292" s="249"/>
      <c r="O292" s="368"/>
      <c r="P292" s="257"/>
      <c r="Q292" s="258">
        <f t="shared" si="36"/>
        <v>0</v>
      </c>
      <c r="R292" s="251">
        <f>VLOOKUP(C292,'BTH mủ tạp'!$C$247:$AI$312,33,0)</f>
        <v>0</v>
      </c>
      <c r="S292" s="264"/>
      <c r="T292" s="259">
        <f t="shared" si="35"/>
        <v>0</v>
      </c>
      <c r="U292" s="341">
        <f t="shared" si="33"/>
        <v>0</v>
      </c>
      <c r="V292" s="273">
        <f>VLOOKUP(C292,'Chấm công KT'!$C$240:$AJ$305,34,0)</f>
        <v>0</v>
      </c>
      <c r="W292" s="273">
        <f>VLOOKUP(C292,'Chấm công KT'!$C$240:$AK$305,35,0)</f>
        <v>0</v>
      </c>
      <c r="X292" s="1147">
        <f>VLOOKUP(C292,'Chấm công KT'!C281:AL346,36,0)</f>
        <v>0</v>
      </c>
      <c r="Y292" s="1146"/>
      <c r="Z292" s="1146"/>
      <c r="AA292" s="1146"/>
      <c r="AB292" s="268"/>
      <c r="AC292" s="263">
        <f t="shared" si="34"/>
        <v>0</v>
      </c>
      <c r="AD292" s="147" t="str">
        <f>VLOOKUP(C292,'BTH mủ tạp'!$C$15:$AL$305,36,0)</f>
        <v>B</v>
      </c>
      <c r="AE292" s="261"/>
      <c r="AF292" s="119"/>
    </row>
    <row r="293" spans="1:35" ht="18.75" customHeight="1">
      <c r="A293" s="248">
        <v>43</v>
      </c>
      <c r="B293" s="336" t="str">
        <f>'Chấm công KT'!D282</f>
        <v>03687</v>
      </c>
      <c r="C293" s="265" t="str">
        <f>'Chấm công KT'!C282</f>
        <v>T. Lẹ</v>
      </c>
      <c r="D293" s="144" t="s">
        <v>43</v>
      </c>
      <c r="E293" s="352"/>
      <c r="F293" s="352"/>
      <c r="G293" s="352"/>
      <c r="H293" s="352"/>
      <c r="I293" s="353"/>
      <c r="J293" s="337"/>
      <c r="K293" s="267"/>
      <c r="L293" s="267"/>
      <c r="M293" s="267"/>
      <c r="N293" s="249"/>
      <c r="O293" s="368"/>
      <c r="P293" s="257"/>
      <c r="Q293" s="258">
        <f t="shared" si="36"/>
        <v>0</v>
      </c>
      <c r="R293" s="251">
        <f>VLOOKUP(C293,'BTH mủ tạp'!$C$247:$AI$312,33,0)</f>
        <v>0</v>
      </c>
      <c r="S293" s="264"/>
      <c r="T293" s="259">
        <f t="shared" si="35"/>
        <v>0</v>
      </c>
      <c r="U293" s="341">
        <f t="shared" si="33"/>
        <v>0</v>
      </c>
      <c r="V293" s="273">
        <f>VLOOKUP(C293,'Chấm công KT'!$C$240:$AJ$305,34,0)</f>
        <v>0</v>
      </c>
      <c r="W293" s="273">
        <f>VLOOKUP(C293,'Chấm công KT'!$C$240:$AK$305,35,0)</f>
        <v>0</v>
      </c>
      <c r="X293" s="1147">
        <f>VLOOKUP(C293,'Chấm công KT'!C282:AL347,36,0)</f>
        <v>0</v>
      </c>
      <c r="Y293" s="1146"/>
      <c r="Z293" s="1146"/>
      <c r="AA293" s="1146"/>
      <c r="AB293" s="268"/>
      <c r="AC293" s="263">
        <f t="shared" si="34"/>
        <v>0</v>
      </c>
      <c r="AD293" s="147" t="str">
        <f>VLOOKUP(C293,'BTH mủ tạp'!$C$15:$AL$305,36,0)</f>
        <v>B</v>
      </c>
      <c r="AE293" s="261"/>
      <c r="AF293" s="119">
        <v>169.92</v>
      </c>
    </row>
    <row r="294" spans="1:35" ht="18.75" customHeight="1">
      <c r="A294" s="248">
        <v>44</v>
      </c>
      <c r="B294" s="336" t="str">
        <f>'Chấm công KT'!D283</f>
        <v>03688</v>
      </c>
      <c r="C294" s="265" t="str">
        <f>'Chấm công KT'!C283</f>
        <v>N. Sum Kang</v>
      </c>
      <c r="D294" s="144" t="s">
        <v>43</v>
      </c>
      <c r="E294" s="352"/>
      <c r="F294" s="352"/>
      <c r="G294" s="352"/>
      <c r="H294" s="352"/>
      <c r="I294" s="353"/>
      <c r="J294" s="337"/>
      <c r="K294" s="267"/>
      <c r="L294" s="267"/>
      <c r="M294" s="267"/>
      <c r="N294" s="249"/>
      <c r="O294" s="368"/>
      <c r="P294" s="257"/>
      <c r="Q294" s="258">
        <f t="shared" si="36"/>
        <v>0</v>
      </c>
      <c r="R294" s="251">
        <f>VLOOKUP(C294,'BTH mủ tạp'!$C$247:$AI$312,33,0)</f>
        <v>0</v>
      </c>
      <c r="S294" s="264"/>
      <c r="T294" s="259">
        <f t="shared" si="35"/>
        <v>0</v>
      </c>
      <c r="U294" s="341">
        <f t="shared" si="33"/>
        <v>0</v>
      </c>
      <c r="V294" s="273">
        <f>VLOOKUP(C294,'Chấm công KT'!$C$240:$AJ$305,34,0)</f>
        <v>0</v>
      </c>
      <c r="W294" s="273">
        <f>VLOOKUP(C294,'Chấm công KT'!$C$240:$AK$305,35,0)</f>
        <v>0</v>
      </c>
      <c r="X294" s="1147">
        <f>VLOOKUP(C294,'Chấm công KT'!C283:AL348,36,0)</f>
        <v>0</v>
      </c>
      <c r="Y294" s="1146"/>
      <c r="Z294" s="1146"/>
      <c r="AA294" s="1146"/>
      <c r="AB294" s="268"/>
      <c r="AC294" s="263">
        <f t="shared" si="34"/>
        <v>0</v>
      </c>
      <c r="AD294" s="147" t="str">
        <f>VLOOKUP(C294,'BTH mủ tạp'!$C$15:$AL$305,36,0)</f>
        <v>C</v>
      </c>
      <c r="AE294" s="261"/>
      <c r="AF294" s="119">
        <v>173.28</v>
      </c>
    </row>
    <row r="295" spans="1:35" ht="18.75" customHeight="1">
      <c r="A295" s="248">
        <v>45</v>
      </c>
      <c r="B295" s="336" t="str">
        <f>'Chấm công KT'!D284</f>
        <v>02732</v>
      </c>
      <c r="C295" s="265" t="str">
        <f>'Chấm công KT'!C284</f>
        <v xml:space="preserve">N. Khăm </v>
      </c>
      <c r="D295" s="144" t="s">
        <v>43</v>
      </c>
      <c r="E295" s="352"/>
      <c r="F295" s="352"/>
      <c r="G295" s="352"/>
      <c r="H295" s="352"/>
      <c r="I295" s="353"/>
      <c r="J295" s="337"/>
      <c r="K295" s="267"/>
      <c r="L295" s="267"/>
      <c r="M295" s="267"/>
      <c r="N295" s="249"/>
      <c r="O295" s="368"/>
      <c r="P295" s="257"/>
      <c r="Q295" s="258">
        <f t="shared" si="36"/>
        <v>0</v>
      </c>
      <c r="R295" s="251">
        <f>VLOOKUP(C295,'BTH mủ tạp'!$C$247:$AI$312,33,0)</f>
        <v>0</v>
      </c>
      <c r="S295" s="264"/>
      <c r="T295" s="259">
        <f t="shared" si="35"/>
        <v>0</v>
      </c>
      <c r="U295" s="341">
        <f t="shared" si="33"/>
        <v>0</v>
      </c>
      <c r="V295" s="273">
        <f>VLOOKUP(C295,'Chấm công KT'!$C$240:$AJ$305,34,0)</f>
        <v>0</v>
      </c>
      <c r="W295" s="273">
        <f>VLOOKUP(C295,'Chấm công KT'!$C$240:$AK$305,35,0)</f>
        <v>0</v>
      </c>
      <c r="X295" s="1147">
        <f>VLOOKUP(C295,'Chấm công KT'!C284:AL349,36,0)</f>
        <v>0</v>
      </c>
      <c r="Y295" s="1146"/>
      <c r="Z295" s="1146"/>
      <c r="AA295" s="1146"/>
      <c r="AB295" s="268"/>
      <c r="AC295" s="263">
        <f t="shared" si="34"/>
        <v>0</v>
      </c>
      <c r="AD295" s="147" t="str">
        <f>VLOOKUP(C295,'BTH mủ tạp'!$C$15:$AL$305,36,0)</f>
        <v>A</v>
      </c>
      <c r="AE295" s="261"/>
      <c r="AF295" s="119">
        <v>140.6</v>
      </c>
      <c r="AH295" s="2">
        <v>1398</v>
      </c>
      <c r="AI295" s="2">
        <v>188</v>
      </c>
    </row>
    <row r="296" spans="1:35" ht="18.75" customHeight="1">
      <c r="A296" s="248">
        <v>46</v>
      </c>
      <c r="B296" s="336" t="str">
        <f>'Chấm công KT'!D285</f>
        <v>03690</v>
      </c>
      <c r="C296" s="265" t="str">
        <f>'Chấm công KT'!C285</f>
        <v>T. Xủm</v>
      </c>
      <c r="D296" s="144" t="s">
        <v>43</v>
      </c>
      <c r="E296" s="352"/>
      <c r="F296" s="352"/>
      <c r="G296" s="352"/>
      <c r="H296" s="352"/>
      <c r="I296" s="353"/>
      <c r="J296" s="337"/>
      <c r="K296" s="267"/>
      <c r="L296" s="267"/>
      <c r="M296" s="267"/>
      <c r="N296" s="249"/>
      <c r="O296" s="368"/>
      <c r="P296" s="257"/>
      <c r="Q296" s="258">
        <f t="shared" si="36"/>
        <v>0</v>
      </c>
      <c r="R296" s="251">
        <f>VLOOKUP(C296,'BTH mủ tạp'!$C$247:$AI$312,33,0)</f>
        <v>0</v>
      </c>
      <c r="S296" s="264"/>
      <c r="T296" s="259">
        <f t="shared" si="35"/>
        <v>0</v>
      </c>
      <c r="U296" s="341">
        <f t="shared" si="33"/>
        <v>0</v>
      </c>
      <c r="V296" s="273">
        <f>VLOOKUP(C296,'Chấm công KT'!$C$240:$AJ$305,34,0)</f>
        <v>0</v>
      </c>
      <c r="W296" s="273">
        <f>VLOOKUP(C296,'Chấm công KT'!$C$240:$AK$305,35,0)</f>
        <v>0</v>
      </c>
      <c r="X296" s="1147">
        <f>VLOOKUP(C296,'Chấm công KT'!C285:AL350,36,0)</f>
        <v>0</v>
      </c>
      <c r="Y296" s="1146"/>
      <c r="Z296" s="1146"/>
      <c r="AA296" s="1146"/>
      <c r="AB296" s="268"/>
      <c r="AC296" s="263">
        <f t="shared" ref="AC296:AC303" si="37">+Q296</f>
        <v>0</v>
      </c>
      <c r="AD296" s="147" t="str">
        <f>VLOOKUP(C296,'BTH mủ tạp'!$C$15:$AL$305,36,0)</f>
        <v>B</v>
      </c>
      <c r="AE296" s="261"/>
      <c r="AF296" s="119">
        <v>254.12</v>
      </c>
    </row>
    <row r="297" spans="1:35" ht="18.75" customHeight="1">
      <c r="A297" s="248">
        <v>47</v>
      </c>
      <c r="B297" s="336" t="str">
        <f>'Chấm công KT'!D286</f>
        <v>03691</v>
      </c>
      <c r="C297" s="265" t="str">
        <f>'Chấm công KT'!C286</f>
        <v>N. Keo Khăm</v>
      </c>
      <c r="D297" s="144" t="s">
        <v>43</v>
      </c>
      <c r="E297" s="352"/>
      <c r="F297" s="352"/>
      <c r="G297" s="352"/>
      <c r="H297" s="352"/>
      <c r="I297" s="353"/>
      <c r="J297" s="337"/>
      <c r="K297" s="267"/>
      <c r="L297" s="267"/>
      <c r="M297" s="267"/>
      <c r="N297" s="249"/>
      <c r="O297" s="368"/>
      <c r="P297" s="257"/>
      <c r="Q297" s="258">
        <f t="shared" si="36"/>
        <v>0</v>
      </c>
      <c r="R297" s="251">
        <f>VLOOKUP(C297,'BTH mủ tạp'!$C$247:$AI$312,33,0)</f>
        <v>0</v>
      </c>
      <c r="S297" s="264"/>
      <c r="T297" s="259">
        <f t="shared" si="35"/>
        <v>0</v>
      </c>
      <c r="U297" s="341">
        <f t="shared" si="33"/>
        <v>0</v>
      </c>
      <c r="V297" s="273">
        <f>VLOOKUP(C297,'Chấm công KT'!$C$240:$AJ$305,34,0)</f>
        <v>0</v>
      </c>
      <c r="W297" s="273">
        <f>VLOOKUP(C297,'Chấm công KT'!$C$240:$AK$305,35,0)</f>
        <v>0</v>
      </c>
      <c r="X297" s="1147">
        <f>VLOOKUP(C297,'Chấm công KT'!C286:AL351,36,0)</f>
        <v>0</v>
      </c>
      <c r="Y297" s="1146"/>
      <c r="Z297" s="1146"/>
      <c r="AA297" s="1146"/>
      <c r="AB297" s="268"/>
      <c r="AC297" s="263">
        <f t="shared" si="37"/>
        <v>0</v>
      </c>
      <c r="AD297" s="147" t="str">
        <f>VLOOKUP(C297,'BTH mủ tạp'!$C$15:$AL$305,36,0)</f>
        <v>B</v>
      </c>
      <c r="AE297" s="261"/>
      <c r="AF297" s="119">
        <f>SUM(AF293:AF296)</f>
        <v>737.92</v>
      </c>
    </row>
    <row r="298" spans="1:35" ht="18.75" customHeight="1">
      <c r="A298" s="248">
        <v>48</v>
      </c>
      <c r="B298" s="336" t="str">
        <f>'Chấm công KT'!D287</f>
        <v>03692</v>
      </c>
      <c r="C298" s="265" t="str">
        <f>'Chấm công KT'!C287</f>
        <v>T. Choi</v>
      </c>
      <c r="D298" s="144" t="s">
        <v>43</v>
      </c>
      <c r="E298" s="352"/>
      <c r="F298" s="352"/>
      <c r="G298" s="352"/>
      <c r="H298" s="352"/>
      <c r="I298" s="353"/>
      <c r="J298" s="337"/>
      <c r="K298" s="267"/>
      <c r="L298" s="267"/>
      <c r="M298" s="267"/>
      <c r="N298" s="249"/>
      <c r="O298" s="368"/>
      <c r="P298" s="257"/>
      <c r="Q298" s="258">
        <f t="shared" si="36"/>
        <v>0</v>
      </c>
      <c r="R298" s="251">
        <f>VLOOKUP(C298,'BTH mủ tạp'!$C$247:$AI$312,33,0)</f>
        <v>0</v>
      </c>
      <c r="S298" s="264"/>
      <c r="T298" s="259">
        <f t="shared" si="35"/>
        <v>0</v>
      </c>
      <c r="U298" s="341">
        <f t="shared" si="33"/>
        <v>0</v>
      </c>
      <c r="V298" s="273">
        <f>VLOOKUP(C298,'Chấm công KT'!$C$240:$AJ$305,34,0)</f>
        <v>0</v>
      </c>
      <c r="W298" s="273">
        <f>VLOOKUP(C298,'Chấm công KT'!$C$240:$AK$305,35,0)</f>
        <v>0</v>
      </c>
      <c r="X298" s="1147">
        <f>VLOOKUP(C298,'Chấm công KT'!C287:AL352,36,0)</f>
        <v>0</v>
      </c>
      <c r="Y298" s="1146"/>
      <c r="Z298" s="1146"/>
      <c r="AA298" s="1146"/>
      <c r="AB298" s="268"/>
      <c r="AC298" s="263">
        <f t="shared" si="37"/>
        <v>0</v>
      </c>
      <c r="AD298" s="147" t="str">
        <f>VLOOKUP(C298,'BTH mủ tạp'!$C$15:$AL$305,36,0)</f>
        <v>A</v>
      </c>
      <c r="AE298" s="261"/>
      <c r="AF298" s="119"/>
    </row>
    <row r="299" spans="1:35" ht="18.75" customHeight="1">
      <c r="A299" s="248">
        <v>49</v>
      </c>
      <c r="B299" s="336" t="str">
        <f>'Chấm công KT'!D288</f>
        <v>03693</v>
      </c>
      <c r="C299" s="265" t="str">
        <f>'Chấm công KT'!C288</f>
        <v>N. Phút</v>
      </c>
      <c r="D299" s="144" t="s">
        <v>43</v>
      </c>
      <c r="E299" s="352"/>
      <c r="F299" s="352"/>
      <c r="G299" s="352"/>
      <c r="H299" s="352"/>
      <c r="I299" s="353"/>
      <c r="J299" s="337"/>
      <c r="K299" s="267"/>
      <c r="L299" s="267"/>
      <c r="M299" s="267"/>
      <c r="N299" s="249"/>
      <c r="O299" s="368"/>
      <c r="P299" s="257"/>
      <c r="Q299" s="258">
        <f t="shared" si="36"/>
        <v>0</v>
      </c>
      <c r="R299" s="251">
        <f>VLOOKUP(C299,'BTH mủ tạp'!$C$247:$AI$312,33,0)</f>
        <v>0</v>
      </c>
      <c r="S299" s="264"/>
      <c r="T299" s="259">
        <f t="shared" si="35"/>
        <v>0</v>
      </c>
      <c r="U299" s="341">
        <f t="shared" si="33"/>
        <v>0</v>
      </c>
      <c r="V299" s="273">
        <f>VLOOKUP(C299,'Chấm công KT'!$C$240:$AJ$305,34,0)</f>
        <v>0</v>
      </c>
      <c r="W299" s="273">
        <f>VLOOKUP(C299,'Chấm công KT'!$C$240:$AK$305,35,0)</f>
        <v>0</v>
      </c>
      <c r="X299" s="1147">
        <f>VLOOKUP(C299,'Chấm công KT'!C288:AL353,36,0)</f>
        <v>0</v>
      </c>
      <c r="Y299" s="1146"/>
      <c r="Z299" s="1146"/>
      <c r="AA299" s="1146"/>
      <c r="AB299" s="268"/>
      <c r="AC299" s="263">
        <f>+Q299</f>
        <v>0</v>
      </c>
      <c r="AD299" s="147" t="str">
        <f>VLOOKUP(C299,'BTH mủ tạp'!$C$15:$AL$305,36,0)</f>
        <v>A</v>
      </c>
      <c r="AE299" s="261"/>
      <c r="AF299" s="119"/>
    </row>
    <row r="300" spans="1:35" ht="18.75" customHeight="1">
      <c r="A300" s="248">
        <v>50</v>
      </c>
      <c r="B300" s="336" t="str">
        <f>'Chấm công KT'!D289</f>
        <v>03694</v>
      </c>
      <c r="C300" s="265" t="str">
        <f>'Chấm công KT'!C289</f>
        <v>Vông Chăn</v>
      </c>
      <c r="D300" s="144" t="s">
        <v>43</v>
      </c>
      <c r="E300" s="352"/>
      <c r="F300" s="352"/>
      <c r="G300" s="352"/>
      <c r="H300" s="352"/>
      <c r="I300" s="353"/>
      <c r="J300" s="337"/>
      <c r="K300" s="267"/>
      <c r="L300" s="267"/>
      <c r="M300" s="267"/>
      <c r="N300" s="249"/>
      <c r="O300" s="368"/>
      <c r="P300" s="257"/>
      <c r="Q300" s="258">
        <f t="shared" si="36"/>
        <v>0</v>
      </c>
      <c r="R300" s="251">
        <f>VLOOKUP(C300,'BTH mủ tạp'!$C$247:$AI$312,33,0)</f>
        <v>0</v>
      </c>
      <c r="S300" s="264"/>
      <c r="T300" s="259">
        <f t="shared" si="35"/>
        <v>0</v>
      </c>
      <c r="U300" s="341">
        <f t="shared" si="33"/>
        <v>0</v>
      </c>
      <c r="V300" s="273">
        <f>VLOOKUP(C300,'Chấm công KT'!$C$240:$AJ$305,34,0)</f>
        <v>0</v>
      </c>
      <c r="W300" s="273">
        <f>VLOOKUP(C300,'Chấm công KT'!$C$240:$AK$305,35,0)</f>
        <v>0</v>
      </c>
      <c r="X300" s="1147">
        <f>VLOOKUP(C300,'Chấm công KT'!C289:AL354,36,0)</f>
        <v>0</v>
      </c>
      <c r="Y300" s="1146"/>
      <c r="Z300" s="1146"/>
      <c r="AA300" s="1146"/>
      <c r="AB300" s="268"/>
      <c r="AC300" s="263">
        <f t="shared" si="37"/>
        <v>0</v>
      </c>
      <c r="AD300" s="147" t="str">
        <f>VLOOKUP(C300,'BTH mủ tạp'!$C$15:$AL$305,36,0)</f>
        <v>B</v>
      </c>
      <c r="AE300" s="261"/>
      <c r="AF300" s="119"/>
    </row>
    <row r="301" spans="1:35" ht="18.75" customHeight="1">
      <c r="A301" s="248">
        <v>51</v>
      </c>
      <c r="B301" s="336" t="str">
        <f>'Chấm công KT'!D290</f>
        <v>03695</v>
      </c>
      <c r="C301" s="265" t="str">
        <f>'Chấm công KT'!C290</f>
        <v>T. Mựt</v>
      </c>
      <c r="D301" s="144" t="s">
        <v>43</v>
      </c>
      <c r="E301" s="352"/>
      <c r="F301" s="352"/>
      <c r="G301" s="352"/>
      <c r="H301" s="352"/>
      <c r="I301" s="353"/>
      <c r="J301" s="337"/>
      <c r="K301" s="267"/>
      <c r="L301" s="267"/>
      <c r="M301" s="267"/>
      <c r="N301" s="249"/>
      <c r="O301" s="368"/>
      <c r="P301" s="257"/>
      <c r="Q301" s="258">
        <f t="shared" si="36"/>
        <v>0</v>
      </c>
      <c r="R301" s="251">
        <f>VLOOKUP(C301,'BTH mủ tạp'!$C$247:$AI$312,33,0)</f>
        <v>0</v>
      </c>
      <c r="S301" s="264"/>
      <c r="T301" s="259">
        <f t="shared" si="35"/>
        <v>0</v>
      </c>
      <c r="U301" s="341">
        <f t="shared" si="33"/>
        <v>0</v>
      </c>
      <c r="V301" s="273">
        <f>VLOOKUP(C301,'Chấm công KT'!$C$240:$AJ$305,34,0)</f>
        <v>0</v>
      </c>
      <c r="W301" s="273">
        <f>VLOOKUP(C301,'Chấm công KT'!$C$240:$AK$305,35,0)</f>
        <v>0</v>
      </c>
      <c r="X301" s="1147">
        <f>VLOOKUP(C301,'Chấm công KT'!C290:AL355,36,0)</f>
        <v>0</v>
      </c>
      <c r="Y301" s="1146"/>
      <c r="Z301" s="1146"/>
      <c r="AA301" s="1146"/>
      <c r="AB301" s="268"/>
      <c r="AC301" s="263">
        <f t="shared" si="37"/>
        <v>0</v>
      </c>
      <c r="AD301" s="147" t="str">
        <f>VLOOKUP(C301,'BTH mủ tạp'!$C$15:$AL$305,36,0)</f>
        <v>B</v>
      </c>
      <c r="AE301" s="293"/>
      <c r="AF301" s="119"/>
    </row>
    <row r="302" spans="1:35" ht="18.75" customHeight="1">
      <c r="A302" s="248">
        <v>52</v>
      </c>
      <c r="B302" s="336" t="str">
        <f>'Chấm công KT'!D291</f>
        <v>03696</v>
      </c>
      <c r="C302" s="265" t="str">
        <f>'Chấm công KT'!C291</f>
        <v>Bun Lôm</v>
      </c>
      <c r="D302" s="144" t="s">
        <v>43</v>
      </c>
      <c r="E302" s="352"/>
      <c r="F302" s="352"/>
      <c r="G302" s="352"/>
      <c r="H302" s="352"/>
      <c r="I302" s="353"/>
      <c r="J302" s="337"/>
      <c r="K302" s="267"/>
      <c r="L302" s="267"/>
      <c r="M302" s="267"/>
      <c r="N302" s="249"/>
      <c r="O302" s="249"/>
      <c r="P302" s="249"/>
      <c r="Q302" s="258">
        <f t="shared" si="36"/>
        <v>0</v>
      </c>
      <c r="R302" s="251">
        <f>VLOOKUP(C302,'BTH mủ tạp'!$C$247:$AI$312,33,0)</f>
        <v>0</v>
      </c>
      <c r="S302" s="264"/>
      <c r="T302" s="259">
        <f t="shared" si="35"/>
        <v>0</v>
      </c>
      <c r="U302" s="341">
        <f t="shared" si="33"/>
        <v>0</v>
      </c>
      <c r="V302" s="273">
        <f>VLOOKUP(C302,'Chấm công KT'!$C$240:$AJ$305,34,0)</f>
        <v>0</v>
      </c>
      <c r="W302" s="273">
        <f>VLOOKUP(C302,'Chấm công KT'!$C$240:$AK$305,35,0)</f>
        <v>0</v>
      </c>
      <c r="X302" s="1147">
        <f>VLOOKUP(C302,'Chấm công KT'!C291:AL356,36,0)</f>
        <v>0</v>
      </c>
      <c r="Y302" s="1146"/>
      <c r="Z302" s="1146"/>
      <c r="AA302" s="1146"/>
      <c r="AB302" s="268"/>
      <c r="AC302" s="263">
        <f t="shared" si="37"/>
        <v>0</v>
      </c>
      <c r="AD302" s="147" t="str">
        <f>VLOOKUP(C302,'BTH mủ tạp'!$C$15:$AL$305,36,0)</f>
        <v>C</v>
      </c>
      <c r="AE302" s="293"/>
      <c r="AF302" s="119"/>
    </row>
    <row r="303" spans="1:35" ht="18.75" customHeight="1">
      <c r="A303" s="248">
        <v>53</v>
      </c>
      <c r="B303" s="336" t="str">
        <f>'Chấm công KT'!D292</f>
        <v>03697</v>
      </c>
      <c r="C303" s="265" t="str">
        <f>'Chấm công KT'!C292</f>
        <v>T. Nhã</v>
      </c>
      <c r="D303" s="144" t="s">
        <v>43</v>
      </c>
      <c r="E303" s="352"/>
      <c r="F303" s="352"/>
      <c r="G303" s="352"/>
      <c r="H303" s="352"/>
      <c r="I303" s="353"/>
      <c r="J303" s="337"/>
      <c r="K303" s="267"/>
      <c r="L303" s="267"/>
      <c r="M303" s="267"/>
      <c r="N303" s="249"/>
      <c r="O303" s="249"/>
      <c r="P303" s="249"/>
      <c r="Q303" s="258">
        <f t="shared" si="36"/>
        <v>0</v>
      </c>
      <c r="R303" s="251">
        <f>VLOOKUP(C303,'BTH mủ tạp'!$C$247:$AI$312,33,0)</f>
        <v>0</v>
      </c>
      <c r="S303" s="264"/>
      <c r="T303" s="259">
        <f t="shared" si="35"/>
        <v>0</v>
      </c>
      <c r="U303" s="341">
        <f t="shared" si="33"/>
        <v>0</v>
      </c>
      <c r="V303" s="273">
        <f>VLOOKUP(C303,'Chấm công KT'!$C$240:$AJ$305,34,0)</f>
        <v>0</v>
      </c>
      <c r="W303" s="273">
        <f>VLOOKUP(C303,'Chấm công KT'!$C$240:$AK$305,35,0)</f>
        <v>0</v>
      </c>
      <c r="X303" s="1147">
        <f>VLOOKUP(C303,'Chấm công KT'!C292:AL357,36,0)</f>
        <v>0</v>
      </c>
      <c r="Y303" s="1146"/>
      <c r="Z303" s="1146"/>
      <c r="AA303" s="1146"/>
      <c r="AB303" s="268"/>
      <c r="AC303" s="263">
        <f t="shared" si="37"/>
        <v>0</v>
      </c>
      <c r="AD303" s="147" t="str">
        <f>VLOOKUP(C303,'BTH mủ tạp'!$C$15:$AL$305,36,0)</f>
        <v>C</v>
      </c>
      <c r="AE303" s="293"/>
      <c r="AF303" s="119"/>
    </row>
    <row r="304" spans="1:35" s="971" customFormat="1" ht="18.75" customHeight="1">
      <c r="A304" s="248">
        <v>54</v>
      </c>
      <c r="B304" s="987"/>
      <c r="C304" s="265" t="str">
        <f>'Chấm công KT'!C293</f>
        <v>Thảo Ỉa</v>
      </c>
      <c r="D304" s="989" t="s">
        <v>43</v>
      </c>
      <c r="E304" s="956"/>
      <c r="F304" s="957"/>
      <c r="G304" s="957"/>
      <c r="H304" s="957"/>
      <c r="I304" s="990"/>
      <c r="J304" s="958"/>
      <c r="K304" s="956"/>
      <c r="L304" s="956"/>
      <c r="M304" s="956"/>
      <c r="N304" s="991"/>
      <c r="O304" s="991"/>
      <c r="P304" s="991"/>
      <c r="Q304" s="258">
        <f t="shared" si="36"/>
        <v>0</v>
      </c>
      <c r="R304" s="251">
        <f>VLOOKUP(C304,'BTH mủ tạp'!$C$247:$AI$312,33,0)</f>
        <v>0</v>
      </c>
      <c r="S304" s="992"/>
      <c r="T304" s="1031">
        <f t="shared" si="35"/>
        <v>0</v>
      </c>
      <c r="U304" s="341">
        <f t="shared" si="33"/>
        <v>0</v>
      </c>
      <c r="V304" s="273">
        <f>VLOOKUP(C304,'Chấm công KT'!$C$240:$AJ$305,34,0)</f>
        <v>0</v>
      </c>
      <c r="W304" s="273">
        <f>VLOOKUP(C304,'Chấm công KT'!$C$240:$AK$305,35,0)</f>
        <v>0</v>
      </c>
      <c r="X304" s="1147">
        <f>VLOOKUP(C304,'Chấm công KT'!C293:AL358,36,0)</f>
        <v>0</v>
      </c>
      <c r="Y304" s="1146"/>
      <c r="Z304" s="1146"/>
      <c r="AA304" s="1146"/>
      <c r="AB304" s="967"/>
      <c r="AC304" s="993">
        <f t="shared" ref="AC304:AC319" si="38">+Q304</f>
        <v>0</v>
      </c>
      <c r="AD304" s="147" t="str">
        <f>VLOOKUP(C304,'BTH mủ tạp'!$C$15:$AL$305,36,0)</f>
        <v>C.</v>
      </c>
      <c r="AE304" s="969"/>
      <c r="AF304" s="970"/>
    </row>
    <row r="305" spans="1:41" s="971" customFormat="1" ht="18.75" customHeight="1">
      <c r="A305" s="248">
        <v>55</v>
      </c>
      <c r="B305" s="987"/>
      <c r="C305" s="265" t="str">
        <f>'Chấm công KT'!C294</f>
        <v>Thảo Khăm</v>
      </c>
      <c r="D305" s="989" t="s">
        <v>43</v>
      </c>
      <c r="E305" s="956"/>
      <c r="F305" s="957"/>
      <c r="G305" s="957"/>
      <c r="H305" s="957"/>
      <c r="I305" s="990"/>
      <c r="J305" s="958"/>
      <c r="K305" s="956"/>
      <c r="L305" s="956"/>
      <c r="M305" s="956"/>
      <c r="N305" s="991"/>
      <c r="O305" s="991"/>
      <c r="P305" s="991"/>
      <c r="Q305" s="258">
        <f t="shared" si="36"/>
        <v>0</v>
      </c>
      <c r="R305" s="251">
        <f>VLOOKUP(C305,'BTH mủ tạp'!$C$247:$AI$312,33,0)</f>
        <v>0</v>
      </c>
      <c r="S305" s="992"/>
      <c r="T305" s="1031">
        <f t="shared" si="35"/>
        <v>0</v>
      </c>
      <c r="U305" s="341">
        <f t="shared" si="33"/>
        <v>0</v>
      </c>
      <c r="V305" s="273">
        <f>VLOOKUP(C305,'Chấm công KT'!$C$240:$AJ$305,34,0)</f>
        <v>0</v>
      </c>
      <c r="W305" s="273">
        <f>VLOOKUP(C305,'Chấm công KT'!$C$240:$AK$305,35,0)</f>
        <v>0</v>
      </c>
      <c r="X305" s="1147">
        <f>VLOOKUP(C305,'Chấm công KT'!C294:AL359,36,0)</f>
        <v>0</v>
      </c>
      <c r="Y305" s="1146"/>
      <c r="Z305" s="1146"/>
      <c r="AA305" s="1146"/>
      <c r="AB305" s="967"/>
      <c r="AC305" s="993">
        <f t="shared" si="38"/>
        <v>0</v>
      </c>
      <c r="AD305" s="147" t="str">
        <f>VLOOKUP(C305,'BTH mủ tạp'!$C$15:$AL$305,36,0)</f>
        <v>C.</v>
      </c>
      <c r="AE305" s="969"/>
      <c r="AF305" s="970"/>
    </row>
    <row r="306" spans="1:41" s="971" customFormat="1" ht="18.75" customHeight="1">
      <c r="A306" s="248">
        <v>56</v>
      </c>
      <c r="B306" s="987"/>
      <c r="C306" s="265" t="str">
        <f>'Chấm công KT'!C295</f>
        <v>Nàng Muôn</v>
      </c>
      <c r="D306" s="989" t="s">
        <v>43</v>
      </c>
      <c r="E306" s="956"/>
      <c r="F306" s="957"/>
      <c r="G306" s="957"/>
      <c r="H306" s="957"/>
      <c r="I306" s="990"/>
      <c r="J306" s="958"/>
      <c r="K306" s="956"/>
      <c r="L306" s="956"/>
      <c r="M306" s="956"/>
      <c r="N306" s="991"/>
      <c r="O306" s="991"/>
      <c r="P306" s="991"/>
      <c r="Q306" s="258">
        <f t="shared" si="36"/>
        <v>0</v>
      </c>
      <c r="R306" s="251">
        <f>VLOOKUP(C306,'BTH mủ tạp'!$C$247:$AI$312,33,0)</f>
        <v>0</v>
      </c>
      <c r="S306" s="992"/>
      <c r="T306" s="1031">
        <f t="shared" si="35"/>
        <v>0</v>
      </c>
      <c r="U306" s="341">
        <f t="shared" si="33"/>
        <v>0</v>
      </c>
      <c r="V306" s="273">
        <f>VLOOKUP(C306,'Chấm công KT'!$C$240:$AJ$305,34,0)</f>
        <v>0</v>
      </c>
      <c r="W306" s="273">
        <f>VLOOKUP(C306,'Chấm công KT'!$C$240:$AK$305,35,0)</f>
        <v>0</v>
      </c>
      <c r="X306" s="1147">
        <f>VLOOKUP(C306,'Chấm công KT'!C295:AL360,36,0)</f>
        <v>0</v>
      </c>
      <c r="Y306" s="1146"/>
      <c r="Z306" s="1146"/>
      <c r="AA306" s="1146"/>
      <c r="AB306" s="967"/>
      <c r="AC306" s="993">
        <f t="shared" si="38"/>
        <v>0</v>
      </c>
      <c r="AD306" s="147" t="str">
        <f>VLOOKUP(C306,'BTH mủ tạp'!$C$15:$AL$305,36,0)</f>
        <v>C.</v>
      </c>
      <c r="AE306" s="969"/>
      <c r="AF306" s="970"/>
    </row>
    <row r="307" spans="1:41" s="971" customFormat="1" ht="18.75" customHeight="1">
      <c r="A307" s="248">
        <v>57</v>
      </c>
      <c r="B307" s="987"/>
      <c r="C307" s="265" t="str">
        <f>'Chấm công KT'!C296</f>
        <v>Thảo Phu</v>
      </c>
      <c r="D307" s="989" t="s">
        <v>43</v>
      </c>
      <c r="E307" s="956"/>
      <c r="F307" s="957"/>
      <c r="G307" s="957"/>
      <c r="H307" s="957"/>
      <c r="I307" s="990"/>
      <c r="J307" s="958"/>
      <c r="K307" s="956"/>
      <c r="L307" s="956"/>
      <c r="M307" s="956"/>
      <c r="N307" s="991"/>
      <c r="O307" s="991"/>
      <c r="P307" s="991"/>
      <c r="Q307" s="258">
        <f t="shared" si="36"/>
        <v>0</v>
      </c>
      <c r="R307" s="251">
        <f>VLOOKUP(C307,'BTH mủ tạp'!$C$247:$AI$312,33,0)</f>
        <v>0</v>
      </c>
      <c r="S307" s="992"/>
      <c r="T307" s="1031">
        <f t="shared" si="35"/>
        <v>0</v>
      </c>
      <c r="U307" s="341">
        <f t="shared" si="33"/>
        <v>0</v>
      </c>
      <c r="V307" s="273">
        <f>VLOOKUP(C307,'Chấm công KT'!$C$240:$AJ$305,34,0)</f>
        <v>0</v>
      </c>
      <c r="W307" s="273">
        <f>VLOOKUP(C307,'Chấm công KT'!$C$240:$AK$305,35,0)</f>
        <v>0</v>
      </c>
      <c r="X307" s="1147">
        <f>VLOOKUP(C307,'Chấm công KT'!C296:AL361,36,0)</f>
        <v>0</v>
      </c>
      <c r="Y307" s="1146"/>
      <c r="Z307" s="1146"/>
      <c r="AA307" s="1146"/>
      <c r="AB307" s="967"/>
      <c r="AC307" s="993">
        <f t="shared" si="38"/>
        <v>0</v>
      </c>
      <c r="AD307" s="147" t="str">
        <f>VLOOKUP(C307,'BTH mủ tạp'!$C$15:$AL$305,36,0)</f>
        <v>C.</v>
      </c>
      <c r="AE307" s="969"/>
      <c r="AF307" s="970"/>
    </row>
    <row r="308" spans="1:41" s="971" customFormat="1" ht="18.75" customHeight="1">
      <c r="A308" s="248">
        <v>58</v>
      </c>
      <c r="B308" s="987"/>
      <c r="C308" s="265" t="str">
        <f>'Chấm công KT'!C297</f>
        <v>Thảo Xi</v>
      </c>
      <c r="D308" s="989" t="s">
        <v>43</v>
      </c>
      <c r="E308" s="956"/>
      <c r="F308" s="957"/>
      <c r="G308" s="957"/>
      <c r="H308" s="957"/>
      <c r="I308" s="990"/>
      <c r="J308" s="958"/>
      <c r="K308" s="956"/>
      <c r="L308" s="956"/>
      <c r="M308" s="956"/>
      <c r="N308" s="991"/>
      <c r="O308" s="991"/>
      <c r="P308" s="991"/>
      <c r="Q308" s="258">
        <f t="shared" si="36"/>
        <v>0</v>
      </c>
      <c r="R308" s="251">
        <f>VLOOKUP(C308,'BTH mủ tạp'!$C$247:$AI$312,33,0)</f>
        <v>0</v>
      </c>
      <c r="S308" s="992"/>
      <c r="T308" s="1031"/>
      <c r="U308" s="341">
        <f t="shared" si="33"/>
        <v>0</v>
      </c>
      <c r="V308" s="273">
        <f>VLOOKUP(C308,'Chấm công KT'!$C$240:$AJ$305,34,0)</f>
        <v>0</v>
      </c>
      <c r="W308" s="273">
        <f>VLOOKUP(C308,'Chấm công KT'!$C$240:$AK$305,35,0)</f>
        <v>0</v>
      </c>
      <c r="X308" s="1147">
        <f>VLOOKUP(C308,'Chấm công KT'!C297:AL362,36,0)</f>
        <v>0</v>
      </c>
      <c r="Y308" s="1146"/>
      <c r="Z308" s="1146"/>
      <c r="AA308" s="1146"/>
      <c r="AB308" s="967"/>
      <c r="AC308" s="993">
        <f t="shared" si="38"/>
        <v>0</v>
      </c>
      <c r="AD308" s="147" t="str">
        <f>VLOOKUP(C308,'BTH mủ tạp'!$C$15:$AL$305,36,0)</f>
        <v>C.</v>
      </c>
      <c r="AE308" s="969"/>
      <c r="AF308" s="970"/>
    </row>
    <row r="309" spans="1:41" s="971" customFormat="1" ht="18.75" customHeight="1">
      <c r="A309" s="248">
        <v>59</v>
      </c>
      <c r="B309" s="987"/>
      <c r="C309" s="265" t="str">
        <f>'Chấm công KT'!C298</f>
        <v>Thảo KaLy</v>
      </c>
      <c r="D309" s="989" t="s">
        <v>43</v>
      </c>
      <c r="E309" s="956"/>
      <c r="F309" s="957"/>
      <c r="G309" s="957"/>
      <c r="H309" s="957"/>
      <c r="I309" s="990"/>
      <c r="J309" s="958"/>
      <c r="K309" s="956"/>
      <c r="L309" s="956"/>
      <c r="M309" s="956"/>
      <c r="N309" s="991"/>
      <c r="O309" s="991"/>
      <c r="P309" s="991"/>
      <c r="Q309" s="258">
        <f t="shared" si="36"/>
        <v>0</v>
      </c>
      <c r="R309" s="251">
        <f>VLOOKUP(C309,'BTH mủ tạp'!$C$247:$AI$312,33,0)</f>
        <v>0</v>
      </c>
      <c r="S309" s="992"/>
      <c r="T309" s="1031"/>
      <c r="U309" s="341">
        <f t="shared" si="33"/>
        <v>0</v>
      </c>
      <c r="V309" s="273">
        <f>VLOOKUP(C309,'Chấm công KT'!$C$240:$AJ$305,34,0)</f>
        <v>0</v>
      </c>
      <c r="W309" s="273">
        <f>VLOOKUP(C309,'Chấm công KT'!$C$240:$AK$305,35,0)</f>
        <v>0</v>
      </c>
      <c r="X309" s="1147">
        <f>VLOOKUP(C309,'Chấm công KT'!C298:AL363,36,0)</f>
        <v>0</v>
      </c>
      <c r="Y309" s="1146"/>
      <c r="Z309" s="1146"/>
      <c r="AA309" s="1146"/>
      <c r="AB309" s="967"/>
      <c r="AC309" s="993">
        <f t="shared" si="38"/>
        <v>0</v>
      </c>
      <c r="AD309" s="147" t="str">
        <f>VLOOKUP(C309,'BTH mủ tạp'!$C$15:$AL$312,36,0)</f>
        <v>C.</v>
      </c>
      <c r="AE309" s="969"/>
      <c r="AF309" s="970"/>
    </row>
    <row r="310" spans="1:41" s="971" customFormat="1" ht="18.75" customHeight="1">
      <c r="A310" s="248">
        <v>60</v>
      </c>
      <c r="B310" s="987"/>
      <c r="C310" s="265" t="str">
        <f>'Chấm công KT'!C299</f>
        <v>Thảo Lơn</v>
      </c>
      <c r="D310" s="989" t="s">
        <v>43</v>
      </c>
      <c r="E310" s="956"/>
      <c r="F310" s="957"/>
      <c r="G310" s="957"/>
      <c r="H310" s="957"/>
      <c r="I310" s="990"/>
      <c r="J310" s="958"/>
      <c r="K310" s="956"/>
      <c r="L310" s="956"/>
      <c r="M310" s="956"/>
      <c r="N310" s="991"/>
      <c r="O310" s="991"/>
      <c r="P310" s="991"/>
      <c r="Q310" s="258">
        <f t="shared" si="36"/>
        <v>0</v>
      </c>
      <c r="R310" s="251">
        <f>VLOOKUP(C310,'BTH mủ tạp'!$C$247:$AI$312,33,0)</f>
        <v>0</v>
      </c>
      <c r="S310" s="992"/>
      <c r="T310" s="1031"/>
      <c r="U310" s="341">
        <f t="shared" si="33"/>
        <v>0</v>
      </c>
      <c r="V310" s="273">
        <f>VLOOKUP(C310,'Chấm công KT'!$C$240:$AJ$305,34,0)</f>
        <v>0</v>
      </c>
      <c r="W310" s="273">
        <f>VLOOKUP(C310,'Chấm công KT'!$C$240:$AK$305,35,0)</f>
        <v>0</v>
      </c>
      <c r="X310" s="1147">
        <f>VLOOKUP(C310,'Chấm công KT'!C299:AL364,36,0)</f>
        <v>0</v>
      </c>
      <c r="Y310" s="1146"/>
      <c r="Z310" s="1218"/>
      <c r="AA310" s="1218"/>
      <c r="AB310" s="967"/>
      <c r="AC310" s="993">
        <f t="shared" ref="AC310:AC317" si="39">+Q310</f>
        <v>0</v>
      </c>
      <c r="AD310" s="147" t="str">
        <f>VLOOKUP(C310,'BTH mủ tạp'!$C$15:$AL$312,36,0)</f>
        <v>C.</v>
      </c>
      <c r="AE310" s="969"/>
      <c r="AF310" s="970"/>
    </row>
    <row r="311" spans="1:41" s="971" customFormat="1" ht="18.75" customHeight="1">
      <c r="A311" s="248">
        <v>61</v>
      </c>
      <c r="B311" s="987"/>
      <c r="C311" s="265" t="str">
        <f>'Chấm công KT'!C300</f>
        <v>Thảo Hung</v>
      </c>
      <c r="D311" s="989" t="s">
        <v>43</v>
      </c>
      <c r="E311" s="956"/>
      <c r="F311" s="957"/>
      <c r="G311" s="957"/>
      <c r="H311" s="957"/>
      <c r="I311" s="990"/>
      <c r="J311" s="958"/>
      <c r="K311" s="956"/>
      <c r="L311" s="956"/>
      <c r="M311" s="956"/>
      <c r="N311" s="991"/>
      <c r="O311" s="991"/>
      <c r="P311" s="991"/>
      <c r="Q311" s="258">
        <f t="shared" si="36"/>
        <v>0</v>
      </c>
      <c r="R311" s="251">
        <f>VLOOKUP(C311,'BTH mủ tạp'!$C$247:$AI$312,33,0)</f>
        <v>0</v>
      </c>
      <c r="S311" s="992"/>
      <c r="T311" s="1031"/>
      <c r="U311" s="341">
        <f t="shared" si="33"/>
        <v>0</v>
      </c>
      <c r="V311" s="273">
        <f>VLOOKUP(C311,'Chấm công KT'!$C$240:$AJ$305,34,0)</f>
        <v>0</v>
      </c>
      <c r="W311" s="273">
        <f>VLOOKUP(C311,'Chấm công KT'!$C$240:$AK$305,35,0)</f>
        <v>0</v>
      </c>
      <c r="X311" s="1147">
        <f>VLOOKUP(C311,'Chấm công KT'!C300:AL365,36,0)</f>
        <v>0</v>
      </c>
      <c r="Y311" s="1146"/>
      <c r="Z311" s="1218"/>
      <c r="AA311" s="1218"/>
      <c r="AB311" s="967"/>
      <c r="AC311" s="993">
        <f t="shared" si="39"/>
        <v>0</v>
      </c>
      <c r="AD311" s="147" t="str">
        <f>VLOOKUP(C311,'BTH mủ tạp'!$C$15:$AL$312,36,0)</f>
        <v>C.</v>
      </c>
      <c r="AE311" s="969"/>
      <c r="AF311" s="970"/>
    </row>
    <row r="312" spans="1:41" s="971" customFormat="1" ht="18.75" customHeight="1">
      <c r="A312" s="248">
        <v>62</v>
      </c>
      <c r="B312" s="987"/>
      <c r="C312" s="265" t="str">
        <f>'Chấm công KT'!C301</f>
        <v>Thảo Khẹt</v>
      </c>
      <c r="D312" s="989" t="s">
        <v>43</v>
      </c>
      <c r="E312" s="956"/>
      <c r="F312" s="957"/>
      <c r="G312" s="957"/>
      <c r="H312" s="957"/>
      <c r="I312" s="990"/>
      <c r="J312" s="958"/>
      <c r="K312" s="956"/>
      <c r="L312" s="956"/>
      <c r="M312" s="956"/>
      <c r="N312" s="991"/>
      <c r="O312" s="991"/>
      <c r="P312" s="991"/>
      <c r="Q312" s="258">
        <f t="shared" si="36"/>
        <v>0</v>
      </c>
      <c r="R312" s="251">
        <f>VLOOKUP(C312,'BTH mủ tạp'!$C$247:$AI$312,33,0)</f>
        <v>0</v>
      </c>
      <c r="S312" s="992"/>
      <c r="T312" s="1031"/>
      <c r="U312" s="341">
        <f t="shared" si="33"/>
        <v>0</v>
      </c>
      <c r="V312" s="273">
        <f>VLOOKUP(C312,'Chấm công KT'!$C$240:$AJ$305,34,0)</f>
        <v>0</v>
      </c>
      <c r="W312" s="273">
        <f>VLOOKUP(C312,'Chấm công KT'!$C$240:$AK$305,35,0)</f>
        <v>0</v>
      </c>
      <c r="X312" s="1147">
        <f>VLOOKUP(C312,'Chấm công KT'!C301:AL366,36,0)</f>
        <v>0</v>
      </c>
      <c r="Y312" s="1146"/>
      <c r="Z312" s="1218"/>
      <c r="AA312" s="1218"/>
      <c r="AB312" s="967"/>
      <c r="AC312" s="993">
        <f t="shared" si="39"/>
        <v>0</v>
      </c>
      <c r="AD312" s="147" t="str">
        <f>VLOOKUP(C312,'BTH mủ tạp'!$C$15:$AL$312,36,0)</f>
        <v>C.</v>
      </c>
      <c r="AE312" s="969"/>
      <c r="AF312" s="970"/>
    </row>
    <row r="313" spans="1:41" s="971" customFormat="1" ht="18.75" customHeight="1">
      <c r="A313" s="248">
        <v>63</v>
      </c>
      <c r="B313" s="987"/>
      <c r="C313" s="265" t="str">
        <f>'Chấm công KT'!C302</f>
        <v>Thảo Dung</v>
      </c>
      <c r="D313" s="989" t="s">
        <v>43</v>
      </c>
      <c r="E313" s="956"/>
      <c r="F313" s="957"/>
      <c r="G313" s="957"/>
      <c r="H313" s="957"/>
      <c r="I313" s="990"/>
      <c r="J313" s="958"/>
      <c r="K313" s="956"/>
      <c r="L313" s="956"/>
      <c r="M313" s="956"/>
      <c r="N313" s="991"/>
      <c r="O313" s="991"/>
      <c r="P313" s="991"/>
      <c r="Q313" s="258">
        <f t="shared" si="36"/>
        <v>0</v>
      </c>
      <c r="R313" s="251">
        <f>VLOOKUP(C313,'BTH mủ tạp'!$C$247:$AI$312,33,0)</f>
        <v>0</v>
      </c>
      <c r="S313" s="992"/>
      <c r="T313" s="1031"/>
      <c r="U313" s="341">
        <f t="shared" si="33"/>
        <v>0</v>
      </c>
      <c r="V313" s="273">
        <f>VLOOKUP(C313,'Chấm công KT'!$C$240:$AJ$305,34,0)</f>
        <v>0</v>
      </c>
      <c r="W313" s="273">
        <f>VLOOKUP(C313,'Chấm công KT'!$C$240:$AK$305,35,0)</f>
        <v>0</v>
      </c>
      <c r="X313" s="1147">
        <f>VLOOKUP(C313,'Chấm công KT'!C302:AL367,36,0)</f>
        <v>0</v>
      </c>
      <c r="Y313" s="1146"/>
      <c r="Z313" s="1218"/>
      <c r="AA313" s="1218"/>
      <c r="AB313" s="967"/>
      <c r="AC313" s="993">
        <f t="shared" si="39"/>
        <v>0</v>
      </c>
      <c r="AD313" s="147" t="str">
        <f>VLOOKUP(C313,'BTH mủ tạp'!$C$15:$AL$312,36,0)</f>
        <v>C.</v>
      </c>
      <c r="AE313" s="969"/>
      <c r="AF313" s="970"/>
    </row>
    <row r="314" spans="1:41" s="971" customFormat="1" ht="18.75" customHeight="1">
      <c r="A314" s="248">
        <v>64</v>
      </c>
      <c r="B314" s="987"/>
      <c r="C314" s="265" t="str">
        <f>'Chấm công KT'!C303</f>
        <v>Thảo Kính</v>
      </c>
      <c r="D314" s="989" t="s">
        <v>43</v>
      </c>
      <c r="E314" s="956"/>
      <c r="F314" s="957"/>
      <c r="G314" s="957"/>
      <c r="H314" s="957"/>
      <c r="I314" s="990"/>
      <c r="J314" s="958"/>
      <c r="K314" s="956"/>
      <c r="L314" s="956"/>
      <c r="M314" s="956"/>
      <c r="N314" s="991"/>
      <c r="O314" s="991"/>
      <c r="P314" s="991"/>
      <c r="Q314" s="258">
        <f t="shared" si="36"/>
        <v>0</v>
      </c>
      <c r="R314" s="251">
        <f>VLOOKUP(C314,'BTH mủ tạp'!$C$247:$AI$312,33,0)</f>
        <v>0</v>
      </c>
      <c r="S314" s="992"/>
      <c r="T314" s="1031"/>
      <c r="U314" s="341">
        <f t="shared" si="33"/>
        <v>0</v>
      </c>
      <c r="V314" s="273">
        <f>VLOOKUP(C314,'Chấm công KT'!$C$240:$AJ$305,34,0)</f>
        <v>0</v>
      </c>
      <c r="W314" s="273">
        <f>VLOOKUP(C314,'Chấm công KT'!$C$240:$AK$305,35,0)</f>
        <v>0</v>
      </c>
      <c r="X314" s="1147">
        <f>VLOOKUP(C314,'Chấm công KT'!C303:AL368,36,0)</f>
        <v>0</v>
      </c>
      <c r="Y314" s="1146"/>
      <c r="Z314" s="1218"/>
      <c r="AA314" s="1218"/>
      <c r="AB314" s="967"/>
      <c r="AC314" s="993">
        <f t="shared" si="39"/>
        <v>0</v>
      </c>
      <c r="AD314" s="147" t="str">
        <f>VLOOKUP(C314,'BTH mủ tạp'!$C$15:$AL$312,36,0)</f>
        <v>C.</v>
      </c>
      <c r="AE314" s="969"/>
      <c r="AF314" s="970"/>
    </row>
    <row r="315" spans="1:41" s="971" customFormat="1" ht="18.75" customHeight="1">
      <c r="A315" s="248">
        <v>65</v>
      </c>
      <c r="B315" s="987"/>
      <c r="C315" s="265" t="str">
        <f>'Chấm công KT'!C304</f>
        <v>Thảo Ly</v>
      </c>
      <c r="D315" s="989" t="s">
        <v>43</v>
      </c>
      <c r="E315" s="956"/>
      <c r="F315" s="957"/>
      <c r="G315" s="957"/>
      <c r="H315" s="957"/>
      <c r="I315" s="990"/>
      <c r="J315" s="958"/>
      <c r="K315" s="956"/>
      <c r="L315" s="956"/>
      <c r="M315" s="956"/>
      <c r="N315" s="991"/>
      <c r="O315" s="991"/>
      <c r="P315" s="991"/>
      <c r="Q315" s="258">
        <f t="shared" si="36"/>
        <v>0</v>
      </c>
      <c r="R315" s="251">
        <f>VLOOKUP(C315,'BTH mủ tạp'!$C$247:$AI$314,33,0)</f>
        <v>0</v>
      </c>
      <c r="S315" s="992"/>
      <c r="T315" s="1031"/>
      <c r="U315" s="341">
        <f t="shared" ref="U315:U317" si="40">R315</f>
        <v>0</v>
      </c>
      <c r="V315" s="273">
        <f>VLOOKUP(C315,'Chấm công KT'!$C$240:$AJ$305,34,0)</f>
        <v>0</v>
      </c>
      <c r="W315" s="273">
        <f>VLOOKUP(C315,'Chấm công KT'!$C$240:$AK$305,35,0)</f>
        <v>0</v>
      </c>
      <c r="X315" s="1147">
        <f>VLOOKUP(C315,'Chấm công KT'!C304:AL369,36,0)</f>
        <v>0</v>
      </c>
      <c r="Y315" s="1146"/>
      <c r="Z315" s="1218"/>
      <c r="AA315" s="1218"/>
      <c r="AB315" s="967"/>
      <c r="AC315" s="993">
        <f t="shared" si="39"/>
        <v>0</v>
      </c>
      <c r="AD315" s="147" t="str">
        <f>VLOOKUP(C315,'BTH mủ tạp'!$C$15:$AL$312,36,0)</f>
        <v>C.</v>
      </c>
      <c r="AE315" s="969"/>
      <c r="AF315" s="970"/>
    </row>
    <row r="316" spans="1:41" s="971" customFormat="1" ht="18.75" customHeight="1">
      <c r="A316" s="248">
        <v>66</v>
      </c>
      <c r="B316" s="987"/>
      <c r="C316" s="265" t="str">
        <f>'Chấm công KT'!C305</f>
        <v>Thảo Linh</v>
      </c>
      <c r="D316" s="989" t="s">
        <v>43</v>
      </c>
      <c r="E316" s="956"/>
      <c r="F316" s="957"/>
      <c r="G316" s="957"/>
      <c r="H316" s="957"/>
      <c r="I316" s="990"/>
      <c r="J316" s="958"/>
      <c r="K316" s="956"/>
      <c r="L316" s="956"/>
      <c r="M316" s="956"/>
      <c r="N316" s="991"/>
      <c r="O316" s="991"/>
      <c r="P316" s="991"/>
      <c r="Q316" s="258">
        <f t="shared" si="36"/>
        <v>0</v>
      </c>
      <c r="R316" s="251">
        <f>VLOOKUP(C316,'BTH mủ tạp'!$C$247:$AI$314,33,0)</f>
        <v>0</v>
      </c>
      <c r="S316" s="992"/>
      <c r="T316" s="1031"/>
      <c r="U316" s="341">
        <f t="shared" si="40"/>
        <v>0</v>
      </c>
      <c r="V316" s="273">
        <f>VLOOKUP(C316,'Chấm công KT'!$C$240:$AJ$305,34,0)</f>
        <v>0</v>
      </c>
      <c r="W316" s="273">
        <f>VLOOKUP(C316,'Chấm công KT'!$C$240:$AK$305,35,0)</f>
        <v>0</v>
      </c>
      <c r="X316" s="1147">
        <f>VLOOKUP(C316,'Chấm công KT'!C305:AL370,36,0)</f>
        <v>0</v>
      </c>
      <c r="Y316" s="1146"/>
      <c r="Z316" s="1218"/>
      <c r="AA316" s="1218"/>
      <c r="AB316" s="967"/>
      <c r="AC316" s="993">
        <f t="shared" si="39"/>
        <v>0</v>
      </c>
      <c r="AD316" s="147" t="str">
        <f>VLOOKUP(C316,'BTH mủ tạp'!$C$15:$AL$312,36,0)</f>
        <v>C.</v>
      </c>
      <c r="AE316" s="969"/>
      <c r="AF316" s="970"/>
    </row>
    <row r="317" spans="1:41" s="971" customFormat="1" ht="18.75" customHeight="1">
      <c r="A317" s="248">
        <v>67</v>
      </c>
      <c r="B317" s="987"/>
      <c r="C317" s="265" t="s">
        <v>1014</v>
      </c>
      <c r="D317" s="989" t="s">
        <v>43</v>
      </c>
      <c r="E317" s="956"/>
      <c r="F317" s="957"/>
      <c r="G317" s="957"/>
      <c r="H317" s="957"/>
      <c r="I317" s="990"/>
      <c r="J317" s="958"/>
      <c r="K317" s="956"/>
      <c r="L317" s="956"/>
      <c r="M317" s="959"/>
      <c r="N317" s="991"/>
      <c r="O317" s="991"/>
      <c r="P317" s="991"/>
      <c r="Q317" s="258">
        <f t="shared" si="36"/>
        <v>0</v>
      </c>
      <c r="R317" s="251">
        <f>VLOOKUP(C317,'BTH mủ tạp'!$C$247:$AI$314,33,0)</f>
        <v>0</v>
      </c>
      <c r="S317" s="992"/>
      <c r="T317" s="1467"/>
      <c r="U317" s="341">
        <f t="shared" si="40"/>
        <v>0</v>
      </c>
      <c r="V317" s="1468"/>
      <c r="W317" s="273"/>
      <c r="X317" s="1469"/>
      <c r="Y317" s="1218"/>
      <c r="Z317" s="1218"/>
      <c r="AA317" s="1218"/>
      <c r="AB317" s="967"/>
      <c r="AC317" s="993">
        <f t="shared" si="39"/>
        <v>0</v>
      </c>
      <c r="AD317" s="147"/>
      <c r="AE317" s="969"/>
      <c r="AF317" s="970"/>
    </row>
    <row r="318" spans="1:41" s="971" customFormat="1" ht="18.75" customHeight="1">
      <c r="A318" s="248">
        <v>68</v>
      </c>
      <c r="B318" s="987"/>
      <c r="C318" s="1261" t="s">
        <v>1010</v>
      </c>
      <c r="D318" s="989" t="s">
        <v>43</v>
      </c>
      <c r="E318" s="956"/>
      <c r="F318" s="957"/>
      <c r="G318" s="957"/>
      <c r="H318" s="957"/>
      <c r="I318" s="990"/>
      <c r="J318" s="958"/>
      <c r="K318" s="956"/>
      <c r="L318" s="956"/>
      <c r="M318" s="959"/>
      <c r="N318" s="991"/>
      <c r="O318" s="991"/>
      <c r="P318" s="991">
        <f>2841.83+0.03</f>
        <v>2841.86</v>
      </c>
      <c r="Q318" s="961">
        <f t="shared" ref="Q318:Q319" si="41">SUM(E318:P318)</f>
        <v>2841.86</v>
      </c>
      <c r="R318" s="251"/>
      <c r="S318" s="992"/>
      <c r="T318" s="963"/>
      <c r="U318" s="964"/>
      <c r="V318" s="965"/>
      <c r="W318" s="339"/>
      <c r="X318" s="966"/>
      <c r="Y318" s="967"/>
      <c r="Z318" s="967"/>
      <c r="AA318" s="967"/>
      <c r="AB318" s="967"/>
      <c r="AC318" s="993">
        <f t="shared" si="38"/>
        <v>2841.86</v>
      </c>
      <c r="AD318" s="968"/>
      <c r="AE318" s="969"/>
      <c r="AF318" s="970"/>
    </row>
    <row r="319" spans="1:41" s="971" customFormat="1" ht="18.75" customHeight="1">
      <c r="A319" s="248">
        <v>69</v>
      </c>
      <c r="B319" s="987"/>
      <c r="C319" s="986" t="s">
        <v>933</v>
      </c>
      <c r="D319" s="988"/>
      <c r="E319" s="959"/>
      <c r="F319" s="973"/>
      <c r="G319" s="973"/>
      <c r="H319" s="973"/>
      <c r="I319" s="990"/>
      <c r="J319" s="974"/>
      <c r="K319" s="959"/>
      <c r="L319" s="959"/>
      <c r="M319" s="959"/>
      <c r="N319" s="960"/>
      <c r="O319" s="960"/>
      <c r="P319" s="960"/>
      <c r="Q319" s="961">
        <f t="shared" si="41"/>
        <v>0</v>
      </c>
      <c r="R319" s="994"/>
      <c r="S319" s="995"/>
      <c r="T319" s="996"/>
      <c r="U319" s="997"/>
      <c r="V319" s="998"/>
      <c r="W319" s="339"/>
      <c r="X319" s="999"/>
      <c r="Y319" s="1000"/>
      <c r="Z319" s="1000"/>
      <c r="AA319" s="1000"/>
      <c r="AB319" s="1000"/>
      <c r="AC319" s="993">
        <f t="shared" si="38"/>
        <v>0</v>
      </c>
      <c r="AD319" s="975"/>
      <c r="AE319" s="969"/>
      <c r="AF319" s="970"/>
    </row>
    <row r="320" spans="1:41" ht="18.75" customHeight="1">
      <c r="A320" s="1989" t="s">
        <v>95</v>
      </c>
      <c r="B320" s="1989"/>
      <c r="C320" s="1989"/>
      <c r="D320" s="1989"/>
      <c r="E320" s="367">
        <f t="shared" ref="E320:AC320" si="42">E9</f>
        <v>0</v>
      </c>
      <c r="F320" s="1370">
        <f t="shared" si="42"/>
        <v>0</v>
      </c>
      <c r="G320" s="367">
        <f t="shared" si="42"/>
        <v>0</v>
      </c>
      <c r="H320" s="367">
        <f t="shared" si="42"/>
        <v>0</v>
      </c>
      <c r="I320" s="367">
        <f t="shared" si="42"/>
        <v>0</v>
      </c>
      <c r="J320" s="367">
        <f t="shared" si="42"/>
        <v>0</v>
      </c>
      <c r="K320" s="367">
        <f t="shared" si="42"/>
        <v>0</v>
      </c>
      <c r="L320" s="367">
        <f t="shared" si="42"/>
        <v>0</v>
      </c>
      <c r="M320" s="367">
        <f t="shared" si="42"/>
        <v>0</v>
      </c>
      <c r="N320" s="367">
        <f t="shared" si="42"/>
        <v>0</v>
      </c>
      <c r="O320" s="367">
        <f t="shared" si="42"/>
        <v>0</v>
      </c>
      <c r="P320" s="240">
        <f t="shared" si="42"/>
        <v>13726.58</v>
      </c>
      <c r="Q320" s="240">
        <f t="shared" si="42"/>
        <v>13726.58</v>
      </c>
      <c r="R320" s="367">
        <f t="shared" si="42"/>
        <v>0</v>
      </c>
      <c r="S320" s="240">
        <f t="shared" si="42"/>
        <v>0</v>
      </c>
      <c r="T320" s="240">
        <f t="shared" si="42"/>
        <v>0</v>
      </c>
      <c r="U320" s="367">
        <f t="shared" si="42"/>
        <v>0</v>
      </c>
      <c r="V320" s="1222">
        <f t="shared" si="42"/>
        <v>0</v>
      </c>
      <c r="W320" s="1222">
        <f t="shared" si="42"/>
        <v>0</v>
      </c>
      <c r="X320" s="1222">
        <f t="shared" si="42"/>
        <v>0</v>
      </c>
      <c r="Y320" s="1222">
        <f t="shared" si="42"/>
        <v>0</v>
      </c>
      <c r="Z320" s="1222">
        <f t="shared" si="42"/>
        <v>0</v>
      </c>
      <c r="AA320" s="1222">
        <f t="shared" si="42"/>
        <v>0</v>
      </c>
      <c r="AB320" s="367">
        <f t="shared" si="42"/>
        <v>0</v>
      </c>
      <c r="AC320" s="240">
        <f t="shared" si="42"/>
        <v>13726.58</v>
      </c>
      <c r="AD320" s="241"/>
      <c r="AE320" s="227"/>
      <c r="AF320" s="228">
        <f>6262+211</f>
        <v>6473</v>
      </c>
      <c r="AG320" s="115"/>
      <c r="AO320" s="2">
        <v>64.900000000000006</v>
      </c>
    </row>
    <row r="321" spans="3:41" ht="18" customHeight="1">
      <c r="Q321" s="48"/>
      <c r="R321" s="164"/>
      <c r="V321" s="93" t="s">
        <v>326</v>
      </c>
      <c r="W321" s="93"/>
      <c r="AC321" s="132"/>
      <c r="AD321" s="133"/>
      <c r="AE321" s="133"/>
      <c r="AF321" s="134"/>
      <c r="AG321" s="116">
        <f>89-22</f>
        <v>67</v>
      </c>
      <c r="AO321" s="2">
        <v>27.48</v>
      </c>
    </row>
    <row r="322" spans="3:41" ht="15.75">
      <c r="C322" s="1978" t="s">
        <v>177</v>
      </c>
      <c r="D322" s="1978"/>
      <c r="E322" s="1978"/>
      <c r="F322" s="1198"/>
      <c r="G322" s="3"/>
      <c r="H322" s="3"/>
      <c r="I322" s="3"/>
      <c r="J322" s="3"/>
      <c r="K322" s="3"/>
      <c r="L322" s="3"/>
      <c r="M322" s="3"/>
      <c r="N322" s="3"/>
      <c r="O322" s="1969"/>
      <c r="P322" s="1969"/>
      <c r="Q322" s="1969"/>
      <c r="R322" s="164"/>
      <c r="S322" s="69"/>
      <c r="T322" s="5"/>
      <c r="U322" s="1978" t="s">
        <v>215</v>
      </c>
      <c r="V322" s="1978"/>
      <c r="W322" s="1978"/>
      <c r="X322" s="1978"/>
      <c r="Y322" s="1978"/>
      <c r="Z322" s="1978"/>
      <c r="AA322" s="1978"/>
      <c r="AB322" s="1978"/>
      <c r="AC322" s="1978"/>
      <c r="AD322" s="3"/>
      <c r="AE322" s="3"/>
      <c r="AF322" s="57">
        <f>SUM(COUNTIF(AD12:AD300,"A"))</f>
        <v>146</v>
      </c>
      <c r="AG322" s="55"/>
      <c r="AH322" s="2">
        <v>2.21</v>
      </c>
      <c r="AI322" s="2">
        <v>4.6100000000000003</v>
      </c>
      <c r="AJ322" s="2">
        <v>34.04</v>
      </c>
      <c r="AK322" s="2">
        <v>19.05</v>
      </c>
      <c r="AO322" s="2">
        <v>103.6</v>
      </c>
    </row>
    <row r="323" spans="3:41">
      <c r="Q323" s="48"/>
      <c r="R323" s="164"/>
      <c r="AF323" s="57">
        <f>SUM(COUNTIF(AD12:AD300,"B"))</f>
        <v>83</v>
      </c>
      <c r="AG323" s="55"/>
      <c r="AH323" s="2">
        <v>2.4900000000000002</v>
      </c>
      <c r="AI323" s="2">
        <v>4.9000000000000004</v>
      </c>
      <c r="AO323" s="2">
        <v>1329.51</v>
      </c>
    </row>
    <row r="324" spans="3:41">
      <c r="G324" s="1968">
        <f>G319*25000</f>
        <v>0</v>
      </c>
      <c r="H324" s="1968"/>
      <c r="I324" s="1968">
        <f>I319*25000</f>
        <v>0</v>
      </c>
      <c r="J324" s="1968"/>
      <c r="Q324" s="48"/>
      <c r="R324" s="164"/>
      <c r="AF324" s="57">
        <f>SUM(COUNTIF(AD14:AD321,"C"))</f>
        <v>25</v>
      </c>
      <c r="AG324" s="55"/>
      <c r="AH324" s="2">
        <v>1.64</v>
      </c>
      <c r="AI324" s="2">
        <v>20.7</v>
      </c>
      <c r="AO324" s="2">
        <v>204.12</v>
      </c>
    </row>
    <row r="325" spans="3:41">
      <c r="Q325" s="80">
        <f>P320-13726.58</f>
        <v>0</v>
      </c>
      <c r="R325" s="797"/>
      <c r="AG325" s="55"/>
      <c r="AH325" s="2">
        <v>9.7799999999999994</v>
      </c>
      <c r="AO325" s="2">
        <v>927.08</v>
      </c>
    </row>
    <row r="326" spans="3:41">
      <c r="Q326" s="48"/>
      <c r="R326" s="164"/>
      <c r="AG326" s="55"/>
      <c r="AH326" s="2">
        <f>SUM(AH322:AH325)</f>
        <v>16.119999999999997</v>
      </c>
      <c r="AI326" s="2">
        <f>SUM(AI322:AI325)</f>
        <v>30.21</v>
      </c>
      <c r="AJ326" s="2">
        <f>SUM(AJ322:AJ325)</f>
        <v>34.04</v>
      </c>
      <c r="AK326" s="2">
        <f>SUM(AK322:AK325)</f>
        <v>19.05</v>
      </c>
      <c r="AO326" s="2">
        <v>90.76</v>
      </c>
    </row>
    <row r="327" spans="3:41">
      <c r="C327" s="1986" t="s">
        <v>202</v>
      </c>
      <c r="D327" s="1986"/>
      <c r="E327" s="1986"/>
      <c r="F327" s="1202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165"/>
      <c r="R327" s="164"/>
      <c r="S327" s="94"/>
      <c r="T327" s="47"/>
      <c r="U327" s="1986" t="s">
        <v>76</v>
      </c>
      <c r="V327" s="1986"/>
      <c r="W327" s="1986"/>
      <c r="X327" s="1986"/>
      <c r="Y327" s="1986"/>
      <c r="Z327" s="1986"/>
      <c r="AA327" s="1986"/>
      <c r="AB327" s="1986"/>
      <c r="AC327" s="1986"/>
      <c r="AD327" s="51"/>
      <c r="AE327" s="51"/>
      <c r="AH327" s="2">
        <f>AH326/0.17</f>
        <v>94.823529411764682</v>
      </c>
      <c r="AI327" s="2">
        <f>AI326/0.2</f>
        <v>151.04999999999998</v>
      </c>
      <c r="AJ327" s="2">
        <f>AJ326/0.25</f>
        <v>136.16</v>
      </c>
      <c r="AK327" s="2">
        <f>AK326/0.18</f>
        <v>105.83333333333334</v>
      </c>
      <c r="AO327" s="2">
        <v>32.67</v>
      </c>
    </row>
    <row r="328" spans="3:41">
      <c r="Q328" s="48"/>
      <c r="R328" s="164"/>
      <c r="AO328" s="2">
        <v>11.24</v>
      </c>
    </row>
    <row r="329" spans="3:41">
      <c r="Q329" s="48"/>
      <c r="R329" s="164"/>
      <c r="AO329" s="2">
        <f>SUM(AO320:AO328)</f>
        <v>2791.36</v>
      </c>
    </row>
    <row r="330" spans="3:41">
      <c r="Q330" s="48"/>
      <c r="R330" s="164"/>
    </row>
    <row r="331" spans="3:41">
      <c r="Q331" s="48"/>
      <c r="R331" s="164"/>
    </row>
    <row r="332" spans="3:41">
      <c r="Q332" s="48"/>
      <c r="R332" s="164"/>
    </row>
    <row r="333" spans="3:41">
      <c r="Q333" s="615"/>
      <c r="R333" s="164"/>
    </row>
    <row r="334" spans="3:41">
      <c r="Q334" s="48"/>
      <c r="R334" s="164"/>
    </row>
    <row r="335" spans="3:41">
      <c r="Q335" s="48"/>
      <c r="R335" s="164"/>
    </row>
    <row r="336" spans="3:41">
      <c r="Q336" s="48"/>
      <c r="R336" s="164"/>
    </row>
    <row r="337" spans="17:18">
      <c r="Q337" s="48"/>
      <c r="R337" s="164"/>
    </row>
    <row r="338" spans="17:18">
      <c r="Q338" s="48"/>
      <c r="R338" s="164"/>
    </row>
    <row r="339" spans="17:18">
      <c r="Q339" s="48"/>
      <c r="R339" s="164"/>
    </row>
    <row r="340" spans="17:18">
      <c r="Q340" s="615"/>
      <c r="R340" s="164"/>
    </row>
    <row r="341" spans="17:18">
      <c r="Q341" s="48"/>
      <c r="R341" s="164"/>
    </row>
    <row r="342" spans="17:18">
      <c r="Q342" s="48"/>
      <c r="R342" s="164"/>
    </row>
    <row r="343" spans="17:18">
      <c r="Q343" s="48"/>
      <c r="R343" s="164"/>
    </row>
    <row r="344" spans="17:18">
      <c r="Q344" s="48"/>
      <c r="R344" s="164"/>
    </row>
    <row r="345" spans="17:18">
      <c r="Q345" s="48"/>
      <c r="R345" s="164"/>
    </row>
    <row r="346" spans="17:18">
      <c r="Q346" s="48"/>
      <c r="R346" s="164"/>
    </row>
    <row r="347" spans="17:18">
      <c r="Q347" s="48"/>
      <c r="R347" s="164"/>
    </row>
    <row r="348" spans="17:18">
      <c r="Q348" s="48"/>
      <c r="R348" s="164"/>
    </row>
    <row r="349" spans="17:18">
      <c r="Q349" s="48"/>
      <c r="R349" s="164"/>
    </row>
    <row r="350" spans="17:18">
      <c r="Q350" s="48"/>
      <c r="R350" s="164"/>
    </row>
    <row r="351" spans="17:18">
      <c r="Q351" s="48"/>
      <c r="R351" s="164"/>
    </row>
    <row r="352" spans="17:18">
      <c r="Q352" s="48"/>
      <c r="R352" s="164"/>
    </row>
    <row r="353" spans="17:18">
      <c r="Q353" s="48"/>
      <c r="R353" s="164"/>
    </row>
    <row r="354" spans="17:18">
      <c r="Q354" s="48"/>
      <c r="R354" s="164"/>
    </row>
    <row r="355" spans="17:18">
      <c r="Q355" s="48"/>
      <c r="R355" s="164"/>
    </row>
    <row r="356" spans="17:18">
      <c r="Q356" s="48"/>
      <c r="R356" s="164"/>
    </row>
    <row r="357" spans="17:18">
      <c r="Q357" s="48"/>
      <c r="R357" s="164"/>
    </row>
    <row r="358" spans="17:18">
      <c r="Q358" s="48"/>
      <c r="R358" s="164"/>
    </row>
    <row r="359" spans="17:18">
      <c r="Q359" s="48"/>
      <c r="R359" s="164"/>
    </row>
    <row r="360" spans="17:18">
      <c r="Q360" s="48"/>
      <c r="R360" s="164"/>
    </row>
    <row r="361" spans="17:18">
      <c r="Q361" s="48"/>
      <c r="R361" s="164"/>
    </row>
    <row r="362" spans="17:18">
      <c r="Q362" s="48"/>
      <c r="R362" s="164"/>
    </row>
    <row r="363" spans="17:18">
      <c r="Q363" s="48"/>
      <c r="R363" s="164"/>
    </row>
    <row r="364" spans="17:18">
      <c r="Q364" s="48"/>
      <c r="R364" s="164"/>
    </row>
    <row r="365" spans="17:18">
      <c r="Q365" s="48"/>
      <c r="R365" s="164"/>
    </row>
    <row r="366" spans="17:18">
      <c r="Q366" s="48"/>
      <c r="R366" s="164"/>
    </row>
    <row r="367" spans="17:18">
      <c r="Q367" s="48"/>
      <c r="R367" s="164"/>
    </row>
    <row r="368" spans="17:18">
      <c r="Q368" s="48"/>
      <c r="R368" s="166"/>
    </row>
  </sheetData>
  <mergeCells count="41">
    <mergeCell ref="C327:E327"/>
    <mergeCell ref="E6:AE6"/>
    <mergeCell ref="G7:G8"/>
    <mergeCell ref="C6:C8"/>
    <mergeCell ref="AD7:AD8"/>
    <mergeCell ref="U322:AC322"/>
    <mergeCell ref="C322:E322"/>
    <mergeCell ref="U327:AC327"/>
    <mergeCell ref="F7:F8"/>
    <mergeCell ref="B9:D9"/>
    <mergeCell ref="A320:D320"/>
    <mergeCell ref="B6:B8"/>
    <mergeCell ref="B250:D250"/>
    <mergeCell ref="A6:A8"/>
    <mergeCell ref="D6:D8"/>
    <mergeCell ref="B184:D184"/>
    <mergeCell ref="B10:D10"/>
    <mergeCell ref="B95:D95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G324:H324"/>
    <mergeCell ref="I324:J324"/>
    <mergeCell ref="O322:Q322"/>
    <mergeCell ref="V7:X7"/>
    <mergeCell ref="J7:J8"/>
    <mergeCell ref="K7:K8"/>
    <mergeCell ref="P7:P8"/>
    <mergeCell ref="Q7:Q8"/>
    <mergeCell ref="L7:L8"/>
    <mergeCell ref="I7:I8"/>
  </mergeCells>
  <phoneticPr fontId="26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2:AC199"/>
  <sheetViews>
    <sheetView zoomScale="40" zoomScaleNormal="40" zoomScaleSheetLayoutView="50" workbookViewId="0">
      <selection activeCell="AA1" sqref="AA1:AC1048576"/>
    </sheetView>
  </sheetViews>
  <sheetFormatPr defaultColWidth="9.42578125" defaultRowHeight="23.25"/>
  <cols>
    <col min="1" max="1" width="7.5703125" style="591" customWidth="1"/>
    <col min="2" max="2" width="15.5703125" style="591" customWidth="1"/>
    <col min="3" max="3" width="23" style="592" customWidth="1"/>
    <col min="4" max="4" width="28.7109375" style="595" customWidth="1"/>
    <col min="5" max="5" width="17.85546875" style="692" customWidth="1"/>
    <col min="6" max="6" width="21.85546875" style="595" customWidth="1"/>
    <col min="7" max="7" width="21" style="595" customWidth="1"/>
    <col min="8" max="8" width="16" style="595" hidden="1" customWidth="1"/>
    <col min="9" max="9" width="16" style="595" customWidth="1"/>
    <col min="10" max="10" width="20.140625" style="596" customWidth="1"/>
    <col min="11" max="11" width="12.42578125" style="597" customWidth="1"/>
    <col min="12" max="12" width="23.7109375" style="598" customWidth="1"/>
    <col min="13" max="13" width="18" style="595" customWidth="1"/>
    <col min="14" max="14" width="16.28515625" style="595" customWidth="1"/>
    <col min="15" max="15" width="19.85546875" style="595" hidden="1" customWidth="1"/>
    <col min="16" max="16" width="16.7109375" style="595" hidden="1" customWidth="1"/>
    <col min="17" max="17" width="17.85546875" style="595" customWidth="1"/>
    <col min="18" max="18" width="14.140625" style="595" hidden="1" customWidth="1"/>
    <col min="19" max="19" width="19.85546875" style="595" hidden="1" customWidth="1"/>
    <col min="20" max="20" width="15.5703125" style="595" customWidth="1"/>
    <col min="21" max="21" width="16" style="595" customWidth="1"/>
    <col min="22" max="22" width="16" style="595" hidden="1" customWidth="1"/>
    <col min="23" max="23" width="21.5703125" style="595" customWidth="1"/>
    <col min="24" max="24" width="21.42578125" style="595" customWidth="1"/>
    <col min="25" max="25" width="16.7109375" style="595" hidden="1" customWidth="1"/>
    <col min="26" max="26" width="22.5703125" style="595" customWidth="1"/>
    <col min="27" max="27" width="25.28515625" style="595" hidden="1" customWidth="1"/>
    <col min="28" max="28" width="25.5703125" style="595" hidden="1" customWidth="1"/>
    <col min="29" max="29" width="22.28515625" style="595" hidden="1" customWidth="1"/>
    <col min="30" max="33" width="9.42578125" style="595"/>
    <col min="34" max="34" width="9.5703125" style="595" bestFit="1" customWidth="1"/>
    <col min="35" max="16384" width="9.42578125" style="595"/>
  </cols>
  <sheetData>
    <row r="2" spans="1:29" ht="21.75" customHeight="1">
      <c r="A2" s="2009" t="s">
        <v>90</v>
      </c>
      <c r="B2" s="2009"/>
      <c r="C2" s="2009"/>
      <c r="D2" s="2009"/>
      <c r="E2" s="2009"/>
      <c r="F2" s="2009"/>
      <c r="G2" s="2009"/>
      <c r="H2" s="2009"/>
      <c r="I2" s="2009"/>
      <c r="J2" s="2009"/>
      <c r="K2" s="2009"/>
      <c r="L2" s="2009"/>
      <c r="M2" s="2009"/>
      <c r="N2" s="2009"/>
      <c r="O2" s="2009"/>
      <c r="P2" s="2009"/>
      <c r="Q2" s="2009"/>
      <c r="R2" s="2009"/>
      <c r="S2" s="2009"/>
      <c r="T2" s="2009"/>
      <c r="U2" s="2009"/>
      <c r="V2" s="2009"/>
      <c r="W2" s="2009"/>
      <c r="X2" s="2009"/>
      <c r="Y2" s="2009"/>
      <c r="Z2" s="2009"/>
    </row>
    <row r="3" spans="1:29" ht="26.25" customHeight="1">
      <c r="A3" s="2009" t="s">
        <v>56</v>
      </c>
      <c r="B3" s="2009"/>
      <c r="C3" s="2009"/>
      <c r="D3" s="2009"/>
      <c r="E3" s="2009"/>
      <c r="F3" s="2009"/>
      <c r="G3" s="2009"/>
      <c r="H3" s="2009"/>
      <c r="I3" s="2009"/>
      <c r="J3" s="2009"/>
      <c r="K3" s="2009"/>
      <c r="L3" s="2009"/>
      <c r="M3" s="2009"/>
      <c r="N3" s="2009"/>
      <c r="O3" s="2009"/>
      <c r="P3" s="2009"/>
      <c r="Q3" s="2009"/>
      <c r="R3" s="2009"/>
      <c r="S3" s="2009"/>
      <c r="T3" s="2009"/>
      <c r="U3" s="2009"/>
      <c r="V3" s="2009"/>
      <c r="W3" s="2009"/>
      <c r="X3" s="2009"/>
      <c r="Y3" s="2009"/>
      <c r="Z3" s="2009"/>
    </row>
    <row r="4" spans="1:29" ht="26.25" customHeight="1">
      <c r="A4" s="2015" t="s">
        <v>604</v>
      </c>
      <c r="B4" s="2015"/>
      <c r="C4" s="2016"/>
      <c r="D4" s="2016"/>
      <c r="E4" s="2016"/>
      <c r="F4" s="2016"/>
      <c r="G4" s="2016"/>
      <c r="H4" s="2016"/>
      <c r="I4" s="2016"/>
      <c r="J4" s="2016"/>
      <c r="K4" s="2016"/>
      <c r="L4" s="2016"/>
      <c r="M4" s="2016"/>
      <c r="N4" s="2016"/>
      <c r="O4" s="2016"/>
      <c r="P4" s="2016"/>
      <c r="Q4" s="2016"/>
      <c r="R4" s="2016"/>
      <c r="S4" s="2016"/>
      <c r="T4" s="2016"/>
      <c r="U4" s="2016"/>
      <c r="V4" s="2016"/>
      <c r="W4" s="2016"/>
      <c r="X4" s="2016"/>
      <c r="Y4" s="2016"/>
      <c r="Z4" s="2016"/>
    </row>
    <row r="5" spans="1:29" ht="26.25" customHeight="1">
      <c r="A5" s="1819"/>
      <c r="B5" s="1819"/>
      <c r="C5" s="1819"/>
      <c r="D5" s="1819"/>
      <c r="E5" s="1819"/>
      <c r="F5" s="1819"/>
      <c r="G5" s="1819"/>
      <c r="H5" s="1819"/>
      <c r="I5" s="1819"/>
      <c r="J5" s="1819"/>
      <c r="K5" s="1819"/>
      <c r="L5" s="1819"/>
      <c r="M5" s="1819"/>
      <c r="N5" s="1819"/>
      <c r="O5" s="1819"/>
      <c r="P5" s="1819"/>
      <c r="Q5" s="1819"/>
      <c r="R5" s="1819"/>
      <c r="S5" s="1819"/>
      <c r="T5" s="1819"/>
      <c r="U5" s="1819"/>
      <c r="V5" s="1819"/>
      <c r="W5" s="1819"/>
      <c r="X5" s="1819"/>
      <c r="Y5" s="1819"/>
      <c r="Z5" s="1819"/>
    </row>
    <row r="6" spans="1:29" ht="26.25">
      <c r="A6" s="2013" t="s">
        <v>5</v>
      </c>
      <c r="B6" s="2013"/>
      <c r="C6" s="2013"/>
      <c r="D6" s="2013"/>
      <c r="E6" s="2013"/>
      <c r="F6" s="2013"/>
      <c r="G6" s="2013"/>
      <c r="H6" s="2013"/>
      <c r="I6" s="2013"/>
      <c r="J6" s="2013"/>
      <c r="K6" s="1126"/>
      <c r="L6" s="1126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7"/>
      <c r="X6" s="1127"/>
      <c r="Y6" s="1127"/>
      <c r="Z6" s="1127"/>
    </row>
    <row r="7" spans="1:29" ht="25.5">
      <c r="A7" s="2008" t="s">
        <v>113</v>
      </c>
      <c r="B7" s="2008"/>
      <c r="C7" s="2008"/>
      <c r="D7" s="2008"/>
      <c r="E7" s="2008"/>
      <c r="F7" s="2008"/>
      <c r="G7" s="2008"/>
      <c r="H7" s="2008"/>
      <c r="I7" s="2008"/>
      <c r="J7" s="2008"/>
      <c r="K7" s="1126"/>
      <c r="L7" s="1126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7"/>
      <c r="X7" s="1127"/>
      <c r="Y7" s="1127"/>
      <c r="Z7" s="1127"/>
    </row>
    <row r="8" spans="1:29" ht="25.5">
      <c r="A8" s="1818"/>
      <c r="B8" s="1818"/>
      <c r="C8" s="1818"/>
      <c r="D8" s="1818"/>
      <c r="E8" s="1818"/>
      <c r="F8" s="1818"/>
      <c r="G8" s="1818"/>
      <c r="H8" s="1818"/>
      <c r="I8" s="1818"/>
      <c r="J8" s="1818"/>
      <c r="K8" s="1126"/>
      <c r="L8" s="1126"/>
      <c r="M8" s="1126"/>
      <c r="N8" s="1126"/>
      <c r="O8" s="1126"/>
      <c r="P8" s="1126"/>
      <c r="Q8" s="1126"/>
      <c r="R8" s="1126"/>
      <c r="S8" s="1126"/>
      <c r="T8" s="1126"/>
      <c r="U8" s="1126"/>
      <c r="V8" s="1126"/>
      <c r="W8" s="1127"/>
      <c r="X8" s="1127"/>
      <c r="Y8" s="1127"/>
      <c r="Z8" s="1127"/>
    </row>
    <row r="9" spans="1:29" s="604" customFormat="1" ht="27.75" customHeight="1">
      <c r="A9" s="2010" t="s">
        <v>1150</v>
      </c>
      <c r="B9" s="2010"/>
      <c r="C9" s="2010"/>
      <c r="D9" s="2010"/>
      <c r="E9" s="2010"/>
      <c r="F9" s="2010"/>
      <c r="G9" s="2010"/>
      <c r="H9" s="2010"/>
      <c r="I9" s="2010"/>
      <c r="J9" s="2010"/>
      <c r="K9" s="2010"/>
      <c r="L9" s="2010"/>
      <c r="M9" s="2010"/>
      <c r="N9" s="2010"/>
      <c r="O9" s="2010"/>
      <c r="P9" s="2010"/>
      <c r="Q9" s="2010"/>
      <c r="R9" s="2010"/>
      <c r="S9" s="2010"/>
      <c r="T9" s="2010"/>
      <c r="U9" s="2010"/>
      <c r="V9" s="2010"/>
      <c r="W9" s="2010"/>
      <c r="X9" s="2010"/>
      <c r="Y9" s="2010"/>
      <c r="Z9" s="2010"/>
      <c r="AA9" s="1721" t="s">
        <v>50</v>
      </c>
      <c r="AB9" s="1722">
        <f>'BTH mủ tạp'!$AI$14</f>
        <v>0</v>
      </c>
    </row>
    <row r="10" spans="1:29" s="604" customFormat="1" ht="27.75" customHeight="1">
      <c r="A10" s="2000"/>
      <c r="B10" s="2000"/>
      <c r="C10" s="2000"/>
      <c r="D10" s="2000"/>
      <c r="E10" s="2000"/>
      <c r="F10" s="2000"/>
      <c r="G10" s="2000"/>
      <c r="H10" s="2000"/>
      <c r="I10" s="2000"/>
      <c r="J10" s="2000"/>
      <c r="K10" s="2000"/>
      <c r="L10" s="2000"/>
      <c r="M10" s="2000"/>
      <c r="N10" s="2000"/>
      <c r="O10" s="2000"/>
      <c r="P10" s="2000"/>
      <c r="Q10" s="2000"/>
      <c r="R10" s="2000"/>
      <c r="S10" s="2000"/>
      <c r="T10" s="2000"/>
      <c r="U10" s="2000"/>
      <c r="V10" s="2000"/>
      <c r="W10" s="2000"/>
      <c r="X10" s="2000"/>
      <c r="Y10" s="2000"/>
      <c r="Z10" s="2000"/>
      <c r="AA10" s="1721" t="s">
        <v>844</v>
      </c>
      <c r="AB10" s="1722">
        <f>'BTH mủ tạp'!$AK$14</f>
        <v>0</v>
      </c>
    </row>
    <row r="11" spans="1:29" s="604" customFormat="1" ht="18" customHeight="1">
      <c r="A11" s="601"/>
      <c r="B11" s="601"/>
      <c r="C11" s="2014"/>
      <c r="D11" s="2014"/>
      <c r="E11" s="2014"/>
      <c r="F11" s="674"/>
      <c r="G11" s="674"/>
      <c r="H11" s="674"/>
      <c r="I11" s="674"/>
      <c r="J11" s="675"/>
      <c r="K11" s="1813"/>
      <c r="L11" s="1813"/>
      <c r="M11" s="1813"/>
      <c r="N11" s="1813"/>
      <c r="O11" s="1813"/>
      <c r="P11" s="1813"/>
      <c r="Q11" s="1813"/>
      <c r="R11" s="1813"/>
      <c r="S11" s="1813"/>
      <c r="T11" s="1813"/>
      <c r="U11" s="1813"/>
      <c r="V11" s="1813"/>
      <c r="W11" s="1813"/>
      <c r="X11" s="1813"/>
      <c r="Y11" s="1813"/>
      <c r="Z11" s="1813"/>
      <c r="AA11" s="1723" t="s">
        <v>845</v>
      </c>
      <c r="AB11" s="1724">
        <v>0.5</v>
      </c>
    </row>
    <row r="12" spans="1:29" ht="30.75" customHeight="1">
      <c r="A12" s="676"/>
      <c r="B12" s="676"/>
      <c r="C12" s="2017" t="s">
        <v>613</v>
      </c>
      <c r="D12" s="2017"/>
      <c r="E12" s="1821">
        <f>'CNKT '!E11</f>
        <v>656</v>
      </c>
      <c r="F12" s="677"/>
      <c r="G12" s="677"/>
      <c r="H12" s="677"/>
      <c r="I12" s="677"/>
      <c r="J12" s="678"/>
      <c r="K12" s="679"/>
      <c r="L12" s="680"/>
      <c r="M12" s="681"/>
      <c r="N12" s="681"/>
      <c r="O12" s="681"/>
      <c r="P12" s="681"/>
      <c r="Q12" s="681"/>
      <c r="R12" s="681"/>
      <c r="S12" s="681"/>
      <c r="T12" s="681"/>
      <c r="U12" s="681"/>
      <c r="V12" s="681"/>
      <c r="W12" s="681"/>
      <c r="X12" s="2018"/>
      <c r="Y12" s="2018"/>
      <c r="Z12" s="1877" t="e">
        <f>AB10/AB9</f>
        <v>#DIV/0!</v>
      </c>
      <c r="AA12" s="1723" t="s">
        <v>846</v>
      </c>
      <c r="AB12" s="1724">
        <v>0.2</v>
      </c>
    </row>
    <row r="13" spans="1:29" s="1813" customFormat="1" ht="26.25" customHeight="1">
      <c r="A13" s="1998" t="s">
        <v>11</v>
      </c>
      <c r="B13" s="1998" t="s">
        <v>145</v>
      </c>
      <c r="C13" s="1999" t="s">
        <v>29</v>
      </c>
      <c r="D13" s="1998" t="s">
        <v>417</v>
      </c>
      <c r="E13" s="1995" t="s">
        <v>34</v>
      </c>
      <c r="F13" s="1995"/>
      <c r="G13" s="1995"/>
      <c r="H13" s="1995"/>
      <c r="I13" s="1995"/>
      <c r="J13" s="1995"/>
      <c r="K13" s="1995"/>
      <c r="L13" s="1995"/>
      <c r="M13" s="1995"/>
      <c r="N13" s="1995"/>
      <c r="O13" s="1995"/>
      <c r="P13" s="1995"/>
      <c r="Q13" s="1995"/>
      <c r="R13" s="1995"/>
      <c r="S13" s="1995"/>
      <c r="T13" s="1995"/>
      <c r="U13" s="1995"/>
      <c r="V13" s="1995"/>
      <c r="W13" s="1995"/>
      <c r="X13" s="1997" t="s">
        <v>750</v>
      </c>
      <c r="Y13" s="1997" t="s">
        <v>275</v>
      </c>
      <c r="Z13" s="1997" t="s">
        <v>752</v>
      </c>
    </row>
    <row r="14" spans="1:29" s="1813" customFormat="1" ht="57" customHeight="1">
      <c r="A14" s="1998"/>
      <c r="B14" s="1998"/>
      <c r="C14" s="1999"/>
      <c r="D14" s="1998"/>
      <c r="E14" s="2011" t="s">
        <v>751</v>
      </c>
      <c r="F14" s="2012"/>
      <c r="G14" s="870"/>
      <c r="H14" s="870"/>
      <c r="I14" s="870"/>
      <c r="J14" s="1997" t="s">
        <v>37</v>
      </c>
      <c r="K14" s="1997"/>
      <c r="L14" s="1997"/>
      <c r="M14" s="1997" t="s">
        <v>38</v>
      </c>
      <c r="N14" s="1997"/>
      <c r="O14" s="1997"/>
      <c r="P14" s="1997"/>
      <c r="Q14" s="1997"/>
      <c r="R14" s="1997"/>
      <c r="S14" s="1997"/>
      <c r="T14" s="1997"/>
      <c r="U14" s="1997"/>
      <c r="V14" s="1997"/>
      <c r="W14" s="1997"/>
      <c r="X14" s="1997"/>
      <c r="Y14" s="1997"/>
      <c r="Z14" s="1997"/>
    </row>
    <row r="15" spans="1:29" s="1814" customFormat="1" ht="159.75" customHeight="1">
      <c r="A15" s="1998"/>
      <c r="B15" s="1998"/>
      <c r="C15" s="1999"/>
      <c r="D15" s="1998"/>
      <c r="E15" s="698" t="s">
        <v>115</v>
      </c>
      <c r="F15" s="1812" t="s">
        <v>40</v>
      </c>
      <c r="G15" s="1812" t="s">
        <v>749</v>
      </c>
      <c r="H15" s="1812" t="s">
        <v>837</v>
      </c>
      <c r="I15" s="1183" t="s">
        <v>847</v>
      </c>
      <c r="J15" s="1042" t="s">
        <v>838</v>
      </c>
      <c r="K15" s="1811" t="s">
        <v>41</v>
      </c>
      <c r="L15" s="1811" t="s">
        <v>42</v>
      </c>
      <c r="M15" s="1150" t="s">
        <v>880</v>
      </c>
      <c r="N15" s="1149" t="s">
        <v>927</v>
      </c>
      <c r="O15" s="1149" t="s">
        <v>928</v>
      </c>
      <c r="P15" s="1149" t="s">
        <v>929</v>
      </c>
      <c r="Q15" s="1149" t="s">
        <v>930</v>
      </c>
      <c r="R15" s="1149" t="s">
        <v>931</v>
      </c>
      <c r="S15" s="1811" t="s">
        <v>488</v>
      </c>
      <c r="T15" s="1493" t="s">
        <v>1015</v>
      </c>
      <c r="U15" s="1493" t="s">
        <v>1168</v>
      </c>
      <c r="V15" s="1493"/>
      <c r="W15" s="1811" t="s">
        <v>32</v>
      </c>
      <c r="X15" s="1997"/>
      <c r="Y15" s="1997"/>
      <c r="Z15" s="1997"/>
      <c r="AB15" s="1814">
        <f>5.5*E12</f>
        <v>3608</v>
      </c>
      <c r="AC15" s="1814">
        <f>265*AB15</f>
        <v>956120</v>
      </c>
    </row>
    <row r="16" spans="1:29" s="1814" customFormat="1" ht="57.6" hidden="1" customHeight="1">
      <c r="A16" s="683">
        <v>1</v>
      </c>
      <c r="B16" s="683" t="str">
        <f>'Chấm công KT'!D11</f>
        <v>03456</v>
      </c>
      <c r="C16" s="684" t="str">
        <f>TONGHOPCONGDOI!C11</f>
        <v>T. Vôn</v>
      </c>
      <c r="D16" s="684"/>
      <c r="E16" s="685"/>
      <c r="F16" s="684"/>
      <c r="G16" s="684"/>
      <c r="H16" s="684"/>
      <c r="I16" s="684"/>
      <c r="J16" s="1184"/>
      <c r="K16" s="683"/>
      <c r="L16" s="1185"/>
      <c r="M16" s="684"/>
      <c r="N16" s="684"/>
      <c r="O16" s="684"/>
      <c r="P16" s="684"/>
      <c r="Q16" s="684"/>
      <c r="R16" s="684"/>
      <c r="S16" s="684"/>
      <c r="T16" s="685"/>
      <c r="U16" s="685"/>
      <c r="V16" s="685"/>
      <c r="W16" s="1725"/>
      <c r="X16" s="684">
        <f>F16+L16+W16</f>
        <v>0</v>
      </c>
      <c r="Y16" s="684"/>
      <c r="Z16" s="684">
        <f>VLOOKUP(C16,'CNKT '!C16:Z93,24,0)</f>
        <v>0</v>
      </c>
      <c r="AA16" s="1814">
        <f>Z16-X16</f>
        <v>0</v>
      </c>
    </row>
    <row r="17" spans="1:27" s="1814" customFormat="1" ht="50.25" hidden="1" customHeight="1">
      <c r="A17" s="683">
        <v>2</v>
      </c>
      <c r="B17" s="683"/>
      <c r="C17" s="684" t="str">
        <f>TONGHOPCONGDOI!C12</f>
        <v>T. Feng</v>
      </c>
      <c r="D17" s="684"/>
      <c r="E17" s="685"/>
      <c r="F17" s="684"/>
      <c r="G17" s="684"/>
      <c r="H17" s="684"/>
      <c r="I17" s="684"/>
      <c r="J17" s="1184"/>
      <c r="K17" s="683"/>
      <c r="L17" s="1185"/>
      <c r="M17" s="684"/>
      <c r="N17" s="684"/>
      <c r="O17" s="684"/>
      <c r="P17" s="684"/>
      <c r="Q17" s="684"/>
      <c r="R17" s="684"/>
      <c r="S17" s="684"/>
      <c r="T17" s="685"/>
      <c r="U17" s="685"/>
      <c r="V17" s="685"/>
      <c r="W17" s="1725"/>
      <c r="X17" s="684">
        <f t="shared" ref="X17:X47" si="0">F17+L17+W17</f>
        <v>0</v>
      </c>
      <c r="Y17" s="684"/>
      <c r="Z17" s="684">
        <f>VLOOKUP(C17,'CNKT '!C17:Z94,24,0)</f>
        <v>0</v>
      </c>
      <c r="AA17" s="1814">
        <f t="shared" ref="AA17:AA79" si="1">Z17-X17</f>
        <v>0</v>
      </c>
    </row>
    <row r="18" spans="1:27" s="1814" customFormat="1" ht="50.25" hidden="1" customHeight="1">
      <c r="A18" s="683">
        <v>3</v>
      </c>
      <c r="B18" s="683" t="str">
        <f>'Chấm công KT'!D13</f>
        <v>02725</v>
      </c>
      <c r="C18" s="684" t="str">
        <f>TONGHOPCONGDOI!C13</f>
        <v>T. Sa Văn</v>
      </c>
      <c r="D18" s="684"/>
      <c r="E18" s="685"/>
      <c r="F18" s="684"/>
      <c r="G18" s="684"/>
      <c r="H18" s="684"/>
      <c r="I18" s="684"/>
      <c r="J18" s="1184"/>
      <c r="K18" s="683"/>
      <c r="L18" s="1185"/>
      <c r="M18" s="684"/>
      <c r="N18" s="684"/>
      <c r="O18" s="684"/>
      <c r="P18" s="684"/>
      <c r="Q18" s="684"/>
      <c r="R18" s="684"/>
      <c r="S18" s="684"/>
      <c r="T18" s="685"/>
      <c r="U18" s="685"/>
      <c r="V18" s="685"/>
      <c r="W18" s="1725"/>
      <c r="X18" s="684">
        <f t="shared" si="0"/>
        <v>0</v>
      </c>
      <c r="Y18" s="684"/>
      <c r="Z18" s="684">
        <f>VLOOKUP(C18,'CNKT '!C18:Z95,24,0)</f>
        <v>0</v>
      </c>
      <c r="AA18" s="1814">
        <f t="shared" si="1"/>
        <v>0</v>
      </c>
    </row>
    <row r="19" spans="1:27" s="1814" customFormat="1" ht="50.25" hidden="1" customHeight="1">
      <c r="A19" s="683">
        <v>4</v>
      </c>
      <c r="B19" s="683" t="str">
        <f>'Chấm công KT'!D14</f>
        <v>03458</v>
      </c>
      <c r="C19" s="684" t="str">
        <f>TONGHOPCONGDOI!C14</f>
        <v>N. Pheng Mi</v>
      </c>
      <c r="D19" s="684"/>
      <c r="E19" s="685"/>
      <c r="F19" s="684"/>
      <c r="G19" s="684"/>
      <c r="H19" s="684"/>
      <c r="I19" s="684"/>
      <c r="J19" s="1184"/>
      <c r="K19" s="683"/>
      <c r="L19" s="1185"/>
      <c r="M19" s="684"/>
      <c r="N19" s="684"/>
      <c r="O19" s="684"/>
      <c r="P19" s="684"/>
      <c r="Q19" s="684"/>
      <c r="R19" s="684"/>
      <c r="S19" s="684"/>
      <c r="T19" s="685"/>
      <c r="U19" s="685"/>
      <c r="V19" s="685"/>
      <c r="W19" s="1725"/>
      <c r="X19" s="684">
        <f t="shared" si="0"/>
        <v>0</v>
      </c>
      <c r="Y19" s="684"/>
      <c r="Z19" s="684">
        <f>VLOOKUP(C19,'CNKT '!C19:Z96,24,0)</f>
        <v>0</v>
      </c>
      <c r="AA19" s="1814">
        <f t="shared" si="1"/>
        <v>0</v>
      </c>
    </row>
    <row r="20" spans="1:27" s="1814" customFormat="1" ht="50.25" hidden="1" customHeight="1">
      <c r="A20" s="683">
        <v>5</v>
      </c>
      <c r="B20" s="683" t="str">
        <f>'Chấm công KT'!D15</f>
        <v>03459</v>
      </c>
      <c r="C20" s="684" t="str">
        <f>TONGHOPCONGDOI!C15</f>
        <v>N. Vạt</v>
      </c>
      <c r="D20" s="684"/>
      <c r="E20" s="685"/>
      <c r="F20" s="684"/>
      <c r="G20" s="684"/>
      <c r="H20" s="684"/>
      <c r="I20" s="684"/>
      <c r="J20" s="1184"/>
      <c r="K20" s="683"/>
      <c r="L20" s="1185"/>
      <c r="M20" s="684"/>
      <c r="N20" s="684"/>
      <c r="O20" s="684"/>
      <c r="P20" s="684"/>
      <c r="Q20" s="684"/>
      <c r="R20" s="684"/>
      <c r="S20" s="684"/>
      <c r="T20" s="685"/>
      <c r="U20" s="685"/>
      <c r="V20" s="685"/>
      <c r="W20" s="1725"/>
      <c r="X20" s="684">
        <f t="shared" si="0"/>
        <v>0</v>
      </c>
      <c r="Y20" s="684"/>
      <c r="Z20" s="684">
        <f>VLOOKUP(C20,'CNKT '!C20:Z97,24,0)</f>
        <v>0</v>
      </c>
      <c r="AA20" s="1814">
        <f t="shared" si="1"/>
        <v>0</v>
      </c>
    </row>
    <row r="21" spans="1:27" s="1814" customFormat="1" ht="50.25" hidden="1" customHeight="1">
      <c r="A21" s="683">
        <v>6</v>
      </c>
      <c r="B21" s="683" t="str">
        <f>'Chấm công KT'!D16</f>
        <v>03460</v>
      </c>
      <c r="C21" s="684" t="str">
        <f>TONGHOPCONGDOI!C16</f>
        <v>T. Tích</v>
      </c>
      <c r="D21" s="684"/>
      <c r="E21" s="685"/>
      <c r="F21" s="684"/>
      <c r="G21" s="684"/>
      <c r="H21" s="684"/>
      <c r="I21" s="684"/>
      <c r="J21" s="1184"/>
      <c r="K21" s="683"/>
      <c r="L21" s="1185"/>
      <c r="M21" s="684"/>
      <c r="N21" s="684"/>
      <c r="O21" s="684"/>
      <c r="P21" s="684"/>
      <c r="Q21" s="684"/>
      <c r="R21" s="684"/>
      <c r="S21" s="684"/>
      <c r="T21" s="685"/>
      <c r="U21" s="685"/>
      <c r="V21" s="685"/>
      <c r="W21" s="1725"/>
      <c r="X21" s="684">
        <f t="shared" si="0"/>
        <v>0</v>
      </c>
      <c r="Y21" s="684"/>
      <c r="Z21" s="684">
        <f>VLOOKUP(C21,'CNKT '!C21:Z98,24,0)</f>
        <v>0</v>
      </c>
      <c r="AA21" s="1814">
        <f t="shared" si="1"/>
        <v>0</v>
      </c>
    </row>
    <row r="22" spans="1:27" s="1814" customFormat="1" ht="50.25" hidden="1" customHeight="1">
      <c r="A22" s="683">
        <v>7</v>
      </c>
      <c r="B22" s="683" t="str">
        <f>'Chấm công KT'!D17</f>
        <v>03461</v>
      </c>
      <c r="C22" s="684" t="str">
        <f>TONGHOPCONGDOI!C17</f>
        <v>T. Bi Ly</v>
      </c>
      <c r="D22" s="684"/>
      <c r="E22" s="685"/>
      <c r="F22" s="684"/>
      <c r="G22" s="684"/>
      <c r="H22" s="684"/>
      <c r="I22" s="684"/>
      <c r="J22" s="1184"/>
      <c r="K22" s="683"/>
      <c r="L22" s="1185"/>
      <c r="M22" s="684"/>
      <c r="N22" s="684"/>
      <c r="O22" s="684"/>
      <c r="P22" s="684"/>
      <c r="Q22" s="684"/>
      <c r="R22" s="684"/>
      <c r="S22" s="684"/>
      <c r="T22" s="685"/>
      <c r="U22" s="685"/>
      <c r="V22" s="685"/>
      <c r="W22" s="1725"/>
      <c r="X22" s="684">
        <f t="shared" si="0"/>
        <v>0</v>
      </c>
      <c r="Y22" s="684"/>
      <c r="Z22" s="684">
        <f>VLOOKUP(C22,'CNKT '!C22:Z99,24,0)</f>
        <v>0</v>
      </c>
      <c r="AA22" s="1814">
        <f t="shared" si="1"/>
        <v>0</v>
      </c>
    </row>
    <row r="23" spans="1:27" s="1814" customFormat="1" ht="50.25" hidden="1" customHeight="1">
      <c r="A23" s="683">
        <v>8</v>
      </c>
      <c r="B23" s="683" t="str">
        <f>'Chấm công KT'!D18</f>
        <v>03462</v>
      </c>
      <c r="C23" s="684" t="str">
        <f>TONGHOPCONGDOI!C18</f>
        <v>T . Bua Ngân</v>
      </c>
      <c r="D23" s="684"/>
      <c r="E23" s="685"/>
      <c r="F23" s="684"/>
      <c r="G23" s="684"/>
      <c r="H23" s="684"/>
      <c r="I23" s="684"/>
      <c r="J23" s="1184"/>
      <c r="K23" s="683"/>
      <c r="L23" s="1185"/>
      <c r="M23" s="684"/>
      <c r="N23" s="684"/>
      <c r="O23" s="684"/>
      <c r="P23" s="684"/>
      <c r="Q23" s="684"/>
      <c r="R23" s="684"/>
      <c r="S23" s="684"/>
      <c r="T23" s="685"/>
      <c r="U23" s="685"/>
      <c r="V23" s="685"/>
      <c r="W23" s="1725"/>
      <c r="X23" s="684">
        <f t="shared" si="0"/>
        <v>0</v>
      </c>
      <c r="Y23" s="684"/>
      <c r="Z23" s="684">
        <f>VLOOKUP(C23,'CNKT '!C23:Z100,24,0)</f>
        <v>0</v>
      </c>
      <c r="AA23" s="1814">
        <f t="shared" si="1"/>
        <v>0</v>
      </c>
    </row>
    <row r="24" spans="1:27" s="1814" customFormat="1" ht="50.25" hidden="1" customHeight="1">
      <c r="A24" s="683">
        <v>9</v>
      </c>
      <c r="B24" s="683" t="str">
        <f>'Chấm công KT'!D19</f>
        <v>03463</v>
      </c>
      <c r="C24" s="684" t="str">
        <f>TONGHOPCONGDOI!C19</f>
        <v>T Căng</v>
      </c>
      <c r="D24" s="684"/>
      <c r="E24" s="685"/>
      <c r="F24" s="684"/>
      <c r="G24" s="684"/>
      <c r="H24" s="684"/>
      <c r="I24" s="684"/>
      <c r="J24" s="1184"/>
      <c r="K24" s="683"/>
      <c r="L24" s="1185"/>
      <c r="M24" s="684"/>
      <c r="N24" s="684"/>
      <c r="O24" s="684"/>
      <c r="P24" s="684"/>
      <c r="Q24" s="684"/>
      <c r="R24" s="684"/>
      <c r="S24" s="684"/>
      <c r="T24" s="685"/>
      <c r="U24" s="685"/>
      <c r="V24" s="685"/>
      <c r="W24" s="1725"/>
      <c r="X24" s="684">
        <f t="shared" si="0"/>
        <v>0</v>
      </c>
      <c r="Y24" s="684"/>
      <c r="Z24" s="684">
        <f>VLOOKUP(C24,'CNKT '!C24:Z101,24,0)</f>
        <v>0</v>
      </c>
      <c r="AA24" s="1814">
        <f t="shared" si="1"/>
        <v>0</v>
      </c>
    </row>
    <row r="25" spans="1:27" s="1814" customFormat="1" ht="50.25" hidden="1" customHeight="1">
      <c r="A25" s="683">
        <v>10</v>
      </c>
      <c r="B25" s="683" t="str">
        <f>'Chấm công KT'!D20</f>
        <v>03464</v>
      </c>
      <c r="C25" s="684" t="str">
        <f>TONGHOPCONGDOI!C20</f>
        <v>N. Phôn 1</v>
      </c>
      <c r="D25" s="684"/>
      <c r="E25" s="685"/>
      <c r="F25" s="684"/>
      <c r="G25" s="684"/>
      <c r="H25" s="684"/>
      <c r="I25" s="684"/>
      <c r="J25" s="1184"/>
      <c r="K25" s="683"/>
      <c r="L25" s="1185"/>
      <c r="M25" s="684"/>
      <c r="N25" s="684"/>
      <c r="O25" s="684"/>
      <c r="P25" s="684"/>
      <c r="Q25" s="684"/>
      <c r="R25" s="684"/>
      <c r="S25" s="684"/>
      <c r="T25" s="685"/>
      <c r="U25" s="685"/>
      <c r="V25" s="685"/>
      <c r="W25" s="1725"/>
      <c r="X25" s="684">
        <f t="shared" si="0"/>
        <v>0</v>
      </c>
      <c r="Y25" s="684"/>
      <c r="Z25" s="684">
        <f>VLOOKUP(C25,'CNKT '!C25:Z102,24,0)</f>
        <v>0</v>
      </c>
      <c r="AA25" s="1814">
        <f t="shared" si="1"/>
        <v>0</v>
      </c>
    </row>
    <row r="26" spans="1:27" s="1814" customFormat="1" ht="50.25" hidden="1" customHeight="1">
      <c r="A26" s="683">
        <v>11</v>
      </c>
      <c r="B26" s="683" t="str">
        <f>'Chấm công KT'!D21</f>
        <v>03465</v>
      </c>
      <c r="C26" s="684" t="str">
        <f>TONGHOPCONGDOI!C21</f>
        <v>T. In Păn</v>
      </c>
      <c r="D26" s="684"/>
      <c r="E26" s="685"/>
      <c r="F26" s="684"/>
      <c r="G26" s="684"/>
      <c r="H26" s="684"/>
      <c r="I26" s="684"/>
      <c r="J26" s="1184"/>
      <c r="K26" s="683"/>
      <c r="L26" s="1185"/>
      <c r="M26" s="684"/>
      <c r="N26" s="684"/>
      <c r="O26" s="684"/>
      <c r="P26" s="684"/>
      <c r="Q26" s="684"/>
      <c r="R26" s="684"/>
      <c r="S26" s="684"/>
      <c r="T26" s="685"/>
      <c r="U26" s="685"/>
      <c r="V26" s="685"/>
      <c r="W26" s="1725"/>
      <c r="X26" s="684">
        <f t="shared" si="0"/>
        <v>0</v>
      </c>
      <c r="Y26" s="684"/>
      <c r="Z26" s="684">
        <f>VLOOKUP(C26,'CNKT '!C26:Z103,24,0)</f>
        <v>0</v>
      </c>
      <c r="AA26" s="1814">
        <f t="shared" si="1"/>
        <v>0</v>
      </c>
    </row>
    <row r="27" spans="1:27" s="1814" customFormat="1" ht="50.25" hidden="1" customHeight="1">
      <c r="A27" s="683">
        <v>12</v>
      </c>
      <c r="B27" s="683" t="str">
        <f>'Chấm công KT'!D22</f>
        <v>03466</v>
      </c>
      <c r="C27" s="684" t="str">
        <f>TONGHOPCONGDOI!C22</f>
        <v>N. Keo</v>
      </c>
      <c r="D27" s="684"/>
      <c r="E27" s="685"/>
      <c r="F27" s="684"/>
      <c r="G27" s="684"/>
      <c r="H27" s="684"/>
      <c r="I27" s="684"/>
      <c r="J27" s="1184"/>
      <c r="K27" s="683"/>
      <c r="L27" s="1185"/>
      <c r="M27" s="684"/>
      <c r="N27" s="684"/>
      <c r="O27" s="684"/>
      <c r="P27" s="684"/>
      <c r="Q27" s="684"/>
      <c r="R27" s="684"/>
      <c r="S27" s="684"/>
      <c r="T27" s="685"/>
      <c r="U27" s="685"/>
      <c r="V27" s="685"/>
      <c r="W27" s="1725"/>
      <c r="X27" s="684">
        <f t="shared" si="0"/>
        <v>0</v>
      </c>
      <c r="Y27" s="684"/>
      <c r="Z27" s="684">
        <f>VLOOKUP(C27,'CNKT '!C27:Z104,24,0)</f>
        <v>0</v>
      </c>
      <c r="AA27" s="1814">
        <f t="shared" si="1"/>
        <v>0</v>
      </c>
    </row>
    <row r="28" spans="1:27" s="1814" customFormat="1" ht="50.25" hidden="1" customHeight="1">
      <c r="A28" s="683">
        <v>13</v>
      </c>
      <c r="B28" s="683" t="str">
        <f>'Chấm công KT'!D23</f>
        <v>02727</v>
      </c>
      <c r="C28" s="684" t="str">
        <f>TONGHOPCONGDOI!C23</f>
        <v>T. Thong Đon</v>
      </c>
      <c r="D28" s="684"/>
      <c r="E28" s="685"/>
      <c r="F28" s="684"/>
      <c r="G28" s="684"/>
      <c r="H28" s="684"/>
      <c r="I28" s="684"/>
      <c r="J28" s="1184"/>
      <c r="K28" s="683"/>
      <c r="L28" s="1185"/>
      <c r="M28" s="684"/>
      <c r="N28" s="684"/>
      <c r="O28" s="684"/>
      <c r="P28" s="684"/>
      <c r="Q28" s="684"/>
      <c r="R28" s="684"/>
      <c r="S28" s="684"/>
      <c r="T28" s="685"/>
      <c r="U28" s="685"/>
      <c r="V28" s="685"/>
      <c r="W28" s="1725"/>
      <c r="X28" s="684">
        <f t="shared" si="0"/>
        <v>0</v>
      </c>
      <c r="Y28" s="684"/>
      <c r="Z28" s="684">
        <f>VLOOKUP(C28,'CNKT '!C28:Z105,24,0)</f>
        <v>0</v>
      </c>
      <c r="AA28" s="1814">
        <f t="shared" si="1"/>
        <v>0</v>
      </c>
    </row>
    <row r="29" spans="1:27" s="1814" customFormat="1" ht="50.25" hidden="1" customHeight="1">
      <c r="A29" s="683">
        <v>14</v>
      </c>
      <c r="B29" s="683" t="str">
        <f>'Chấm công KT'!D24</f>
        <v>03467</v>
      </c>
      <c r="C29" s="684" t="str">
        <f>TONGHOPCONGDOI!C24</f>
        <v>T. Hin</v>
      </c>
      <c r="D29" s="684"/>
      <c r="E29" s="685"/>
      <c r="F29" s="684"/>
      <c r="G29" s="684"/>
      <c r="H29" s="684"/>
      <c r="I29" s="684"/>
      <c r="J29" s="1184"/>
      <c r="K29" s="683"/>
      <c r="L29" s="1185"/>
      <c r="M29" s="684"/>
      <c r="N29" s="684"/>
      <c r="O29" s="684"/>
      <c r="P29" s="684"/>
      <c r="Q29" s="684"/>
      <c r="R29" s="684"/>
      <c r="S29" s="684"/>
      <c r="T29" s="685"/>
      <c r="U29" s="685"/>
      <c r="V29" s="685"/>
      <c r="W29" s="1725"/>
      <c r="X29" s="684">
        <f t="shared" si="0"/>
        <v>0</v>
      </c>
      <c r="Y29" s="684"/>
      <c r="Z29" s="684">
        <f>VLOOKUP(C29,'CNKT '!C29:Z106,24,0)</f>
        <v>0</v>
      </c>
      <c r="AA29" s="1814">
        <f t="shared" si="1"/>
        <v>0</v>
      </c>
    </row>
    <row r="30" spans="1:27" s="1814" customFormat="1" ht="50.25" hidden="1" customHeight="1">
      <c r="A30" s="683">
        <v>15</v>
      </c>
      <c r="B30" s="683" t="str">
        <f>'Chấm công KT'!D25</f>
        <v>03468</v>
      </c>
      <c r="C30" s="684" t="str">
        <f>TONGHOPCONGDOI!C25</f>
        <v>T. Son</v>
      </c>
      <c r="D30" s="684"/>
      <c r="E30" s="685"/>
      <c r="F30" s="684"/>
      <c r="G30" s="684"/>
      <c r="H30" s="684"/>
      <c r="I30" s="684"/>
      <c r="J30" s="1184"/>
      <c r="K30" s="683"/>
      <c r="L30" s="1185"/>
      <c r="M30" s="684"/>
      <c r="N30" s="684"/>
      <c r="O30" s="684"/>
      <c r="P30" s="684"/>
      <c r="Q30" s="684"/>
      <c r="R30" s="684"/>
      <c r="S30" s="684"/>
      <c r="T30" s="685"/>
      <c r="U30" s="685"/>
      <c r="V30" s="685"/>
      <c r="W30" s="1725"/>
      <c r="X30" s="684">
        <f t="shared" si="0"/>
        <v>0</v>
      </c>
      <c r="Y30" s="684"/>
      <c r="Z30" s="684">
        <f>VLOOKUP(C30,'CNKT '!C30:Z107,24,0)</f>
        <v>0</v>
      </c>
      <c r="AA30" s="1814">
        <f t="shared" si="1"/>
        <v>0</v>
      </c>
    </row>
    <row r="31" spans="1:27" s="1814" customFormat="1" ht="50.25" hidden="1" customHeight="1">
      <c r="A31" s="683">
        <v>16</v>
      </c>
      <c r="B31" s="683" t="str">
        <f>'Chấm công KT'!D26</f>
        <v>03469</v>
      </c>
      <c r="C31" s="684" t="str">
        <f>TONGHOPCONGDOI!C26</f>
        <v>T. Xôm Va Nít</v>
      </c>
      <c r="D31" s="684"/>
      <c r="E31" s="685"/>
      <c r="F31" s="684"/>
      <c r="G31" s="684"/>
      <c r="H31" s="684"/>
      <c r="I31" s="684"/>
      <c r="J31" s="1184"/>
      <c r="K31" s="683"/>
      <c r="L31" s="1185"/>
      <c r="M31" s="684"/>
      <c r="N31" s="684"/>
      <c r="O31" s="684"/>
      <c r="P31" s="684"/>
      <c r="Q31" s="684"/>
      <c r="R31" s="684"/>
      <c r="S31" s="684"/>
      <c r="T31" s="685"/>
      <c r="U31" s="685"/>
      <c r="V31" s="685"/>
      <c r="W31" s="1725"/>
      <c r="X31" s="684">
        <f t="shared" si="0"/>
        <v>0</v>
      </c>
      <c r="Y31" s="684"/>
      <c r="Z31" s="684">
        <f>VLOOKUP(C31,'CNKT '!C31:Z108,24,0)</f>
        <v>0</v>
      </c>
      <c r="AA31" s="1814">
        <f t="shared" si="1"/>
        <v>0</v>
      </c>
    </row>
    <row r="32" spans="1:27" s="1814" customFormat="1" ht="50.25" hidden="1" customHeight="1">
      <c r="A32" s="683">
        <v>17</v>
      </c>
      <c r="B32" s="683" t="str">
        <f>'Chấm công KT'!D27</f>
        <v>03470</v>
      </c>
      <c r="C32" s="684" t="str">
        <f>TONGHOPCONGDOI!C27</f>
        <v>T. Lọi</v>
      </c>
      <c r="D32" s="684"/>
      <c r="E32" s="685"/>
      <c r="F32" s="684"/>
      <c r="G32" s="684"/>
      <c r="H32" s="684"/>
      <c r="I32" s="684"/>
      <c r="J32" s="1184"/>
      <c r="K32" s="683"/>
      <c r="L32" s="1185"/>
      <c r="M32" s="684"/>
      <c r="N32" s="684"/>
      <c r="O32" s="684"/>
      <c r="P32" s="684"/>
      <c r="Q32" s="684"/>
      <c r="R32" s="684"/>
      <c r="S32" s="684"/>
      <c r="T32" s="685"/>
      <c r="U32" s="685"/>
      <c r="V32" s="685"/>
      <c r="W32" s="1725"/>
      <c r="X32" s="684">
        <f t="shared" si="0"/>
        <v>0</v>
      </c>
      <c r="Y32" s="684"/>
      <c r="Z32" s="684">
        <f>VLOOKUP(C32,'CNKT '!C32:Z109,24,0)</f>
        <v>0</v>
      </c>
      <c r="AA32" s="1814">
        <f t="shared" si="1"/>
        <v>0</v>
      </c>
    </row>
    <row r="33" spans="1:27" s="1814" customFormat="1" ht="50.25" hidden="1" customHeight="1">
      <c r="A33" s="683">
        <v>18</v>
      </c>
      <c r="B33" s="683" t="str">
        <f>'Chấm công KT'!D28</f>
        <v>03471</v>
      </c>
      <c r="C33" s="684" t="str">
        <f>TONGHOPCONGDOI!C28</f>
        <v>T. Phô Thong</v>
      </c>
      <c r="D33" s="684"/>
      <c r="E33" s="685"/>
      <c r="F33" s="684"/>
      <c r="G33" s="684"/>
      <c r="H33" s="684"/>
      <c r="I33" s="684"/>
      <c r="J33" s="1184"/>
      <c r="K33" s="683"/>
      <c r="L33" s="1185"/>
      <c r="M33" s="684"/>
      <c r="N33" s="684"/>
      <c r="O33" s="684"/>
      <c r="P33" s="684"/>
      <c r="Q33" s="684"/>
      <c r="R33" s="684"/>
      <c r="S33" s="684"/>
      <c r="T33" s="685"/>
      <c r="U33" s="685"/>
      <c r="V33" s="685"/>
      <c r="W33" s="1725"/>
      <c r="X33" s="684">
        <f t="shared" si="0"/>
        <v>0</v>
      </c>
      <c r="Y33" s="684"/>
      <c r="Z33" s="684">
        <f>VLOOKUP(C33,'CNKT '!C33:Z110,24,0)</f>
        <v>0</v>
      </c>
      <c r="AA33" s="1814">
        <f t="shared" si="1"/>
        <v>0</v>
      </c>
    </row>
    <row r="34" spans="1:27" s="1814" customFormat="1" ht="50.25" hidden="1" customHeight="1">
      <c r="A34" s="683">
        <v>19</v>
      </c>
      <c r="B34" s="683" t="str">
        <f>'Chấm công KT'!D29</f>
        <v>03472</v>
      </c>
      <c r="C34" s="684" t="str">
        <f>TONGHOPCONGDOI!C29</f>
        <v>N. Soi</v>
      </c>
      <c r="D34" s="684"/>
      <c r="E34" s="685"/>
      <c r="F34" s="684"/>
      <c r="G34" s="684"/>
      <c r="H34" s="684"/>
      <c r="I34" s="684"/>
      <c r="J34" s="1184"/>
      <c r="K34" s="683"/>
      <c r="L34" s="1185"/>
      <c r="M34" s="684"/>
      <c r="N34" s="684"/>
      <c r="O34" s="684"/>
      <c r="P34" s="684"/>
      <c r="Q34" s="684"/>
      <c r="R34" s="684"/>
      <c r="S34" s="684"/>
      <c r="T34" s="685"/>
      <c r="U34" s="685"/>
      <c r="V34" s="685"/>
      <c r="W34" s="1725"/>
      <c r="X34" s="684">
        <f t="shared" si="0"/>
        <v>0</v>
      </c>
      <c r="Y34" s="684"/>
      <c r="Z34" s="684">
        <f>VLOOKUP(C34,'CNKT '!C34:Z111,24,0)</f>
        <v>0</v>
      </c>
      <c r="AA34" s="1814">
        <f t="shared" si="1"/>
        <v>0</v>
      </c>
    </row>
    <row r="35" spans="1:27" s="1814" customFormat="1" ht="50.25" hidden="1" customHeight="1">
      <c r="A35" s="683">
        <v>20</v>
      </c>
      <c r="B35" s="683" t="str">
        <f>'Chấm công KT'!D30</f>
        <v>03473</v>
      </c>
      <c r="C35" s="684" t="str">
        <f>TONGHOPCONGDOI!C30</f>
        <v>N. Me Kha La</v>
      </c>
      <c r="D35" s="684"/>
      <c r="E35" s="685"/>
      <c r="F35" s="684"/>
      <c r="G35" s="684"/>
      <c r="H35" s="684"/>
      <c r="I35" s="684"/>
      <c r="J35" s="1184"/>
      <c r="K35" s="683"/>
      <c r="L35" s="1185"/>
      <c r="M35" s="684"/>
      <c r="N35" s="684"/>
      <c r="O35" s="684"/>
      <c r="P35" s="684"/>
      <c r="Q35" s="684"/>
      <c r="R35" s="684"/>
      <c r="S35" s="684"/>
      <c r="T35" s="685"/>
      <c r="U35" s="685"/>
      <c r="V35" s="685"/>
      <c r="W35" s="1725"/>
      <c r="X35" s="684">
        <f t="shared" si="0"/>
        <v>0</v>
      </c>
      <c r="Y35" s="684"/>
      <c r="Z35" s="684">
        <f>VLOOKUP(C35,'CNKT '!C35:Z112,24,0)</f>
        <v>0</v>
      </c>
      <c r="AA35" s="1814">
        <f t="shared" si="1"/>
        <v>0</v>
      </c>
    </row>
    <row r="36" spans="1:27" s="1814" customFormat="1" ht="50.25" hidden="1" customHeight="1">
      <c r="A36" s="683">
        <v>21</v>
      </c>
      <c r="B36" s="683" t="str">
        <f>'Chấm công KT'!D31</f>
        <v>03474</v>
      </c>
      <c r="C36" s="684" t="str">
        <f>TONGHOPCONGDOI!C31</f>
        <v>N. Mon Khăm</v>
      </c>
      <c r="D36" s="684"/>
      <c r="E36" s="685"/>
      <c r="F36" s="684"/>
      <c r="G36" s="684"/>
      <c r="H36" s="684"/>
      <c r="I36" s="684"/>
      <c r="J36" s="1184"/>
      <c r="K36" s="683"/>
      <c r="L36" s="1185"/>
      <c r="M36" s="684"/>
      <c r="N36" s="684"/>
      <c r="O36" s="684"/>
      <c r="P36" s="684"/>
      <c r="Q36" s="684"/>
      <c r="R36" s="684"/>
      <c r="S36" s="684"/>
      <c r="T36" s="685"/>
      <c r="U36" s="685"/>
      <c r="V36" s="685"/>
      <c r="W36" s="1725"/>
      <c r="X36" s="684">
        <f t="shared" si="0"/>
        <v>0</v>
      </c>
      <c r="Y36" s="684"/>
      <c r="Z36" s="684">
        <f>VLOOKUP(C36,'CNKT '!C36:Z113,24,0)</f>
        <v>0</v>
      </c>
      <c r="AA36" s="1814">
        <f t="shared" si="1"/>
        <v>0</v>
      </c>
    </row>
    <row r="37" spans="1:27" s="1814" customFormat="1" ht="50.25" hidden="1" customHeight="1">
      <c r="A37" s="683">
        <v>22</v>
      </c>
      <c r="B37" s="683" t="str">
        <f>'Chấm công KT'!D32</f>
        <v>03475</v>
      </c>
      <c r="C37" s="684" t="str">
        <f>TONGHOPCONGDOI!C32</f>
        <v>T. In</v>
      </c>
      <c r="D37" s="684"/>
      <c r="E37" s="685"/>
      <c r="F37" s="684"/>
      <c r="G37" s="684"/>
      <c r="H37" s="684"/>
      <c r="I37" s="684"/>
      <c r="J37" s="1184"/>
      <c r="K37" s="683"/>
      <c r="L37" s="1185"/>
      <c r="M37" s="684"/>
      <c r="N37" s="684"/>
      <c r="O37" s="684"/>
      <c r="P37" s="684"/>
      <c r="Q37" s="684"/>
      <c r="R37" s="684"/>
      <c r="S37" s="684"/>
      <c r="T37" s="685"/>
      <c r="U37" s="685"/>
      <c r="V37" s="685"/>
      <c r="W37" s="1725"/>
      <c r="X37" s="684">
        <f t="shared" si="0"/>
        <v>0</v>
      </c>
      <c r="Y37" s="684"/>
      <c r="Z37" s="684">
        <f>VLOOKUP(C37,'CNKT '!C37:Z114,24,0)</f>
        <v>0</v>
      </c>
      <c r="AA37" s="1814">
        <f t="shared" si="1"/>
        <v>0</v>
      </c>
    </row>
    <row r="38" spans="1:27" s="1814" customFormat="1" ht="50.25" hidden="1" customHeight="1">
      <c r="A38" s="683">
        <v>23</v>
      </c>
      <c r="B38" s="683" t="str">
        <f>'Chấm công KT'!D33</f>
        <v>03476</v>
      </c>
      <c r="C38" s="684" t="str">
        <f>TONGHOPCONGDOI!C33</f>
        <v>T. Bin Ly.</v>
      </c>
      <c r="D38" s="684"/>
      <c r="E38" s="685"/>
      <c r="F38" s="684"/>
      <c r="G38" s="684"/>
      <c r="H38" s="684"/>
      <c r="I38" s="684"/>
      <c r="J38" s="1184"/>
      <c r="K38" s="683"/>
      <c r="L38" s="1185"/>
      <c r="M38" s="684"/>
      <c r="N38" s="684"/>
      <c r="O38" s="684"/>
      <c r="P38" s="684"/>
      <c r="Q38" s="684"/>
      <c r="R38" s="684"/>
      <c r="S38" s="684"/>
      <c r="T38" s="685"/>
      <c r="U38" s="685"/>
      <c r="V38" s="685"/>
      <c r="W38" s="1725"/>
      <c r="X38" s="684">
        <f t="shared" si="0"/>
        <v>0</v>
      </c>
      <c r="Y38" s="684"/>
      <c r="Z38" s="684">
        <f>VLOOKUP(C38,'CNKT '!C38:Z115,24,0)</f>
        <v>0</v>
      </c>
      <c r="AA38" s="1814">
        <f t="shared" si="1"/>
        <v>0</v>
      </c>
    </row>
    <row r="39" spans="1:27" s="1814" customFormat="1" ht="50.25" hidden="1" customHeight="1">
      <c r="A39" s="683">
        <v>24</v>
      </c>
      <c r="B39" s="683" t="str">
        <f>'Chấm công KT'!D34</f>
        <v>03477</v>
      </c>
      <c r="C39" s="684" t="str">
        <f>TONGHOPCONGDOI!C34</f>
        <v>N. Phim Phon.</v>
      </c>
      <c r="D39" s="684"/>
      <c r="E39" s="685"/>
      <c r="F39" s="684"/>
      <c r="G39" s="684"/>
      <c r="H39" s="684"/>
      <c r="I39" s="684"/>
      <c r="J39" s="1184"/>
      <c r="K39" s="683"/>
      <c r="L39" s="1185"/>
      <c r="M39" s="684"/>
      <c r="N39" s="684"/>
      <c r="O39" s="684"/>
      <c r="P39" s="684"/>
      <c r="Q39" s="684"/>
      <c r="R39" s="684"/>
      <c r="S39" s="684"/>
      <c r="T39" s="685"/>
      <c r="U39" s="685"/>
      <c r="V39" s="685"/>
      <c r="W39" s="1725"/>
      <c r="X39" s="684">
        <f t="shared" si="0"/>
        <v>0</v>
      </c>
      <c r="Y39" s="684"/>
      <c r="Z39" s="684">
        <f>VLOOKUP(C39,'CNKT '!C39:Z116,24,0)</f>
        <v>0</v>
      </c>
      <c r="AA39" s="1814">
        <f t="shared" si="1"/>
        <v>0</v>
      </c>
    </row>
    <row r="40" spans="1:27" s="1814" customFormat="1" ht="50.25" hidden="1" customHeight="1">
      <c r="A40" s="683">
        <v>25</v>
      </c>
      <c r="B40" s="683" t="str">
        <f>'Chấm công KT'!D35</f>
        <v>03478</v>
      </c>
      <c r="C40" s="684" t="str">
        <f>TONGHOPCONGDOI!C35</f>
        <v>N. Nong</v>
      </c>
      <c r="D40" s="684"/>
      <c r="E40" s="685"/>
      <c r="F40" s="684"/>
      <c r="G40" s="684"/>
      <c r="H40" s="684"/>
      <c r="I40" s="684"/>
      <c r="J40" s="1184"/>
      <c r="K40" s="683"/>
      <c r="L40" s="1185"/>
      <c r="M40" s="684"/>
      <c r="N40" s="684"/>
      <c r="O40" s="684"/>
      <c r="P40" s="684"/>
      <c r="Q40" s="684"/>
      <c r="R40" s="684"/>
      <c r="S40" s="684"/>
      <c r="T40" s="685"/>
      <c r="U40" s="685"/>
      <c r="V40" s="685"/>
      <c r="W40" s="1725"/>
      <c r="X40" s="684">
        <f t="shared" si="0"/>
        <v>0</v>
      </c>
      <c r="Y40" s="684"/>
      <c r="Z40" s="684">
        <f>VLOOKUP(C40,'CNKT '!C40:Z117,24,0)</f>
        <v>0</v>
      </c>
      <c r="AA40" s="1814">
        <f t="shared" si="1"/>
        <v>0</v>
      </c>
    </row>
    <row r="41" spans="1:27" s="1814" customFormat="1" ht="50.25" hidden="1" customHeight="1">
      <c r="A41" s="683">
        <v>26</v>
      </c>
      <c r="B41" s="683" t="str">
        <f>'Chấm công KT'!D36</f>
        <v>03479</v>
      </c>
      <c r="C41" s="684" t="str">
        <f>TONGHOPCONGDOI!C36</f>
        <v>N. Tun 1</v>
      </c>
      <c r="D41" s="684"/>
      <c r="E41" s="685"/>
      <c r="F41" s="684"/>
      <c r="G41" s="684"/>
      <c r="H41" s="684"/>
      <c r="I41" s="684"/>
      <c r="J41" s="1184"/>
      <c r="K41" s="683"/>
      <c r="L41" s="1185"/>
      <c r="M41" s="684"/>
      <c r="N41" s="684"/>
      <c r="O41" s="684"/>
      <c r="P41" s="684"/>
      <c r="Q41" s="684"/>
      <c r="R41" s="684"/>
      <c r="S41" s="684"/>
      <c r="T41" s="685"/>
      <c r="U41" s="685"/>
      <c r="V41" s="685"/>
      <c r="W41" s="1725"/>
      <c r="X41" s="684">
        <f t="shared" si="0"/>
        <v>0</v>
      </c>
      <c r="Y41" s="684"/>
      <c r="Z41" s="684">
        <f>VLOOKUP(C41,'CNKT '!C41:Z118,24,0)</f>
        <v>0</v>
      </c>
      <c r="AA41" s="1814">
        <f t="shared" si="1"/>
        <v>0</v>
      </c>
    </row>
    <row r="42" spans="1:27" s="1814" customFormat="1" ht="50.25" hidden="1" customHeight="1">
      <c r="A42" s="683">
        <v>27</v>
      </c>
      <c r="B42" s="683" t="str">
        <f>'Chấm công KT'!D37</f>
        <v>03480</v>
      </c>
      <c r="C42" s="684" t="str">
        <f>TONGHOPCONGDOI!C37</f>
        <v>T . Lốc</v>
      </c>
      <c r="D42" s="684"/>
      <c r="E42" s="685"/>
      <c r="F42" s="684"/>
      <c r="G42" s="684"/>
      <c r="H42" s="684"/>
      <c r="I42" s="684"/>
      <c r="J42" s="1184"/>
      <c r="K42" s="683"/>
      <c r="L42" s="1185"/>
      <c r="M42" s="684"/>
      <c r="N42" s="684"/>
      <c r="O42" s="684"/>
      <c r="P42" s="684"/>
      <c r="Q42" s="684"/>
      <c r="R42" s="684"/>
      <c r="S42" s="684"/>
      <c r="T42" s="685"/>
      <c r="U42" s="685"/>
      <c r="V42" s="685"/>
      <c r="W42" s="1725"/>
      <c r="X42" s="684">
        <f t="shared" si="0"/>
        <v>0</v>
      </c>
      <c r="Y42" s="684"/>
      <c r="Z42" s="684">
        <f>VLOOKUP(C42,'CNKT '!C42:Z119,24,0)</f>
        <v>0</v>
      </c>
      <c r="AA42" s="1814">
        <f t="shared" si="1"/>
        <v>0</v>
      </c>
    </row>
    <row r="43" spans="1:27" s="1814" customFormat="1" ht="50.25" hidden="1" customHeight="1">
      <c r="A43" s="683">
        <v>28</v>
      </c>
      <c r="B43" s="683" t="str">
        <f>'Chấm công KT'!D38</f>
        <v>03481</v>
      </c>
      <c r="C43" s="684" t="str">
        <f>TONGHOPCONGDOI!C38</f>
        <v>N . Khâm (1)</v>
      </c>
      <c r="D43" s="684"/>
      <c r="E43" s="685"/>
      <c r="F43" s="684"/>
      <c r="G43" s="684"/>
      <c r="H43" s="684"/>
      <c r="I43" s="684"/>
      <c r="J43" s="1184"/>
      <c r="K43" s="683"/>
      <c r="L43" s="1185"/>
      <c r="M43" s="684"/>
      <c r="N43" s="684"/>
      <c r="O43" s="684"/>
      <c r="P43" s="684"/>
      <c r="Q43" s="684"/>
      <c r="R43" s="684"/>
      <c r="S43" s="684"/>
      <c r="T43" s="685"/>
      <c r="U43" s="685"/>
      <c r="V43" s="685"/>
      <c r="W43" s="1725"/>
      <c r="X43" s="684">
        <f t="shared" si="0"/>
        <v>0</v>
      </c>
      <c r="Y43" s="684"/>
      <c r="Z43" s="684">
        <f>VLOOKUP(C43,'CNKT '!C43:Z120,24,0)</f>
        <v>0</v>
      </c>
      <c r="AA43" s="1814">
        <f t="shared" si="1"/>
        <v>0</v>
      </c>
    </row>
    <row r="44" spans="1:27" s="1814" customFormat="1" ht="50.25" hidden="1" customHeight="1">
      <c r="A44" s="683">
        <v>29</v>
      </c>
      <c r="B44" s="683" t="str">
        <f>'Chấm công KT'!D39</f>
        <v>03482</v>
      </c>
      <c r="C44" s="684" t="str">
        <f>TONGHOPCONGDOI!C39</f>
        <v>T . Phết</v>
      </c>
      <c r="D44" s="684"/>
      <c r="E44" s="685"/>
      <c r="F44" s="684"/>
      <c r="G44" s="684"/>
      <c r="H44" s="684"/>
      <c r="I44" s="684"/>
      <c r="J44" s="1184"/>
      <c r="K44" s="683"/>
      <c r="L44" s="1185"/>
      <c r="M44" s="684"/>
      <c r="N44" s="684"/>
      <c r="O44" s="684"/>
      <c r="P44" s="684"/>
      <c r="Q44" s="684"/>
      <c r="R44" s="684"/>
      <c r="S44" s="684"/>
      <c r="T44" s="685"/>
      <c r="U44" s="685"/>
      <c r="V44" s="685"/>
      <c r="W44" s="1725"/>
      <c r="X44" s="684">
        <f t="shared" si="0"/>
        <v>0</v>
      </c>
      <c r="Y44" s="684"/>
      <c r="Z44" s="684">
        <f>VLOOKUP(C44,'CNKT '!C44:Z121,24,0)</f>
        <v>0</v>
      </c>
      <c r="AA44" s="1814">
        <f t="shared" si="1"/>
        <v>0</v>
      </c>
    </row>
    <row r="45" spans="1:27" s="1814" customFormat="1" ht="50.25" hidden="1" customHeight="1">
      <c r="A45" s="683">
        <v>30</v>
      </c>
      <c r="B45" s="683" t="str">
        <f>'Chấm công KT'!D40</f>
        <v>03483</v>
      </c>
      <c r="C45" s="684" t="str">
        <f>TONGHOPCONGDOI!C40</f>
        <v>T. Viêng Sa Văn</v>
      </c>
      <c r="D45" s="684"/>
      <c r="E45" s="685"/>
      <c r="F45" s="684"/>
      <c r="G45" s="684"/>
      <c r="H45" s="684"/>
      <c r="I45" s="684"/>
      <c r="J45" s="1184"/>
      <c r="K45" s="683"/>
      <c r="L45" s="1185"/>
      <c r="M45" s="684"/>
      <c r="N45" s="684"/>
      <c r="O45" s="684"/>
      <c r="P45" s="684"/>
      <c r="Q45" s="684"/>
      <c r="R45" s="684"/>
      <c r="S45" s="684"/>
      <c r="T45" s="685"/>
      <c r="U45" s="685"/>
      <c r="V45" s="685"/>
      <c r="W45" s="1725"/>
      <c r="X45" s="684">
        <f t="shared" si="0"/>
        <v>0</v>
      </c>
      <c r="Y45" s="684"/>
      <c r="Z45" s="684">
        <f>VLOOKUP(C45,'CNKT '!C45:Z122,24,0)</f>
        <v>0</v>
      </c>
      <c r="AA45" s="1814">
        <f t="shared" si="1"/>
        <v>0</v>
      </c>
    </row>
    <row r="46" spans="1:27" s="1814" customFormat="1" ht="50.25" hidden="1" customHeight="1">
      <c r="A46" s="683">
        <v>31</v>
      </c>
      <c r="B46" s="683" t="str">
        <f>'Chấm công KT'!D41</f>
        <v>03484</v>
      </c>
      <c r="C46" s="684" t="str">
        <f>TONGHOPCONGDOI!C41</f>
        <v>T. Ca Te</v>
      </c>
      <c r="D46" s="684"/>
      <c r="E46" s="685"/>
      <c r="F46" s="684"/>
      <c r="G46" s="684"/>
      <c r="H46" s="684"/>
      <c r="I46" s="684"/>
      <c r="J46" s="1184"/>
      <c r="K46" s="683"/>
      <c r="L46" s="1185"/>
      <c r="M46" s="684"/>
      <c r="N46" s="684"/>
      <c r="O46" s="684"/>
      <c r="P46" s="684"/>
      <c r="Q46" s="684"/>
      <c r="R46" s="684"/>
      <c r="S46" s="684"/>
      <c r="T46" s="685"/>
      <c r="U46" s="685"/>
      <c r="V46" s="685"/>
      <c r="W46" s="1725"/>
      <c r="X46" s="684">
        <f t="shared" si="0"/>
        <v>0</v>
      </c>
      <c r="Y46" s="684"/>
      <c r="Z46" s="684">
        <f>VLOOKUP(C46,'CNKT '!C46:Z123,24,0)</f>
        <v>0</v>
      </c>
      <c r="AA46" s="1814">
        <f t="shared" si="1"/>
        <v>0</v>
      </c>
    </row>
    <row r="47" spans="1:27" s="1814" customFormat="1" ht="50.25" hidden="1" customHeight="1">
      <c r="A47" s="683">
        <v>32</v>
      </c>
      <c r="B47" s="683" t="str">
        <f>'Chấm công KT'!D42</f>
        <v>03485</v>
      </c>
      <c r="C47" s="684" t="str">
        <f>TONGHOPCONGDOI!C42</f>
        <v>T. Lâm Phon</v>
      </c>
      <c r="D47" s="684"/>
      <c r="E47" s="685"/>
      <c r="F47" s="684"/>
      <c r="G47" s="684"/>
      <c r="H47" s="684"/>
      <c r="I47" s="684"/>
      <c r="J47" s="1184"/>
      <c r="K47" s="683"/>
      <c r="L47" s="1185"/>
      <c r="M47" s="684"/>
      <c r="N47" s="684"/>
      <c r="O47" s="684"/>
      <c r="P47" s="684"/>
      <c r="Q47" s="684"/>
      <c r="R47" s="684"/>
      <c r="S47" s="684"/>
      <c r="T47" s="685"/>
      <c r="U47" s="685"/>
      <c r="V47" s="685"/>
      <c r="W47" s="1725"/>
      <c r="X47" s="684">
        <f t="shared" si="0"/>
        <v>0</v>
      </c>
      <c r="Y47" s="684"/>
      <c r="Z47" s="684">
        <f>VLOOKUP(C47,'CNKT '!C47:Z124,24,0)</f>
        <v>0</v>
      </c>
      <c r="AA47" s="1814">
        <f t="shared" si="1"/>
        <v>0</v>
      </c>
    </row>
    <row r="48" spans="1:27" s="1814" customFormat="1" ht="50.25" hidden="1" customHeight="1">
      <c r="A48" s="683">
        <v>33</v>
      </c>
      <c r="B48" s="683" t="str">
        <f>'Chấm công KT'!D43</f>
        <v>02712</v>
      </c>
      <c r="C48" s="684" t="str">
        <f>TONGHOPCONGDOI!C43</f>
        <v>T. Sô Đa</v>
      </c>
      <c r="D48" s="684"/>
      <c r="E48" s="685"/>
      <c r="F48" s="684"/>
      <c r="G48" s="684"/>
      <c r="H48" s="684"/>
      <c r="I48" s="684"/>
      <c r="J48" s="1184"/>
      <c r="K48" s="683"/>
      <c r="L48" s="1185"/>
      <c r="M48" s="684"/>
      <c r="N48" s="684"/>
      <c r="O48" s="684"/>
      <c r="P48" s="684"/>
      <c r="Q48" s="684"/>
      <c r="R48" s="684"/>
      <c r="S48" s="684"/>
      <c r="T48" s="685"/>
      <c r="U48" s="685"/>
      <c r="V48" s="685"/>
      <c r="W48" s="1725"/>
      <c r="X48" s="684">
        <f t="shared" ref="X48:X79" si="2">F48+L48+W48</f>
        <v>0</v>
      </c>
      <c r="Y48" s="684"/>
      <c r="Z48" s="684">
        <f>VLOOKUP(C48,'CNKT '!C48:Z125,24,0)</f>
        <v>0</v>
      </c>
      <c r="AA48" s="1814">
        <f t="shared" si="1"/>
        <v>0</v>
      </c>
    </row>
    <row r="49" spans="1:27" s="1814" customFormat="1" ht="50.25" hidden="1" customHeight="1">
      <c r="A49" s="683">
        <v>34</v>
      </c>
      <c r="B49" s="683" t="str">
        <f>'Chấm công KT'!D44</f>
        <v>02722</v>
      </c>
      <c r="C49" s="684" t="str">
        <f>TONGHOPCONGDOI!C44</f>
        <v>T. Phu Ngân</v>
      </c>
      <c r="D49" s="684"/>
      <c r="E49" s="685"/>
      <c r="F49" s="684"/>
      <c r="G49" s="684"/>
      <c r="H49" s="684"/>
      <c r="I49" s="684"/>
      <c r="J49" s="1184"/>
      <c r="K49" s="683"/>
      <c r="L49" s="1185"/>
      <c r="M49" s="684"/>
      <c r="N49" s="684"/>
      <c r="O49" s="684"/>
      <c r="P49" s="684"/>
      <c r="Q49" s="684"/>
      <c r="R49" s="684"/>
      <c r="S49" s="684"/>
      <c r="T49" s="685"/>
      <c r="U49" s="685"/>
      <c r="V49" s="685"/>
      <c r="W49" s="1725"/>
      <c r="X49" s="684">
        <f t="shared" si="2"/>
        <v>0</v>
      </c>
      <c r="Y49" s="684"/>
      <c r="Z49" s="684">
        <f>VLOOKUP(C49,'CNKT '!C49:Z126,24,0)</f>
        <v>0</v>
      </c>
      <c r="AA49" s="1814">
        <f t="shared" si="1"/>
        <v>0</v>
      </c>
    </row>
    <row r="50" spans="1:27" s="1814" customFormat="1" ht="50.25" hidden="1" customHeight="1">
      <c r="A50" s="683">
        <v>35</v>
      </c>
      <c r="B50" s="683" t="str">
        <f>'Chấm công KT'!D45</f>
        <v>02714</v>
      </c>
      <c r="C50" s="684" t="str">
        <f>TONGHOPCONGDOI!C45</f>
        <v>N. Tủn</v>
      </c>
      <c r="D50" s="684"/>
      <c r="E50" s="685"/>
      <c r="F50" s="684"/>
      <c r="G50" s="684"/>
      <c r="H50" s="684"/>
      <c r="I50" s="684"/>
      <c r="J50" s="1184"/>
      <c r="K50" s="683"/>
      <c r="L50" s="1185"/>
      <c r="M50" s="684"/>
      <c r="N50" s="684"/>
      <c r="O50" s="684"/>
      <c r="P50" s="684"/>
      <c r="Q50" s="684"/>
      <c r="R50" s="684"/>
      <c r="S50" s="684"/>
      <c r="T50" s="685"/>
      <c r="U50" s="685"/>
      <c r="V50" s="685"/>
      <c r="W50" s="1725"/>
      <c r="X50" s="684">
        <f t="shared" si="2"/>
        <v>0</v>
      </c>
      <c r="Y50" s="684"/>
      <c r="Z50" s="684">
        <f>VLOOKUP(C50,'CNKT '!C50:Z127,24,0)</f>
        <v>0</v>
      </c>
      <c r="AA50" s="1814">
        <f t="shared" si="1"/>
        <v>0</v>
      </c>
    </row>
    <row r="51" spans="1:27" s="1814" customFormat="1" ht="50.25" hidden="1" customHeight="1">
      <c r="A51" s="683">
        <v>36</v>
      </c>
      <c r="B51" s="683" t="str">
        <f>'Chấm công KT'!D46</f>
        <v>02713</v>
      </c>
      <c r="C51" s="684" t="str">
        <f>TONGHOPCONGDOI!C46</f>
        <v>T. Lung</v>
      </c>
      <c r="D51" s="684"/>
      <c r="E51" s="685"/>
      <c r="F51" s="684"/>
      <c r="G51" s="684"/>
      <c r="H51" s="684"/>
      <c r="I51" s="684"/>
      <c r="J51" s="1184"/>
      <c r="K51" s="683"/>
      <c r="L51" s="1185"/>
      <c r="M51" s="684"/>
      <c r="N51" s="684"/>
      <c r="O51" s="684"/>
      <c r="P51" s="684"/>
      <c r="Q51" s="684"/>
      <c r="R51" s="684"/>
      <c r="S51" s="684"/>
      <c r="T51" s="685"/>
      <c r="U51" s="685"/>
      <c r="V51" s="685"/>
      <c r="W51" s="1725"/>
      <c r="X51" s="684">
        <f t="shared" si="2"/>
        <v>0</v>
      </c>
      <c r="Y51" s="684"/>
      <c r="Z51" s="684">
        <f>VLOOKUP(C51,'CNKT '!C51:Z128,24,0)</f>
        <v>0</v>
      </c>
      <c r="AA51" s="1814">
        <f t="shared" si="1"/>
        <v>0</v>
      </c>
    </row>
    <row r="52" spans="1:27" s="1814" customFormat="1" ht="50.25" hidden="1" customHeight="1">
      <c r="A52" s="683">
        <v>37</v>
      </c>
      <c r="B52" s="683" t="str">
        <f>'Chấm công KT'!D47</f>
        <v>03486</v>
      </c>
      <c r="C52" s="684" t="str">
        <f>TONGHOPCONGDOI!C47</f>
        <v>N. Tinh</v>
      </c>
      <c r="D52" s="684"/>
      <c r="E52" s="685"/>
      <c r="F52" s="684"/>
      <c r="G52" s="684"/>
      <c r="H52" s="684"/>
      <c r="I52" s="684"/>
      <c r="J52" s="1184"/>
      <c r="K52" s="683"/>
      <c r="L52" s="1185"/>
      <c r="M52" s="684"/>
      <c r="N52" s="684"/>
      <c r="O52" s="684"/>
      <c r="P52" s="684"/>
      <c r="Q52" s="684"/>
      <c r="R52" s="684"/>
      <c r="S52" s="684"/>
      <c r="T52" s="685"/>
      <c r="U52" s="685"/>
      <c r="V52" s="685"/>
      <c r="W52" s="1725"/>
      <c r="X52" s="684">
        <f t="shared" si="2"/>
        <v>0</v>
      </c>
      <c r="Y52" s="684"/>
      <c r="Z52" s="684">
        <f>VLOOKUP(C52,'CNKT '!C52:Z129,24,0)</f>
        <v>0</v>
      </c>
      <c r="AA52" s="1814">
        <f t="shared" si="1"/>
        <v>0</v>
      </c>
    </row>
    <row r="53" spans="1:27" s="1814" customFormat="1" ht="50.25" hidden="1" customHeight="1">
      <c r="A53" s="683">
        <v>38</v>
      </c>
      <c r="B53" s="683" t="str">
        <f>'Chấm công KT'!D48</f>
        <v>03487</v>
      </c>
      <c r="C53" s="684" t="str">
        <f>TONGHOPCONGDOI!C48</f>
        <v>N. Ba Say</v>
      </c>
      <c r="D53" s="684"/>
      <c r="E53" s="685"/>
      <c r="F53" s="684"/>
      <c r="G53" s="684"/>
      <c r="H53" s="684"/>
      <c r="I53" s="684"/>
      <c r="J53" s="1184"/>
      <c r="K53" s="683"/>
      <c r="L53" s="1185"/>
      <c r="M53" s="684"/>
      <c r="N53" s="684"/>
      <c r="O53" s="684"/>
      <c r="P53" s="684"/>
      <c r="Q53" s="684"/>
      <c r="R53" s="684"/>
      <c r="S53" s="684"/>
      <c r="T53" s="685"/>
      <c r="U53" s="685"/>
      <c r="V53" s="685"/>
      <c r="W53" s="1725"/>
      <c r="X53" s="684">
        <f t="shared" si="2"/>
        <v>0</v>
      </c>
      <c r="Y53" s="684"/>
      <c r="Z53" s="684">
        <f>VLOOKUP(C53,'CNKT '!C53:Z130,24,0)</f>
        <v>0</v>
      </c>
      <c r="AA53" s="1814">
        <f t="shared" si="1"/>
        <v>0</v>
      </c>
    </row>
    <row r="54" spans="1:27" s="1814" customFormat="1" ht="50.25" hidden="1" customHeight="1">
      <c r="A54" s="683">
        <v>39</v>
      </c>
      <c r="B54" s="683" t="str">
        <f>'Chấm công KT'!D49</f>
        <v>03488</v>
      </c>
      <c r="C54" s="684" t="str">
        <f>TONGHOPCONGDOI!C49</f>
        <v>N. Đeng</v>
      </c>
      <c r="D54" s="684"/>
      <c r="E54" s="685"/>
      <c r="F54" s="684"/>
      <c r="G54" s="684"/>
      <c r="H54" s="684"/>
      <c r="I54" s="684"/>
      <c r="J54" s="1184"/>
      <c r="K54" s="683"/>
      <c r="L54" s="1185"/>
      <c r="M54" s="684"/>
      <c r="N54" s="684"/>
      <c r="O54" s="684"/>
      <c r="P54" s="684"/>
      <c r="Q54" s="684"/>
      <c r="R54" s="684"/>
      <c r="S54" s="684"/>
      <c r="T54" s="685"/>
      <c r="U54" s="685"/>
      <c r="V54" s="685"/>
      <c r="W54" s="1725"/>
      <c r="X54" s="684">
        <f t="shared" si="2"/>
        <v>0</v>
      </c>
      <c r="Y54" s="684"/>
      <c r="Z54" s="684">
        <f>VLOOKUP(C54,'CNKT '!C54:Z131,24,0)</f>
        <v>0</v>
      </c>
      <c r="AA54" s="1814">
        <f t="shared" si="1"/>
        <v>0</v>
      </c>
    </row>
    <row r="55" spans="1:27" s="1814" customFormat="1" ht="50.25" hidden="1" customHeight="1">
      <c r="A55" s="683">
        <v>40</v>
      </c>
      <c r="B55" s="683" t="str">
        <f>'Chấm công KT'!D50</f>
        <v>03489</v>
      </c>
      <c r="C55" s="684" t="str">
        <f>TONGHOPCONGDOI!C50</f>
        <v>T. Tinh</v>
      </c>
      <c r="D55" s="684"/>
      <c r="E55" s="685"/>
      <c r="F55" s="684"/>
      <c r="G55" s="684"/>
      <c r="H55" s="684"/>
      <c r="I55" s="684"/>
      <c r="J55" s="1184"/>
      <c r="K55" s="683"/>
      <c r="L55" s="1185"/>
      <c r="M55" s="684"/>
      <c r="N55" s="684"/>
      <c r="O55" s="684"/>
      <c r="P55" s="684"/>
      <c r="Q55" s="684"/>
      <c r="R55" s="684"/>
      <c r="S55" s="684"/>
      <c r="T55" s="685"/>
      <c r="U55" s="685"/>
      <c r="V55" s="685"/>
      <c r="W55" s="1725"/>
      <c r="X55" s="684">
        <f t="shared" si="2"/>
        <v>0</v>
      </c>
      <c r="Y55" s="684"/>
      <c r="Z55" s="684">
        <f>VLOOKUP(C55,'CNKT '!C55:Z132,24,0)</f>
        <v>0</v>
      </c>
      <c r="AA55" s="1814">
        <f t="shared" si="1"/>
        <v>0</v>
      </c>
    </row>
    <row r="56" spans="1:27" s="1814" customFormat="1" ht="50.25" hidden="1" customHeight="1">
      <c r="A56" s="683">
        <v>41</v>
      </c>
      <c r="B56" s="683">
        <f>'Chấm công KT'!D51</f>
        <v>0</v>
      </c>
      <c r="C56" s="684" t="str">
        <f>TONGHOPCONGDOI!C51</f>
        <v>T. Khăm Pỏi</v>
      </c>
      <c r="D56" s="684"/>
      <c r="E56" s="685"/>
      <c r="F56" s="684"/>
      <c r="G56" s="684"/>
      <c r="H56" s="684"/>
      <c r="I56" s="684"/>
      <c r="J56" s="1184"/>
      <c r="K56" s="683"/>
      <c r="L56" s="1185"/>
      <c r="M56" s="684"/>
      <c r="N56" s="684"/>
      <c r="O56" s="684"/>
      <c r="P56" s="684"/>
      <c r="Q56" s="684"/>
      <c r="R56" s="684"/>
      <c r="S56" s="684"/>
      <c r="T56" s="685"/>
      <c r="U56" s="685"/>
      <c r="V56" s="685"/>
      <c r="W56" s="1725"/>
      <c r="X56" s="684">
        <f t="shared" si="2"/>
        <v>0</v>
      </c>
      <c r="Y56" s="684"/>
      <c r="Z56" s="684">
        <f>VLOOKUP(C56,'CNKT '!C56:Z133,24,0)</f>
        <v>0</v>
      </c>
      <c r="AA56" s="1814">
        <f t="shared" si="1"/>
        <v>0</v>
      </c>
    </row>
    <row r="57" spans="1:27" s="1814" customFormat="1" ht="50.25" hidden="1" customHeight="1">
      <c r="A57" s="683">
        <v>42</v>
      </c>
      <c r="B57" s="683" t="str">
        <f>'Chấm công KT'!D52</f>
        <v>03491</v>
      </c>
      <c r="C57" s="684" t="str">
        <f>TONGHOPCONGDOI!C52</f>
        <v>Lăm Ngân</v>
      </c>
      <c r="D57" s="684"/>
      <c r="E57" s="685"/>
      <c r="F57" s="684"/>
      <c r="G57" s="684"/>
      <c r="H57" s="684"/>
      <c r="I57" s="684"/>
      <c r="J57" s="1184"/>
      <c r="K57" s="683"/>
      <c r="L57" s="1185"/>
      <c r="M57" s="684"/>
      <c r="N57" s="684"/>
      <c r="O57" s="684"/>
      <c r="P57" s="684"/>
      <c r="Q57" s="684"/>
      <c r="R57" s="684"/>
      <c r="S57" s="684"/>
      <c r="T57" s="685"/>
      <c r="U57" s="685"/>
      <c r="V57" s="685"/>
      <c r="W57" s="1725"/>
      <c r="X57" s="684">
        <f t="shared" si="2"/>
        <v>0</v>
      </c>
      <c r="Y57" s="684"/>
      <c r="Z57" s="684">
        <f>VLOOKUP(C57,'CNKT '!C57:Z134,24,0)</f>
        <v>0</v>
      </c>
      <c r="AA57" s="1814">
        <f t="shared" si="1"/>
        <v>0</v>
      </c>
    </row>
    <row r="58" spans="1:27" s="1814" customFormat="1" ht="50.25" hidden="1" customHeight="1">
      <c r="A58" s="683">
        <v>43</v>
      </c>
      <c r="B58" s="683" t="str">
        <f>'Chấm công KT'!D53</f>
        <v>02715</v>
      </c>
      <c r="C58" s="684" t="str">
        <f>TONGHOPCONGDOI!C53</f>
        <v>N. Ting</v>
      </c>
      <c r="D58" s="684"/>
      <c r="E58" s="685"/>
      <c r="F58" s="684"/>
      <c r="G58" s="684"/>
      <c r="H58" s="684"/>
      <c r="I58" s="684"/>
      <c r="J58" s="1184"/>
      <c r="K58" s="683"/>
      <c r="L58" s="1185"/>
      <c r="M58" s="684"/>
      <c r="N58" s="684"/>
      <c r="O58" s="684"/>
      <c r="P58" s="684"/>
      <c r="Q58" s="684"/>
      <c r="R58" s="684"/>
      <c r="S58" s="684"/>
      <c r="T58" s="685"/>
      <c r="U58" s="685"/>
      <c r="V58" s="685"/>
      <c r="W58" s="1725"/>
      <c r="X58" s="684">
        <f t="shared" si="2"/>
        <v>0</v>
      </c>
      <c r="Y58" s="684"/>
      <c r="Z58" s="684">
        <f>VLOOKUP(C58,'CNKT '!C58:Z135,24,0)</f>
        <v>0</v>
      </c>
      <c r="AA58" s="1814">
        <f t="shared" si="1"/>
        <v>0</v>
      </c>
    </row>
    <row r="59" spans="1:27" s="1814" customFormat="1" ht="50.25" hidden="1" customHeight="1">
      <c r="A59" s="683">
        <v>44</v>
      </c>
      <c r="B59" s="683" t="str">
        <f>'Chấm công KT'!D54</f>
        <v>03492</v>
      </c>
      <c r="C59" s="684" t="str">
        <f>TONGHOPCONGDOI!C54</f>
        <v>T. Lem</v>
      </c>
      <c r="D59" s="684"/>
      <c r="E59" s="685"/>
      <c r="F59" s="684"/>
      <c r="G59" s="684"/>
      <c r="H59" s="684"/>
      <c r="I59" s="684"/>
      <c r="J59" s="1184"/>
      <c r="K59" s="683"/>
      <c r="L59" s="1185"/>
      <c r="M59" s="684"/>
      <c r="N59" s="684"/>
      <c r="O59" s="684"/>
      <c r="P59" s="684"/>
      <c r="Q59" s="684"/>
      <c r="R59" s="684"/>
      <c r="S59" s="684"/>
      <c r="T59" s="685"/>
      <c r="U59" s="685"/>
      <c r="V59" s="685"/>
      <c r="W59" s="1725"/>
      <c r="X59" s="684">
        <f t="shared" si="2"/>
        <v>0</v>
      </c>
      <c r="Y59" s="684"/>
      <c r="Z59" s="684">
        <f>VLOOKUP(C59,'CNKT '!C59:Z136,24,0)</f>
        <v>0</v>
      </c>
      <c r="AA59" s="1814">
        <f t="shared" si="1"/>
        <v>0</v>
      </c>
    </row>
    <row r="60" spans="1:27" s="1814" customFormat="1" ht="50.25" hidden="1" customHeight="1">
      <c r="A60" s="683">
        <v>45</v>
      </c>
      <c r="B60" s="683" t="str">
        <f>'Chấm công KT'!D55</f>
        <v>03493</v>
      </c>
      <c r="C60" s="684" t="str">
        <f>TONGHOPCONGDOI!C55</f>
        <v>T. Pông</v>
      </c>
      <c r="D60" s="684"/>
      <c r="E60" s="685"/>
      <c r="F60" s="684"/>
      <c r="G60" s="684"/>
      <c r="H60" s="684"/>
      <c r="I60" s="684"/>
      <c r="J60" s="1184"/>
      <c r="K60" s="683"/>
      <c r="L60" s="1185"/>
      <c r="M60" s="684"/>
      <c r="N60" s="684"/>
      <c r="O60" s="684"/>
      <c r="P60" s="684"/>
      <c r="Q60" s="684"/>
      <c r="R60" s="684"/>
      <c r="S60" s="684"/>
      <c r="T60" s="685"/>
      <c r="U60" s="685"/>
      <c r="V60" s="685"/>
      <c r="W60" s="1725"/>
      <c r="X60" s="684">
        <f t="shared" si="2"/>
        <v>0</v>
      </c>
      <c r="Y60" s="684"/>
      <c r="Z60" s="684">
        <f>VLOOKUP(C60,'CNKT '!C60:Z137,24,0)</f>
        <v>0</v>
      </c>
      <c r="AA60" s="1814">
        <f t="shared" si="1"/>
        <v>0</v>
      </c>
    </row>
    <row r="61" spans="1:27" s="1814" customFormat="1" ht="50.25" hidden="1" customHeight="1">
      <c r="A61" s="683">
        <v>46</v>
      </c>
      <c r="B61" s="683" t="str">
        <f>'Chấm công KT'!D56</f>
        <v>02721</v>
      </c>
      <c r="C61" s="684" t="str">
        <f>TONGHOPCONGDOI!C56</f>
        <v>T. Chít</v>
      </c>
      <c r="D61" s="684"/>
      <c r="E61" s="685"/>
      <c r="F61" s="684"/>
      <c r="G61" s="684"/>
      <c r="H61" s="684"/>
      <c r="I61" s="684"/>
      <c r="J61" s="1184"/>
      <c r="K61" s="683"/>
      <c r="L61" s="1185"/>
      <c r="M61" s="684"/>
      <c r="N61" s="684"/>
      <c r="O61" s="684"/>
      <c r="P61" s="684"/>
      <c r="Q61" s="684"/>
      <c r="R61" s="684"/>
      <c r="S61" s="684"/>
      <c r="T61" s="685"/>
      <c r="U61" s="685"/>
      <c r="V61" s="685"/>
      <c r="W61" s="1725"/>
      <c r="X61" s="684">
        <f t="shared" si="2"/>
        <v>0</v>
      </c>
      <c r="Y61" s="684"/>
      <c r="Z61" s="684">
        <f>VLOOKUP(C61,'CNKT '!C61:Z138,24,0)</f>
        <v>0</v>
      </c>
      <c r="AA61" s="1814">
        <f t="shared" si="1"/>
        <v>0</v>
      </c>
    </row>
    <row r="62" spans="1:27" s="1814" customFormat="1" ht="50.25" hidden="1" customHeight="1">
      <c r="A62" s="683">
        <v>47</v>
      </c>
      <c r="B62" s="683" t="str">
        <f>'Chấm công KT'!D57</f>
        <v>02720</v>
      </c>
      <c r="C62" s="684" t="str">
        <f>TONGHOPCONGDOI!C57</f>
        <v>N. La</v>
      </c>
      <c r="D62" s="684"/>
      <c r="E62" s="685"/>
      <c r="F62" s="684"/>
      <c r="G62" s="684"/>
      <c r="H62" s="684"/>
      <c r="I62" s="684"/>
      <c r="J62" s="1184"/>
      <c r="K62" s="683"/>
      <c r="L62" s="1185"/>
      <c r="M62" s="684"/>
      <c r="N62" s="684"/>
      <c r="O62" s="684"/>
      <c r="P62" s="684"/>
      <c r="Q62" s="684"/>
      <c r="R62" s="684"/>
      <c r="S62" s="684"/>
      <c r="T62" s="685"/>
      <c r="U62" s="685"/>
      <c r="V62" s="685"/>
      <c r="W62" s="1725"/>
      <c r="X62" s="684">
        <f t="shared" si="2"/>
        <v>0</v>
      </c>
      <c r="Y62" s="684"/>
      <c r="Z62" s="684">
        <f>VLOOKUP(C62,'CNKT '!C62:Z139,24,0)</f>
        <v>0</v>
      </c>
      <c r="AA62" s="1814">
        <f t="shared" si="1"/>
        <v>0</v>
      </c>
    </row>
    <row r="63" spans="1:27" s="1814" customFormat="1" ht="50.25" hidden="1" customHeight="1">
      <c r="A63" s="683">
        <v>48</v>
      </c>
      <c r="B63" s="683" t="str">
        <f>'Chấm công KT'!D58</f>
        <v>03494</v>
      </c>
      <c r="C63" s="684" t="str">
        <f>TONGHOPCONGDOI!C58</f>
        <v>T. Đi</v>
      </c>
      <c r="D63" s="684"/>
      <c r="E63" s="685"/>
      <c r="F63" s="684"/>
      <c r="G63" s="684"/>
      <c r="H63" s="684"/>
      <c r="I63" s="684"/>
      <c r="J63" s="1184"/>
      <c r="K63" s="683"/>
      <c r="L63" s="1185"/>
      <c r="M63" s="684"/>
      <c r="N63" s="684"/>
      <c r="O63" s="684"/>
      <c r="P63" s="684"/>
      <c r="Q63" s="684"/>
      <c r="R63" s="684"/>
      <c r="S63" s="684"/>
      <c r="T63" s="685"/>
      <c r="U63" s="685"/>
      <c r="V63" s="685"/>
      <c r="W63" s="1725"/>
      <c r="X63" s="684">
        <f t="shared" si="2"/>
        <v>0</v>
      </c>
      <c r="Y63" s="684"/>
      <c r="Z63" s="684">
        <f>VLOOKUP(C63,'CNKT '!C63:Z140,24,0)</f>
        <v>0</v>
      </c>
      <c r="AA63" s="1814">
        <f t="shared" si="1"/>
        <v>0</v>
      </c>
    </row>
    <row r="64" spans="1:27" s="1814" customFormat="1" ht="50.25" hidden="1" customHeight="1">
      <c r="A64" s="683">
        <v>49</v>
      </c>
      <c r="B64" s="683" t="str">
        <f>'Chấm công KT'!D59</f>
        <v>03495</v>
      </c>
      <c r="C64" s="684" t="str">
        <f>TONGHOPCONGDOI!C59</f>
        <v>N. On Xi</v>
      </c>
      <c r="D64" s="684"/>
      <c r="E64" s="685"/>
      <c r="F64" s="684"/>
      <c r="G64" s="684"/>
      <c r="H64" s="684"/>
      <c r="I64" s="684"/>
      <c r="J64" s="1184"/>
      <c r="K64" s="683"/>
      <c r="L64" s="1185"/>
      <c r="M64" s="684"/>
      <c r="N64" s="684"/>
      <c r="O64" s="684"/>
      <c r="P64" s="684"/>
      <c r="Q64" s="684"/>
      <c r="R64" s="684"/>
      <c r="S64" s="684"/>
      <c r="T64" s="685"/>
      <c r="U64" s="685"/>
      <c r="V64" s="685"/>
      <c r="W64" s="1725"/>
      <c r="X64" s="684">
        <f t="shared" si="2"/>
        <v>0</v>
      </c>
      <c r="Y64" s="684"/>
      <c r="Z64" s="684">
        <f>VLOOKUP(C64,'CNKT '!C64:Z141,24,0)</f>
        <v>0</v>
      </c>
      <c r="AA64" s="1814">
        <f t="shared" si="1"/>
        <v>0</v>
      </c>
    </row>
    <row r="65" spans="1:27" s="1814" customFormat="1" ht="50.25" hidden="1" customHeight="1">
      <c r="A65" s="683">
        <v>50</v>
      </c>
      <c r="B65" s="683" t="str">
        <f>'Chấm công KT'!D60</f>
        <v>03496</v>
      </c>
      <c r="C65" s="684" t="str">
        <f>TONGHOPCONGDOI!C60</f>
        <v>T. Lốp</v>
      </c>
      <c r="D65" s="684"/>
      <c r="E65" s="685"/>
      <c r="F65" s="684"/>
      <c r="G65" s="684"/>
      <c r="H65" s="684"/>
      <c r="I65" s="684"/>
      <c r="J65" s="1184"/>
      <c r="K65" s="683"/>
      <c r="L65" s="1185"/>
      <c r="M65" s="684"/>
      <c r="N65" s="684"/>
      <c r="O65" s="684"/>
      <c r="P65" s="684"/>
      <c r="Q65" s="684"/>
      <c r="R65" s="684"/>
      <c r="S65" s="684"/>
      <c r="T65" s="685"/>
      <c r="U65" s="685"/>
      <c r="V65" s="685"/>
      <c r="W65" s="1725"/>
      <c r="X65" s="684">
        <f t="shared" si="2"/>
        <v>0</v>
      </c>
      <c r="Y65" s="684"/>
      <c r="Z65" s="684">
        <f>VLOOKUP(C65,'CNKT '!C65:Z142,24,0)</f>
        <v>0</v>
      </c>
      <c r="AA65" s="1814">
        <f t="shared" si="1"/>
        <v>0</v>
      </c>
    </row>
    <row r="66" spans="1:27" s="1814" customFormat="1" ht="50.25" hidden="1" customHeight="1">
      <c r="A66" s="683">
        <v>51</v>
      </c>
      <c r="B66" s="683" t="str">
        <f>'Chấm công KT'!D61</f>
        <v>03497</v>
      </c>
      <c r="C66" s="684" t="str">
        <f>TONGHOPCONGDOI!C61</f>
        <v>T. Son Xay</v>
      </c>
      <c r="D66" s="684"/>
      <c r="E66" s="685"/>
      <c r="F66" s="684"/>
      <c r="G66" s="684"/>
      <c r="H66" s="684"/>
      <c r="I66" s="684"/>
      <c r="J66" s="1184"/>
      <c r="K66" s="683"/>
      <c r="L66" s="1185"/>
      <c r="M66" s="684"/>
      <c r="N66" s="684"/>
      <c r="O66" s="684"/>
      <c r="P66" s="684"/>
      <c r="Q66" s="684"/>
      <c r="R66" s="684"/>
      <c r="S66" s="684"/>
      <c r="T66" s="685"/>
      <c r="U66" s="685"/>
      <c r="V66" s="685"/>
      <c r="W66" s="1725"/>
      <c r="X66" s="684">
        <f t="shared" si="2"/>
        <v>0</v>
      </c>
      <c r="Y66" s="684"/>
      <c r="Z66" s="684">
        <f>VLOOKUP(C66,'CNKT '!C66:Z143,24,0)</f>
        <v>0</v>
      </c>
      <c r="AA66" s="1814">
        <f t="shared" si="1"/>
        <v>0</v>
      </c>
    </row>
    <row r="67" spans="1:27" s="1814" customFormat="1" ht="50.25" hidden="1" customHeight="1">
      <c r="A67" s="683">
        <v>52</v>
      </c>
      <c r="B67" s="683" t="str">
        <f>'Chấm công KT'!D62</f>
        <v>03498</v>
      </c>
      <c r="C67" s="684" t="str">
        <f>TONGHOPCONGDOI!C62</f>
        <v>N. Lăm Phay</v>
      </c>
      <c r="D67" s="684"/>
      <c r="E67" s="685"/>
      <c r="F67" s="684"/>
      <c r="G67" s="684"/>
      <c r="H67" s="684"/>
      <c r="I67" s="684"/>
      <c r="J67" s="1184"/>
      <c r="K67" s="683"/>
      <c r="L67" s="1185"/>
      <c r="M67" s="684"/>
      <c r="N67" s="684"/>
      <c r="O67" s="684"/>
      <c r="P67" s="684"/>
      <c r="Q67" s="684"/>
      <c r="R67" s="684"/>
      <c r="S67" s="684"/>
      <c r="T67" s="685"/>
      <c r="U67" s="685"/>
      <c r="V67" s="685"/>
      <c r="W67" s="1725"/>
      <c r="X67" s="684">
        <f t="shared" si="2"/>
        <v>0</v>
      </c>
      <c r="Y67" s="684"/>
      <c r="Z67" s="684">
        <f>VLOOKUP(C67,'CNKT '!C67:Z144,24,0)</f>
        <v>0</v>
      </c>
      <c r="AA67" s="1814">
        <f t="shared" si="1"/>
        <v>0</v>
      </c>
    </row>
    <row r="68" spans="1:27" s="1814" customFormat="1" ht="50.25" hidden="1" customHeight="1">
      <c r="A68" s="683">
        <v>53</v>
      </c>
      <c r="B68" s="683" t="str">
        <f>'Chấm công KT'!D63</f>
        <v>02706</v>
      </c>
      <c r="C68" s="684" t="str">
        <f>TONGHOPCONGDOI!C63</f>
        <v>T. Nhung</v>
      </c>
      <c r="D68" s="684"/>
      <c r="E68" s="685"/>
      <c r="F68" s="684"/>
      <c r="G68" s="684"/>
      <c r="H68" s="684"/>
      <c r="I68" s="684"/>
      <c r="J68" s="1184"/>
      <c r="K68" s="683"/>
      <c r="L68" s="1185"/>
      <c r="M68" s="684"/>
      <c r="N68" s="684"/>
      <c r="O68" s="684"/>
      <c r="P68" s="684"/>
      <c r="Q68" s="684"/>
      <c r="R68" s="684"/>
      <c r="S68" s="684"/>
      <c r="T68" s="685"/>
      <c r="U68" s="685"/>
      <c r="V68" s="685"/>
      <c r="W68" s="1725"/>
      <c r="X68" s="684">
        <f t="shared" si="2"/>
        <v>0</v>
      </c>
      <c r="Y68" s="684"/>
      <c r="Z68" s="684">
        <f>VLOOKUP(C68,'CNKT '!C68:Z145,24,0)</f>
        <v>0</v>
      </c>
      <c r="AA68" s="1814">
        <f t="shared" si="1"/>
        <v>0</v>
      </c>
    </row>
    <row r="69" spans="1:27" s="1814" customFormat="1" ht="50.25" hidden="1" customHeight="1">
      <c r="A69" s="683">
        <v>54</v>
      </c>
      <c r="B69" s="683" t="str">
        <f>'Chấm công KT'!D64</f>
        <v>03499</v>
      </c>
      <c r="C69" s="684" t="str">
        <f>TONGHOPCONGDOI!C64</f>
        <v>N. In Ton</v>
      </c>
      <c r="D69" s="684"/>
      <c r="E69" s="685"/>
      <c r="F69" s="684"/>
      <c r="G69" s="684"/>
      <c r="H69" s="684"/>
      <c r="I69" s="684"/>
      <c r="J69" s="1184"/>
      <c r="K69" s="683"/>
      <c r="L69" s="1185"/>
      <c r="M69" s="684"/>
      <c r="N69" s="684"/>
      <c r="O69" s="684"/>
      <c r="P69" s="684"/>
      <c r="Q69" s="684"/>
      <c r="R69" s="684"/>
      <c r="S69" s="684"/>
      <c r="T69" s="685"/>
      <c r="U69" s="685"/>
      <c r="V69" s="685"/>
      <c r="W69" s="1725"/>
      <c r="X69" s="684">
        <f t="shared" si="2"/>
        <v>0</v>
      </c>
      <c r="Y69" s="684"/>
      <c r="Z69" s="684">
        <f>VLOOKUP(C69,'CNKT '!C69:Z146,24,0)</f>
        <v>0</v>
      </c>
      <c r="AA69" s="1814">
        <f t="shared" si="1"/>
        <v>0</v>
      </c>
    </row>
    <row r="70" spans="1:27" s="1814" customFormat="1" ht="50.25" hidden="1" customHeight="1">
      <c r="A70" s="683">
        <v>55</v>
      </c>
      <c r="B70" s="683"/>
      <c r="C70" s="684" t="str">
        <f>TONGHOPCONGDOI!C65</f>
        <v>N. Khay Chăn</v>
      </c>
      <c r="D70" s="684"/>
      <c r="E70" s="685"/>
      <c r="F70" s="684"/>
      <c r="G70" s="684"/>
      <c r="H70" s="684"/>
      <c r="I70" s="684"/>
      <c r="J70" s="1184"/>
      <c r="K70" s="683"/>
      <c r="L70" s="1185"/>
      <c r="M70" s="684"/>
      <c r="N70" s="684"/>
      <c r="O70" s="684"/>
      <c r="P70" s="684"/>
      <c r="Q70" s="684"/>
      <c r="R70" s="684"/>
      <c r="S70" s="684"/>
      <c r="T70" s="685"/>
      <c r="U70" s="685"/>
      <c r="V70" s="685"/>
      <c r="W70" s="1725"/>
      <c r="X70" s="684">
        <f t="shared" si="2"/>
        <v>0</v>
      </c>
      <c r="Y70" s="684"/>
      <c r="Z70" s="684">
        <f>VLOOKUP(C70,'CNKT '!C70:Z147,24,0)</f>
        <v>0</v>
      </c>
      <c r="AA70" s="1814">
        <f t="shared" si="1"/>
        <v>0</v>
      </c>
    </row>
    <row r="71" spans="1:27" s="1814" customFormat="1" ht="50.25" hidden="1" customHeight="1">
      <c r="A71" s="683">
        <v>56</v>
      </c>
      <c r="B71" s="683" t="str">
        <f>'Chấm công KT'!D66</f>
        <v>03501</v>
      </c>
      <c r="C71" s="684" t="str">
        <f>TONGHOPCONGDOI!C66</f>
        <v>T Dăn</v>
      </c>
      <c r="D71" s="684"/>
      <c r="E71" s="685"/>
      <c r="F71" s="684"/>
      <c r="G71" s="684"/>
      <c r="H71" s="684"/>
      <c r="I71" s="684"/>
      <c r="J71" s="1184"/>
      <c r="K71" s="683"/>
      <c r="L71" s="1185"/>
      <c r="M71" s="684"/>
      <c r="N71" s="684"/>
      <c r="O71" s="684"/>
      <c r="P71" s="684"/>
      <c r="Q71" s="684"/>
      <c r="R71" s="684"/>
      <c r="S71" s="684"/>
      <c r="T71" s="685"/>
      <c r="U71" s="685"/>
      <c r="V71" s="685"/>
      <c r="W71" s="1725"/>
      <c r="X71" s="684">
        <f t="shared" si="2"/>
        <v>0</v>
      </c>
      <c r="Y71" s="684"/>
      <c r="Z71" s="684">
        <f>VLOOKUP(C71,'CNKT '!C71:Z148,24,0)</f>
        <v>0</v>
      </c>
      <c r="AA71" s="1814">
        <f t="shared" si="1"/>
        <v>0</v>
      </c>
    </row>
    <row r="72" spans="1:27" s="1814" customFormat="1" ht="50.25" hidden="1" customHeight="1">
      <c r="A72" s="683">
        <v>57</v>
      </c>
      <c r="B72" s="683" t="str">
        <f>'Chấm công KT'!D67</f>
        <v>03502</v>
      </c>
      <c r="C72" s="684" t="str">
        <f>TONGHOPCONGDOI!C67</f>
        <v>T. Xợt</v>
      </c>
      <c r="D72" s="684"/>
      <c r="E72" s="685"/>
      <c r="F72" s="684"/>
      <c r="G72" s="684"/>
      <c r="H72" s="684"/>
      <c r="I72" s="684"/>
      <c r="J72" s="1184"/>
      <c r="K72" s="683"/>
      <c r="L72" s="1185"/>
      <c r="M72" s="684"/>
      <c r="N72" s="684"/>
      <c r="O72" s="684"/>
      <c r="P72" s="684"/>
      <c r="Q72" s="684"/>
      <c r="R72" s="684"/>
      <c r="S72" s="684"/>
      <c r="T72" s="685"/>
      <c r="U72" s="685"/>
      <c r="V72" s="685"/>
      <c r="W72" s="1725"/>
      <c r="X72" s="684">
        <f t="shared" si="2"/>
        <v>0</v>
      </c>
      <c r="Y72" s="684"/>
      <c r="Z72" s="684">
        <f>VLOOKUP(C72,'CNKT '!C72:Z149,24,0)</f>
        <v>0</v>
      </c>
      <c r="AA72" s="1814">
        <f t="shared" si="1"/>
        <v>0</v>
      </c>
    </row>
    <row r="73" spans="1:27" s="1814" customFormat="1" ht="50.25" hidden="1" customHeight="1">
      <c r="A73" s="683">
        <v>58</v>
      </c>
      <c r="B73" s="683"/>
      <c r="C73" s="684" t="str">
        <f>TONGHOPCONGDOI!C68</f>
        <v>N. Phết 2</v>
      </c>
      <c r="D73" s="684"/>
      <c r="E73" s="685"/>
      <c r="F73" s="684"/>
      <c r="G73" s="684"/>
      <c r="H73" s="684"/>
      <c r="I73" s="684"/>
      <c r="J73" s="1184"/>
      <c r="K73" s="683"/>
      <c r="L73" s="1185"/>
      <c r="M73" s="684"/>
      <c r="N73" s="684"/>
      <c r="O73" s="684"/>
      <c r="P73" s="684"/>
      <c r="Q73" s="684"/>
      <c r="R73" s="684"/>
      <c r="S73" s="684"/>
      <c r="T73" s="685"/>
      <c r="U73" s="685"/>
      <c r="V73" s="685"/>
      <c r="W73" s="1725"/>
      <c r="X73" s="684">
        <f t="shared" si="2"/>
        <v>0</v>
      </c>
      <c r="Y73" s="684"/>
      <c r="Z73" s="684">
        <f>VLOOKUP(C73,'CNKT '!C73:Z150,24,0)</f>
        <v>0</v>
      </c>
      <c r="AA73" s="1814">
        <f t="shared" si="1"/>
        <v>0</v>
      </c>
    </row>
    <row r="74" spans="1:27" s="1814" customFormat="1" ht="50.25" hidden="1" customHeight="1">
      <c r="A74" s="683">
        <v>59</v>
      </c>
      <c r="B74" s="683" t="str">
        <f>'Chấm công KT'!D69</f>
        <v>03504</v>
      </c>
      <c r="C74" s="684" t="str">
        <f>TONGHOPCONGDOI!C69</f>
        <v>T. Cạp</v>
      </c>
      <c r="D74" s="684"/>
      <c r="E74" s="685"/>
      <c r="F74" s="684"/>
      <c r="G74" s="684"/>
      <c r="H74" s="684"/>
      <c r="I74" s="684"/>
      <c r="J74" s="1184"/>
      <c r="K74" s="683"/>
      <c r="L74" s="1185"/>
      <c r="M74" s="684"/>
      <c r="N74" s="684"/>
      <c r="O74" s="684"/>
      <c r="P74" s="684"/>
      <c r="Q74" s="684"/>
      <c r="R74" s="684"/>
      <c r="S74" s="684"/>
      <c r="T74" s="685"/>
      <c r="U74" s="685"/>
      <c r="V74" s="685"/>
      <c r="W74" s="1725"/>
      <c r="X74" s="684">
        <f t="shared" si="2"/>
        <v>0</v>
      </c>
      <c r="Y74" s="684"/>
      <c r="Z74" s="684">
        <f>VLOOKUP(C74,'CNKT '!C74:Z151,24,0)</f>
        <v>0</v>
      </c>
      <c r="AA74" s="1814">
        <f t="shared" si="1"/>
        <v>0</v>
      </c>
    </row>
    <row r="75" spans="1:27" s="1814" customFormat="1" ht="50.25" hidden="1" customHeight="1">
      <c r="A75" s="683">
        <v>60</v>
      </c>
      <c r="B75" s="683" t="str">
        <f>'Chấm công KT'!D70</f>
        <v>03505</v>
      </c>
      <c r="C75" s="684" t="str">
        <f>TONGHOPCONGDOI!C70</f>
        <v>N. Phết</v>
      </c>
      <c r="D75" s="684"/>
      <c r="E75" s="685"/>
      <c r="F75" s="684"/>
      <c r="G75" s="684"/>
      <c r="H75" s="684"/>
      <c r="I75" s="684"/>
      <c r="J75" s="1184"/>
      <c r="K75" s="683"/>
      <c r="L75" s="1185"/>
      <c r="M75" s="684"/>
      <c r="N75" s="684"/>
      <c r="O75" s="684"/>
      <c r="P75" s="684"/>
      <c r="Q75" s="684"/>
      <c r="R75" s="684"/>
      <c r="S75" s="684"/>
      <c r="T75" s="685"/>
      <c r="U75" s="685"/>
      <c r="V75" s="685"/>
      <c r="W75" s="1725"/>
      <c r="X75" s="684">
        <f t="shared" si="2"/>
        <v>0</v>
      </c>
      <c r="Y75" s="684"/>
      <c r="Z75" s="684">
        <f>VLOOKUP(C75,'CNKT '!C75:Z152,24,0)</f>
        <v>0</v>
      </c>
      <c r="AA75" s="1814">
        <f t="shared" si="1"/>
        <v>0</v>
      </c>
    </row>
    <row r="76" spans="1:27" s="1814" customFormat="1" ht="50.25" hidden="1" customHeight="1">
      <c r="A76" s="683">
        <v>61</v>
      </c>
      <c r="B76" s="683" t="str">
        <f>'Chấm công KT'!D71</f>
        <v>03506</v>
      </c>
      <c r="C76" s="684" t="str">
        <f>TONGHOPCONGDOI!C71</f>
        <v>N. Bua Hom</v>
      </c>
      <c r="D76" s="684"/>
      <c r="E76" s="685"/>
      <c r="F76" s="684"/>
      <c r="G76" s="684"/>
      <c r="H76" s="684"/>
      <c r="I76" s="684"/>
      <c r="J76" s="1184"/>
      <c r="K76" s="683"/>
      <c r="L76" s="1185"/>
      <c r="M76" s="684"/>
      <c r="N76" s="684"/>
      <c r="O76" s="684"/>
      <c r="P76" s="684"/>
      <c r="Q76" s="684"/>
      <c r="R76" s="684"/>
      <c r="S76" s="684"/>
      <c r="T76" s="685"/>
      <c r="U76" s="685"/>
      <c r="V76" s="685"/>
      <c r="W76" s="1725"/>
      <c r="X76" s="684">
        <f t="shared" si="2"/>
        <v>0</v>
      </c>
      <c r="Y76" s="684"/>
      <c r="Z76" s="684">
        <f>VLOOKUP(C76,'CNKT '!C76:Z153,24,0)</f>
        <v>0</v>
      </c>
      <c r="AA76" s="1814">
        <f t="shared" si="1"/>
        <v>0</v>
      </c>
    </row>
    <row r="77" spans="1:27" s="1814" customFormat="1" ht="50.25" hidden="1" customHeight="1">
      <c r="A77" s="683">
        <v>62</v>
      </c>
      <c r="B77" s="683" t="str">
        <f>'Chấm công KT'!D72</f>
        <v>03507</v>
      </c>
      <c r="C77" s="684" t="str">
        <f>TONGHOPCONGDOI!C72</f>
        <v>N. Không</v>
      </c>
      <c r="D77" s="684"/>
      <c r="E77" s="685"/>
      <c r="F77" s="684"/>
      <c r="G77" s="684"/>
      <c r="H77" s="684"/>
      <c r="I77" s="684"/>
      <c r="J77" s="1184"/>
      <c r="K77" s="683"/>
      <c r="L77" s="1185"/>
      <c r="M77" s="684"/>
      <c r="N77" s="684"/>
      <c r="O77" s="684"/>
      <c r="P77" s="684"/>
      <c r="Q77" s="684"/>
      <c r="R77" s="684"/>
      <c r="S77" s="684"/>
      <c r="T77" s="685"/>
      <c r="U77" s="685"/>
      <c r="V77" s="685"/>
      <c r="W77" s="1725"/>
      <c r="X77" s="684">
        <f t="shared" si="2"/>
        <v>0</v>
      </c>
      <c r="Y77" s="684"/>
      <c r="Z77" s="684">
        <f>VLOOKUP(C77,'CNKT '!C77:Z154,24,0)</f>
        <v>0</v>
      </c>
      <c r="AA77" s="1814">
        <f t="shared" si="1"/>
        <v>0</v>
      </c>
    </row>
    <row r="78" spans="1:27" s="1814" customFormat="1" ht="50.25" hidden="1" customHeight="1">
      <c r="A78" s="683">
        <v>63</v>
      </c>
      <c r="B78" s="683" t="str">
        <f>'Chấm công KT'!D73</f>
        <v>03508</v>
      </c>
      <c r="C78" s="684" t="str">
        <f>TONGHOPCONGDOI!C73</f>
        <v>T. Đèng</v>
      </c>
      <c r="D78" s="684"/>
      <c r="E78" s="685"/>
      <c r="F78" s="684"/>
      <c r="G78" s="684"/>
      <c r="H78" s="684"/>
      <c r="I78" s="684"/>
      <c r="J78" s="1184"/>
      <c r="K78" s="683"/>
      <c r="L78" s="1185"/>
      <c r="M78" s="684"/>
      <c r="N78" s="684"/>
      <c r="O78" s="684"/>
      <c r="P78" s="684"/>
      <c r="Q78" s="684"/>
      <c r="R78" s="684"/>
      <c r="S78" s="684"/>
      <c r="T78" s="685"/>
      <c r="U78" s="685"/>
      <c r="V78" s="685"/>
      <c r="W78" s="1725"/>
      <c r="X78" s="684">
        <f t="shared" si="2"/>
        <v>0</v>
      </c>
      <c r="Y78" s="684"/>
      <c r="Z78" s="684">
        <f>VLOOKUP(C78,'CNKT '!C78:Z155,24,0)</f>
        <v>0</v>
      </c>
      <c r="AA78" s="1814">
        <f t="shared" si="1"/>
        <v>0</v>
      </c>
    </row>
    <row r="79" spans="1:27" s="1814" customFormat="1" ht="50.25" hidden="1" customHeight="1">
      <c r="A79" s="683">
        <v>64</v>
      </c>
      <c r="B79" s="683" t="str">
        <f>'Chấm công KT'!D74</f>
        <v>03509</v>
      </c>
      <c r="C79" s="684" t="str">
        <f>TONGHOPCONGDOI!C74</f>
        <v>T. May</v>
      </c>
      <c r="D79" s="684"/>
      <c r="E79" s="685"/>
      <c r="F79" s="684"/>
      <c r="G79" s="684"/>
      <c r="H79" s="684"/>
      <c r="I79" s="684"/>
      <c r="J79" s="1184"/>
      <c r="K79" s="683"/>
      <c r="L79" s="1185"/>
      <c r="M79" s="684"/>
      <c r="N79" s="684"/>
      <c r="O79" s="684"/>
      <c r="P79" s="684"/>
      <c r="Q79" s="684"/>
      <c r="R79" s="684"/>
      <c r="S79" s="684"/>
      <c r="T79" s="685"/>
      <c r="U79" s="685"/>
      <c r="V79" s="685"/>
      <c r="W79" s="1725"/>
      <c r="X79" s="684">
        <f t="shared" si="2"/>
        <v>0</v>
      </c>
      <c r="Y79" s="684"/>
      <c r="Z79" s="684">
        <f>VLOOKUP(C79,'CNKT '!C79:Z156,24,0)</f>
        <v>0</v>
      </c>
      <c r="AA79" s="1814">
        <f t="shared" si="1"/>
        <v>0</v>
      </c>
    </row>
    <row r="80" spans="1:27" s="1814" customFormat="1" ht="50.25" hidden="1" customHeight="1">
      <c r="A80" s="683">
        <v>65</v>
      </c>
      <c r="B80" s="683"/>
      <c r="C80" s="684" t="str">
        <f>TONGHOPCONGDOI!C75</f>
        <v xml:space="preserve">T. La </v>
      </c>
      <c r="D80" s="684"/>
      <c r="E80" s="685"/>
      <c r="F80" s="684"/>
      <c r="G80" s="684"/>
      <c r="H80" s="684"/>
      <c r="I80" s="684"/>
      <c r="J80" s="1184"/>
      <c r="K80" s="683"/>
      <c r="L80" s="1185"/>
      <c r="M80" s="684"/>
      <c r="N80" s="684"/>
      <c r="O80" s="684"/>
      <c r="P80" s="684"/>
      <c r="Q80" s="684"/>
      <c r="R80" s="684"/>
      <c r="S80" s="684"/>
      <c r="T80" s="685"/>
      <c r="U80" s="685"/>
      <c r="V80" s="685"/>
      <c r="W80" s="1725"/>
      <c r="X80" s="684">
        <f t="shared" ref="X80:X94" si="3">F80+L80+W80</f>
        <v>0</v>
      </c>
      <c r="Y80" s="684"/>
      <c r="Z80" s="684">
        <f>VLOOKUP(C80,'CNKT '!C80:Z157,24,0)</f>
        <v>0</v>
      </c>
      <c r="AA80" s="1814">
        <f t="shared" ref="AA80:AA87" si="4">Z80-X80</f>
        <v>0</v>
      </c>
    </row>
    <row r="81" spans="1:27" s="1814" customFormat="1" ht="50.25" hidden="1" customHeight="1">
      <c r="A81" s="683">
        <v>66</v>
      </c>
      <c r="B81" s="683"/>
      <c r="C81" s="684" t="str">
        <f>TONGHOPCONGDOI!C76</f>
        <v>T. Bờm</v>
      </c>
      <c r="D81" s="684"/>
      <c r="E81" s="685"/>
      <c r="F81" s="684"/>
      <c r="G81" s="684"/>
      <c r="H81" s="684"/>
      <c r="I81" s="684"/>
      <c r="J81" s="1184"/>
      <c r="K81" s="683"/>
      <c r="L81" s="1185"/>
      <c r="M81" s="684"/>
      <c r="N81" s="684"/>
      <c r="O81" s="684"/>
      <c r="P81" s="684"/>
      <c r="Q81" s="684"/>
      <c r="R81" s="684"/>
      <c r="S81" s="684"/>
      <c r="T81" s="685"/>
      <c r="U81" s="685"/>
      <c r="V81" s="685"/>
      <c r="W81" s="1725"/>
      <c r="X81" s="684">
        <f t="shared" si="3"/>
        <v>0</v>
      </c>
      <c r="Y81" s="684"/>
      <c r="Z81" s="684">
        <f>VLOOKUP(C81,'CNKT '!C81:Z158,24,0)</f>
        <v>0</v>
      </c>
      <c r="AA81" s="1814">
        <f t="shared" si="4"/>
        <v>0</v>
      </c>
    </row>
    <row r="82" spans="1:27" s="1814" customFormat="1" ht="50.25" hidden="1" customHeight="1">
      <c r="A82" s="683">
        <v>67</v>
      </c>
      <c r="B82" s="683" t="str">
        <f>'Chấm công KT'!D77</f>
        <v>03512</v>
      </c>
      <c r="C82" s="684" t="str">
        <f>TONGHOPCONGDOI!C77</f>
        <v>N. Đon</v>
      </c>
      <c r="D82" s="684"/>
      <c r="E82" s="685"/>
      <c r="F82" s="684"/>
      <c r="G82" s="684"/>
      <c r="H82" s="684"/>
      <c r="I82" s="684"/>
      <c r="J82" s="1184"/>
      <c r="K82" s="683"/>
      <c r="L82" s="1185"/>
      <c r="M82" s="684"/>
      <c r="N82" s="684"/>
      <c r="O82" s="684"/>
      <c r="P82" s="684"/>
      <c r="Q82" s="684"/>
      <c r="R82" s="684"/>
      <c r="S82" s="684"/>
      <c r="T82" s="685"/>
      <c r="U82" s="685"/>
      <c r="V82" s="685"/>
      <c r="W82" s="1725"/>
      <c r="X82" s="684">
        <f t="shared" si="3"/>
        <v>0</v>
      </c>
      <c r="Y82" s="684"/>
      <c r="Z82" s="684">
        <f>VLOOKUP(C82,'CNKT '!C82:Z159,24,0)</f>
        <v>0</v>
      </c>
      <c r="AA82" s="1814">
        <f t="shared" si="4"/>
        <v>0</v>
      </c>
    </row>
    <row r="83" spans="1:27" s="1814" customFormat="1" ht="50.25" hidden="1" customHeight="1">
      <c r="A83" s="683">
        <v>68</v>
      </c>
      <c r="B83" s="683" t="str">
        <f>'Chấm công KT'!D78</f>
        <v>03513</v>
      </c>
      <c r="C83" s="684" t="str">
        <f>TONGHOPCONGDOI!C78</f>
        <v>T. Keo Ma Ni Son</v>
      </c>
      <c r="D83" s="684"/>
      <c r="E83" s="685"/>
      <c r="F83" s="684"/>
      <c r="G83" s="684"/>
      <c r="H83" s="684"/>
      <c r="I83" s="684"/>
      <c r="J83" s="1184"/>
      <c r="K83" s="683"/>
      <c r="L83" s="1185"/>
      <c r="M83" s="684"/>
      <c r="N83" s="684"/>
      <c r="O83" s="684"/>
      <c r="P83" s="684"/>
      <c r="Q83" s="684"/>
      <c r="R83" s="684"/>
      <c r="S83" s="684"/>
      <c r="T83" s="685"/>
      <c r="U83" s="685"/>
      <c r="V83" s="685"/>
      <c r="W83" s="1725"/>
      <c r="X83" s="684">
        <f t="shared" si="3"/>
        <v>0</v>
      </c>
      <c r="Y83" s="684"/>
      <c r="Z83" s="684">
        <f>VLOOKUP(C83,'CNKT '!C83:Z160,24,0)</f>
        <v>0</v>
      </c>
      <c r="AA83" s="1814">
        <f t="shared" si="4"/>
        <v>0</v>
      </c>
    </row>
    <row r="84" spans="1:27" s="1814" customFormat="1" ht="50.25" hidden="1" customHeight="1">
      <c r="A84" s="683">
        <v>69</v>
      </c>
      <c r="B84" s="683"/>
      <c r="C84" s="684" t="str">
        <f>TONGHOPCONGDOI!C79</f>
        <v>T Bun</v>
      </c>
      <c r="D84" s="684"/>
      <c r="E84" s="685"/>
      <c r="F84" s="684"/>
      <c r="G84" s="684"/>
      <c r="H84" s="684"/>
      <c r="I84" s="684"/>
      <c r="J84" s="1184"/>
      <c r="K84" s="683"/>
      <c r="L84" s="1185"/>
      <c r="M84" s="684"/>
      <c r="N84" s="684"/>
      <c r="O84" s="684"/>
      <c r="P84" s="684"/>
      <c r="Q84" s="684"/>
      <c r="R84" s="684"/>
      <c r="S84" s="684"/>
      <c r="T84" s="685"/>
      <c r="U84" s="685"/>
      <c r="V84" s="685"/>
      <c r="W84" s="1725"/>
      <c r="X84" s="684">
        <f t="shared" si="3"/>
        <v>0</v>
      </c>
      <c r="Y84" s="684"/>
      <c r="Z84" s="684">
        <f>VLOOKUP(C84,'CNKT '!C84:Z161,24,0)</f>
        <v>0</v>
      </c>
      <c r="AA84" s="1814">
        <f t="shared" si="4"/>
        <v>0</v>
      </c>
    </row>
    <row r="85" spans="1:27" s="1814" customFormat="1" ht="50.25" hidden="1" customHeight="1">
      <c r="A85" s="683">
        <v>70</v>
      </c>
      <c r="B85" s="683" t="str">
        <f>'Chấm công KT'!D80</f>
        <v>03515</v>
      </c>
      <c r="C85" s="684" t="str">
        <f>TONGHOPCONGDOI!C80</f>
        <v>N. Xi</v>
      </c>
      <c r="D85" s="684"/>
      <c r="E85" s="685"/>
      <c r="F85" s="684"/>
      <c r="G85" s="684"/>
      <c r="H85" s="684"/>
      <c r="I85" s="684"/>
      <c r="J85" s="1184"/>
      <c r="K85" s="683"/>
      <c r="L85" s="1185"/>
      <c r="M85" s="684"/>
      <c r="N85" s="684"/>
      <c r="O85" s="684"/>
      <c r="P85" s="684"/>
      <c r="Q85" s="684"/>
      <c r="R85" s="684"/>
      <c r="S85" s="684"/>
      <c r="T85" s="685"/>
      <c r="U85" s="685"/>
      <c r="V85" s="685"/>
      <c r="W85" s="1725"/>
      <c r="X85" s="684">
        <f t="shared" si="3"/>
        <v>0</v>
      </c>
      <c r="Y85" s="684"/>
      <c r="Z85" s="684">
        <f>VLOOKUP(C85,'CNKT '!C85:Z162,24,0)</f>
        <v>0</v>
      </c>
      <c r="AA85" s="1814">
        <f t="shared" si="4"/>
        <v>0</v>
      </c>
    </row>
    <row r="86" spans="1:27" s="1814" customFormat="1" ht="50.25" hidden="1" customHeight="1">
      <c r="A86" s="683">
        <v>71</v>
      </c>
      <c r="B86" s="683" t="str">
        <f>'Chấm công KT'!D81</f>
        <v>03516</v>
      </c>
      <c r="C86" s="684" t="str">
        <f>TONGHOPCONGDOI!C81</f>
        <v>N. Chay</v>
      </c>
      <c r="D86" s="684"/>
      <c r="E86" s="685"/>
      <c r="F86" s="684"/>
      <c r="G86" s="684"/>
      <c r="H86" s="684"/>
      <c r="I86" s="684"/>
      <c r="J86" s="1184"/>
      <c r="K86" s="683"/>
      <c r="L86" s="1185"/>
      <c r="M86" s="684"/>
      <c r="N86" s="684"/>
      <c r="O86" s="684"/>
      <c r="P86" s="684"/>
      <c r="Q86" s="684"/>
      <c r="R86" s="684"/>
      <c r="S86" s="684"/>
      <c r="T86" s="685"/>
      <c r="U86" s="685"/>
      <c r="V86" s="685"/>
      <c r="W86" s="1725"/>
      <c r="X86" s="684">
        <f t="shared" si="3"/>
        <v>0</v>
      </c>
      <c r="Y86" s="684"/>
      <c r="Z86" s="684">
        <f>VLOOKUP(C86,'CNKT '!C86:Z163,24,0)</f>
        <v>0</v>
      </c>
      <c r="AA86" s="1814">
        <f t="shared" si="4"/>
        <v>0</v>
      </c>
    </row>
    <row r="87" spans="1:27" s="1814" customFormat="1" ht="50.25" hidden="1" customHeight="1">
      <c r="A87" s="683">
        <v>72</v>
      </c>
      <c r="B87" s="683" t="str">
        <f>'Chấm công KT'!D82</f>
        <v>02732</v>
      </c>
      <c r="C87" s="684" t="str">
        <f>TONGHOPCONGDOI!C82</f>
        <v xml:space="preserve">N. Khăm </v>
      </c>
      <c r="D87" s="684"/>
      <c r="E87" s="685"/>
      <c r="F87" s="684"/>
      <c r="G87" s="684"/>
      <c r="H87" s="684"/>
      <c r="I87" s="684"/>
      <c r="J87" s="1184"/>
      <c r="K87" s="683"/>
      <c r="L87" s="1185"/>
      <c r="M87" s="684"/>
      <c r="N87" s="684"/>
      <c r="O87" s="684"/>
      <c r="P87" s="684"/>
      <c r="Q87" s="684"/>
      <c r="R87" s="684"/>
      <c r="S87" s="684"/>
      <c r="T87" s="685"/>
      <c r="U87" s="685"/>
      <c r="V87" s="685"/>
      <c r="W87" s="1725"/>
      <c r="X87" s="684">
        <f t="shared" si="3"/>
        <v>0</v>
      </c>
      <c r="Y87" s="684"/>
      <c r="Z87" s="684">
        <f>VLOOKUP(C87,'CNKT '!C87:Z164,24,0)</f>
        <v>0</v>
      </c>
      <c r="AA87" s="1814">
        <f t="shared" si="4"/>
        <v>0</v>
      </c>
    </row>
    <row r="88" spans="1:27" s="1814" customFormat="1" ht="50.25" hidden="1" customHeight="1">
      <c r="A88" s="683">
        <v>73</v>
      </c>
      <c r="B88" s="683" t="str">
        <f>'Chấm công KT'!D83</f>
        <v>02733</v>
      </c>
      <c r="C88" s="684" t="str">
        <f>TONGHOPCONGDOI!C83</f>
        <v>N. Phôn</v>
      </c>
      <c r="D88" s="684"/>
      <c r="E88" s="685"/>
      <c r="F88" s="684"/>
      <c r="G88" s="684"/>
      <c r="H88" s="684"/>
      <c r="I88" s="684"/>
      <c r="J88" s="1184"/>
      <c r="K88" s="683"/>
      <c r="L88" s="1185"/>
      <c r="M88" s="684"/>
      <c r="N88" s="684"/>
      <c r="O88" s="684"/>
      <c r="P88" s="684"/>
      <c r="Q88" s="684"/>
      <c r="R88" s="684"/>
      <c r="S88" s="684"/>
      <c r="T88" s="685"/>
      <c r="U88" s="685"/>
      <c r="V88" s="685"/>
      <c r="W88" s="1725"/>
      <c r="X88" s="684">
        <f t="shared" si="3"/>
        <v>0</v>
      </c>
      <c r="Y88" s="684"/>
      <c r="Z88" s="684">
        <f>VLOOKUP(C88,'CNKT '!C88:Z165,24,0)</f>
        <v>0</v>
      </c>
      <c r="AA88" s="1814">
        <f t="shared" ref="AA88:AA96" si="5">Z88-X88</f>
        <v>0</v>
      </c>
    </row>
    <row r="89" spans="1:27" s="1814" customFormat="1" ht="50.25" hidden="1" customHeight="1">
      <c r="A89" s="683">
        <v>74</v>
      </c>
      <c r="B89" s="683">
        <f>'Chấm công KT'!D84</f>
        <v>0</v>
      </c>
      <c r="C89" s="684" t="str">
        <f>TONGHOPCONGDOI!C84</f>
        <v>T. Xem</v>
      </c>
      <c r="D89" s="684"/>
      <c r="E89" s="685"/>
      <c r="F89" s="684"/>
      <c r="G89" s="684"/>
      <c r="H89" s="684"/>
      <c r="I89" s="684"/>
      <c r="J89" s="1184"/>
      <c r="K89" s="683"/>
      <c r="L89" s="1185"/>
      <c r="M89" s="684"/>
      <c r="N89" s="684"/>
      <c r="O89" s="684"/>
      <c r="P89" s="684"/>
      <c r="Q89" s="684"/>
      <c r="R89" s="684"/>
      <c r="S89" s="684"/>
      <c r="T89" s="685"/>
      <c r="U89" s="685"/>
      <c r="V89" s="685"/>
      <c r="W89" s="1725"/>
      <c r="X89" s="684">
        <f t="shared" si="3"/>
        <v>0</v>
      </c>
      <c r="Y89" s="684"/>
      <c r="Z89" s="684">
        <f>VLOOKUP(C89,'CNKT '!C89:Z166,24,0)</f>
        <v>0</v>
      </c>
      <c r="AA89" s="1814">
        <f t="shared" si="5"/>
        <v>0</v>
      </c>
    </row>
    <row r="90" spans="1:27" s="1814" customFormat="1" ht="50.25" hidden="1" customHeight="1">
      <c r="A90" s="683">
        <v>75</v>
      </c>
      <c r="B90" s="683">
        <f>'Chấm công KT'!D85</f>
        <v>0</v>
      </c>
      <c r="C90" s="684" t="str">
        <f>TONGHOPCONGDOI!C85</f>
        <v>T.Trí</v>
      </c>
      <c r="D90" s="684"/>
      <c r="E90" s="685"/>
      <c r="F90" s="684"/>
      <c r="G90" s="684"/>
      <c r="H90" s="684"/>
      <c r="I90" s="684"/>
      <c r="J90" s="1184"/>
      <c r="K90" s="683"/>
      <c r="L90" s="1185"/>
      <c r="M90" s="684"/>
      <c r="N90" s="684"/>
      <c r="O90" s="684"/>
      <c r="P90" s="684"/>
      <c r="Q90" s="684"/>
      <c r="R90" s="684"/>
      <c r="S90" s="684"/>
      <c r="T90" s="685"/>
      <c r="U90" s="685"/>
      <c r="V90" s="685"/>
      <c r="W90" s="1725"/>
      <c r="X90" s="684">
        <f t="shared" si="3"/>
        <v>0</v>
      </c>
      <c r="Y90" s="684"/>
      <c r="Z90" s="684">
        <f>VLOOKUP(C90,'CNKT '!C90:Z167,24,0)</f>
        <v>0</v>
      </c>
      <c r="AA90" s="1814">
        <f t="shared" si="5"/>
        <v>0</v>
      </c>
    </row>
    <row r="91" spans="1:27" s="1814" customFormat="1" ht="50.25" hidden="1" customHeight="1">
      <c r="A91" s="683">
        <v>76</v>
      </c>
      <c r="B91" s="683">
        <f>'Chấm công KT'!D86</f>
        <v>0</v>
      </c>
      <c r="C91" s="684" t="str">
        <f>TONGHOPCONGDOI!C86</f>
        <v>T. Ngân</v>
      </c>
      <c r="D91" s="684"/>
      <c r="E91" s="685"/>
      <c r="F91" s="684"/>
      <c r="G91" s="684"/>
      <c r="H91" s="684"/>
      <c r="I91" s="684"/>
      <c r="J91" s="1184"/>
      <c r="K91" s="683"/>
      <c r="L91" s="1185"/>
      <c r="M91" s="684"/>
      <c r="N91" s="684"/>
      <c r="O91" s="684"/>
      <c r="P91" s="684"/>
      <c r="Q91" s="684"/>
      <c r="R91" s="684"/>
      <c r="S91" s="684"/>
      <c r="T91" s="685"/>
      <c r="U91" s="685"/>
      <c r="V91" s="685"/>
      <c r="W91" s="1725"/>
      <c r="X91" s="684">
        <f t="shared" si="3"/>
        <v>0</v>
      </c>
      <c r="Y91" s="684"/>
      <c r="Z91" s="684">
        <f>VLOOKUP(C91,'CNKT '!C91:Z168,24,0)</f>
        <v>0</v>
      </c>
      <c r="AA91" s="1814">
        <f t="shared" si="5"/>
        <v>0</v>
      </c>
    </row>
    <row r="92" spans="1:27" s="1814" customFormat="1" ht="50.25" hidden="1" customHeight="1">
      <c r="A92" s="683">
        <v>77</v>
      </c>
      <c r="B92" s="683">
        <f>'Chấm công KT'!D88</f>
        <v>0</v>
      </c>
      <c r="C92" s="684" t="str">
        <f>TONGHOPCONGDOI!C87</f>
        <v>T.Pu</v>
      </c>
      <c r="D92" s="684"/>
      <c r="E92" s="685"/>
      <c r="F92" s="684"/>
      <c r="G92" s="684"/>
      <c r="H92" s="684"/>
      <c r="I92" s="684"/>
      <c r="J92" s="1184"/>
      <c r="K92" s="683"/>
      <c r="L92" s="1185"/>
      <c r="M92" s="684"/>
      <c r="N92" s="684"/>
      <c r="O92" s="684"/>
      <c r="P92" s="684"/>
      <c r="Q92" s="684"/>
      <c r="R92" s="684"/>
      <c r="S92" s="684"/>
      <c r="T92" s="685"/>
      <c r="U92" s="685"/>
      <c r="V92" s="685"/>
      <c r="W92" s="1725"/>
      <c r="X92" s="684">
        <f>F92+L92+W92</f>
        <v>0</v>
      </c>
      <c r="Y92" s="684"/>
      <c r="Z92" s="684">
        <f>VLOOKUP(C92,'CNKT '!C92:Z169,24,0)</f>
        <v>0</v>
      </c>
      <c r="AA92" s="1814">
        <f t="shared" si="5"/>
        <v>0</v>
      </c>
    </row>
    <row r="93" spans="1:27" s="1814" customFormat="1" ht="50.25" hidden="1" customHeight="1">
      <c r="A93" s="683">
        <v>78</v>
      </c>
      <c r="B93" s="683">
        <f>'Chấm công KT'!D89</f>
        <v>0</v>
      </c>
      <c r="C93" s="684" t="str">
        <f>TONGHOPCONGDOI!C88</f>
        <v>T.Ta</v>
      </c>
      <c r="D93" s="684"/>
      <c r="E93" s="685"/>
      <c r="F93" s="684"/>
      <c r="G93" s="684"/>
      <c r="H93" s="684"/>
      <c r="I93" s="684"/>
      <c r="J93" s="1184"/>
      <c r="K93" s="683"/>
      <c r="L93" s="1185"/>
      <c r="M93" s="684"/>
      <c r="N93" s="684"/>
      <c r="O93" s="684"/>
      <c r="P93" s="684"/>
      <c r="Q93" s="684"/>
      <c r="R93" s="684"/>
      <c r="S93" s="684"/>
      <c r="T93" s="685"/>
      <c r="U93" s="685"/>
      <c r="V93" s="685"/>
      <c r="W93" s="1725"/>
      <c r="X93" s="684">
        <f t="shared" si="3"/>
        <v>0</v>
      </c>
      <c r="Y93" s="684"/>
      <c r="Z93" s="684">
        <f>VLOOKUP(C93,'CNKT '!C93:Z170,24,0)</f>
        <v>0</v>
      </c>
      <c r="AA93" s="1814">
        <f t="shared" si="5"/>
        <v>0</v>
      </c>
    </row>
    <row r="94" spans="1:27" s="1814" customFormat="1" ht="50.25" hidden="1" customHeight="1">
      <c r="A94" s="683">
        <v>79</v>
      </c>
      <c r="B94" s="1105"/>
      <c r="C94" s="684" t="str">
        <f>TONGHOPCONGDOI!C89</f>
        <v>N.Nang</v>
      </c>
      <c r="D94" s="1106"/>
      <c r="E94" s="685"/>
      <c r="F94" s="684"/>
      <c r="G94" s="684"/>
      <c r="H94" s="684"/>
      <c r="I94" s="684"/>
      <c r="J94" s="1184"/>
      <c r="K94" s="683"/>
      <c r="L94" s="1185"/>
      <c r="M94" s="684"/>
      <c r="N94" s="684"/>
      <c r="O94" s="684"/>
      <c r="P94" s="684"/>
      <c r="Q94" s="684"/>
      <c r="R94" s="684"/>
      <c r="S94" s="684"/>
      <c r="T94" s="685"/>
      <c r="U94" s="685"/>
      <c r="V94" s="685"/>
      <c r="W94" s="1725"/>
      <c r="X94" s="684">
        <f t="shared" si="3"/>
        <v>0</v>
      </c>
      <c r="Y94" s="684"/>
      <c r="Z94" s="684">
        <f>VLOOKUP(C94,'CNKT '!C94:Z171,24,0)</f>
        <v>0</v>
      </c>
      <c r="AA94" s="1814">
        <f t="shared" si="5"/>
        <v>0</v>
      </c>
    </row>
    <row r="95" spans="1:27" s="1814" customFormat="1" ht="50.25" hidden="1" customHeight="1">
      <c r="A95" s="683">
        <v>80</v>
      </c>
      <c r="B95" s="1105"/>
      <c r="C95" s="684" t="str">
        <f>TONGHOPCONGDOI!C90</f>
        <v>T. Tan</v>
      </c>
      <c r="D95" s="1106"/>
      <c r="E95" s="685"/>
      <c r="F95" s="684"/>
      <c r="G95" s="684"/>
      <c r="H95" s="684"/>
      <c r="I95" s="684"/>
      <c r="J95" s="1184"/>
      <c r="K95" s="683"/>
      <c r="L95" s="1185"/>
      <c r="M95" s="684"/>
      <c r="N95" s="684"/>
      <c r="O95" s="684"/>
      <c r="P95" s="684"/>
      <c r="Q95" s="684"/>
      <c r="R95" s="684"/>
      <c r="S95" s="684"/>
      <c r="T95" s="685"/>
      <c r="U95" s="685"/>
      <c r="V95" s="685"/>
      <c r="W95" s="1725"/>
      <c r="X95" s="684">
        <f>F95+L95+W95</f>
        <v>0</v>
      </c>
      <c r="Y95" s="684"/>
      <c r="Z95" s="684">
        <f>VLOOKUP(C95,'CNKT '!C95:Z172,24,0)</f>
        <v>0</v>
      </c>
      <c r="AA95" s="1814">
        <f t="shared" si="5"/>
        <v>0</v>
      </c>
    </row>
    <row r="96" spans="1:27" s="1814" customFormat="1" ht="50.25" hidden="1" customHeight="1">
      <c r="A96" s="683">
        <v>75</v>
      </c>
      <c r="B96" s="1105"/>
      <c r="C96" s="1492" t="str">
        <f>TONGHOPCONGDOI!C91</f>
        <v>Mủ Xi Rum</v>
      </c>
      <c r="D96" s="1106"/>
      <c r="E96" s="685"/>
      <c r="F96" s="684"/>
      <c r="G96" s="684"/>
      <c r="H96" s="684"/>
      <c r="I96" s="684"/>
      <c r="J96" s="1184"/>
      <c r="K96" s="683"/>
      <c r="L96" s="1185"/>
      <c r="M96" s="684"/>
      <c r="N96" s="684"/>
      <c r="O96" s="684"/>
      <c r="P96" s="684"/>
      <c r="Q96" s="684"/>
      <c r="R96" s="684"/>
      <c r="S96" s="684"/>
      <c r="T96" s="685"/>
      <c r="U96" s="685"/>
      <c r="V96" s="685"/>
      <c r="W96" s="1725"/>
      <c r="X96" s="684">
        <f t="shared" ref="X96:X99" si="6">F96+L96+W96</f>
        <v>0</v>
      </c>
      <c r="Y96" s="684"/>
      <c r="Z96" s="684">
        <f>VLOOKUP(C96,'CNKT '!C96:Z173,24,0)</f>
        <v>0</v>
      </c>
      <c r="AA96" s="1814">
        <f t="shared" si="5"/>
        <v>0</v>
      </c>
    </row>
    <row r="97" spans="1:29" s="1814" customFormat="1" ht="50.25" customHeight="1">
      <c r="A97" s="683">
        <v>1</v>
      </c>
      <c r="B97" s="1105"/>
      <c r="C97" s="684" t="str">
        <f>TONGHOPCONGDOI!C92</f>
        <v>T . Say</v>
      </c>
      <c r="D97" s="1106"/>
      <c r="E97" s="685">
        <f>VLOOKUP(C97,TONGHOPCONGDOI!$C$11:$Q$93,15,0)</f>
        <v>3813.57</v>
      </c>
      <c r="F97" s="684">
        <f>ROUND(E97*25000,0)</f>
        <v>95339250</v>
      </c>
      <c r="G97" s="684"/>
      <c r="H97" s="684"/>
      <c r="I97" s="684"/>
      <c r="J97" s="1184"/>
      <c r="K97" s="683"/>
      <c r="L97" s="1185"/>
      <c r="M97" s="684">
        <f>VLOOKUP(C97,TONGHOPCONGDOI!$C$11:$AD$93,20,0)</f>
        <v>0</v>
      </c>
      <c r="N97" s="684">
        <f>VLOOKUP(C97,TONGHOPCONGDOI!$C$11:$AD$93,21,0)</f>
        <v>0</v>
      </c>
      <c r="O97" s="684">
        <f>VLOOKUP(C97,TONGHOPCONGDOI!$C$11:$AD$93,22,0)</f>
        <v>0</v>
      </c>
      <c r="P97" s="684">
        <f>VLOOKUP(C97,TONGHOPCONGDOI!$C$11:$AD$93,23,0)</f>
        <v>0</v>
      </c>
      <c r="Q97" s="684">
        <f>VLOOKUP(C97,TONGHOPCONGDOI!$C$11:$AD$93,24,0)</f>
        <v>0</v>
      </c>
      <c r="R97" s="684">
        <f>VLOOKUP(C97,TONGHOPCONGDOI!$C$11:$AD$93,25,0)</f>
        <v>0</v>
      </c>
      <c r="S97" s="684"/>
      <c r="T97" s="685">
        <f t="shared" ref="T97" si="7">SUM(M97:R97)</f>
        <v>0</v>
      </c>
      <c r="U97" s="685"/>
      <c r="V97" s="685"/>
      <c r="W97" s="1725">
        <f t="shared" ref="W97" si="8">ROUND(((M97*46.1)+(N97*76.9)+(O97*92.2)+(P97*153.8)+(Q97*92.2)+(R97*153.8))*$E$12+(S97*20000)+(T97*10000)+(U97*30000),0)</f>
        <v>0</v>
      </c>
      <c r="X97" s="684">
        <f>F97+L97+W97</f>
        <v>95339250</v>
      </c>
      <c r="Y97" s="684"/>
      <c r="Z97" s="684">
        <f>VLOOKUP(C97,'CNKT '!C97:Z174,24,0)</f>
        <v>95339251</v>
      </c>
      <c r="AA97" s="1814">
        <f>Z97-X97</f>
        <v>1</v>
      </c>
    </row>
    <row r="98" spans="1:29" s="1814" customFormat="1" ht="50.25" hidden="1" customHeight="1">
      <c r="A98" s="683">
        <v>83</v>
      </c>
      <c r="B98" s="1105"/>
      <c r="C98" s="684" t="str">
        <f>TONGHOPCONGDOI!C93</f>
        <v>A Xít</v>
      </c>
      <c r="D98" s="1106"/>
      <c r="E98" s="685">
        <f>VLOOKUP(C98,TONGHOPCONGDOI!$C$11:$Q$93,15,0)</f>
        <v>0</v>
      </c>
      <c r="F98" s="684">
        <f t="shared" ref="F98:F99" si="9">E98*25000</f>
        <v>0</v>
      </c>
      <c r="G98" s="684"/>
      <c r="H98" s="684"/>
      <c r="I98" s="684"/>
      <c r="J98" s="1184"/>
      <c r="K98" s="683"/>
      <c r="L98" s="1185"/>
      <c r="M98" s="684">
        <f>VLOOKUP(C98,TONGHOPCONGDOI!$C$11:$AD$93,20,0)</f>
        <v>0</v>
      </c>
      <c r="N98" s="684">
        <f>VLOOKUP(C98,TONGHOPCONGDOI!$C$11:$AD$93,21,0)</f>
        <v>0</v>
      </c>
      <c r="O98" s="684">
        <f>VLOOKUP(C98,TONGHOPCONGDOI!$C$11:$AD$93,22,0)</f>
        <v>0</v>
      </c>
      <c r="P98" s="684">
        <f>VLOOKUP(C98,TONGHOPCONGDOI!$C$11:$AD$93,23,0)</f>
        <v>0</v>
      </c>
      <c r="Q98" s="684">
        <f>VLOOKUP(C98,TONGHOPCONGDOI!$C$11:$AD$93,24,0)</f>
        <v>0</v>
      </c>
      <c r="R98" s="684">
        <f>VLOOKUP(C98,TONGHOPCONGDOI!$C$11:$AD$93,25,0)</f>
        <v>0</v>
      </c>
      <c r="S98" s="684"/>
      <c r="T98" s="684"/>
      <c r="U98" s="684"/>
      <c r="V98" s="685"/>
      <c r="W98" s="1725">
        <f t="shared" ref="W98:W99" si="10">((M98*46.1)+(N98*76.9)+(O98*92.2)+(P98*153.8)+(Q98*92.2)+(R98*153.8))*$E$12+(S98*20000)+(T98*10000)+(U98*30000)</f>
        <v>0</v>
      </c>
      <c r="X98" s="684">
        <f t="shared" si="6"/>
        <v>0</v>
      </c>
      <c r="Y98" s="684"/>
      <c r="Z98" s="684">
        <f>VLOOKUP(C98,'CNKT '!C98:Z175,24,0)</f>
        <v>0</v>
      </c>
    </row>
    <row r="99" spans="1:29" s="1814" customFormat="1" ht="50.25" hidden="1" customHeight="1">
      <c r="A99" s="683">
        <v>84</v>
      </c>
      <c r="B99" s="1105"/>
      <c r="C99" s="684" t="str">
        <f>TONGHOPCONGDOI!C94</f>
        <v>T. Tý</v>
      </c>
      <c r="D99" s="1106"/>
      <c r="E99" s="685">
        <f>VLOOKUP(C99,TONGHOPCONGDOI!$C$11:$Q$94,15,0)</f>
        <v>0</v>
      </c>
      <c r="F99" s="684">
        <f t="shared" si="9"/>
        <v>0</v>
      </c>
      <c r="G99" s="684"/>
      <c r="H99" s="684"/>
      <c r="I99" s="684"/>
      <c r="J99" s="1184"/>
      <c r="K99" s="683"/>
      <c r="L99" s="1185"/>
      <c r="M99" s="684">
        <f>VLOOKUP(C99,TONGHOPCONGDOI!$C$11:$AD$94,20,0)</f>
        <v>0</v>
      </c>
      <c r="N99" s="684">
        <f>VLOOKUP(C99,TONGHOPCONGDOI!$C$11:$AD$94,21,0)</f>
        <v>0</v>
      </c>
      <c r="O99" s="684">
        <f>VLOOKUP(C99,TONGHOPCONGDOI!$C$11:$AD$94,22,0)</f>
        <v>0</v>
      </c>
      <c r="P99" s="684">
        <f>VLOOKUP(C99,TONGHOPCONGDOI!$C$11:$AD$94,23,0)</f>
        <v>0</v>
      </c>
      <c r="Q99" s="684">
        <f>VLOOKUP(C99,TONGHOPCONGDOI!$C$11:$AD$94,24,0)</f>
        <v>0</v>
      </c>
      <c r="R99" s="684">
        <f>VLOOKUP(C99,TONGHOPCONGDOI!$C$11:$AD$94,25,0)</f>
        <v>0</v>
      </c>
      <c r="S99" s="684"/>
      <c r="T99" s="684"/>
      <c r="U99" s="684"/>
      <c r="V99" s="685"/>
      <c r="W99" s="1725">
        <f t="shared" si="10"/>
        <v>0</v>
      </c>
      <c r="X99" s="684">
        <f t="shared" si="6"/>
        <v>0</v>
      </c>
      <c r="Y99" s="684"/>
      <c r="Z99" s="684">
        <f>VLOOKUP(C99,'CNKT '!C99:Z176,24,0)</f>
        <v>0</v>
      </c>
    </row>
    <row r="100" spans="1:29" s="1814" customFormat="1" ht="50.25" customHeight="1">
      <c r="A100" s="1992" t="s">
        <v>785</v>
      </c>
      <c r="B100" s="1993"/>
      <c r="C100" s="1993"/>
      <c r="D100" s="1994"/>
      <c r="E100" s="686">
        <f>SUM(E16:E99)</f>
        <v>3813.57</v>
      </c>
      <c r="F100" s="686">
        <f t="shared" ref="F100:Z100" si="11">SUM(F16:F99)</f>
        <v>95339250</v>
      </c>
      <c r="G100" s="686">
        <f t="shared" si="11"/>
        <v>0</v>
      </c>
      <c r="H100" s="686">
        <f t="shared" si="11"/>
        <v>0</v>
      </c>
      <c r="I100" s="686">
        <f t="shared" si="11"/>
        <v>0</v>
      </c>
      <c r="J100" s="686">
        <f>SUM(J16:J99)</f>
        <v>0</v>
      </c>
      <c r="K100" s="686">
        <f t="shared" si="11"/>
        <v>0</v>
      </c>
      <c r="L100" s="686">
        <f t="shared" si="11"/>
        <v>0</v>
      </c>
      <c r="M100" s="686">
        <f t="shared" si="11"/>
        <v>0</v>
      </c>
      <c r="N100" s="686">
        <f t="shared" si="11"/>
        <v>0</v>
      </c>
      <c r="O100" s="686">
        <f t="shared" si="11"/>
        <v>0</v>
      </c>
      <c r="P100" s="686">
        <f t="shared" si="11"/>
        <v>0</v>
      </c>
      <c r="Q100" s="686">
        <f t="shared" si="11"/>
        <v>0</v>
      </c>
      <c r="R100" s="686">
        <f t="shared" si="11"/>
        <v>0</v>
      </c>
      <c r="S100" s="686">
        <f t="shared" si="11"/>
        <v>0</v>
      </c>
      <c r="T100" s="686">
        <f t="shared" si="11"/>
        <v>0</v>
      </c>
      <c r="U100" s="686">
        <f t="shared" si="11"/>
        <v>0</v>
      </c>
      <c r="V100" s="686"/>
      <c r="W100" s="686">
        <f>SUM(W16:W99)</f>
        <v>0</v>
      </c>
      <c r="X100" s="686">
        <f t="shared" si="11"/>
        <v>95339250</v>
      </c>
      <c r="Y100" s="686">
        <f t="shared" si="11"/>
        <v>0</v>
      </c>
      <c r="Z100" s="686">
        <f t="shared" si="11"/>
        <v>95339251</v>
      </c>
      <c r="AA100" s="1814">
        <f>X100-Z100</f>
        <v>-1</v>
      </c>
      <c r="AB100" s="1814">
        <v>97959067</v>
      </c>
    </row>
    <row r="101" spans="1:29" ht="50.25" customHeight="1">
      <c r="A101" s="2003" t="s">
        <v>1173</v>
      </c>
      <c r="B101" s="2003"/>
      <c r="C101" s="2003"/>
      <c r="D101" s="2003"/>
      <c r="E101" s="2003"/>
      <c r="F101" s="2003"/>
      <c r="G101" s="2003"/>
      <c r="H101" s="2003"/>
      <c r="I101" s="2003"/>
      <c r="J101" s="2003"/>
      <c r="K101" s="2003"/>
      <c r="L101" s="2003"/>
      <c r="M101" s="2003"/>
      <c r="N101" s="2003"/>
      <c r="O101" s="2003"/>
      <c r="P101" s="2003"/>
      <c r="Q101" s="2003"/>
      <c r="R101" s="2003"/>
      <c r="S101" s="2003"/>
      <c r="T101" s="2003"/>
      <c r="U101" s="2003"/>
      <c r="V101" s="2003"/>
      <c r="W101" s="2003"/>
      <c r="X101" s="2003"/>
      <c r="Y101" s="2003"/>
      <c r="Z101" s="2003"/>
      <c r="AB101" s="1041" t="e">
        <f>G100*Z12/1000</f>
        <v>#DIV/0!</v>
      </c>
    </row>
    <row r="102" spans="1:29" ht="12.75" customHeight="1">
      <c r="A102" s="1726"/>
      <c r="B102" s="1726"/>
      <c r="C102" s="1726"/>
      <c r="D102" s="1726"/>
      <c r="E102" s="1726"/>
      <c r="F102" s="1726"/>
      <c r="G102" s="1726"/>
      <c r="H102" s="1726"/>
      <c r="I102" s="1726"/>
      <c r="J102" s="1726"/>
      <c r="K102" s="1726"/>
      <c r="L102" s="1726"/>
      <c r="M102" s="1726"/>
      <c r="N102" s="1726"/>
      <c r="O102" s="1726"/>
      <c r="P102" s="1726"/>
      <c r="Q102" s="1726"/>
      <c r="R102" s="1726"/>
      <c r="S102" s="1726"/>
      <c r="T102" s="1726"/>
      <c r="U102" s="1726"/>
      <c r="V102" s="1726"/>
      <c r="W102" s="1726"/>
      <c r="X102" s="1726"/>
      <c r="Y102" s="1726"/>
      <c r="Z102" s="1726"/>
    </row>
    <row r="103" spans="1:29" ht="29.25" customHeight="1">
      <c r="A103" s="798"/>
      <c r="B103" s="798"/>
      <c r="C103" s="799"/>
      <c r="D103" s="800"/>
      <c r="E103" s="801"/>
      <c r="F103" s="802"/>
      <c r="G103" s="802"/>
      <c r="H103" s="802"/>
      <c r="I103" s="802"/>
      <c r="J103" s="803"/>
      <c r="K103" s="804"/>
      <c r="L103" s="805"/>
      <c r="M103" s="806"/>
      <c r="N103" s="806"/>
      <c r="O103" s="806"/>
      <c r="P103" s="806"/>
      <c r="Q103" s="806"/>
      <c r="R103" s="806"/>
      <c r="S103" s="806"/>
      <c r="T103" s="2007" t="s">
        <v>1146</v>
      </c>
      <c r="U103" s="2007"/>
      <c r="V103" s="2007"/>
      <c r="W103" s="2007"/>
      <c r="X103" s="2007"/>
      <c r="Y103" s="2007"/>
      <c r="Z103" s="2007"/>
      <c r="AB103" s="595">
        <f>Z100-Z99</f>
        <v>95339251</v>
      </c>
    </row>
    <row r="104" spans="1:29" ht="7.5" customHeight="1">
      <c r="D104" s="593"/>
      <c r="E104" s="594"/>
      <c r="M104" s="599"/>
      <c r="N104" s="599"/>
      <c r="O104" s="599"/>
      <c r="P104" s="599"/>
      <c r="Q104" s="599"/>
      <c r="R104" s="599"/>
      <c r="S104" s="599"/>
      <c r="Y104" s="600"/>
      <c r="Z104" s="600"/>
    </row>
    <row r="105" spans="1:29" ht="6.75" customHeight="1">
      <c r="D105" s="593"/>
      <c r="E105" s="594"/>
      <c r="M105" s="599"/>
      <c r="N105" s="599"/>
      <c r="O105" s="599"/>
      <c r="P105" s="599"/>
      <c r="Q105" s="599"/>
      <c r="R105" s="599"/>
      <c r="S105" s="599"/>
      <c r="Y105" s="600"/>
      <c r="Z105" s="600"/>
    </row>
    <row r="106" spans="1:29" s="602" customFormat="1" ht="25.5" customHeight="1">
      <c r="A106" s="2000" t="s">
        <v>46</v>
      </c>
      <c r="B106" s="2000"/>
      <c r="C106" s="2000"/>
      <c r="D106" s="2000"/>
      <c r="E106" s="2000"/>
      <c r="F106" s="1813"/>
      <c r="I106" s="604"/>
      <c r="J106" s="604" t="s">
        <v>753</v>
      </c>
      <c r="K106" s="604"/>
      <c r="L106" s="2000" t="s">
        <v>101</v>
      </c>
      <c r="M106" s="2000"/>
      <c r="N106" s="2000"/>
      <c r="O106" s="2000"/>
      <c r="P106" s="2000"/>
      <c r="Q106" s="2000"/>
      <c r="R106" s="2000"/>
      <c r="S106" s="2000"/>
      <c r="T106" s="2000"/>
      <c r="U106" s="2000"/>
      <c r="V106" s="2000"/>
      <c r="W106" s="2000"/>
      <c r="X106" s="2000" t="s">
        <v>826</v>
      </c>
      <c r="Y106" s="2000"/>
      <c r="Z106" s="2000"/>
    </row>
    <row r="107" spans="1:29" s="602" customFormat="1" ht="19.5" customHeight="1">
      <c r="A107" s="601"/>
      <c r="B107" s="601"/>
      <c r="C107" s="1813"/>
      <c r="D107" s="1813"/>
      <c r="E107" s="1813"/>
      <c r="F107" s="1813"/>
      <c r="G107" s="1813"/>
      <c r="H107" s="1813"/>
      <c r="I107" s="1813"/>
      <c r="J107" s="603"/>
      <c r="K107" s="1813"/>
      <c r="L107" s="604"/>
      <c r="O107" s="604"/>
      <c r="P107" s="604"/>
      <c r="Q107" s="604"/>
      <c r="R107" s="604"/>
      <c r="S107" s="604"/>
      <c r="T107" s="604"/>
      <c r="U107" s="604"/>
      <c r="V107" s="604"/>
      <c r="W107" s="605"/>
      <c r="X107" s="1813"/>
      <c r="Y107" s="1813"/>
      <c r="Z107" s="1813"/>
      <c r="AC107" s="602">
        <f>1442+5382</f>
        <v>6824</v>
      </c>
    </row>
    <row r="108" spans="1:29" s="602" customFormat="1" ht="19.5" customHeight="1">
      <c r="A108" s="601"/>
      <c r="B108" s="601"/>
      <c r="C108" s="1813"/>
      <c r="D108" s="1813"/>
      <c r="E108" s="1813"/>
      <c r="F108" s="1813"/>
      <c r="G108" s="1813"/>
      <c r="H108" s="1813"/>
      <c r="I108" s="1813"/>
      <c r="J108" s="603"/>
      <c r="K108" s="1813"/>
      <c r="L108" s="604"/>
      <c r="O108" s="604"/>
      <c r="P108" s="604"/>
      <c r="Q108" s="604"/>
      <c r="R108" s="604"/>
      <c r="S108" s="604"/>
      <c r="T108" s="604"/>
      <c r="U108" s="604"/>
      <c r="V108" s="604"/>
      <c r="W108" s="605"/>
      <c r="X108" s="1813"/>
      <c r="Y108" s="1813"/>
      <c r="Z108" s="1813"/>
    </row>
    <row r="109" spans="1:29" s="602" customFormat="1" ht="19.5" customHeight="1">
      <c r="A109" s="601"/>
      <c r="B109" s="601"/>
      <c r="C109" s="1813"/>
      <c r="D109" s="1813"/>
      <c r="E109" s="1813"/>
      <c r="F109" s="1813"/>
      <c r="G109" s="1813"/>
      <c r="H109" s="1813"/>
      <c r="I109" s="1813"/>
      <c r="J109" s="603"/>
      <c r="K109" s="1813"/>
      <c r="L109" s="604"/>
      <c r="O109" s="604"/>
      <c r="P109" s="604"/>
      <c r="Q109" s="604"/>
      <c r="R109" s="604"/>
      <c r="S109" s="604"/>
      <c r="T109" s="604"/>
      <c r="U109" s="604"/>
      <c r="V109" s="604"/>
      <c r="W109" s="605"/>
      <c r="X109" s="1813"/>
      <c r="Y109" s="1813"/>
      <c r="Z109" s="1813"/>
    </row>
    <row r="110" spans="1:29" s="602" customFormat="1" ht="19.5" customHeight="1">
      <c r="A110" s="601"/>
      <c r="B110" s="601"/>
      <c r="C110" s="1813"/>
      <c r="D110" s="1813"/>
      <c r="E110" s="1813"/>
      <c r="F110" s="1813"/>
      <c r="G110" s="1813"/>
      <c r="H110" s="1813"/>
      <c r="I110" s="1813"/>
      <c r="J110" s="603"/>
      <c r="K110" s="1813"/>
      <c r="L110" s="604"/>
      <c r="O110" s="604"/>
      <c r="P110" s="604"/>
      <c r="Q110" s="604"/>
      <c r="R110" s="604"/>
      <c r="S110" s="604"/>
      <c r="T110" s="604"/>
      <c r="U110" s="604"/>
      <c r="V110" s="604"/>
      <c r="W110" s="605"/>
      <c r="X110" s="1813"/>
      <c r="Y110" s="1813"/>
      <c r="Z110" s="1813"/>
    </row>
    <row r="111" spans="1:29" s="602" customFormat="1" ht="19.5" customHeight="1">
      <c r="A111" s="601"/>
      <c r="B111" s="601"/>
      <c r="C111" s="1813"/>
      <c r="D111" s="1813"/>
      <c r="E111" s="1813"/>
      <c r="F111" s="1813"/>
      <c r="G111" s="1813"/>
      <c r="H111" s="1813"/>
      <c r="I111" s="1813"/>
      <c r="J111" s="603"/>
      <c r="K111" s="1813"/>
      <c r="L111" s="604"/>
      <c r="O111" s="604"/>
      <c r="P111" s="604"/>
      <c r="Q111" s="604"/>
      <c r="R111" s="604"/>
      <c r="S111" s="604"/>
      <c r="T111" s="604"/>
      <c r="U111" s="604"/>
      <c r="V111" s="604"/>
      <c r="W111" s="605"/>
      <c r="X111" s="1813"/>
      <c r="Y111" s="1813"/>
      <c r="Z111" s="1813"/>
    </row>
    <row r="112" spans="1:29" s="602" customFormat="1" ht="19.5" customHeight="1">
      <c r="A112" s="601"/>
      <c r="B112" s="601"/>
      <c r="C112" s="1813"/>
      <c r="D112" s="1813"/>
      <c r="E112" s="1813"/>
      <c r="F112" s="1813"/>
      <c r="G112" s="1813"/>
      <c r="H112" s="1813"/>
      <c r="I112" s="1813"/>
      <c r="J112" s="603"/>
      <c r="K112" s="1813"/>
      <c r="L112" s="604"/>
      <c r="O112" s="604"/>
      <c r="P112" s="604"/>
      <c r="Q112" s="604"/>
      <c r="R112" s="604"/>
      <c r="S112" s="604"/>
      <c r="T112" s="604"/>
      <c r="U112" s="604"/>
      <c r="V112" s="604"/>
      <c r="W112" s="605"/>
      <c r="X112" s="1813"/>
      <c r="Y112" s="1813"/>
      <c r="Z112" s="1813"/>
    </row>
    <row r="113" spans="1:29" s="602" customFormat="1" ht="19.5" customHeight="1">
      <c r="A113" s="601"/>
      <c r="B113" s="601"/>
      <c r="C113" s="1813"/>
      <c r="D113" s="1813"/>
      <c r="E113" s="1813"/>
      <c r="F113" s="1813"/>
      <c r="G113" s="1813"/>
      <c r="H113" s="1813"/>
      <c r="I113" s="1813"/>
      <c r="J113" s="603"/>
      <c r="K113" s="1813"/>
      <c r="L113" s="604"/>
      <c r="O113" s="604"/>
      <c r="P113" s="604"/>
      <c r="Q113" s="604"/>
      <c r="R113" s="604"/>
      <c r="S113" s="604"/>
      <c r="T113" s="604"/>
      <c r="U113" s="604"/>
      <c r="V113" s="604"/>
      <c r="W113" s="605"/>
      <c r="X113" s="1813"/>
      <c r="Y113" s="1813"/>
      <c r="Z113" s="1813"/>
    </row>
    <row r="114" spans="1:29" s="602" customFormat="1" ht="19.5" customHeight="1">
      <c r="A114" s="601"/>
      <c r="B114" s="601"/>
      <c r="C114" s="1813"/>
      <c r="D114" s="1813"/>
      <c r="E114" s="1813"/>
      <c r="F114" s="1813"/>
      <c r="G114" s="1813"/>
      <c r="H114" s="1813"/>
      <c r="I114" s="1813"/>
      <c r="J114" s="603"/>
      <c r="K114" s="1813"/>
      <c r="L114" s="604"/>
      <c r="O114" s="604"/>
      <c r="P114" s="604"/>
      <c r="Q114" s="604"/>
      <c r="R114" s="604"/>
      <c r="S114" s="604"/>
      <c r="T114" s="604"/>
      <c r="U114" s="604"/>
      <c r="V114" s="604"/>
      <c r="W114" s="605"/>
      <c r="X114" s="1813"/>
      <c r="Y114" s="1813"/>
      <c r="Z114" s="1813"/>
    </row>
    <row r="115" spans="1:29" s="602" customFormat="1" ht="19.5" customHeight="1">
      <c r="A115" s="601"/>
      <c r="B115" s="601"/>
      <c r="C115" s="1813"/>
      <c r="D115" s="1813"/>
      <c r="E115" s="1813"/>
      <c r="F115" s="1813"/>
      <c r="G115" s="1813"/>
      <c r="H115" s="1813"/>
      <c r="I115" s="1813"/>
      <c r="J115" s="603"/>
      <c r="K115" s="1813"/>
      <c r="L115" s="606"/>
      <c r="O115" s="604"/>
      <c r="P115" s="604"/>
      <c r="Q115" s="604"/>
      <c r="R115" s="604"/>
      <c r="S115" s="604"/>
      <c r="T115" s="604"/>
      <c r="U115" s="604"/>
      <c r="V115" s="604"/>
      <c r="W115" s="604"/>
      <c r="X115" s="1813"/>
      <c r="Y115" s="1813"/>
      <c r="Z115" s="1813"/>
      <c r="AC115" s="602">
        <f>+AC107*25000</f>
        <v>170600000</v>
      </c>
    </row>
    <row r="116" spans="1:29" s="602" customFormat="1" ht="55.5" customHeight="1">
      <c r="A116" s="2001" t="s">
        <v>830</v>
      </c>
      <c r="B116" s="2001"/>
      <c r="C116" s="2001"/>
      <c r="D116" s="2001"/>
      <c r="E116" s="2001"/>
      <c r="I116" s="601"/>
      <c r="J116" s="601" t="s">
        <v>828</v>
      </c>
      <c r="K116" s="604"/>
      <c r="L116" s="2001" t="s">
        <v>419</v>
      </c>
      <c r="M116" s="2001"/>
      <c r="N116" s="2001"/>
      <c r="O116" s="2001"/>
      <c r="P116" s="2001"/>
      <c r="Q116" s="2001"/>
      <c r="R116" s="2001"/>
      <c r="S116" s="2001"/>
      <c r="T116" s="2001"/>
      <c r="U116" s="2001"/>
      <c r="V116" s="2001"/>
      <c r="W116" s="2001"/>
      <c r="X116" s="2001" t="s">
        <v>76</v>
      </c>
      <c r="Y116" s="2001"/>
      <c r="Z116" s="2001"/>
    </row>
    <row r="117" spans="1:29" s="602" customFormat="1" ht="19.5" customHeight="1">
      <c r="A117" s="601"/>
      <c r="B117" s="601"/>
      <c r="C117" s="1813"/>
      <c r="D117" s="1813"/>
      <c r="E117" s="606"/>
      <c r="F117" s="1813"/>
      <c r="G117" s="1813"/>
      <c r="H117" s="1813"/>
      <c r="I117" s="1813"/>
      <c r="J117" s="603"/>
      <c r="K117" s="1813"/>
      <c r="L117" s="604"/>
      <c r="O117" s="604"/>
      <c r="P117" s="604"/>
      <c r="Q117" s="604"/>
      <c r="R117" s="604"/>
      <c r="S117" s="604"/>
      <c r="T117" s="604"/>
      <c r="U117" s="604"/>
      <c r="V117" s="604"/>
      <c r="W117" s="605"/>
      <c r="X117" s="607"/>
      <c r="Y117" s="1813"/>
      <c r="Z117" s="1813"/>
    </row>
    <row r="118" spans="1:29" s="602" customFormat="1" ht="19.5" customHeight="1">
      <c r="A118" s="601"/>
      <c r="B118" s="601"/>
      <c r="C118" s="1813"/>
      <c r="D118" s="607"/>
      <c r="E118" s="606"/>
      <c r="F118" s="608"/>
      <c r="G118" s="608"/>
      <c r="H118" s="608"/>
      <c r="I118" s="608"/>
      <c r="J118" s="603"/>
      <c r="K118" s="1813"/>
      <c r="L118" s="606"/>
      <c r="O118" s="604"/>
      <c r="P118" s="604"/>
      <c r="Q118" s="604"/>
      <c r="R118" s="604"/>
      <c r="S118" s="604"/>
      <c r="T118" s="604"/>
      <c r="U118" s="604"/>
      <c r="V118" s="604"/>
      <c r="W118" s="595"/>
      <c r="X118" s="606"/>
      <c r="Y118" s="604"/>
      <c r="Z118" s="604"/>
    </row>
    <row r="119" spans="1:29">
      <c r="C119" s="595"/>
      <c r="E119" s="599"/>
      <c r="F119" s="599"/>
      <c r="G119" s="599"/>
      <c r="H119" s="599"/>
      <c r="I119" s="599"/>
      <c r="J119" s="610"/>
      <c r="K119" s="610"/>
      <c r="L119" s="599"/>
    </row>
    <row r="120" spans="1:29">
      <c r="C120" s="595"/>
      <c r="E120" s="599"/>
      <c r="F120" s="688"/>
      <c r="G120" s="688"/>
      <c r="H120" s="688"/>
      <c r="I120" s="688"/>
      <c r="J120" s="610"/>
      <c r="K120" s="610"/>
      <c r="L120" s="689"/>
      <c r="M120" s="2004"/>
      <c r="N120" s="2004"/>
      <c r="O120" s="2004"/>
      <c r="P120" s="1815"/>
      <c r="Q120" s="1815"/>
      <c r="R120" s="1815"/>
      <c r="S120" s="1815"/>
      <c r="W120" s="687"/>
      <c r="X120" s="687"/>
    </row>
    <row r="121" spans="1:29">
      <c r="C121" s="595"/>
      <c r="E121" s="599"/>
      <c r="F121" s="688"/>
      <c r="G121" s="688"/>
      <c r="H121" s="688"/>
      <c r="I121" s="688"/>
      <c r="J121" s="610"/>
      <c r="K121" s="610"/>
      <c r="L121" s="689"/>
      <c r="M121" s="1815"/>
      <c r="N121" s="1815"/>
      <c r="O121" s="1815"/>
      <c r="P121" s="1815"/>
      <c r="Q121" s="1815"/>
      <c r="R121" s="1815"/>
      <c r="S121" s="1815"/>
      <c r="W121" s="687"/>
      <c r="X121" s="687"/>
    </row>
    <row r="122" spans="1:29">
      <c r="C122" s="595"/>
      <c r="E122" s="599"/>
      <c r="F122" s="688"/>
      <c r="G122" s="688"/>
      <c r="H122" s="688"/>
      <c r="I122" s="688"/>
      <c r="J122" s="610"/>
      <c r="K122" s="610"/>
      <c r="L122" s="689"/>
      <c r="M122" s="1815"/>
      <c r="N122" s="1815"/>
      <c r="O122" s="1815"/>
      <c r="P122" s="1815"/>
      <c r="Q122" s="1815"/>
      <c r="R122" s="1815"/>
      <c r="S122" s="1815"/>
      <c r="W122" s="687"/>
      <c r="X122" s="687"/>
    </row>
    <row r="123" spans="1:29">
      <c r="C123" s="595"/>
      <c r="E123" s="599"/>
      <c r="F123" s="688"/>
      <c r="G123" s="688"/>
      <c r="H123" s="688"/>
      <c r="I123" s="688"/>
      <c r="J123" s="610"/>
      <c r="K123" s="610"/>
      <c r="L123" s="689"/>
      <c r="M123" s="1815"/>
      <c r="N123" s="1815"/>
      <c r="O123" s="1815"/>
      <c r="P123" s="1815"/>
      <c r="Q123" s="1815"/>
      <c r="R123" s="1815"/>
      <c r="S123" s="1815"/>
      <c r="W123" s="687"/>
      <c r="X123" s="687"/>
    </row>
    <row r="124" spans="1:29">
      <c r="C124" s="595"/>
      <c r="E124" s="599"/>
      <c r="F124" s="688"/>
      <c r="G124" s="688"/>
      <c r="H124" s="688"/>
      <c r="I124" s="688"/>
      <c r="J124" s="610"/>
      <c r="K124" s="610"/>
      <c r="L124" s="689"/>
      <c r="M124" s="1815"/>
      <c r="N124" s="1815"/>
      <c r="O124" s="1815"/>
      <c r="P124" s="1815"/>
      <c r="Q124" s="1815"/>
      <c r="R124" s="1815"/>
      <c r="S124" s="1815"/>
      <c r="W124" s="687"/>
      <c r="X124" s="687"/>
    </row>
    <row r="125" spans="1:29">
      <c r="C125" s="595"/>
      <c r="E125" s="599"/>
      <c r="F125" s="688"/>
      <c r="G125" s="688"/>
      <c r="H125" s="688"/>
      <c r="I125" s="688"/>
      <c r="J125" s="610"/>
      <c r="K125" s="610"/>
      <c r="L125" s="689"/>
      <c r="M125" s="1815"/>
      <c r="N125" s="1815"/>
      <c r="O125" s="1815"/>
      <c r="P125" s="1815"/>
      <c r="Q125" s="1815"/>
      <c r="R125" s="1815"/>
      <c r="S125" s="1815"/>
      <c r="W125" s="687"/>
      <c r="X125" s="687"/>
    </row>
    <row r="126" spans="1:29">
      <c r="C126" s="595"/>
      <c r="E126" s="599"/>
      <c r="F126" s="688"/>
      <c r="G126" s="688"/>
      <c r="H126" s="688"/>
      <c r="I126" s="688"/>
      <c r="J126" s="610"/>
      <c r="K126" s="610"/>
      <c r="L126" s="689"/>
      <c r="M126" s="1815"/>
      <c r="N126" s="1815"/>
      <c r="O126" s="1815"/>
      <c r="P126" s="1815"/>
      <c r="Q126" s="1815"/>
      <c r="R126" s="1815"/>
      <c r="S126" s="1815"/>
      <c r="W126" s="687"/>
      <c r="X126" s="687"/>
    </row>
    <row r="127" spans="1:29">
      <c r="C127" s="595"/>
      <c r="E127" s="599"/>
      <c r="F127" s="688"/>
      <c r="G127" s="688"/>
      <c r="H127" s="688"/>
      <c r="I127" s="688"/>
      <c r="J127" s="610"/>
      <c r="K127" s="610"/>
      <c r="L127" s="689"/>
      <c r="M127" s="1815"/>
      <c r="N127" s="1815"/>
      <c r="O127" s="1815"/>
      <c r="P127" s="1815"/>
      <c r="Q127" s="1815"/>
      <c r="R127" s="1815"/>
      <c r="S127" s="1815"/>
      <c r="W127" s="687"/>
      <c r="X127" s="687"/>
    </row>
    <row r="128" spans="1:29">
      <c r="C128" s="595"/>
      <c r="E128" s="599"/>
      <c r="F128" s="688"/>
      <c r="G128" s="688"/>
      <c r="H128" s="688"/>
      <c r="I128" s="688"/>
      <c r="J128" s="610"/>
      <c r="K128" s="610"/>
      <c r="L128" s="689"/>
      <c r="M128" s="1815"/>
      <c r="N128" s="1815"/>
      <c r="O128" s="1815"/>
      <c r="P128" s="1815"/>
      <c r="Q128" s="1815"/>
      <c r="R128" s="1815"/>
      <c r="S128" s="1815"/>
      <c r="W128" s="687"/>
      <c r="X128" s="687"/>
    </row>
    <row r="129" spans="3:24">
      <c r="C129" s="595"/>
      <c r="E129" s="599"/>
      <c r="F129" s="688"/>
      <c r="G129" s="688"/>
      <c r="H129" s="688"/>
      <c r="I129" s="688"/>
      <c r="J129" s="610"/>
      <c r="K129" s="610"/>
      <c r="L129" s="689"/>
      <c r="M129" s="1815"/>
      <c r="N129" s="1815"/>
      <c r="O129" s="1815"/>
      <c r="P129" s="1815"/>
      <c r="Q129" s="1815"/>
      <c r="R129" s="1815"/>
      <c r="S129" s="1815"/>
      <c r="W129" s="687"/>
      <c r="X129" s="687"/>
    </row>
    <row r="130" spans="3:24">
      <c r="C130" s="595"/>
      <c r="E130" s="599"/>
      <c r="F130" s="688"/>
      <c r="G130" s="688"/>
      <c r="H130" s="688"/>
      <c r="I130" s="688"/>
      <c r="J130" s="610"/>
      <c r="K130" s="610"/>
      <c r="L130" s="689"/>
      <c r="M130" s="1815"/>
      <c r="N130" s="1815"/>
      <c r="O130" s="1815"/>
      <c r="P130" s="1815"/>
      <c r="Q130" s="1815"/>
      <c r="R130" s="1815"/>
      <c r="S130" s="1815"/>
      <c r="W130" s="687"/>
      <c r="X130" s="687"/>
    </row>
    <row r="131" spans="3:24">
      <c r="C131" s="595"/>
      <c r="E131" s="599"/>
      <c r="F131" s="688"/>
      <c r="G131" s="688"/>
      <c r="H131" s="688"/>
      <c r="I131" s="688"/>
      <c r="J131" s="610"/>
      <c r="K131" s="610"/>
      <c r="L131" s="689"/>
      <c r="M131" s="1815"/>
      <c r="N131" s="1815"/>
      <c r="O131" s="1815"/>
      <c r="P131" s="1815"/>
      <c r="Q131" s="1815"/>
      <c r="R131" s="1815"/>
      <c r="S131" s="1815"/>
      <c r="W131" s="687"/>
      <c r="X131" s="687"/>
    </row>
    <row r="132" spans="3:24">
      <c r="C132" s="595"/>
      <c r="E132" s="599"/>
      <c r="F132" s="688"/>
      <c r="G132" s="688"/>
      <c r="H132" s="688"/>
      <c r="I132" s="688"/>
      <c r="J132" s="610"/>
      <c r="K132" s="610"/>
      <c r="L132" s="689"/>
      <c r="M132" s="1815"/>
      <c r="N132" s="1815"/>
      <c r="O132" s="1815"/>
      <c r="P132" s="1815"/>
      <c r="Q132" s="1815"/>
      <c r="R132" s="1815"/>
      <c r="S132" s="1815"/>
      <c r="W132" s="687"/>
      <c r="X132" s="687"/>
    </row>
    <row r="133" spans="3:24">
      <c r="C133" s="595"/>
      <c r="E133" s="599"/>
      <c r="F133" s="688"/>
      <c r="G133" s="688"/>
      <c r="H133" s="688"/>
      <c r="I133" s="688"/>
      <c r="J133" s="610"/>
      <c r="K133" s="610"/>
      <c r="L133" s="689"/>
      <c r="M133" s="1815"/>
      <c r="N133" s="1815"/>
      <c r="O133" s="1815"/>
      <c r="P133" s="1815"/>
      <c r="Q133" s="1815"/>
      <c r="R133" s="1815"/>
      <c r="S133" s="1815"/>
      <c r="W133" s="687"/>
      <c r="X133" s="687"/>
    </row>
    <row r="134" spans="3:24">
      <c r="C134" s="595"/>
      <c r="E134" s="599"/>
      <c r="F134" s="688"/>
      <c r="G134" s="688"/>
      <c r="H134" s="688"/>
      <c r="I134" s="688"/>
      <c r="J134" s="610"/>
      <c r="K134" s="610"/>
      <c r="L134" s="689"/>
      <c r="M134" s="1815"/>
      <c r="N134" s="1815"/>
      <c r="O134" s="1815"/>
      <c r="P134" s="1815"/>
      <c r="Q134" s="1815"/>
      <c r="R134" s="1815"/>
      <c r="S134" s="1815"/>
      <c r="W134" s="687"/>
      <c r="X134" s="687"/>
    </row>
    <row r="135" spans="3:24">
      <c r="C135" s="595"/>
      <c r="E135" s="599"/>
      <c r="F135" s="688"/>
      <c r="G135" s="688"/>
      <c r="H135" s="688"/>
      <c r="I135" s="688"/>
      <c r="J135" s="610"/>
      <c r="K135" s="610"/>
      <c r="L135" s="689"/>
      <c r="M135" s="1815"/>
      <c r="N135" s="1815"/>
      <c r="O135" s="1815"/>
      <c r="P135" s="1815"/>
      <c r="Q135" s="1815"/>
      <c r="R135" s="1815"/>
      <c r="S135" s="1815"/>
      <c r="W135" s="687"/>
      <c r="X135" s="687"/>
    </row>
    <row r="136" spans="3:24">
      <c r="C136" s="595"/>
      <c r="E136" s="599"/>
      <c r="F136" s="688"/>
      <c r="G136" s="688"/>
      <c r="H136" s="688"/>
      <c r="I136" s="688"/>
      <c r="J136" s="610"/>
      <c r="K136" s="610"/>
      <c r="L136" s="689"/>
      <c r="M136" s="1815"/>
      <c r="N136" s="1815"/>
      <c r="O136" s="1815"/>
      <c r="P136" s="1815"/>
      <c r="Q136" s="1815"/>
      <c r="R136" s="1815"/>
      <c r="S136" s="1815"/>
      <c r="W136" s="687"/>
      <c r="X136" s="687"/>
    </row>
    <row r="137" spans="3:24">
      <c r="C137" s="595"/>
      <c r="E137" s="599"/>
      <c r="F137" s="688"/>
      <c r="G137" s="688"/>
      <c r="H137" s="688"/>
      <c r="I137" s="688"/>
      <c r="J137" s="610"/>
      <c r="K137" s="610"/>
      <c r="L137" s="689"/>
      <c r="M137" s="1815"/>
      <c r="N137" s="1815"/>
      <c r="O137" s="1815"/>
      <c r="P137" s="1815"/>
      <c r="Q137" s="1815"/>
      <c r="R137" s="1815"/>
      <c r="S137" s="1815"/>
      <c r="W137" s="687"/>
      <c r="X137" s="687"/>
    </row>
    <row r="138" spans="3:24">
      <c r="C138" s="595"/>
      <c r="E138" s="599"/>
      <c r="F138" s="688"/>
      <c r="G138" s="688"/>
      <c r="H138" s="688"/>
      <c r="I138" s="688"/>
      <c r="J138" s="610"/>
      <c r="K138" s="610"/>
      <c r="L138" s="689"/>
      <c r="M138" s="1815"/>
      <c r="N138" s="1815"/>
      <c r="O138" s="1815"/>
      <c r="P138" s="1815"/>
      <c r="Q138" s="1815"/>
      <c r="R138" s="1815"/>
      <c r="S138" s="1815"/>
      <c r="W138" s="687"/>
      <c r="X138" s="687"/>
    </row>
    <row r="139" spans="3:24">
      <c r="C139" s="595"/>
      <c r="E139" s="599"/>
      <c r="F139" s="688"/>
      <c r="G139" s="688"/>
      <c r="H139" s="688"/>
      <c r="I139" s="688"/>
      <c r="J139" s="610"/>
      <c r="K139" s="610"/>
      <c r="L139" s="689"/>
      <c r="M139" s="1815"/>
      <c r="N139" s="1815"/>
      <c r="O139" s="1815"/>
      <c r="P139" s="1815"/>
      <c r="Q139" s="1815"/>
      <c r="R139" s="1815"/>
      <c r="S139" s="1815"/>
      <c r="W139" s="687"/>
      <c r="X139" s="687"/>
    </row>
    <row r="140" spans="3:24">
      <c r="C140" s="595"/>
      <c r="E140" s="599"/>
      <c r="F140" s="688"/>
      <c r="G140" s="688"/>
      <c r="H140" s="688"/>
      <c r="I140" s="688"/>
      <c r="J140" s="610"/>
      <c r="K140" s="610"/>
      <c r="L140" s="689"/>
      <c r="M140" s="1815"/>
      <c r="N140" s="1815"/>
      <c r="O140" s="1815"/>
      <c r="P140" s="1815"/>
      <c r="Q140" s="1815"/>
      <c r="R140" s="1815"/>
      <c r="S140" s="1815"/>
      <c r="W140" s="687"/>
      <c r="X140" s="687"/>
    </row>
    <row r="141" spans="3:24">
      <c r="C141" s="595"/>
      <c r="E141" s="599"/>
      <c r="F141" s="688"/>
      <c r="G141" s="688"/>
      <c r="H141" s="688"/>
      <c r="I141" s="688"/>
      <c r="J141" s="610"/>
      <c r="K141" s="610"/>
      <c r="L141" s="689"/>
      <c r="M141" s="1815"/>
      <c r="N141" s="1815"/>
      <c r="O141" s="1815"/>
      <c r="P141" s="1815"/>
      <c r="Q141" s="1815"/>
      <c r="R141" s="1815"/>
      <c r="S141" s="1815"/>
      <c r="W141" s="687"/>
      <c r="X141" s="687"/>
    </row>
    <row r="142" spans="3:24">
      <c r="C142" s="595"/>
      <c r="E142" s="599"/>
      <c r="F142" s="688"/>
      <c r="G142" s="688"/>
      <c r="H142" s="688"/>
      <c r="I142" s="688"/>
      <c r="J142" s="610"/>
      <c r="K142" s="610"/>
      <c r="L142" s="689"/>
      <c r="M142" s="1815"/>
      <c r="N142" s="1815"/>
      <c r="O142" s="1815"/>
      <c r="P142" s="1815"/>
      <c r="Q142" s="1815"/>
      <c r="R142" s="1815"/>
      <c r="S142" s="1815"/>
      <c r="W142" s="687"/>
      <c r="X142" s="687"/>
    </row>
    <row r="143" spans="3:24">
      <c r="C143" s="595"/>
      <c r="E143" s="599"/>
      <c r="F143" s="688"/>
      <c r="G143" s="688"/>
      <c r="H143" s="688"/>
      <c r="I143" s="688"/>
      <c r="J143" s="610"/>
      <c r="K143" s="610"/>
      <c r="L143" s="689"/>
      <c r="M143" s="1815"/>
      <c r="N143" s="1815"/>
      <c r="O143" s="1815"/>
      <c r="P143" s="1815"/>
      <c r="Q143" s="1815"/>
      <c r="R143" s="1815"/>
      <c r="S143" s="1815"/>
      <c r="W143" s="687"/>
      <c r="X143" s="687"/>
    </row>
    <row r="144" spans="3:24">
      <c r="C144" s="595"/>
      <c r="E144" s="599"/>
      <c r="F144" s="688"/>
      <c r="G144" s="688"/>
      <c r="H144" s="688"/>
      <c r="I144" s="688"/>
      <c r="J144" s="610"/>
      <c r="K144" s="610"/>
      <c r="L144" s="689"/>
      <c r="M144" s="1815"/>
      <c r="N144" s="1815"/>
      <c r="O144" s="1815"/>
      <c r="P144" s="1815"/>
      <c r="Q144" s="1815"/>
      <c r="R144" s="1815"/>
      <c r="S144" s="1815"/>
      <c r="W144" s="687"/>
      <c r="X144" s="687"/>
    </row>
    <row r="145" spans="3:26">
      <c r="C145" s="595"/>
      <c r="E145" s="599"/>
      <c r="F145" s="688"/>
      <c r="G145" s="688"/>
      <c r="H145" s="688"/>
      <c r="I145" s="688"/>
      <c r="J145" s="610"/>
      <c r="K145" s="610"/>
      <c r="L145" s="689"/>
      <c r="M145" s="1815"/>
      <c r="N145" s="1815"/>
      <c r="O145" s="1815"/>
      <c r="P145" s="1815"/>
      <c r="Q145" s="1815"/>
      <c r="R145" s="1815"/>
      <c r="S145" s="1815"/>
      <c r="W145" s="687"/>
      <c r="X145" s="687"/>
    </row>
    <row r="146" spans="3:26">
      <c r="C146" s="595"/>
      <c r="E146" s="599"/>
      <c r="F146" s="688"/>
      <c r="G146" s="688"/>
      <c r="H146" s="688"/>
      <c r="I146" s="688"/>
      <c r="J146" s="610"/>
      <c r="K146" s="610"/>
      <c r="L146" s="689"/>
      <c r="M146" s="1815"/>
      <c r="N146" s="1815"/>
      <c r="O146" s="1815"/>
      <c r="P146" s="1815"/>
      <c r="Q146" s="1815"/>
      <c r="R146" s="1815"/>
      <c r="S146" s="1815"/>
      <c r="W146" s="687"/>
      <c r="X146" s="687"/>
    </row>
    <row r="147" spans="3:26">
      <c r="C147" s="595"/>
      <c r="E147" s="599"/>
      <c r="F147" s="688"/>
      <c r="G147" s="688"/>
      <c r="H147" s="688"/>
      <c r="I147" s="688"/>
      <c r="J147" s="610"/>
      <c r="K147" s="610"/>
      <c r="L147" s="689"/>
      <c r="M147" s="1815"/>
      <c r="N147" s="1815"/>
      <c r="O147" s="1815"/>
      <c r="P147" s="1815"/>
      <c r="Q147" s="1815"/>
      <c r="R147" s="1815"/>
      <c r="S147" s="1815"/>
      <c r="W147" s="687"/>
      <c r="X147" s="687"/>
    </row>
    <row r="148" spans="3:26">
      <c r="C148" s="595"/>
      <c r="E148" s="599"/>
      <c r="F148" s="688"/>
      <c r="G148" s="688"/>
      <c r="H148" s="688"/>
      <c r="I148" s="688"/>
      <c r="J148" s="610"/>
      <c r="K148" s="610"/>
      <c r="L148" s="689"/>
      <c r="M148" s="1815"/>
      <c r="N148" s="1815"/>
      <c r="O148" s="1815"/>
      <c r="P148" s="1815"/>
      <c r="Q148" s="1815"/>
      <c r="R148" s="1815"/>
      <c r="S148" s="1815"/>
      <c r="W148" s="687"/>
      <c r="X148" s="687"/>
    </row>
    <row r="149" spans="3:26">
      <c r="C149" s="595"/>
      <c r="E149" s="599"/>
      <c r="F149" s="688"/>
      <c r="G149" s="688"/>
      <c r="H149" s="688"/>
      <c r="I149" s="688"/>
      <c r="J149" s="610"/>
      <c r="K149" s="610"/>
      <c r="L149" s="689"/>
      <c r="M149" s="1815"/>
      <c r="N149" s="1815"/>
      <c r="O149" s="1815"/>
      <c r="P149" s="1815"/>
      <c r="Q149" s="1815"/>
      <c r="R149" s="1815"/>
      <c r="S149" s="1815"/>
      <c r="W149" s="687"/>
      <c r="X149" s="687"/>
    </row>
    <row r="150" spans="3:26">
      <c r="C150" s="595"/>
      <c r="E150" s="599"/>
      <c r="F150" s="688"/>
      <c r="G150" s="688"/>
      <c r="H150" s="688"/>
      <c r="I150" s="688"/>
      <c r="J150" s="610"/>
      <c r="K150" s="610"/>
      <c r="L150" s="689"/>
      <c r="M150" s="1815"/>
      <c r="N150" s="1815"/>
      <c r="O150" s="1815"/>
      <c r="P150" s="1815"/>
      <c r="Q150" s="1815"/>
      <c r="R150" s="1815"/>
      <c r="S150" s="1815"/>
      <c r="W150" s="687"/>
      <c r="X150" s="687"/>
    </row>
    <row r="151" spans="3:26">
      <c r="C151" s="595"/>
      <c r="E151" s="599"/>
      <c r="F151" s="688"/>
      <c r="G151" s="688"/>
      <c r="H151" s="688"/>
      <c r="I151" s="688"/>
      <c r="J151" s="610"/>
      <c r="K151" s="610"/>
      <c r="L151" s="689"/>
      <c r="M151" s="1815"/>
      <c r="N151" s="1815"/>
      <c r="O151" s="1815"/>
      <c r="P151" s="1815"/>
      <c r="Q151" s="1815"/>
      <c r="R151" s="1815"/>
      <c r="S151" s="1815"/>
      <c r="W151" s="687"/>
      <c r="X151" s="687"/>
    </row>
    <row r="152" spans="3:26">
      <c r="C152" s="595"/>
      <c r="E152" s="599"/>
      <c r="F152" s="688"/>
      <c r="G152" s="688"/>
      <c r="H152" s="688"/>
      <c r="I152" s="688"/>
      <c r="J152" s="610"/>
      <c r="K152" s="610"/>
      <c r="L152" s="689"/>
      <c r="M152" s="1815"/>
      <c r="N152" s="1815"/>
      <c r="O152" s="1815"/>
      <c r="P152" s="1815"/>
      <c r="Q152" s="1815"/>
      <c r="R152" s="1815"/>
      <c r="S152" s="1815"/>
      <c r="W152" s="687"/>
      <c r="X152" s="687"/>
    </row>
    <row r="153" spans="3:26">
      <c r="C153" s="595"/>
      <c r="E153" s="599"/>
      <c r="J153" s="610"/>
      <c r="K153" s="610"/>
      <c r="L153" s="595"/>
      <c r="W153" s="690"/>
    </row>
    <row r="154" spans="3:26">
      <c r="C154" s="599"/>
      <c r="E154" s="609"/>
      <c r="J154" s="610"/>
      <c r="K154" s="610"/>
      <c r="L154" s="595"/>
      <c r="M154" s="687"/>
      <c r="N154" s="687"/>
      <c r="O154" s="687"/>
      <c r="P154" s="687"/>
      <c r="Q154" s="687"/>
      <c r="R154" s="687"/>
      <c r="S154" s="687"/>
      <c r="T154" s="687"/>
      <c r="U154" s="687"/>
      <c r="V154" s="687"/>
      <c r="Y154" s="687"/>
      <c r="Z154" s="687"/>
    </row>
    <row r="155" spans="3:26">
      <c r="C155" s="595"/>
      <c r="D155" s="599"/>
      <c r="E155" s="599"/>
      <c r="K155" s="1816"/>
      <c r="L155" s="595"/>
      <c r="Y155" s="687"/>
      <c r="Z155" s="687"/>
    </row>
    <row r="156" spans="3:26">
      <c r="C156" s="599" t="e">
        <f>#REF!+#REF!+#REF!+#REF!</f>
        <v>#REF!</v>
      </c>
      <c r="D156" s="691"/>
      <c r="E156" s="2005" t="s">
        <v>492</v>
      </c>
      <c r="F156" s="599">
        <f>SUMIF(K16:K100,"A",J16:J100)</f>
        <v>0</v>
      </c>
      <c r="G156" s="599"/>
      <c r="H156" s="599"/>
      <c r="I156" s="599"/>
      <c r="J156" s="610">
        <f>F156*2500</f>
        <v>0</v>
      </c>
      <c r="K156" s="610"/>
      <c r="L156" s="688"/>
      <c r="O156" s="595">
        <f>7.2+0.6+21+5+70</f>
        <v>103.8</v>
      </c>
    </row>
    <row r="157" spans="3:26">
      <c r="C157" s="595"/>
      <c r="E157" s="2005"/>
      <c r="F157" s="599">
        <f>SUMIF(K16:K100,"B",J16:J100)</f>
        <v>0</v>
      </c>
      <c r="G157" s="599"/>
      <c r="H157" s="599"/>
      <c r="I157" s="599"/>
      <c r="J157" s="610">
        <f>F157*2400</f>
        <v>0</v>
      </c>
      <c r="K157" s="610"/>
      <c r="L157" s="599"/>
    </row>
    <row r="158" spans="3:26">
      <c r="C158" s="595"/>
      <c r="E158" s="2005"/>
      <c r="F158" s="599">
        <f>SUMIF(K16:K100,"C",J16:J100)</f>
        <v>0</v>
      </c>
      <c r="G158" s="599"/>
      <c r="H158" s="599"/>
      <c r="I158" s="599"/>
      <c r="J158" s="610">
        <f>F158*2300</f>
        <v>0</v>
      </c>
      <c r="K158" s="610"/>
      <c r="L158" s="595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Z158" s="599"/>
    </row>
    <row r="159" spans="3:26">
      <c r="C159" s="595"/>
      <c r="E159" s="2005"/>
      <c r="F159" s="599">
        <f>SUMIF(K16:K100,"D",J16:J100)</f>
        <v>0</v>
      </c>
      <c r="G159" s="599"/>
      <c r="H159" s="599"/>
      <c r="I159" s="599"/>
      <c r="J159" s="610">
        <f>F159*2200</f>
        <v>0</v>
      </c>
      <c r="K159" s="610"/>
      <c r="L159" s="595"/>
      <c r="M159" s="1815"/>
      <c r="N159" s="1815"/>
      <c r="O159" s="1815"/>
      <c r="P159" s="1815"/>
      <c r="Q159" s="1815"/>
      <c r="R159" s="1815"/>
      <c r="S159" s="1815"/>
      <c r="T159" s="1815"/>
      <c r="U159" s="1815"/>
      <c r="V159" s="1815"/>
      <c r="W159" s="1815"/>
      <c r="Z159" s="599"/>
    </row>
    <row r="160" spans="3:26">
      <c r="C160" s="595"/>
      <c r="E160" s="599"/>
      <c r="F160" s="599"/>
      <c r="G160" s="599"/>
      <c r="H160" s="599"/>
      <c r="I160" s="599"/>
      <c r="J160" s="610"/>
      <c r="K160" s="610"/>
      <c r="L160" s="595"/>
      <c r="M160" s="1815"/>
      <c r="N160" s="1815"/>
      <c r="O160" s="1815"/>
      <c r="P160" s="1815"/>
      <c r="Q160" s="1815"/>
      <c r="R160" s="1815"/>
      <c r="S160" s="1815"/>
      <c r="T160" s="1815"/>
      <c r="U160" s="1815"/>
      <c r="V160" s="1815"/>
      <c r="W160" s="1815"/>
      <c r="Z160" s="599"/>
    </row>
    <row r="161" spans="1:26">
      <c r="C161" s="595"/>
      <c r="E161" s="599"/>
      <c r="F161" s="599"/>
      <c r="G161" s="599"/>
      <c r="H161" s="599"/>
      <c r="I161" s="599"/>
      <c r="J161" s="610"/>
      <c r="K161" s="610"/>
      <c r="L161" s="595"/>
      <c r="M161" s="1815"/>
      <c r="N161" s="1815"/>
      <c r="O161" s="1815"/>
      <c r="P161" s="1815"/>
      <c r="Q161" s="1815"/>
      <c r="R161" s="1815"/>
      <c r="S161" s="1815"/>
      <c r="T161" s="1815"/>
      <c r="U161" s="1815"/>
      <c r="V161" s="1815"/>
      <c r="W161" s="1815"/>
      <c r="Z161" s="599"/>
    </row>
    <row r="162" spans="1:26">
      <c r="C162" s="595"/>
      <c r="E162" s="599"/>
      <c r="F162" s="599"/>
      <c r="G162" s="599"/>
      <c r="H162" s="599"/>
      <c r="I162" s="599"/>
      <c r="J162" s="610"/>
      <c r="K162" s="610"/>
      <c r="L162" s="595"/>
      <c r="M162" s="1815"/>
      <c r="N162" s="1815"/>
      <c r="O162" s="1815"/>
      <c r="P162" s="1815"/>
      <c r="Q162" s="1815"/>
      <c r="R162" s="1815"/>
      <c r="S162" s="1815"/>
      <c r="T162" s="1815"/>
      <c r="U162" s="1815"/>
      <c r="V162" s="1815"/>
      <c r="W162" s="1815"/>
      <c r="Z162" s="599"/>
    </row>
    <row r="163" spans="1:26">
      <c r="C163" s="595"/>
      <c r="E163" s="599"/>
      <c r="F163" s="599"/>
      <c r="G163" s="599"/>
      <c r="H163" s="599"/>
      <c r="I163" s="599"/>
      <c r="J163" s="610"/>
      <c r="K163" s="610"/>
      <c r="L163" s="595"/>
      <c r="M163" s="1815"/>
      <c r="N163" s="1815"/>
      <c r="O163" s="1815"/>
      <c r="P163" s="1815"/>
      <c r="Q163" s="1815"/>
      <c r="R163" s="1815"/>
      <c r="S163" s="1815"/>
      <c r="T163" s="1815"/>
      <c r="U163" s="1815"/>
      <c r="V163" s="1815"/>
      <c r="W163" s="1815"/>
      <c r="Z163" s="599"/>
    </row>
    <row r="164" spans="1:26">
      <c r="C164" s="595"/>
      <c r="E164" s="599"/>
      <c r="F164" s="599"/>
      <c r="G164" s="599"/>
      <c r="H164" s="599"/>
      <c r="I164" s="599"/>
      <c r="J164" s="610"/>
      <c r="K164" s="610"/>
      <c r="L164" s="595"/>
      <c r="M164" s="1815"/>
      <c r="N164" s="1815"/>
      <c r="O164" s="1815"/>
      <c r="P164" s="1815"/>
      <c r="Q164" s="1815"/>
      <c r="R164" s="1815"/>
      <c r="S164" s="1815"/>
      <c r="T164" s="1815"/>
      <c r="U164" s="1815"/>
      <c r="V164" s="1815"/>
      <c r="W164" s="1815"/>
      <c r="Z164" s="599"/>
    </row>
    <row r="165" spans="1:26">
      <c r="C165" s="595"/>
      <c r="E165" s="599"/>
      <c r="F165" s="599"/>
      <c r="G165" s="599"/>
      <c r="H165" s="599"/>
      <c r="I165" s="599"/>
      <c r="J165" s="610"/>
      <c r="K165" s="610"/>
      <c r="L165" s="595"/>
      <c r="M165" s="1815"/>
      <c r="N165" s="1815"/>
      <c r="O165" s="1815"/>
      <c r="P165" s="1815"/>
      <c r="Q165" s="1815"/>
      <c r="R165" s="1815"/>
      <c r="S165" s="1815"/>
      <c r="T165" s="1815"/>
      <c r="U165" s="1815"/>
      <c r="V165" s="1815"/>
      <c r="W165" s="1815"/>
      <c r="Z165" s="599"/>
    </row>
    <row r="166" spans="1:26">
      <c r="C166" s="595"/>
      <c r="E166" s="595"/>
      <c r="F166" s="595">
        <f>SUM(F156:F164)</f>
        <v>0</v>
      </c>
      <c r="J166" s="610">
        <f>SUM(J156:J164)</f>
        <v>0</v>
      </c>
      <c r="K166" s="610"/>
      <c r="L166" s="595"/>
      <c r="M166" s="2006" t="e">
        <f>J166+J176+F181</f>
        <v>#REF!</v>
      </c>
      <c r="N166" s="2006"/>
      <c r="O166" s="2006"/>
      <c r="P166" s="1816"/>
      <c r="Q166" s="1816"/>
      <c r="R166" s="1816"/>
      <c r="S166" s="1816"/>
      <c r="W166" s="595" t="e">
        <f>M166-#REF!</f>
        <v>#REF!</v>
      </c>
    </row>
    <row r="167" spans="1:26">
      <c r="C167" s="595"/>
      <c r="E167" s="595"/>
      <c r="J167" s="1810"/>
      <c r="K167" s="1810"/>
      <c r="L167" s="595"/>
      <c r="O167" s="687"/>
      <c r="P167" s="687"/>
      <c r="Q167" s="687"/>
      <c r="R167" s="687"/>
      <c r="S167" s="687"/>
      <c r="T167" s="687"/>
      <c r="U167" s="687"/>
      <c r="V167" s="687"/>
      <c r="W167" s="687"/>
    </row>
    <row r="168" spans="1:26">
      <c r="C168" s="595"/>
      <c r="E168" s="599"/>
      <c r="F168" s="595">
        <v>5422</v>
      </c>
      <c r="J168" s="610">
        <f>F168*30000</f>
        <v>162660000</v>
      </c>
      <c r="K168" s="610"/>
      <c r="L168" s="595"/>
    </row>
    <row r="169" spans="1:26">
      <c r="C169" s="595"/>
      <c r="E169" s="599"/>
      <c r="F169" s="595">
        <v>20</v>
      </c>
      <c r="J169" s="610">
        <f>F169*60000</f>
        <v>1200000</v>
      </c>
      <c r="K169" s="610"/>
      <c r="L169" s="595"/>
    </row>
    <row r="170" spans="1:26">
      <c r="C170" s="595"/>
      <c r="E170" s="599"/>
      <c r="F170" s="595">
        <v>230</v>
      </c>
      <c r="J170" s="610">
        <f>F170*80000</f>
        <v>18400000</v>
      </c>
      <c r="K170" s="610"/>
      <c r="L170" s="595"/>
    </row>
    <row r="171" spans="1:26">
      <c r="A171" s="595"/>
      <c r="B171" s="595"/>
      <c r="F171" s="595">
        <v>998</v>
      </c>
      <c r="J171" s="610">
        <f>F171*50000</f>
        <v>49900000</v>
      </c>
      <c r="K171" s="610"/>
      <c r="Z171" s="687"/>
    </row>
    <row r="172" spans="1:26">
      <c r="A172" s="595"/>
      <c r="B172" s="595"/>
      <c r="F172" s="595">
        <v>2</v>
      </c>
      <c r="J172" s="610">
        <f>F172*80000</f>
        <v>160000</v>
      </c>
      <c r="K172" s="610"/>
      <c r="Z172" s="687"/>
    </row>
    <row r="173" spans="1:26">
      <c r="A173" s="595"/>
      <c r="B173" s="595"/>
      <c r="F173" s="595">
        <v>89</v>
      </c>
      <c r="J173" s="610">
        <f>F173*100000</f>
        <v>8900000</v>
      </c>
      <c r="K173" s="610"/>
      <c r="Z173" s="1816"/>
    </row>
    <row r="174" spans="1:26">
      <c r="A174" s="595"/>
      <c r="B174" s="595"/>
      <c r="F174" s="595">
        <v>301.56000000000006</v>
      </c>
      <c r="J174" s="610">
        <f>F174*25000</f>
        <v>7539000.0000000019</v>
      </c>
      <c r="K174" s="610"/>
      <c r="Z174" s="1816"/>
    </row>
    <row r="175" spans="1:26">
      <c r="A175" s="595"/>
      <c r="B175" s="595"/>
      <c r="F175" s="595">
        <v>2965</v>
      </c>
      <c r="J175" s="610">
        <f>F175*20000</f>
        <v>59300000</v>
      </c>
      <c r="K175" s="610"/>
      <c r="Z175" s="1816"/>
    </row>
    <row r="176" spans="1:26" ht="28.5" customHeight="1">
      <c r="A176" s="595"/>
      <c r="B176" s="595"/>
      <c r="F176" s="595">
        <f>SUM(F168:F175)</f>
        <v>10027.560000000001</v>
      </c>
      <c r="J176" s="1996">
        <f>SUM(J168:J175)</f>
        <v>308059000</v>
      </c>
      <c r="K176" s="1996"/>
      <c r="T176" s="2006" t="e">
        <f>J176-#REF!</f>
        <v>#REF!</v>
      </c>
      <c r="U176" s="2006"/>
      <c r="V176" s="2006"/>
      <c r="W176" s="2006"/>
      <c r="X176" s="687"/>
    </row>
    <row r="177" spans="1:14">
      <c r="A177" s="595"/>
      <c r="B177" s="595"/>
      <c r="F177" s="599" t="e">
        <f>#REF!+#REF!+#REF!+E100</f>
        <v>#REF!</v>
      </c>
      <c r="G177" s="599"/>
      <c r="H177" s="599"/>
      <c r="I177" s="599"/>
      <c r="J177" s="610" t="e">
        <f>F177*25000</f>
        <v>#REF!</v>
      </c>
      <c r="K177" s="610"/>
    </row>
    <row r="178" spans="1:14">
      <c r="A178" s="595"/>
      <c r="B178" s="595"/>
      <c r="E178" s="687" t="s">
        <v>291</v>
      </c>
      <c r="F178" s="595" t="e">
        <f>#REF!+#REF!</f>
        <v>#REF!</v>
      </c>
      <c r="J178" s="610" t="e">
        <f>#REF!+#REF!</f>
        <v>#REF!</v>
      </c>
      <c r="K178" s="694"/>
    </row>
    <row r="179" spans="1:14">
      <c r="A179" s="595"/>
      <c r="B179" s="595"/>
      <c r="F179" s="595" t="e">
        <f>#REF!</f>
        <v>#REF!</v>
      </c>
      <c r="J179" s="610" t="e">
        <f>#REF!</f>
        <v>#REF!</v>
      </c>
      <c r="K179" s="694"/>
    </row>
    <row r="180" spans="1:14">
      <c r="A180" s="595"/>
      <c r="B180" s="595"/>
      <c r="F180" s="595" t="e">
        <f>#REF!+#REF!+#REF!+#REF!</f>
        <v>#REF!</v>
      </c>
      <c r="J180" s="610" t="e">
        <f>#REF!+#REF!+#REF!+#REF!</f>
        <v>#REF!</v>
      </c>
      <c r="K180" s="694"/>
    </row>
    <row r="181" spans="1:14">
      <c r="A181" s="595"/>
      <c r="B181" s="595"/>
      <c r="F181" s="1996" t="e">
        <f>SUM(J177:K180)</f>
        <v>#REF!</v>
      </c>
      <c r="G181" s="1996"/>
      <c r="H181" s="1996"/>
      <c r="I181" s="1996"/>
      <c r="J181" s="1996"/>
      <c r="K181" s="694"/>
      <c r="L181" s="598" t="e">
        <f>F181-#REF!</f>
        <v>#REF!</v>
      </c>
    </row>
    <row r="183" spans="1:14">
      <c r="A183" s="595"/>
      <c r="B183" s="595"/>
      <c r="J183" s="2002" t="e">
        <f>+#REF!+#REF!+#REF!+#REF!+1000000</f>
        <v>#REF!</v>
      </c>
      <c r="K183" s="2002"/>
    </row>
    <row r="185" spans="1:14">
      <c r="A185" s="595"/>
      <c r="B185" s="595"/>
      <c r="F185" s="599"/>
      <c r="G185" s="599"/>
      <c r="H185" s="599"/>
      <c r="I185" s="599"/>
      <c r="J185" s="610"/>
    </row>
    <row r="186" spans="1:14">
      <c r="A186" s="595"/>
      <c r="B186" s="595"/>
      <c r="M186" s="599"/>
      <c r="N186" s="599"/>
    </row>
    <row r="190" spans="1:14">
      <c r="A190" s="595"/>
      <c r="B190" s="595"/>
      <c r="F190" s="599">
        <v>2551.8899999999994</v>
      </c>
      <c r="G190" s="599"/>
      <c r="H190" s="599"/>
      <c r="I190" s="599"/>
    </row>
    <row r="191" spans="1:14">
      <c r="A191" s="595"/>
      <c r="B191" s="595"/>
      <c r="C191" s="595"/>
      <c r="E191" s="595"/>
      <c r="F191" s="599" t="e">
        <f>+F177-F190</f>
        <v>#REF!</v>
      </c>
      <c r="G191" s="599"/>
      <c r="H191" s="599"/>
      <c r="I191" s="599"/>
    </row>
    <row r="197" spans="1:23">
      <c r="A197" s="595"/>
      <c r="B197" s="595"/>
      <c r="C197" s="595"/>
      <c r="E197" s="595"/>
      <c r="K197" s="597">
        <v>1678</v>
      </c>
      <c r="L197" s="598">
        <v>1573</v>
      </c>
      <c r="M197" s="595">
        <v>1187</v>
      </c>
      <c r="O197" s="595">
        <v>1183</v>
      </c>
      <c r="W197" s="595">
        <f>SUM(K197:O197)</f>
        <v>5621</v>
      </c>
    </row>
    <row r="198" spans="1:23">
      <c r="A198" s="595"/>
      <c r="B198" s="595"/>
      <c r="C198" s="595"/>
      <c r="E198" s="595"/>
      <c r="K198" s="597">
        <v>257</v>
      </c>
      <c r="L198" s="598">
        <v>244</v>
      </c>
      <c r="M198" s="595">
        <v>183</v>
      </c>
      <c r="O198" s="595">
        <v>182</v>
      </c>
      <c r="W198" s="595">
        <f>SUM(K198:O198)</f>
        <v>866</v>
      </c>
    </row>
    <row r="199" spans="1:23">
      <c r="A199" s="595"/>
      <c r="B199" s="595"/>
      <c r="C199" s="595"/>
      <c r="E199" s="595"/>
      <c r="K199" s="597">
        <v>1935</v>
      </c>
      <c r="L199" s="598">
        <v>1817</v>
      </c>
      <c r="M199" s="595">
        <v>1370</v>
      </c>
      <c r="O199" s="595">
        <v>1365</v>
      </c>
      <c r="W199" s="595">
        <f>SUM(K199:O199)</f>
        <v>6487</v>
      </c>
    </row>
  </sheetData>
  <mergeCells count="37">
    <mergeCell ref="A7:J7"/>
    <mergeCell ref="A2:Z2"/>
    <mergeCell ref="D13:D15"/>
    <mergeCell ref="A3:Z3"/>
    <mergeCell ref="A9:Z9"/>
    <mergeCell ref="A10:Z10"/>
    <mergeCell ref="E14:F14"/>
    <mergeCell ref="A6:J6"/>
    <mergeCell ref="C11:E11"/>
    <mergeCell ref="J14:L14"/>
    <mergeCell ref="M14:W14"/>
    <mergeCell ref="A4:Z4"/>
    <mergeCell ref="Z13:Z15"/>
    <mergeCell ref="C12:D12"/>
    <mergeCell ref="X12:Y12"/>
    <mergeCell ref="J183:K183"/>
    <mergeCell ref="A101:Z101"/>
    <mergeCell ref="M120:O120"/>
    <mergeCell ref="E156:E159"/>
    <mergeCell ref="M166:O166"/>
    <mergeCell ref="J176:K176"/>
    <mergeCell ref="T176:W176"/>
    <mergeCell ref="T103:Z103"/>
    <mergeCell ref="X106:Z106"/>
    <mergeCell ref="X116:Z116"/>
    <mergeCell ref="L106:W106"/>
    <mergeCell ref="L116:W116"/>
    <mergeCell ref="A100:D100"/>
    <mergeCell ref="E13:W13"/>
    <mergeCell ref="F181:J181"/>
    <mergeCell ref="Y13:Y15"/>
    <mergeCell ref="A13:A15"/>
    <mergeCell ref="C13:C15"/>
    <mergeCell ref="X13:X15"/>
    <mergeCell ref="A106:E106"/>
    <mergeCell ref="A116:E116"/>
    <mergeCell ref="B13:B1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C203"/>
  <sheetViews>
    <sheetView topLeftCell="E14" zoomScale="55" zoomScaleNormal="55" zoomScaleSheetLayoutView="40" workbookViewId="0">
      <selection activeCell="AA5" sqref="AA1:AG1048576"/>
    </sheetView>
  </sheetViews>
  <sheetFormatPr defaultColWidth="9.42578125" defaultRowHeight="23.25"/>
  <cols>
    <col min="1" max="1" width="7.85546875" style="591" customWidth="1"/>
    <col min="2" max="2" width="13.42578125" style="1816" customWidth="1"/>
    <col min="3" max="3" width="19.85546875" style="592" customWidth="1"/>
    <col min="4" max="4" width="30" style="595" customWidth="1"/>
    <col min="5" max="5" width="20" style="692" customWidth="1"/>
    <col min="6" max="6" width="21.5703125" style="595" customWidth="1"/>
    <col min="7" max="7" width="17.85546875" style="595" customWidth="1"/>
    <col min="8" max="8" width="17.85546875" style="595" hidden="1" customWidth="1"/>
    <col min="9" max="9" width="14" style="595" customWidth="1"/>
    <col min="10" max="10" width="16" style="596" customWidth="1"/>
    <col min="11" max="11" width="9.7109375" style="597" customWidth="1"/>
    <col min="12" max="12" width="24.42578125" style="598" customWidth="1"/>
    <col min="13" max="13" width="17.85546875" style="595" customWidth="1"/>
    <col min="14" max="14" width="15.5703125" style="595" customWidth="1"/>
    <col min="15" max="16" width="14.42578125" style="595" hidden="1" customWidth="1"/>
    <col min="17" max="17" width="16.85546875" style="595" hidden="1" customWidth="1"/>
    <col min="18" max="18" width="16.28515625" style="595" hidden="1" customWidth="1"/>
    <col min="19" max="19" width="17.85546875" style="595" hidden="1" customWidth="1"/>
    <col min="20" max="21" width="21.140625" style="595" customWidth="1"/>
    <col min="22" max="22" width="21.140625" style="595" hidden="1" customWidth="1"/>
    <col min="23" max="23" width="23.85546875" style="595" customWidth="1"/>
    <col min="24" max="24" width="24.7109375" style="595" customWidth="1"/>
    <col min="25" max="25" width="16" style="595" hidden="1" customWidth="1"/>
    <col min="26" max="26" width="23.85546875" style="595" customWidth="1"/>
    <col min="27" max="27" width="21" style="595" hidden="1" customWidth="1"/>
    <col min="28" max="28" width="28" style="595" hidden="1" customWidth="1"/>
    <col min="29" max="29" width="21.5703125" style="595" hidden="1" customWidth="1"/>
    <col min="30" max="33" width="0" style="595" hidden="1" customWidth="1"/>
    <col min="34" max="34" width="9.5703125" style="595" bestFit="1" customWidth="1"/>
    <col min="35" max="16384" width="9.42578125" style="595"/>
  </cols>
  <sheetData>
    <row r="2" spans="1:28" ht="24.75" customHeight="1">
      <c r="A2" s="2009" t="s">
        <v>90</v>
      </c>
      <c r="B2" s="2009"/>
      <c r="C2" s="2009"/>
      <c r="D2" s="2009"/>
      <c r="E2" s="2009"/>
      <c r="F2" s="2009"/>
      <c r="G2" s="2009"/>
      <c r="H2" s="2009"/>
      <c r="I2" s="2009"/>
      <c r="J2" s="2009"/>
      <c r="K2" s="2009"/>
      <c r="L2" s="2009"/>
      <c r="M2" s="2009"/>
      <c r="N2" s="2009"/>
      <c r="O2" s="2009"/>
      <c r="P2" s="2009"/>
      <c r="Q2" s="2009"/>
      <c r="R2" s="2009"/>
      <c r="S2" s="2009"/>
      <c r="T2" s="2009"/>
      <c r="U2" s="2009"/>
      <c r="V2" s="2009"/>
      <c r="W2" s="2009"/>
      <c r="X2" s="2009"/>
      <c r="Y2" s="2009"/>
      <c r="Z2" s="2009"/>
    </row>
    <row r="3" spans="1:28" ht="24.75" customHeight="1">
      <c r="A3" s="2009" t="s">
        <v>56</v>
      </c>
      <c r="B3" s="2009"/>
      <c r="C3" s="2009"/>
      <c r="D3" s="2009"/>
      <c r="E3" s="2009"/>
      <c r="F3" s="2009"/>
      <c r="G3" s="2009"/>
      <c r="H3" s="2009"/>
      <c r="I3" s="2009"/>
      <c r="J3" s="2009"/>
      <c r="K3" s="2009"/>
      <c r="L3" s="2009"/>
      <c r="M3" s="2009"/>
      <c r="N3" s="2009"/>
      <c r="O3" s="2009"/>
      <c r="P3" s="2009"/>
      <c r="Q3" s="2009"/>
      <c r="R3" s="2009"/>
      <c r="S3" s="2009"/>
      <c r="T3" s="2009"/>
      <c r="U3" s="2009"/>
      <c r="V3" s="2009"/>
      <c r="W3" s="2009"/>
      <c r="X3" s="2009"/>
      <c r="Y3" s="2009"/>
      <c r="Z3" s="2009"/>
    </row>
    <row r="4" spans="1:28" ht="24.75" customHeight="1">
      <c r="A4" s="2015" t="s">
        <v>604</v>
      </c>
      <c r="B4" s="2009"/>
      <c r="C4" s="2009"/>
      <c r="D4" s="2009"/>
      <c r="E4" s="2009"/>
      <c r="F4" s="2009"/>
      <c r="G4" s="2009"/>
      <c r="H4" s="2009"/>
      <c r="I4" s="2009"/>
      <c r="J4" s="2009"/>
      <c r="K4" s="2009"/>
      <c r="L4" s="2009"/>
      <c r="M4" s="2009"/>
      <c r="N4" s="2009"/>
      <c r="O4" s="2009"/>
      <c r="P4" s="2009"/>
      <c r="Q4" s="2009"/>
      <c r="R4" s="2009"/>
      <c r="S4" s="2009"/>
      <c r="T4" s="2009"/>
      <c r="U4" s="2009"/>
      <c r="V4" s="2009"/>
      <c r="W4" s="2009"/>
      <c r="X4" s="2009"/>
      <c r="Y4" s="2009"/>
      <c r="Z4" s="2009"/>
    </row>
    <row r="5" spans="1:28" ht="16.5" customHeight="1">
      <c r="A5" s="1819"/>
      <c r="B5" s="1819"/>
      <c r="C5" s="1819"/>
      <c r="D5" s="1819"/>
      <c r="E5" s="1819"/>
      <c r="F5" s="1819"/>
      <c r="G5" s="1819"/>
      <c r="H5" s="1819"/>
      <c r="I5" s="1819"/>
      <c r="J5" s="1819"/>
      <c r="K5" s="1819"/>
      <c r="L5" s="1819"/>
      <c r="M5" s="1819"/>
      <c r="N5" s="1819"/>
      <c r="O5" s="1819"/>
      <c r="P5" s="1819"/>
      <c r="Q5" s="1819"/>
      <c r="R5" s="1819"/>
      <c r="S5" s="1819"/>
      <c r="T5" s="1819"/>
      <c r="U5" s="1819"/>
      <c r="V5" s="1819"/>
      <c r="W5" s="1819"/>
      <c r="X5" s="1819"/>
      <c r="Y5" s="1819"/>
      <c r="Z5" s="1819"/>
    </row>
    <row r="6" spans="1:28" ht="30" customHeight="1">
      <c r="A6" s="2013" t="s">
        <v>5</v>
      </c>
      <c r="B6" s="2013"/>
      <c r="C6" s="2013"/>
      <c r="D6" s="2013"/>
      <c r="E6" s="2013"/>
      <c r="F6" s="2013"/>
      <c r="G6" s="2013"/>
      <c r="H6" s="2013"/>
      <c r="I6" s="2013"/>
      <c r="J6" s="2013"/>
      <c r="K6" s="1126"/>
      <c r="L6" s="1126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7"/>
      <c r="X6" s="1127"/>
      <c r="Y6" s="1127"/>
      <c r="Z6" s="1127"/>
    </row>
    <row r="7" spans="1:28" ht="30" customHeight="1">
      <c r="A7" s="2008" t="s">
        <v>113</v>
      </c>
      <c r="B7" s="2008"/>
      <c r="C7" s="2008"/>
      <c r="D7" s="2008"/>
      <c r="E7" s="2008"/>
      <c r="F7" s="2008"/>
      <c r="G7" s="2008"/>
      <c r="H7" s="2008"/>
      <c r="I7" s="2008"/>
      <c r="J7" s="2008"/>
      <c r="K7" s="1126"/>
      <c r="L7" s="1126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7"/>
      <c r="X7" s="1127"/>
      <c r="Y7" s="1127"/>
      <c r="Z7" s="1127"/>
    </row>
    <row r="8" spans="1:28" ht="25.5">
      <c r="A8" s="1818"/>
      <c r="B8" s="1818"/>
      <c r="C8" s="1818"/>
      <c r="D8" s="1818"/>
      <c r="E8" s="1818"/>
      <c r="F8" s="1128"/>
      <c r="G8" s="1128"/>
      <c r="H8" s="1128"/>
      <c r="I8" s="1128"/>
      <c r="J8" s="1126"/>
      <c r="K8" s="1126"/>
      <c r="L8" s="1126"/>
      <c r="M8" s="1126"/>
      <c r="N8" s="1126"/>
      <c r="O8" s="1126"/>
      <c r="P8" s="1126"/>
      <c r="Q8" s="1126"/>
      <c r="R8" s="1126"/>
      <c r="S8" s="1126"/>
      <c r="T8" s="1126"/>
      <c r="U8" s="1126"/>
      <c r="V8" s="1126"/>
      <c r="W8" s="1127"/>
      <c r="X8" s="1127"/>
      <c r="Y8" s="1127"/>
      <c r="Z8" s="1127"/>
    </row>
    <row r="9" spans="1:28">
      <c r="A9" s="1813"/>
      <c r="B9" s="1813"/>
      <c r="C9" s="1813"/>
      <c r="D9" s="1813"/>
      <c r="E9" s="1813"/>
      <c r="F9" s="695"/>
      <c r="G9" s="695"/>
      <c r="H9" s="695"/>
      <c r="I9" s="695"/>
      <c r="J9" s="672"/>
      <c r="K9" s="672"/>
      <c r="L9" s="672"/>
      <c r="M9" s="672"/>
      <c r="N9" s="672"/>
      <c r="O9" s="672"/>
      <c r="P9" s="672"/>
      <c r="Q9" s="672"/>
      <c r="R9" s="672"/>
      <c r="S9" s="672"/>
      <c r="T9" s="672"/>
      <c r="U9" s="672"/>
      <c r="V9" s="672"/>
      <c r="W9" s="673"/>
      <c r="X9" s="673"/>
      <c r="Y9" s="673"/>
      <c r="Z9" s="673"/>
    </row>
    <row r="10" spans="1:28" s="604" customFormat="1" ht="27.75" customHeight="1">
      <c r="A10" s="2010" t="s">
        <v>1149</v>
      </c>
      <c r="B10" s="2010"/>
      <c r="C10" s="2010"/>
      <c r="D10" s="2010"/>
      <c r="E10" s="2010"/>
      <c r="F10" s="2010"/>
      <c r="G10" s="2010"/>
      <c r="H10" s="2010"/>
      <c r="I10" s="2010"/>
      <c r="J10" s="2010"/>
      <c r="K10" s="2010"/>
      <c r="L10" s="2010"/>
      <c r="M10" s="2010"/>
      <c r="N10" s="2010"/>
      <c r="O10" s="2010"/>
      <c r="P10" s="2010"/>
      <c r="Q10" s="2010"/>
      <c r="R10" s="2010"/>
      <c r="S10" s="2010"/>
      <c r="T10" s="2010"/>
      <c r="U10" s="2010"/>
      <c r="V10" s="2010"/>
      <c r="W10" s="2010"/>
      <c r="X10" s="2010"/>
      <c r="Y10" s="2010"/>
      <c r="Z10" s="2010"/>
      <c r="AA10" s="1739" t="s">
        <v>50</v>
      </c>
      <c r="AB10" s="1722">
        <f>'BTH mủ tạp'!$AI$96</f>
        <v>0</v>
      </c>
    </row>
    <row r="11" spans="1:28" s="604" customFormat="1" ht="22.5" customHeight="1">
      <c r="A11" s="1820"/>
      <c r="B11" s="1820"/>
      <c r="C11" s="1820"/>
      <c r="D11" s="1820"/>
      <c r="E11" s="1820"/>
      <c r="F11" s="1820"/>
      <c r="G11" s="1820"/>
      <c r="H11" s="1820"/>
      <c r="I11" s="1820"/>
      <c r="J11" s="1820"/>
      <c r="K11" s="1820"/>
      <c r="L11" s="1820"/>
      <c r="M11" s="1820"/>
      <c r="N11" s="1820"/>
      <c r="O11" s="1820"/>
      <c r="P11" s="1820"/>
      <c r="Q11" s="1820"/>
      <c r="R11" s="1820"/>
      <c r="S11" s="1820"/>
      <c r="T11" s="1820"/>
      <c r="U11" s="1820"/>
      <c r="V11" s="1820"/>
      <c r="W11" s="1820"/>
      <c r="X11" s="1820"/>
      <c r="Y11" s="1820"/>
      <c r="Z11" s="1130"/>
      <c r="AA11" s="1739" t="s">
        <v>844</v>
      </c>
      <c r="AB11" s="1722">
        <f>'BTH mủ tạp'!$AK$96</f>
        <v>0</v>
      </c>
    </row>
    <row r="12" spans="1:28" s="604" customFormat="1" ht="18" customHeight="1">
      <c r="A12" s="601"/>
      <c r="B12" s="1813"/>
      <c r="C12" s="2014"/>
      <c r="D12" s="2014"/>
      <c r="E12" s="2014"/>
      <c r="F12" s="674"/>
      <c r="G12" s="674"/>
      <c r="H12" s="674"/>
      <c r="I12" s="674"/>
      <c r="J12" s="675"/>
      <c r="K12" s="1813"/>
      <c r="L12" s="1813"/>
      <c r="M12" s="1813"/>
      <c r="N12" s="1813"/>
      <c r="O12" s="1813"/>
      <c r="P12" s="1813"/>
      <c r="Q12" s="1813"/>
      <c r="R12" s="1813"/>
      <c r="S12" s="1813"/>
      <c r="T12" s="1813"/>
      <c r="U12" s="1813"/>
      <c r="V12" s="1813"/>
      <c r="W12" s="1813"/>
      <c r="X12" s="1813"/>
      <c r="Y12" s="1813"/>
      <c r="AA12" s="1740" t="s">
        <v>845</v>
      </c>
      <c r="AB12" s="1724">
        <v>0.5</v>
      </c>
    </row>
    <row r="13" spans="1:28" ht="26.25" hidden="1" customHeight="1">
      <c r="A13" s="676"/>
      <c r="B13" s="1817"/>
      <c r="C13" s="2017" t="s">
        <v>613</v>
      </c>
      <c r="D13" s="2017"/>
      <c r="E13" s="1821">
        <f>'CNKT '!E11</f>
        <v>656</v>
      </c>
      <c r="F13" s="677"/>
      <c r="G13" s="677"/>
      <c r="H13" s="677"/>
      <c r="I13" s="677"/>
      <c r="J13" s="678"/>
      <c r="K13" s="679"/>
      <c r="L13" s="680"/>
      <c r="M13" s="681"/>
      <c r="N13" s="681"/>
      <c r="O13" s="681"/>
      <c r="P13" s="681"/>
      <c r="Q13" s="681"/>
      <c r="R13" s="681"/>
      <c r="S13" s="681"/>
      <c r="T13" s="681"/>
      <c r="U13" s="681"/>
      <c r="V13" s="681"/>
      <c r="W13" s="681"/>
      <c r="X13" s="2029" t="s">
        <v>840</v>
      </c>
      <c r="Y13" s="2029"/>
      <c r="Z13" s="1876" t="e">
        <f>AB11/AB10</f>
        <v>#DIV/0!</v>
      </c>
      <c r="AA13" s="1740" t="s">
        <v>846</v>
      </c>
      <c r="AB13" s="1724">
        <v>0.2</v>
      </c>
    </row>
    <row r="14" spans="1:28" s="1813" customFormat="1" ht="32.25" customHeight="1">
      <c r="A14" s="1998" t="s">
        <v>11</v>
      </c>
      <c r="B14" s="1998" t="s">
        <v>145</v>
      </c>
      <c r="C14" s="1999" t="s">
        <v>29</v>
      </c>
      <c r="D14" s="1998" t="s">
        <v>417</v>
      </c>
      <c r="E14" s="2020" t="s">
        <v>34</v>
      </c>
      <c r="F14" s="2021"/>
      <c r="G14" s="2021"/>
      <c r="H14" s="2021"/>
      <c r="I14" s="2021"/>
      <c r="J14" s="2021"/>
      <c r="K14" s="2021"/>
      <c r="L14" s="2021"/>
      <c r="M14" s="2021"/>
      <c r="N14" s="2021"/>
      <c r="O14" s="2021"/>
      <c r="P14" s="2021"/>
      <c r="Q14" s="2021"/>
      <c r="R14" s="2021"/>
      <c r="S14" s="2021"/>
      <c r="T14" s="2021"/>
      <c r="U14" s="2021"/>
      <c r="V14" s="2021"/>
      <c r="W14" s="2022"/>
      <c r="X14" s="2026" t="s">
        <v>754</v>
      </c>
      <c r="Y14" s="1997" t="s">
        <v>275</v>
      </c>
      <c r="Z14" s="1997" t="s">
        <v>752</v>
      </c>
      <c r="AB14" s="1129"/>
    </row>
    <row r="15" spans="1:28" s="1813" customFormat="1" ht="54" customHeight="1">
      <c r="A15" s="1998"/>
      <c r="B15" s="1998"/>
      <c r="C15" s="1999"/>
      <c r="D15" s="1998"/>
      <c r="E15" s="2011" t="s">
        <v>751</v>
      </c>
      <c r="F15" s="2012"/>
      <c r="G15" s="2023" t="s">
        <v>37</v>
      </c>
      <c r="H15" s="2024"/>
      <c r="I15" s="2024"/>
      <c r="J15" s="2024"/>
      <c r="K15" s="2024"/>
      <c r="L15" s="2025"/>
      <c r="M15" s="1997" t="s">
        <v>38</v>
      </c>
      <c r="N15" s="1997"/>
      <c r="O15" s="1997"/>
      <c r="P15" s="1997"/>
      <c r="Q15" s="1997"/>
      <c r="R15" s="1997"/>
      <c r="S15" s="1997"/>
      <c r="T15" s="1997"/>
      <c r="U15" s="1997"/>
      <c r="V15" s="1997"/>
      <c r="W15" s="1997"/>
      <c r="X15" s="2027"/>
      <c r="Y15" s="1997"/>
      <c r="Z15" s="1997"/>
    </row>
    <row r="16" spans="1:28" s="1814" customFormat="1" ht="121.5" customHeight="1">
      <c r="A16" s="1998"/>
      <c r="B16" s="1998"/>
      <c r="C16" s="1999"/>
      <c r="D16" s="1998"/>
      <c r="E16" s="698" t="s">
        <v>115</v>
      </c>
      <c r="F16" s="1812" t="s">
        <v>40</v>
      </c>
      <c r="G16" s="1812" t="s">
        <v>749</v>
      </c>
      <c r="H16" s="1812" t="s">
        <v>837</v>
      </c>
      <c r="I16" s="1183" t="s">
        <v>847</v>
      </c>
      <c r="J16" s="1042" t="s">
        <v>838</v>
      </c>
      <c r="K16" s="1811" t="s">
        <v>41</v>
      </c>
      <c r="L16" s="1811" t="s">
        <v>42</v>
      </c>
      <c r="M16" s="1150" t="s">
        <v>880</v>
      </c>
      <c r="N16" s="1149" t="s">
        <v>927</v>
      </c>
      <c r="O16" s="1149" t="s">
        <v>928</v>
      </c>
      <c r="P16" s="1149" t="s">
        <v>929</v>
      </c>
      <c r="Q16" s="1149" t="s">
        <v>930</v>
      </c>
      <c r="R16" s="1149" t="s">
        <v>931</v>
      </c>
      <c r="S16" s="1811" t="s">
        <v>488</v>
      </c>
      <c r="T16" s="1493" t="s">
        <v>1015</v>
      </c>
      <c r="U16" s="1493" t="s">
        <v>1168</v>
      </c>
      <c r="V16" s="1493"/>
      <c r="W16" s="1811" t="s">
        <v>32</v>
      </c>
      <c r="X16" s="2028"/>
      <c r="Y16" s="1997"/>
      <c r="Z16" s="1997"/>
    </row>
    <row r="17" spans="1:27" s="591" customFormat="1" ht="50.25" hidden="1" customHeight="1">
      <c r="A17" s="683">
        <v>1</v>
      </c>
      <c r="B17" s="683"/>
      <c r="C17" s="696" t="str">
        <f>TONGHOPCONGDOI!C96</f>
        <v>T. Lê</v>
      </c>
      <c r="D17" s="696"/>
      <c r="E17" s="697">
        <f>VLOOKUP(C17,TONGHOPCONGDOI!C96:Q183,15,0)</f>
        <v>0</v>
      </c>
      <c r="F17" s="696">
        <f>E17*25000</f>
        <v>0</v>
      </c>
      <c r="G17" s="696">
        <f>VLOOKUP(C17,TONGHOPCONGDOI!C96:AD183,16,0)</f>
        <v>0</v>
      </c>
      <c r="H17" s="696">
        <f>VLOOKUP(C17,TONGHOPCONGDOI!C96:AD183,18,0)</f>
        <v>0</v>
      </c>
      <c r="I17" s="696"/>
      <c r="J17" s="1556" t="e">
        <f>$AB$11/$AB$10*G17+H17*$AB$12+I17*$AB$13</f>
        <v>#DIV/0!</v>
      </c>
      <c r="K17" s="683" t="str">
        <f>VLOOKUP(C17,'BTH mủ tạp'!C97:AL175,36,0)</f>
        <v>A</v>
      </c>
      <c r="L17" s="1185" t="e">
        <f t="shared" ref="L17:L29" si="0">ROUND((IF(K17="A",(G17*$Z$13*6.1),IF(K17="B",(G17*$Z$13*5.8),IF(K17="C",(G17*$Z$13*5.5),IF(K17="D",(G17*$Z$13*5.2),0))))*$E$13+(H17*$AB$12*$E$13*6.1)+I17*$E$13*$AB$13*6.1),0)</f>
        <v>#DIV/0!</v>
      </c>
      <c r="M17" s="696">
        <f>VLOOKUP(C17,TONGHOPCONGDOI!$C$96:$AD$183,20,0)</f>
        <v>0</v>
      </c>
      <c r="N17" s="696">
        <f>VLOOKUP(C17,TONGHOPCONGDOI!$C$96:$AD$183,21,0)</f>
        <v>0</v>
      </c>
      <c r="O17" s="696">
        <f>VLOOKUP(C17,TONGHOPCONGDOI!$C$96:$AD$183,22,0)</f>
        <v>0</v>
      </c>
      <c r="P17" s="696">
        <f>VLOOKUP(C17,TONGHOPCONGDOI!$C$96:$AD$183,23,0)</f>
        <v>0</v>
      </c>
      <c r="Q17" s="696">
        <f>VLOOKUP(C17,TONGHOPCONGDOI!$C$96:$AD$183,24,0)</f>
        <v>0</v>
      </c>
      <c r="R17" s="696">
        <f>VLOOKUP(C17,TONGHOPCONGDOI!$C$96:$AD$183,25,0)</f>
        <v>0</v>
      </c>
      <c r="S17" s="696"/>
      <c r="T17" s="685">
        <f t="shared" ref="T17:T80" si="1">SUM(M17:R17)</f>
        <v>0</v>
      </c>
      <c r="U17" s="685">
        <f>SUM(M17:R17)</f>
        <v>0</v>
      </c>
      <c r="V17" s="685"/>
      <c r="W17" s="1725">
        <f>ROUND(((M17*46.1)+(N17*76.9)+(O17*92.2)+(P17*153.8)+(Q17*92.2)+(R17*153.8))*$E$13+(S17*20000)+(T17*10000)+(U17*30000),0)</f>
        <v>0</v>
      </c>
      <c r="X17" s="696" t="e">
        <f t="shared" ref="X17:X48" si="2">F17+L17+W17</f>
        <v>#DIV/0!</v>
      </c>
      <c r="Y17" s="696"/>
      <c r="Z17" s="696">
        <f>VLOOKUP(C17,'CNKT '!$C$101:$Z$182,24,0)</f>
        <v>0</v>
      </c>
      <c r="AA17" s="591" t="e">
        <f>X17-Z17</f>
        <v>#DIV/0!</v>
      </c>
    </row>
    <row r="18" spans="1:27" s="591" customFormat="1" ht="50.25" hidden="1" customHeight="1">
      <c r="A18" s="683">
        <v>2</v>
      </c>
      <c r="B18" s="683" t="str">
        <f>'Chấm công KT'!D93</f>
        <v>02735</v>
      </c>
      <c r="C18" s="696" t="str">
        <f>TONGHOPCONGDOI!C97</f>
        <v xml:space="preserve">Nang On Teng </v>
      </c>
      <c r="D18" s="696"/>
      <c r="E18" s="697">
        <f>VLOOKUP(C18,TONGHOPCONGDOI!C97:Q184,15,0)</f>
        <v>0</v>
      </c>
      <c r="F18" s="696">
        <f t="shared" ref="F18" si="3">E18*25000</f>
        <v>0</v>
      </c>
      <c r="G18" s="696">
        <f>VLOOKUP(C18,TONGHOPCONGDOI!C97:AD184,16,0)</f>
        <v>0</v>
      </c>
      <c r="H18" s="696">
        <f>VLOOKUP(C18,TONGHOPCONGDOI!C97:AD184,18,0)</f>
        <v>0</v>
      </c>
      <c r="I18" s="696"/>
      <c r="J18" s="1556" t="e">
        <f>$AB$11/$AB$10*G18+H18*$AB$12+I18*$AB$13</f>
        <v>#DIV/0!</v>
      </c>
      <c r="K18" s="683" t="str">
        <f>VLOOKUP(C18,'BTH mủ tạp'!C98:AL181,36,0)</f>
        <v>A</v>
      </c>
      <c r="L18" s="1185" t="e">
        <f t="shared" si="0"/>
        <v>#DIV/0!</v>
      </c>
      <c r="M18" s="696">
        <f>VLOOKUP(C18,TONGHOPCONGDOI!$C$96:$AD$183,20,0)</f>
        <v>0</v>
      </c>
      <c r="N18" s="696">
        <f>VLOOKUP(C18,TONGHOPCONGDOI!$C$96:$AD$183,21,0)</f>
        <v>0</v>
      </c>
      <c r="O18" s="696">
        <f>VLOOKUP(C18,TONGHOPCONGDOI!$C$96:$AD$183,22,0)</f>
        <v>0</v>
      </c>
      <c r="P18" s="696">
        <f>VLOOKUP(C18,TONGHOPCONGDOI!$C$96:$AD$183,23,0)</f>
        <v>0</v>
      </c>
      <c r="Q18" s="696">
        <f>VLOOKUP(C18,TONGHOPCONGDOI!$C$96:$AD$183,24,0)</f>
        <v>0</v>
      </c>
      <c r="R18" s="696">
        <f>VLOOKUP(C18,TONGHOPCONGDOI!$C$96:$AD$183,25,0)</f>
        <v>0</v>
      </c>
      <c r="S18" s="696"/>
      <c r="T18" s="685">
        <f t="shared" si="1"/>
        <v>0</v>
      </c>
      <c r="U18" s="685">
        <f t="shared" ref="U18:U81" si="4">SUM(M18:R18)</f>
        <v>0</v>
      </c>
      <c r="V18" s="685"/>
      <c r="W18" s="1725">
        <f>ROUND(((M18*46.1)+(N18*76.9)+(O18*92.2)+(P18*153.8)+(Q18*92.2)+(R18*153.8))*$E$13+(S18*20000)+(T18*10000)+(U18*30000),0)</f>
        <v>0</v>
      </c>
      <c r="X18" s="696" t="e">
        <f t="shared" si="2"/>
        <v>#DIV/0!</v>
      </c>
      <c r="Y18" s="696"/>
      <c r="Z18" s="696">
        <f>VLOOKUP(C18,'CNKT '!$C$101:$Z$182,24,0)</f>
        <v>0</v>
      </c>
      <c r="AA18" s="591" t="e">
        <f t="shared" ref="AA18:AA81" si="5">X18-Z18</f>
        <v>#DIV/0!</v>
      </c>
    </row>
    <row r="19" spans="1:27" s="591" customFormat="1" ht="50.25" hidden="1" customHeight="1">
      <c r="A19" s="683">
        <v>3</v>
      </c>
      <c r="B19" s="683" t="str">
        <f>'Chấm công KT'!D94</f>
        <v>03518</v>
      </c>
      <c r="C19" s="696" t="str">
        <f>TONGHOPCONGDOI!C98</f>
        <v>T. Đôn Ma</v>
      </c>
      <c r="D19" s="696"/>
      <c r="E19" s="697">
        <f>VLOOKUP(C19,TONGHOPCONGDOI!C98:Q185,15,0)</f>
        <v>0</v>
      </c>
      <c r="F19" s="696">
        <f t="shared" ref="F19:F82" si="6">E19*25000</f>
        <v>0</v>
      </c>
      <c r="G19" s="696">
        <f>VLOOKUP(C19,TONGHOPCONGDOI!C98:AD185,16,0)</f>
        <v>0</v>
      </c>
      <c r="H19" s="696">
        <f>VLOOKUP(C19,TONGHOPCONGDOI!C98:AD185,18,0)</f>
        <v>0</v>
      </c>
      <c r="I19" s="696"/>
      <c r="J19" s="1556" t="e">
        <f t="shared" ref="J19:J82" si="7">$AB$11/$AB$10*G19+H19*$AB$12+I19*$AB$13</f>
        <v>#DIV/0!</v>
      </c>
      <c r="K19" s="683" t="str">
        <f>VLOOKUP(C19,'BTH mủ tạp'!C99:AL182,36,0)</f>
        <v>A</v>
      </c>
      <c r="L19" s="1185" t="e">
        <f t="shared" si="0"/>
        <v>#DIV/0!</v>
      </c>
      <c r="M19" s="696">
        <f>VLOOKUP(C19,TONGHOPCONGDOI!$C$96:$AD$183,20,0)</f>
        <v>0</v>
      </c>
      <c r="N19" s="696">
        <f>VLOOKUP(C19,TONGHOPCONGDOI!$C$96:$AD$183,21,0)</f>
        <v>0</v>
      </c>
      <c r="O19" s="696">
        <f>VLOOKUP(C19,TONGHOPCONGDOI!$C$96:$AD$183,22,0)</f>
        <v>0</v>
      </c>
      <c r="P19" s="696">
        <f>VLOOKUP(C19,TONGHOPCONGDOI!$C$96:$AD$183,23,0)</f>
        <v>0</v>
      </c>
      <c r="Q19" s="696">
        <f>VLOOKUP(C19,TONGHOPCONGDOI!$C$96:$AD$183,24,0)</f>
        <v>0</v>
      </c>
      <c r="R19" s="696">
        <f>VLOOKUP(C19,TONGHOPCONGDOI!$C$96:$AD$183,25,0)</f>
        <v>0</v>
      </c>
      <c r="S19" s="696"/>
      <c r="T19" s="685">
        <f t="shared" si="1"/>
        <v>0</v>
      </c>
      <c r="U19" s="685">
        <f t="shared" si="4"/>
        <v>0</v>
      </c>
      <c r="V19" s="685"/>
      <c r="W19" s="1725">
        <f t="shared" ref="W19:W82" si="8">ROUND(((M19*46.1)+(N19*76.9)+(O19*92.2)+(P19*153.8)+(Q19*92.2)+(R19*153.8))*$E$13+(S19*20000)+(T19*10000)+(U19*30000),0)</f>
        <v>0</v>
      </c>
      <c r="X19" s="696" t="e">
        <f t="shared" si="2"/>
        <v>#DIV/0!</v>
      </c>
      <c r="Y19" s="696"/>
      <c r="Z19" s="696">
        <f>VLOOKUP(C19,'CNKT '!$C$101:$Z$182,24,0)</f>
        <v>0</v>
      </c>
      <c r="AA19" s="591" t="e">
        <f t="shared" si="5"/>
        <v>#DIV/0!</v>
      </c>
    </row>
    <row r="20" spans="1:27" s="591" customFormat="1" ht="50.25" hidden="1" customHeight="1">
      <c r="A20" s="683">
        <v>4</v>
      </c>
      <c r="B20" s="683" t="str">
        <f>'Chấm công KT'!D95</f>
        <v>03519</v>
      </c>
      <c r="C20" s="696" t="str">
        <f>TONGHOPCONGDOI!C99</f>
        <v>T Nôn</v>
      </c>
      <c r="D20" s="696"/>
      <c r="E20" s="697">
        <f>VLOOKUP(C20,TONGHOPCONGDOI!C99:Q186,15,0)</f>
        <v>0</v>
      </c>
      <c r="F20" s="696">
        <f t="shared" si="6"/>
        <v>0</v>
      </c>
      <c r="G20" s="696">
        <f>VLOOKUP(C20,TONGHOPCONGDOI!C99:AD186,16,0)</f>
        <v>0</v>
      </c>
      <c r="H20" s="696">
        <f>VLOOKUP(C20,TONGHOPCONGDOI!C99:AD186,18,0)</f>
        <v>0</v>
      </c>
      <c r="I20" s="696"/>
      <c r="J20" s="1556" t="e">
        <f t="shared" si="7"/>
        <v>#DIV/0!</v>
      </c>
      <c r="K20" s="683" t="str">
        <f>VLOOKUP(C20,'BTH mủ tạp'!C100:AL183,36,0)</f>
        <v>A</v>
      </c>
      <c r="L20" s="1185" t="e">
        <f t="shared" si="0"/>
        <v>#DIV/0!</v>
      </c>
      <c r="M20" s="696">
        <f>VLOOKUP(C20,TONGHOPCONGDOI!$C$96:$AD$183,20,0)</f>
        <v>0</v>
      </c>
      <c r="N20" s="696">
        <f>VLOOKUP(C20,TONGHOPCONGDOI!$C$96:$AD$183,21,0)</f>
        <v>0</v>
      </c>
      <c r="O20" s="696">
        <f>VLOOKUP(C20,TONGHOPCONGDOI!$C$96:$AD$183,22,0)</f>
        <v>0</v>
      </c>
      <c r="P20" s="696">
        <f>VLOOKUP(C20,TONGHOPCONGDOI!$C$96:$AD$183,23,0)</f>
        <v>0</v>
      </c>
      <c r="Q20" s="696">
        <f>VLOOKUP(C20,TONGHOPCONGDOI!$C$96:$AD$183,24,0)</f>
        <v>0</v>
      </c>
      <c r="R20" s="696">
        <f>VLOOKUP(C20,TONGHOPCONGDOI!$C$96:$AD$183,25,0)</f>
        <v>0</v>
      </c>
      <c r="S20" s="696"/>
      <c r="T20" s="685">
        <f t="shared" si="1"/>
        <v>0</v>
      </c>
      <c r="U20" s="685">
        <f t="shared" si="4"/>
        <v>0</v>
      </c>
      <c r="V20" s="685"/>
      <c r="W20" s="1725">
        <f t="shared" si="8"/>
        <v>0</v>
      </c>
      <c r="X20" s="696" t="e">
        <f t="shared" si="2"/>
        <v>#DIV/0!</v>
      </c>
      <c r="Y20" s="696"/>
      <c r="Z20" s="696">
        <f>VLOOKUP(C20,'CNKT '!$C$101:$Z$182,24,0)</f>
        <v>0</v>
      </c>
      <c r="AA20" s="591" t="e">
        <f t="shared" si="5"/>
        <v>#DIV/0!</v>
      </c>
    </row>
    <row r="21" spans="1:27" s="591" customFormat="1" ht="50.25" hidden="1" customHeight="1">
      <c r="A21" s="683">
        <v>5</v>
      </c>
      <c r="B21" s="683" t="str">
        <f>'Chấm công KT'!D96</f>
        <v>03520</v>
      </c>
      <c r="C21" s="696" t="str">
        <f>TONGHOPCONGDOI!C100</f>
        <v>N. Khăm..</v>
      </c>
      <c r="D21" s="696"/>
      <c r="E21" s="697">
        <f>VLOOKUP(C21,TONGHOPCONGDOI!C100:Q187,15,0)</f>
        <v>0</v>
      </c>
      <c r="F21" s="696">
        <f t="shared" si="6"/>
        <v>0</v>
      </c>
      <c r="G21" s="696">
        <f>VLOOKUP(C21,TONGHOPCONGDOI!C100:AD187,16,0)</f>
        <v>0</v>
      </c>
      <c r="H21" s="696">
        <f>VLOOKUP(C21,TONGHOPCONGDOI!C100:AD187,18,0)</f>
        <v>0</v>
      </c>
      <c r="I21" s="696"/>
      <c r="J21" s="1556" t="e">
        <f t="shared" si="7"/>
        <v>#DIV/0!</v>
      </c>
      <c r="K21" s="683" t="str">
        <f>VLOOKUP(C21,'BTH mủ tạp'!C101:AL184,36,0)</f>
        <v>A</v>
      </c>
      <c r="L21" s="1185" t="e">
        <f t="shared" si="0"/>
        <v>#DIV/0!</v>
      </c>
      <c r="M21" s="696">
        <f>VLOOKUP(C21,TONGHOPCONGDOI!$C$96:$AD$183,20,0)</f>
        <v>0</v>
      </c>
      <c r="N21" s="696">
        <f>VLOOKUP(C21,TONGHOPCONGDOI!$C$96:$AD$183,21,0)</f>
        <v>0</v>
      </c>
      <c r="O21" s="696">
        <f>VLOOKUP(C21,TONGHOPCONGDOI!$C$96:$AD$183,22,0)</f>
        <v>0</v>
      </c>
      <c r="P21" s="696">
        <f>VLOOKUP(C21,TONGHOPCONGDOI!$C$96:$AD$183,23,0)</f>
        <v>0</v>
      </c>
      <c r="Q21" s="696">
        <f>VLOOKUP(C21,TONGHOPCONGDOI!$C$96:$AD$183,24,0)</f>
        <v>0</v>
      </c>
      <c r="R21" s="696">
        <f>VLOOKUP(C21,TONGHOPCONGDOI!$C$96:$AD$183,25,0)</f>
        <v>0</v>
      </c>
      <c r="S21" s="696"/>
      <c r="T21" s="685">
        <f t="shared" si="1"/>
        <v>0</v>
      </c>
      <c r="U21" s="685">
        <f t="shared" si="4"/>
        <v>0</v>
      </c>
      <c r="V21" s="685"/>
      <c r="W21" s="1725">
        <f t="shared" si="8"/>
        <v>0</v>
      </c>
      <c r="X21" s="696" t="e">
        <f t="shared" si="2"/>
        <v>#DIV/0!</v>
      </c>
      <c r="Y21" s="696"/>
      <c r="Z21" s="696">
        <f>VLOOKUP(C21,'CNKT '!$C$101:$Z$182,24,0)</f>
        <v>0</v>
      </c>
      <c r="AA21" s="591" t="e">
        <f t="shared" si="5"/>
        <v>#DIV/0!</v>
      </c>
    </row>
    <row r="22" spans="1:27" s="591" customFormat="1" ht="50.25" hidden="1" customHeight="1">
      <c r="A22" s="683">
        <v>6</v>
      </c>
      <c r="B22" s="683" t="str">
        <f>'Chấm công KT'!D97</f>
        <v>03521</v>
      </c>
      <c r="C22" s="696" t="str">
        <f>TONGHOPCONGDOI!C101</f>
        <v>Nang La Ty</v>
      </c>
      <c r="D22" s="696"/>
      <c r="E22" s="697">
        <f>VLOOKUP(C22,TONGHOPCONGDOI!C101:Q188,15,0)</f>
        <v>0</v>
      </c>
      <c r="F22" s="696">
        <f t="shared" si="6"/>
        <v>0</v>
      </c>
      <c r="G22" s="696">
        <f>VLOOKUP(C22,TONGHOPCONGDOI!C101:AD188,16,0)</f>
        <v>0</v>
      </c>
      <c r="H22" s="696">
        <f>VLOOKUP(C22,TONGHOPCONGDOI!C101:AD188,18,0)</f>
        <v>0</v>
      </c>
      <c r="I22" s="696"/>
      <c r="J22" s="1556" t="e">
        <f t="shared" si="7"/>
        <v>#DIV/0!</v>
      </c>
      <c r="K22" s="683" t="str">
        <f>VLOOKUP(C22,'BTH mủ tạp'!C102:AL185,36,0)</f>
        <v>A</v>
      </c>
      <c r="L22" s="1185" t="e">
        <f t="shared" si="0"/>
        <v>#DIV/0!</v>
      </c>
      <c r="M22" s="696">
        <f>VLOOKUP(C22,TONGHOPCONGDOI!$C$96:$AD$183,20,0)</f>
        <v>0</v>
      </c>
      <c r="N22" s="696">
        <f>VLOOKUP(C22,TONGHOPCONGDOI!$C$96:$AD$183,21,0)</f>
        <v>0</v>
      </c>
      <c r="O22" s="696">
        <f>VLOOKUP(C22,TONGHOPCONGDOI!$C$96:$AD$183,22,0)</f>
        <v>0</v>
      </c>
      <c r="P22" s="696">
        <f>VLOOKUP(C22,TONGHOPCONGDOI!$C$96:$AD$183,23,0)</f>
        <v>0</v>
      </c>
      <c r="Q22" s="696">
        <f>VLOOKUP(C22,TONGHOPCONGDOI!$C$96:$AD$183,24,0)</f>
        <v>0</v>
      </c>
      <c r="R22" s="696">
        <f>VLOOKUP(C22,TONGHOPCONGDOI!$C$96:$AD$183,25,0)</f>
        <v>0</v>
      </c>
      <c r="S22" s="696"/>
      <c r="T22" s="685">
        <f t="shared" si="1"/>
        <v>0</v>
      </c>
      <c r="U22" s="685">
        <f t="shared" si="4"/>
        <v>0</v>
      </c>
      <c r="V22" s="685"/>
      <c r="W22" s="1725">
        <f t="shared" si="8"/>
        <v>0</v>
      </c>
      <c r="X22" s="696" t="e">
        <f t="shared" si="2"/>
        <v>#DIV/0!</v>
      </c>
      <c r="Y22" s="696"/>
      <c r="Z22" s="696">
        <f>VLOOKUP(C22,'CNKT '!$C$101:$Z$182,24,0)</f>
        <v>0</v>
      </c>
      <c r="AA22" s="591" t="e">
        <f t="shared" si="5"/>
        <v>#DIV/0!</v>
      </c>
    </row>
    <row r="23" spans="1:27" s="591" customFormat="1" ht="50.25" hidden="1" customHeight="1">
      <c r="A23" s="683">
        <v>7</v>
      </c>
      <c r="B23" s="683" t="str">
        <f>'Chấm công KT'!D98</f>
        <v>03522</v>
      </c>
      <c r="C23" s="696" t="str">
        <f>TONGHOPCONGDOI!C102</f>
        <v>N.T.T Trang (1)</v>
      </c>
      <c r="D23" s="696"/>
      <c r="E23" s="697">
        <f>VLOOKUP(C23,TONGHOPCONGDOI!C102:Q189,15,0)</f>
        <v>0</v>
      </c>
      <c r="F23" s="696">
        <f t="shared" si="6"/>
        <v>0</v>
      </c>
      <c r="G23" s="696">
        <f>VLOOKUP(C23,TONGHOPCONGDOI!C102:AD189,16,0)</f>
        <v>0</v>
      </c>
      <c r="H23" s="696">
        <f>VLOOKUP(C23,TONGHOPCONGDOI!C102:AD189,18,0)</f>
        <v>0</v>
      </c>
      <c r="I23" s="696"/>
      <c r="J23" s="1556" t="e">
        <f t="shared" si="7"/>
        <v>#DIV/0!</v>
      </c>
      <c r="K23" s="683" t="str">
        <f>VLOOKUP(C23,'BTH mủ tạp'!C103:AL186,36,0)</f>
        <v>A</v>
      </c>
      <c r="L23" s="1185" t="e">
        <f t="shared" si="0"/>
        <v>#DIV/0!</v>
      </c>
      <c r="M23" s="696">
        <f>VLOOKUP(C23,TONGHOPCONGDOI!$C$96:$AD$183,20,0)</f>
        <v>0</v>
      </c>
      <c r="N23" s="696">
        <f>VLOOKUP(C23,TONGHOPCONGDOI!$C$96:$AD$183,21,0)</f>
        <v>0</v>
      </c>
      <c r="O23" s="696">
        <f>VLOOKUP(C23,TONGHOPCONGDOI!$C$96:$AD$183,22,0)</f>
        <v>0</v>
      </c>
      <c r="P23" s="696">
        <f>VLOOKUP(C23,TONGHOPCONGDOI!$C$96:$AD$183,23,0)</f>
        <v>0</v>
      </c>
      <c r="Q23" s="696">
        <f>VLOOKUP(C23,TONGHOPCONGDOI!$C$96:$AD$183,24,0)</f>
        <v>0</v>
      </c>
      <c r="R23" s="696">
        <f>VLOOKUP(C23,TONGHOPCONGDOI!$C$96:$AD$183,25,0)</f>
        <v>0</v>
      </c>
      <c r="S23" s="696"/>
      <c r="T23" s="685">
        <f t="shared" si="1"/>
        <v>0</v>
      </c>
      <c r="U23" s="685">
        <f t="shared" si="4"/>
        <v>0</v>
      </c>
      <c r="V23" s="685"/>
      <c r="W23" s="1725">
        <f t="shared" si="8"/>
        <v>0</v>
      </c>
      <c r="X23" s="696" t="e">
        <f t="shared" si="2"/>
        <v>#DIV/0!</v>
      </c>
      <c r="Y23" s="696"/>
      <c r="Z23" s="696">
        <f>VLOOKUP(C23,'CNKT '!$C$101:$Z$182,24,0)</f>
        <v>0</v>
      </c>
      <c r="AA23" s="591" t="e">
        <f t="shared" si="5"/>
        <v>#DIV/0!</v>
      </c>
    </row>
    <row r="24" spans="1:27" s="591" customFormat="1" ht="50.25" hidden="1" customHeight="1">
      <c r="A24" s="683">
        <v>8</v>
      </c>
      <c r="B24" s="683" t="str">
        <f>'Chấm công KT'!D99</f>
        <v>03523</v>
      </c>
      <c r="C24" s="696" t="str">
        <f>TONGHOPCONGDOI!C103</f>
        <v>T. Ni On</v>
      </c>
      <c r="D24" s="696"/>
      <c r="E24" s="697">
        <f>VLOOKUP(C24,TONGHOPCONGDOI!C103:Q190,15,0)</f>
        <v>0</v>
      </c>
      <c r="F24" s="696">
        <f t="shared" si="6"/>
        <v>0</v>
      </c>
      <c r="G24" s="696">
        <f>VLOOKUP(C24,TONGHOPCONGDOI!C103:AD190,16,0)</f>
        <v>0</v>
      </c>
      <c r="H24" s="696">
        <f>VLOOKUP(C24,TONGHOPCONGDOI!C103:AD190,18,0)</f>
        <v>0</v>
      </c>
      <c r="I24" s="696"/>
      <c r="J24" s="1556" t="e">
        <f t="shared" si="7"/>
        <v>#DIV/0!</v>
      </c>
      <c r="K24" s="683" t="str">
        <f>VLOOKUP(C24,'BTH mủ tạp'!C104:AL187,36,0)</f>
        <v>B</v>
      </c>
      <c r="L24" s="1185" t="e">
        <f t="shared" si="0"/>
        <v>#DIV/0!</v>
      </c>
      <c r="M24" s="696">
        <f>VLOOKUP(C24,TONGHOPCONGDOI!$C$96:$AD$183,20,0)</f>
        <v>0</v>
      </c>
      <c r="N24" s="696">
        <f>VLOOKUP(C24,TONGHOPCONGDOI!$C$96:$AD$183,21,0)</f>
        <v>0</v>
      </c>
      <c r="O24" s="696">
        <f>VLOOKUP(C24,TONGHOPCONGDOI!$C$96:$AD$183,22,0)</f>
        <v>0</v>
      </c>
      <c r="P24" s="696">
        <f>VLOOKUP(C24,TONGHOPCONGDOI!$C$96:$AD$183,23,0)</f>
        <v>0</v>
      </c>
      <c r="Q24" s="696">
        <f>VLOOKUP(C24,TONGHOPCONGDOI!$C$96:$AD$183,24,0)</f>
        <v>0</v>
      </c>
      <c r="R24" s="696">
        <f>VLOOKUP(C24,TONGHOPCONGDOI!$C$96:$AD$183,25,0)</f>
        <v>0</v>
      </c>
      <c r="S24" s="696"/>
      <c r="T24" s="685">
        <f t="shared" si="1"/>
        <v>0</v>
      </c>
      <c r="U24" s="685">
        <f t="shared" si="4"/>
        <v>0</v>
      </c>
      <c r="V24" s="685"/>
      <c r="W24" s="1725">
        <f t="shared" si="8"/>
        <v>0</v>
      </c>
      <c r="X24" s="696" t="e">
        <f t="shared" si="2"/>
        <v>#DIV/0!</v>
      </c>
      <c r="Y24" s="696"/>
      <c r="Z24" s="696">
        <f>VLOOKUP(C24,'CNKT '!$C$101:$Z$182,24,0)</f>
        <v>0</v>
      </c>
      <c r="AA24" s="591" t="e">
        <f t="shared" si="5"/>
        <v>#DIV/0!</v>
      </c>
    </row>
    <row r="25" spans="1:27" s="591" customFormat="1" ht="50.25" hidden="1" customHeight="1">
      <c r="A25" s="683">
        <v>9</v>
      </c>
      <c r="B25" s="683" t="str">
        <f>'Chấm công KT'!D100</f>
        <v>02739</v>
      </c>
      <c r="C25" s="696" t="str">
        <f>TONGHOPCONGDOI!C104</f>
        <v>Thảo Lẹ</v>
      </c>
      <c r="D25" s="696"/>
      <c r="E25" s="697">
        <f>VLOOKUP(C25,TONGHOPCONGDOI!C104:Q191,15,0)</f>
        <v>0</v>
      </c>
      <c r="F25" s="696">
        <f t="shared" si="6"/>
        <v>0</v>
      </c>
      <c r="G25" s="696">
        <f>VLOOKUP(C25,TONGHOPCONGDOI!C104:AD191,16,0)</f>
        <v>0</v>
      </c>
      <c r="H25" s="696">
        <f>VLOOKUP(C25,TONGHOPCONGDOI!C104:AD191,18,0)</f>
        <v>0</v>
      </c>
      <c r="I25" s="696"/>
      <c r="J25" s="1556" t="e">
        <f t="shared" si="7"/>
        <v>#DIV/0!</v>
      </c>
      <c r="K25" s="683" t="str">
        <f>VLOOKUP(C25,'BTH mủ tạp'!C105:AL188,36,0)</f>
        <v>A</v>
      </c>
      <c r="L25" s="1185" t="e">
        <f t="shared" si="0"/>
        <v>#DIV/0!</v>
      </c>
      <c r="M25" s="696">
        <f>VLOOKUP(C25,TONGHOPCONGDOI!$C$96:$AD$183,20,0)</f>
        <v>0</v>
      </c>
      <c r="N25" s="696">
        <f>VLOOKUP(C25,TONGHOPCONGDOI!$C$96:$AD$183,21,0)</f>
        <v>0</v>
      </c>
      <c r="O25" s="696">
        <f>VLOOKUP(C25,TONGHOPCONGDOI!$C$96:$AD$183,22,0)</f>
        <v>0</v>
      </c>
      <c r="P25" s="696">
        <f>VLOOKUP(C25,TONGHOPCONGDOI!$C$96:$AD$183,23,0)</f>
        <v>0</v>
      </c>
      <c r="Q25" s="696">
        <f>VLOOKUP(C25,TONGHOPCONGDOI!$C$96:$AD$183,24,0)</f>
        <v>0</v>
      </c>
      <c r="R25" s="696">
        <f>VLOOKUP(C25,TONGHOPCONGDOI!$C$96:$AD$183,25,0)</f>
        <v>0</v>
      </c>
      <c r="S25" s="696"/>
      <c r="T25" s="685">
        <f t="shared" si="1"/>
        <v>0</v>
      </c>
      <c r="U25" s="685">
        <f t="shared" si="4"/>
        <v>0</v>
      </c>
      <c r="V25" s="685"/>
      <c r="W25" s="1725">
        <f t="shared" si="8"/>
        <v>0</v>
      </c>
      <c r="X25" s="696" t="e">
        <f t="shared" si="2"/>
        <v>#DIV/0!</v>
      </c>
      <c r="Y25" s="696"/>
      <c r="Z25" s="696">
        <f>VLOOKUP(C25,'CNKT '!$C$101:$Z$182,24,0)</f>
        <v>0</v>
      </c>
      <c r="AA25" s="591" t="e">
        <f t="shared" si="5"/>
        <v>#DIV/0!</v>
      </c>
    </row>
    <row r="26" spans="1:27" s="591" customFormat="1" ht="50.25" hidden="1" customHeight="1">
      <c r="A26" s="683">
        <v>10</v>
      </c>
      <c r="B26" s="683" t="str">
        <f>'Chấm công KT'!D101</f>
        <v>03524</v>
      </c>
      <c r="C26" s="696" t="str">
        <f>TONGHOPCONGDOI!C105</f>
        <v>T. Nả</v>
      </c>
      <c r="D26" s="696"/>
      <c r="E26" s="697">
        <f>VLOOKUP(C26,TONGHOPCONGDOI!C105:Q192,15,0)</f>
        <v>0</v>
      </c>
      <c r="F26" s="696">
        <f t="shared" si="6"/>
        <v>0</v>
      </c>
      <c r="G26" s="696">
        <f>VLOOKUP(C26,TONGHOPCONGDOI!C105:AD192,16,0)</f>
        <v>0</v>
      </c>
      <c r="H26" s="696">
        <f>VLOOKUP(C26,TONGHOPCONGDOI!C105:AD192,18,0)</f>
        <v>0</v>
      </c>
      <c r="I26" s="696"/>
      <c r="J26" s="1556" t="e">
        <f t="shared" si="7"/>
        <v>#DIV/0!</v>
      </c>
      <c r="K26" s="683" t="str">
        <f>VLOOKUP(C26,'BTH mủ tạp'!C106:AL189,36,0)</f>
        <v>B</v>
      </c>
      <c r="L26" s="1185" t="e">
        <f t="shared" si="0"/>
        <v>#DIV/0!</v>
      </c>
      <c r="M26" s="696">
        <f>VLOOKUP(C26,TONGHOPCONGDOI!$C$96:$AD$183,20,0)</f>
        <v>0</v>
      </c>
      <c r="N26" s="696">
        <f>VLOOKUP(C26,TONGHOPCONGDOI!$C$96:$AD$183,21,0)</f>
        <v>0</v>
      </c>
      <c r="O26" s="696">
        <f>VLOOKUP(C26,TONGHOPCONGDOI!$C$96:$AD$183,22,0)</f>
        <v>0</v>
      </c>
      <c r="P26" s="696">
        <f>VLOOKUP(C26,TONGHOPCONGDOI!$C$96:$AD$183,23,0)</f>
        <v>0</v>
      </c>
      <c r="Q26" s="696">
        <f>VLOOKUP(C26,TONGHOPCONGDOI!$C$96:$AD$183,24,0)</f>
        <v>0</v>
      </c>
      <c r="R26" s="696">
        <f>VLOOKUP(C26,TONGHOPCONGDOI!$C$96:$AD$183,25,0)</f>
        <v>0</v>
      </c>
      <c r="S26" s="696"/>
      <c r="T26" s="685">
        <f t="shared" si="1"/>
        <v>0</v>
      </c>
      <c r="U26" s="685">
        <f t="shared" si="4"/>
        <v>0</v>
      </c>
      <c r="V26" s="685"/>
      <c r="W26" s="1725">
        <f t="shared" si="8"/>
        <v>0</v>
      </c>
      <c r="X26" s="696" t="e">
        <f t="shared" si="2"/>
        <v>#DIV/0!</v>
      </c>
      <c r="Y26" s="696"/>
      <c r="Z26" s="696">
        <f>VLOOKUP(C26,'CNKT '!$C$101:$Z$182,24,0)</f>
        <v>0</v>
      </c>
      <c r="AA26" s="591" t="e">
        <f t="shared" si="5"/>
        <v>#DIV/0!</v>
      </c>
    </row>
    <row r="27" spans="1:27" s="591" customFormat="1" ht="50.25" hidden="1" customHeight="1">
      <c r="A27" s="683">
        <v>11</v>
      </c>
      <c r="B27" s="683" t="str">
        <f>'Chấm công KT'!D102</f>
        <v>03525</v>
      </c>
      <c r="C27" s="696" t="str">
        <f>TONGHOPCONGDOI!C106</f>
        <v>N. Sa Văn</v>
      </c>
      <c r="D27" s="696"/>
      <c r="E27" s="697">
        <f>VLOOKUP(C27,TONGHOPCONGDOI!C106:Q193,15,0)</f>
        <v>0</v>
      </c>
      <c r="F27" s="696">
        <f t="shared" si="6"/>
        <v>0</v>
      </c>
      <c r="G27" s="696">
        <f>VLOOKUP(C27,TONGHOPCONGDOI!C106:AD193,16,0)</f>
        <v>0</v>
      </c>
      <c r="H27" s="696">
        <f>VLOOKUP(C27,TONGHOPCONGDOI!C106:AD193,18,0)</f>
        <v>0</v>
      </c>
      <c r="I27" s="696"/>
      <c r="J27" s="1556" t="e">
        <f t="shared" si="7"/>
        <v>#DIV/0!</v>
      </c>
      <c r="K27" s="683" t="str">
        <f>VLOOKUP(C27,'BTH mủ tạp'!C107:AL190,36,0)</f>
        <v>A</v>
      </c>
      <c r="L27" s="1185" t="e">
        <f t="shared" si="0"/>
        <v>#DIV/0!</v>
      </c>
      <c r="M27" s="696">
        <f>VLOOKUP(C27,TONGHOPCONGDOI!$C$96:$AD$183,20,0)</f>
        <v>0</v>
      </c>
      <c r="N27" s="696">
        <f>VLOOKUP(C27,TONGHOPCONGDOI!$C$96:$AD$183,21,0)</f>
        <v>0</v>
      </c>
      <c r="O27" s="696">
        <f>VLOOKUP(C27,TONGHOPCONGDOI!$C$96:$AD$183,22,0)</f>
        <v>0</v>
      </c>
      <c r="P27" s="696">
        <f>VLOOKUP(C27,TONGHOPCONGDOI!$C$96:$AD$183,23,0)</f>
        <v>0</v>
      </c>
      <c r="Q27" s="696">
        <f>VLOOKUP(C27,TONGHOPCONGDOI!$C$96:$AD$183,24,0)</f>
        <v>0</v>
      </c>
      <c r="R27" s="696">
        <f>VLOOKUP(C27,TONGHOPCONGDOI!$C$96:$AD$183,25,0)</f>
        <v>0</v>
      </c>
      <c r="S27" s="696"/>
      <c r="T27" s="685">
        <f t="shared" si="1"/>
        <v>0</v>
      </c>
      <c r="U27" s="685">
        <f t="shared" si="4"/>
        <v>0</v>
      </c>
      <c r="V27" s="685"/>
      <c r="W27" s="1725">
        <f t="shared" si="8"/>
        <v>0</v>
      </c>
      <c r="X27" s="696" t="e">
        <f t="shared" si="2"/>
        <v>#DIV/0!</v>
      </c>
      <c r="Y27" s="696"/>
      <c r="Z27" s="696">
        <f>VLOOKUP(C27,'CNKT '!$C$101:$Z$182,24,0)</f>
        <v>0</v>
      </c>
      <c r="AA27" s="591" t="e">
        <f t="shared" si="5"/>
        <v>#DIV/0!</v>
      </c>
    </row>
    <row r="28" spans="1:27" s="591" customFormat="1" ht="50.25" hidden="1" customHeight="1">
      <c r="A28" s="683">
        <v>12</v>
      </c>
      <c r="B28" s="683" t="str">
        <f>'Chấm công KT'!D103</f>
        <v>03526</v>
      </c>
      <c r="C28" s="696" t="str">
        <f>TONGHOPCONGDOI!C107</f>
        <v>N. Chăn</v>
      </c>
      <c r="D28" s="696"/>
      <c r="E28" s="697">
        <f>VLOOKUP(C28,TONGHOPCONGDOI!C107:Q194,15,0)</f>
        <v>0</v>
      </c>
      <c r="F28" s="696">
        <f t="shared" si="6"/>
        <v>0</v>
      </c>
      <c r="G28" s="696">
        <f>VLOOKUP(C28,TONGHOPCONGDOI!C107:AD194,16,0)</f>
        <v>0</v>
      </c>
      <c r="H28" s="696">
        <f>VLOOKUP(C28,TONGHOPCONGDOI!C107:AD194,18,0)</f>
        <v>0</v>
      </c>
      <c r="I28" s="696"/>
      <c r="J28" s="1556" t="e">
        <f t="shared" si="7"/>
        <v>#DIV/0!</v>
      </c>
      <c r="K28" s="683" t="str">
        <f>VLOOKUP(C28,'BTH mủ tạp'!C108:AL191,36,0)</f>
        <v>B</v>
      </c>
      <c r="L28" s="1185" t="e">
        <f t="shared" si="0"/>
        <v>#DIV/0!</v>
      </c>
      <c r="M28" s="696">
        <f>VLOOKUP(C28,TONGHOPCONGDOI!$C$96:$AD$183,20,0)</f>
        <v>0</v>
      </c>
      <c r="N28" s="696">
        <f>VLOOKUP(C28,TONGHOPCONGDOI!$C$96:$AD$183,21,0)</f>
        <v>0</v>
      </c>
      <c r="O28" s="696">
        <f>VLOOKUP(C28,TONGHOPCONGDOI!$C$96:$AD$183,22,0)</f>
        <v>0</v>
      </c>
      <c r="P28" s="696">
        <f>VLOOKUP(C28,TONGHOPCONGDOI!$C$96:$AD$183,23,0)</f>
        <v>0</v>
      </c>
      <c r="Q28" s="696">
        <f>VLOOKUP(C28,TONGHOPCONGDOI!$C$96:$AD$183,24,0)</f>
        <v>0</v>
      </c>
      <c r="R28" s="696">
        <f>VLOOKUP(C28,TONGHOPCONGDOI!$C$96:$AD$183,25,0)</f>
        <v>0</v>
      </c>
      <c r="S28" s="696"/>
      <c r="T28" s="685">
        <f t="shared" si="1"/>
        <v>0</v>
      </c>
      <c r="U28" s="685">
        <f t="shared" si="4"/>
        <v>0</v>
      </c>
      <c r="V28" s="685"/>
      <c r="W28" s="1725">
        <f t="shared" si="8"/>
        <v>0</v>
      </c>
      <c r="X28" s="696" t="e">
        <f t="shared" si="2"/>
        <v>#DIV/0!</v>
      </c>
      <c r="Y28" s="696"/>
      <c r="Z28" s="696">
        <f>VLOOKUP(C28,'CNKT '!$C$101:$Z$182,24,0)</f>
        <v>0</v>
      </c>
      <c r="AA28" s="591" t="e">
        <f t="shared" si="5"/>
        <v>#DIV/0!</v>
      </c>
    </row>
    <row r="29" spans="1:27" s="591" customFormat="1" ht="50.25" hidden="1" customHeight="1">
      <c r="A29" s="683">
        <v>13</v>
      </c>
      <c r="B29" s="683" t="str">
        <f>'Chấm công KT'!D104</f>
        <v>03527</v>
      </c>
      <c r="C29" s="696" t="str">
        <f>TONGHOPCONGDOI!C108</f>
        <v>T Núc</v>
      </c>
      <c r="D29" s="696"/>
      <c r="E29" s="697">
        <f>VLOOKUP(C29,TONGHOPCONGDOI!C108:Q195,15,0)</f>
        <v>0</v>
      </c>
      <c r="F29" s="696">
        <f t="shared" si="6"/>
        <v>0</v>
      </c>
      <c r="G29" s="696">
        <f>VLOOKUP(C29,TONGHOPCONGDOI!C108:AD195,16,0)</f>
        <v>0</v>
      </c>
      <c r="H29" s="696">
        <f>VLOOKUP(C29,TONGHOPCONGDOI!C108:AD195,18,0)</f>
        <v>0</v>
      </c>
      <c r="I29" s="696"/>
      <c r="J29" s="1556" t="e">
        <f t="shared" si="7"/>
        <v>#DIV/0!</v>
      </c>
      <c r="K29" s="683" t="str">
        <f>VLOOKUP(C29,'BTH mủ tạp'!C109:AL192,36,0)</f>
        <v>B</v>
      </c>
      <c r="L29" s="1185" t="e">
        <f t="shared" si="0"/>
        <v>#DIV/0!</v>
      </c>
      <c r="M29" s="696">
        <f>VLOOKUP(C29,TONGHOPCONGDOI!$C$96:$AD$183,20,0)</f>
        <v>0</v>
      </c>
      <c r="N29" s="696">
        <f>VLOOKUP(C29,TONGHOPCONGDOI!$C$96:$AD$183,21,0)</f>
        <v>0</v>
      </c>
      <c r="O29" s="696">
        <f>VLOOKUP(C29,TONGHOPCONGDOI!$C$96:$AD$183,22,0)</f>
        <v>0</v>
      </c>
      <c r="P29" s="696">
        <f>VLOOKUP(C29,TONGHOPCONGDOI!$C$96:$AD$183,23,0)</f>
        <v>0</v>
      </c>
      <c r="Q29" s="696">
        <f>VLOOKUP(C29,TONGHOPCONGDOI!$C$96:$AD$183,24,0)</f>
        <v>0</v>
      </c>
      <c r="R29" s="696">
        <f>VLOOKUP(C29,TONGHOPCONGDOI!$C$96:$AD$183,25,0)</f>
        <v>0</v>
      </c>
      <c r="S29" s="696"/>
      <c r="T29" s="685">
        <f t="shared" si="1"/>
        <v>0</v>
      </c>
      <c r="U29" s="685">
        <f t="shared" si="4"/>
        <v>0</v>
      </c>
      <c r="V29" s="685"/>
      <c r="W29" s="1725">
        <f t="shared" si="8"/>
        <v>0</v>
      </c>
      <c r="X29" s="696" t="e">
        <f t="shared" si="2"/>
        <v>#DIV/0!</v>
      </c>
      <c r="Y29" s="696"/>
      <c r="Z29" s="696">
        <f>VLOOKUP(C29,'CNKT '!$C$101:$Z$182,24,0)</f>
        <v>0</v>
      </c>
      <c r="AA29" s="591" t="e">
        <f t="shared" si="5"/>
        <v>#DIV/0!</v>
      </c>
    </row>
    <row r="30" spans="1:27" s="591" customFormat="1" ht="50.25" hidden="1" customHeight="1">
      <c r="A30" s="683">
        <v>14</v>
      </c>
      <c r="B30" s="683" t="str">
        <f>'Chấm công KT'!D105</f>
        <v>03528</v>
      </c>
      <c r="C30" s="696" t="str">
        <f>TONGHOPCONGDOI!C109</f>
        <v>T. Cô</v>
      </c>
      <c r="D30" s="696"/>
      <c r="E30" s="697">
        <f>VLOOKUP(C30,TONGHOPCONGDOI!C109:Q196,15,0)</f>
        <v>0</v>
      </c>
      <c r="F30" s="696">
        <f t="shared" si="6"/>
        <v>0</v>
      </c>
      <c r="G30" s="696">
        <f>VLOOKUP(C30,TONGHOPCONGDOI!C109:AD196,16,0)</f>
        <v>0</v>
      </c>
      <c r="H30" s="696">
        <f>VLOOKUP(C30,TONGHOPCONGDOI!C109:AD196,18,0)</f>
        <v>0</v>
      </c>
      <c r="I30" s="696"/>
      <c r="J30" s="1556" t="e">
        <f t="shared" si="7"/>
        <v>#DIV/0!</v>
      </c>
      <c r="K30" s="683" t="str">
        <f>VLOOKUP(C30,'BTH mủ tạp'!C110:AL193,36,0)</f>
        <v>A</v>
      </c>
      <c r="L30" s="1185" t="e">
        <f t="shared" ref="L30:L37" si="9">ROUND((IF(K30="A",(G30*$Z$13*6.1),IF(K30="B",(G30*$Z$13*5.8),IF(K30="C",(G30*$Z$13*5.5),IF(K30="D",(G30*$Z$13*5.2),0))))*$E$13+(H30*$AB$12*$E$13*6.1)+I30*$E$13*$AB$13*6.1),0)</f>
        <v>#DIV/0!</v>
      </c>
      <c r="M30" s="696">
        <f>VLOOKUP(C30,TONGHOPCONGDOI!$C$96:$AD$183,20,0)</f>
        <v>0</v>
      </c>
      <c r="N30" s="696">
        <f>VLOOKUP(C30,TONGHOPCONGDOI!$C$96:$AD$183,21,0)</f>
        <v>0</v>
      </c>
      <c r="O30" s="696">
        <f>VLOOKUP(C30,TONGHOPCONGDOI!$C$96:$AD$183,22,0)</f>
        <v>0</v>
      </c>
      <c r="P30" s="696">
        <f>VLOOKUP(C30,TONGHOPCONGDOI!$C$96:$AD$183,23,0)</f>
        <v>0</v>
      </c>
      <c r="Q30" s="696">
        <f>VLOOKUP(C30,TONGHOPCONGDOI!$C$96:$AD$183,24,0)</f>
        <v>0</v>
      </c>
      <c r="R30" s="696">
        <f>VLOOKUP(C30,TONGHOPCONGDOI!$C$96:$AD$183,25,0)</f>
        <v>0</v>
      </c>
      <c r="S30" s="696"/>
      <c r="T30" s="685">
        <f t="shared" si="1"/>
        <v>0</v>
      </c>
      <c r="U30" s="685">
        <f t="shared" si="4"/>
        <v>0</v>
      </c>
      <c r="V30" s="685"/>
      <c r="W30" s="1725">
        <f t="shared" si="8"/>
        <v>0</v>
      </c>
      <c r="X30" s="696" t="e">
        <f t="shared" si="2"/>
        <v>#DIV/0!</v>
      </c>
      <c r="Y30" s="696"/>
      <c r="Z30" s="696">
        <f>VLOOKUP(C30,'CNKT '!$C$101:$Z$182,24,0)</f>
        <v>0</v>
      </c>
      <c r="AA30" s="591" t="e">
        <f t="shared" si="5"/>
        <v>#DIV/0!</v>
      </c>
    </row>
    <row r="31" spans="1:27" s="591" customFormat="1" ht="50.25" hidden="1" customHeight="1">
      <c r="A31" s="683">
        <v>15</v>
      </c>
      <c r="B31" s="683" t="str">
        <f>'Chấm công KT'!D106</f>
        <v>03529</v>
      </c>
      <c r="C31" s="696" t="str">
        <f>TONGHOPCONGDOI!C110</f>
        <v>N. Khoăn Ta</v>
      </c>
      <c r="D31" s="696"/>
      <c r="E31" s="697">
        <f>VLOOKUP(C31,TONGHOPCONGDOI!C110:Q197,15,0)</f>
        <v>0</v>
      </c>
      <c r="F31" s="696">
        <f t="shared" si="6"/>
        <v>0</v>
      </c>
      <c r="G31" s="696">
        <f>VLOOKUP(C31,TONGHOPCONGDOI!C110:AD197,16,0)</f>
        <v>0</v>
      </c>
      <c r="H31" s="696">
        <f>VLOOKUP(C31,TONGHOPCONGDOI!C110:AD197,18,0)</f>
        <v>0</v>
      </c>
      <c r="I31" s="696"/>
      <c r="J31" s="1556" t="e">
        <f t="shared" si="7"/>
        <v>#DIV/0!</v>
      </c>
      <c r="K31" s="683" t="str">
        <f>VLOOKUP(C31,'BTH mủ tạp'!C111:AL194,36,0)</f>
        <v>B</v>
      </c>
      <c r="L31" s="1185" t="e">
        <f t="shared" si="9"/>
        <v>#DIV/0!</v>
      </c>
      <c r="M31" s="696">
        <f>VLOOKUP(C31,TONGHOPCONGDOI!$C$96:$AD$183,20,0)</f>
        <v>0</v>
      </c>
      <c r="N31" s="696">
        <f>VLOOKUP(C31,TONGHOPCONGDOI!$C$96:$AD$183,21,0)</f>
        <v>0</v>
      </c>
      <c r="O31" s="696">
        <f>VLOOKUP(C31,TONGHOPCONGDOI!$C$96:$AD$183,22,0)</f>
        <v>0</v>
      </c>
      <c r="P31" s="696">
        <f>VLOOKUP(C31,TONGHOPCONGDOI!$C$96:$AD$183,23,0)</f>
        <v>0</v>
      </c>
      <c r="Q31" s="696">
        <f>VLOOKUP(C31,TONGHOPCONGDOI!$C$96:$AD$183,24,0)</f>
        <v>0</v>
      </c>
      <c r="R31" s="696">
        <f>VLOOKUP(C31,TONGHOPCONGDOI!$C$96:$AD$183,25,0)</f>
        <v>0</v>
      </c>
      <c r="S31" s="696"/>
      <c r="T31" s="685">
        <f t="shared" si="1"/>
        <v>0</v>
      </c>
      <c r="U31" s="685">
        <f t="shared" si="4"/>
        <v>0</v>
      </c>
      <c r="V31" s="685"/>
      <c r="W31" s="1725">
        <f t="shared" si="8"/>
        <v>0</v>
      </c>
      <c r="X31" s="696" t="e">
        <f t="shared" si="2"/>
        <v>#DIV/0!</v>
      </c>
      <c r="Y31" s="696"/>
      <c r="Z31" s="696">
        <f>VLOOKUP(C31,'CNKT '!$C$101:$Z$182,24,0)</f>
        <v>0</v>
      </c>
      <c r="AA31" s="591" t="e">
        <f t="shared" si="5"/>
        <v>#DIV/0!</v>
      </c>
    </row>
    <row r="32" spans="1:27" s="591" customFormat="1" ht="50.25" hidden="1" customHeight="1">
      <c r="A32" s="683">
        <v>16</v>
      </c>
      <c r="B32" s="683" t="str">
        <f>'Chấm công KT'!D107</f>
        <v>03530</v>
      </c>
      <c r="C32" s="696" t="str">
        <f>TONGHOPCONGDOI!C111</f>
        <v>T . Tom</v>
      </c>
      <c r="D32" s="696"/>
      <c r="E32" s="697">
        <f>VLOOKUP(C32,TONGHOPCONGDOI!C111:Q198,15,0)</f>
        <v>0</v>
      </c>
      <c r="F32" s="696">
        <f t="shared" si="6"/>
        <v>0</v>
      </c>
      <c r="G32" s="696">
        <f>VLOOKUP(C32,TONGHOPCONGDOI!C111:AD198,16,0)</f>
        <v>0</v>
      </c>
      <c r="H32" s="696">
        <f>VLOOKUP(C32,TONGHOPCONGDOI!C111:AD198,18,0)</f>
        <v>0</v>
      </c>
      <c r="I32" s="696"/>
      <c r="J32" s="1556" t="e">
        <f t="shared" si="7"/>
        <v>#DIV/0!</v>
      </c>
      <c r="K32" s="683" t="str">
        <f>VLOOKUP(C32,'BTH mủ tạp'!C112:AL195,36,0)</f>
        <v>A</v>
      </c>
      <c r="L32" s="1185" t="e">
        <f t="shared" si="9"/>
        <v>#DIV/0!</v>
      </c>
      <c r="M32" s="696">
        <f>VLOOKUP(C32,TONGHOPCONGDOI!$C$96:$AD$183,20,0)</f>
        <v>0</v>
      </c>
      <c r="N32" s="696">
        <f>VLOOKUP(C32,TONGHOPCONGDOI!$C$96:$AD$183,21,0)</f>
        <v>0</v>
      </c>
      <c r="O32" s="696">
        <f>VLOOKUP(C32,TONGHOPCONGDOI!$C$96:$AD$183,22,0)</f>
        <v>0</v>
      </c>
      <c r="P32" s="696">
        <f>VLOOKUP(C32,TONGHOPCONGDOI!$C$96:$AD$183,23,0)</f>
        <v>0</v>
      </c>
      <c r="Q32" s="696">
        <f>VLOOKUP(C32,TONGHOPCONGDOI!$C$96:$AD$183,24,0)</f>
        <v>0</v>
      </c>
      <c r="R32" s="696">
        <f>VLOOKUP(C32,TONGHOPCONGDOI!$C$96:$AD$183,25,0)</f>
        <v>0</v>
      </c>
      <c r="S32" s="696"/>
      <c r="T32" s="685">
        <f t="shared" si="1"/>
        <v>0</v>
      </c>
      <c r="U32" s="685">
        <f t="shared" si="4"/>
        <v>0</v>
      </c>
      <c r="V32" s="685"/>
      <c r="W32" s="1725">
        <f t="shared" si="8"/>
        <v>0</v>
      </c>
      <c r="X32" s="696" t="e">
        <f t="shared" si="2"/>
        <v>#DIV/0!</v>
      </c>
      <c r="Y32" s="696"/>
      <c r="Z32" s="696">
        <f>VLOOKUP(C32,'CNKT '!$C$101:$Z$182,24,0)</f>
        <v>0</v>
      </c>
      <c r="AA32" s="591" t="e">
        <f t="shared" si="5"/>
        <v>#DIV/0!</v>
      </c>
    </row>
    <row r="33" spans="1:27" s="591" customFormat="1" ht="50.25" hidden="1" customHeight="1">
      <c r="A33" s="683">
        <v>17</v>
      </c>
      <c r="B33" s="683" t="str">
        <f>'Chấm công KT'!D108</f>
        <v>03531</v>
      </c>
      <c r="C33" s="696" t="str">
        <f>TONGHOPCONGDOI!C112</f>
        <v>T. Son Sa May</v>
      </c>
      <c r="D33" s="696"/>
      <c r="E33" s="697">
        <f>VLOOKUP(C33,TONGHOPCONGDOI!C112:Q199,15,0)</f>
        <v>0</v>
      </c>
      <c r="F33" s="696">
        <f t="shared" si="6"/>
        <v>0</v>
      </c>
      <c r="G33" s="696">
        <f>VLOOKUP(C33,TONGHOPCONGDOI!C112:AD199,16,0)</f>
        <v>0</v>
      </c>
      <c r="H33" s="696">
        <f>VLOOKUP(C33,TONGHOPCONGDOI!C112:AD199,18,0)</f>
        <v>0</v>
      </c>
      <c r="I33" s="696"/>
      <c r="J33" s="1556" t="e">
        <f t="shared" si="7"/>
        <v>#DIV/0!</v>
      </c>
      <c r="K33" s="683" t="str">
        <f>VLOOKUP(C33,'BTH mủ tạp'!C113:AL196,36,0)</f>
        <v>A</v>
      </c>
      <c r="L33" s="1185" t="e">
        <f t="shared" si="9"/>
        <v>#DIV/0!</v>
      </c>
      <c r="M33" s="696">
        <f>VLOOKUP(C33,TONGHOPCONGDOI!$C$96:$AD$183,20,0)</f>
        <v>0</v>
      </c>
      <c r="N33" s="696">
        <f>VLOOKUP(C33,TONGHOPCONGDOI!$C$96:$AD$183,21,0)</f>
        <v>0</v>
      </c>
      <c r="O33" s="696">
        <f>VLOOKUP(C33,TONGHOPCONGDOI!$C$96:$AD$183,22,0)</f>
        <v>0</v>
      </c>
      <c r="P33" s="696">
        <f>VLOOKUP(C33,TONGHOPCONGDOI!$C$96:$AD$183,23,0)</f>
        <v>0</v>
      </c>
      <c r="Q33" s="696">
        <f>VLOOKUP(C33,TONGHOPCONGDOI!$C$96:$AD$183,24,0)</f>
        <v>0</v>
      </c>
      <c r="R33" s="696">
        <f>VLOOKUP(C33,TONGHOPCONGDOI!$C$96:$AD$183,25,0)</f>
        <v>0</v>
      </c>
      <c r="S33" s="696"/>
      <c r="T33" s="685">
        <f t="shared" si="1"/>
        <v>0</v>
      </c>
      <c r="U33" s="685">
        <f t="shared" si="4"/>
        <v>0</v>
      </c>
      <c r="V33" s="685"/>
      <c r="W33" s="1725">
        <f t="shared" si="8"/>
        <v>0</v>
      </c>
      <c r="X33" s="696" t="e">
        <f t="shared" si="2"/>
        <v>#DIV/0!</v>
      </c>
      <c r="Y33" s="696"/>
      <c r="Z33" s="696">
        <f>VLOOKUP(C33,'CNKT '!$C$101:$Z$182,24,0)</f>
        <v>0</v>
      </c>
      <c r="AA33" s="591" t="e">
        <f t="shared" si="5"/>
        <v>#DIV/0!</v>
      </c>
    </row>
    <row r="34" spans="1:27" s="591" customFormat="1" ht="50.25" hidden="1" customHeight="1">
      <c r="A34" s="683">
        <v>18</v>
      </c>
      <c r="B34" s="683" t="str">
        <f>'Chấm công KT'!D109</f>
        <v>03532</v>
      </c>
      <c r="C34" s="696" t="str">
        <f>TONGHOPCONGDOI!C113</f>
        <v>N. Túc</v>
      </c>
      <c r="D34" s="696"/>
      <c r="E34" s="697">
        <f>VLOOKUP(C34,TONGHOPCONGDOI!C113:Q200,15,0)</f>
        <v>0</v>
      </c>
      <c r="F34" s="696">
        <f t="shared" si="6"/>
        <v>0</v>
      </c>
      <c r="G34" s="696">
        <f>VLOOKUP(C34,TONGHOPCONGDOI!C113:AD200,16,0)</f>
        <v>0</v>
      </c>
      <c r="H34" s="696">
        <f>VLOOKUP(C34,TONGHOPCONGDOI!C113:AD200,18,0)</f>
        <v>0</v>
      </c>
      <c r="I34" s="696"/>
      <c r="J34" s="1556" t="e">
        <f t="shared" si="7"/>
        <v>#DIV/0!</v>
      </c>
      <c r="K34" s="683" t="str">
        <f>VLOOKUP(C34,'BTH mủ tạp'!C114:AL197,36,0)</f>
        <v>A</v>
      </c>
      <c r="L34" s="1185" t="e">
        <f t="shared" si="9"/>
        <v>#DIV/0!</v>
      </c>
      <c r="M34" s="696">
        <f>VLOOKUP(C34,TONGHOPCONGDOI!$C$96:$AD$183,20,0)</f>
        <v>0</v>
      </c>
      <c r="N34" s="696">
        <f>VLOOKUP(C34,TONGHOPCONGDOI!$C$96:$AD$183,21,0)</f>
        <v>0</v>
      </c>
      <c r="O34" s="696">
        <f>VLOOKUP(C34,TONGHOPCONGDOI!$C$96:$AD$183,22,0)</f>
        <v>0</v>
      </c>
      <c r="P34" s="696">
        <f>VLOOKUP(C34,TONGHOPCONGDOI!$C$96:$AD$183,23,0)</f>
        <v>0</v>
      </c>
      <c r="Q34" s="696">
        <f>VLOOKUP(C34,TONGHOPCONGDOI!$C$96:$AD$183,24,0)</f>
        <v>0</v>
      </c>
      <c r="R34" s="696">
        <f>VLOOKUP(C34,TONGHOPCONGDOI!$C$96:$AD$183,25,0)</f>
        <v>0</v>
      </c>
      <c r="S34" s="696"/>
      <c r="T34" s="685">
        <f t="shared" si="1"/>
        <v>0</v>
      </c>
      <c r="U34" s="685">
        <f t="shared" si="4"/>
        <v>0</v>
      </c>
      <c r="V34" s="685"/>
      <c r="W34" s="1725">
        <f t="shared" si="8"/>
        <v>0</v>
      </c>
      <c r="X34" s="696" t="e">
        <f t="shared" si="2"/>
        <v>#DIV/0!</v>
      </c>
      <c r="Y34" s="696"/>
      <c r="Z34" s="696">
        <f>VLOOKUP(C34,'CNKT '!$C$101:$Z$182,24,0)</f>
        <v>0</v>
      </c>
      <c r="AA34" s="591" t="e">
        <f t="shared" si="5"/>
        <v>#DIV/0!</v>
      </c>
    </row>
    <row r="35" spans="1:27" s="591" customFormat="1" ht="50.25" hidden="1" customHeight="1">
      <c r="A35" s="683">
        <v>19</v>
      </c>
      <c r="B35" s="683" t="str">
        <f>'Chấm công KT'!D110</f>
        <v xml:space="preserve">02709 </v>
      </c>
      <c r="C35" s="696" t="str">
        <f>TONGHOPCONGDOI!C114</f>
        <v>T. Say</v>
      </c>
      <c r="D35" s="696"/>
      <c r="E35" s="697">
        <f>VLOOKUP(C35,TONGHOPCONGDOI!C114:Q201,15,0)</f>
        <v>0</v>
      </c>
      <c r="F35" s="696">
        <f t="shared" si="6"/>
        <v>0</v>
      </c>
      <c r="G35" s="696">
        <f>VLOOKUP(C35,TONGHOPCONGDOI!C114:AD201,16,0)</f>
        <v>0</v>
      </c>
      <c r="H35" s="696">
        <f>VLOOKUP(C35,TONGHOPCONGDOI!C114:AD201,18,0)</f>
        <v>0</v>
      </c>
      <c r="I35" s="696"/>
      <c r="J35" s="1556" t="e">
        <f t="shared" si="7"/>
        <v>#DIV/0!</v>
      </c>
      <c r="K35" s="683" t="str">
        <f>VLOOKUP(C35,'BTH mủ tạp'!C115:AL198,36,0)</f>
        <v>B</v>
      </c>
      <c r="L35" s="1185" t="e">
        <f t="shared" si="9"/>
        <v>#DIV/0!</v>
      </c>
      <c r="M35" s="696">
        <f>VLOOKUP(C35,TONGHOPCONGDOI!$C$96:$AD$183,20,0)</f>
        <v>0</v>
      </c>
      <c r="N35" s="696">
        <f>VLOOKUP(C35,TONGHOPCONGDOI!$C$96:$AD$183,21,0)</f>
        <v>0</v>
      </c>
      <c r="O35" s="696">
        <f>VLOOKUP(C35,TONGHOPCONGDOI!$C$96:$AD$183,22,0)</f>
        <v>0</v>
      </c>
      <c r="P35" s="696">
        <f>VLOOKUP(C35,TONGHOPCONGDOI!$C$96:$AD$183,23,0)</f>
        <v>0</v>
      </c>
      <c r="Q35" s="696">
        <f>VLOOKUP(C35,TONGHOPCONGDOI!$C$96:$AD$183,24,0)</f>
        <v>0</v>
      </c>
      <c r="R35" s="696">
        <f>VLOOKUP(C35,TONGHOPCONGDOI!$C$96:$AD$183,25,0)</f>
        <v>0</v>
      </c>
      <c r="S35" s="696"/>
      <c r="T35" s="685">
        <f t="shared" si="1"/>
        <v>0</v>
      </c>
      <c r="U35" s="685">
        <f t="shared" si="4"/>
        <v>0</v>
      </c>
      <c r="V35" s="685"/>
      <c r="W35" s="1725">
        <f t="shared" si="8"/>
        <v>0</v>
      </c>
      <c r="X35" s="696" t="e">
        <f t="shared" si="2"/>
        <v>#DIV/0!</v>
      </c>
      <c r="Y35" s="696"/>
      <c r="Z35" s="696">
        <f>VLOOKUP(C35,'CNKT '!$C$101:$Z$182,24,0)</f>
        <v>0</v>
      </c>
      <c r="AA35" s="591" t="e">
        <f t="shared" si="5"/>
        <v>#DIV/0!</v>
      </c>
    </row>
    <row r="36" spans="1:27" s="591" customFormat="1" ht="50.25" hidden="1" customHeight="1">
      <c r="A36" s="683">
        <v>20</v>
      </c>
      <c r="B36" s="683" t="str">
        <f>'Chấm công KT'!D111</f>
        <v>03533</v>
      </c>
      <c r="C36" s="696" t="str">
        <f>TONGHOPCONGDOI!C115</f>
        <v>T. Pha Đi</v>
      </c>
      <c r="D36" s="696"/>
      <c r="E36" s="697">
        <f>VLOOKUP(C36,TONGHOPCONGDOI!C115:Q202,15,0)</f>
        <v>0</v>
      </c>
      <c r="F36" s="696">
        <f t="shared" si="6"/>
        <v>0</v>
      </c>
      <c r="G36" s="696">
        <f>VLOOKUP(C36,TONGHOPCONGDOI!C115:AD202,16,0)</f>
        <v>0</v>
      </c>
      <c r="H36" s="696">
        <f>VLOOKUP(C36,TONGHOPCONGDOI!C115:AD202,18,0)</f>
        <v>0</v>
      </c>
      <c r="I36" s="696"/>
      <c r="J36" s="1556" t="e">
        <f t="shared" si="7"/>
        <v>#DIV/0!</v>
      </c>
      <c r="K36" s="683" t="str">
        <f>VLOOKUP(C36,'BTH mủ tạp'!C116:AL199,36,0)</f>
        <v>A</v>
      </c>
      <c r="L36" s="1185" t="e">
        <f t="shared" si="9"/>
        <v>#DIV/0!</v>
      </c>
      <c r="M36" s="696">
        <f>VLOOKUP(C36,TONGHOPCONGDOI!$C$96:$AD$183,20,0)</f>
        <v>0</v>
      </c>
      <c r="N36" s="696">
        <f>VLOOKUP(C36,TONGHOPCONGDOI!$C$96:$AD$183,21,0)</f>
        <v>0</v>
      </c>
      <c r="O36" s="696">
        <f>VLOOKUP(C36,TONGHOPCONGDOI!$C$96:$AD$183,22,0)</f>
        <v>0</v>
      </c>
      <c r="P36" s="696">
        <f>VLOOKUP(C36,TONGHOPCONGDOI!$C$96:$AD$183,23,0)</f>
        <v>0</v>
      </c>
      <c r="Q36" s="696">
        <f>VLOOKUP(C36,TONGHOPCONGDOI!$C$96:$AD$183,24,0)</f>
        <v>0</v>
      </c>
      <c r="R36" s="696">
        <f>VLOOKUP(C36,TONGHOPCONGDOI!$C$96:$AD$183,25,0)</f>
        <v>0</v>
      </c>
      <c r="S36" s="696"/>
      <c r="T36" s="685">
        <f t="shared" si="1"/>
        <v>0</v>
      </c>
      <c r="U36" s="685">
        <f t="shared" si="4"/>
        <v>0</v>
      </c>
      <c r="V36" s="685"/>
      <c r="W36" s="1725">
        <f t="shared" si="8"/>
        <v>0</v>
      </c>
      <c r="X36" s="696" t="e">
        <f t="shared" si="2"/>
        <v>#DIV/0!</v>
      </c>
      <c r="Y36" s="696"/>
      <c r="Z36" s="696">
        <f>VLOOKUP(C36,'CNKT '!$C$101:$Z$182,24,0)</f>
        <v>0</v>
      </c>
      <c r="AA36" s="591" t="e">
        <f t="shared" si="5"/>
        <v>#DIV/0!</v>
      </c>
    </row>
    <row r="37" spans="1:27" s="591" customFormat="1" ht="50.25" hidden="1" customHeight="1">
      <c r="A37" s="683">
        <v>21</v>
      </c>
      <c r="B37" s="683" t="str">
        <f>'Chấm công KT'!D112</f>
        <v>03534</v>
      </c>
      <c r="C37" s="696" t="str">
        <f>TONGHOPCONGDOI!C116</f>
        <v>T. Un</v>
      </c>
      <c r="D37" s="696"/>
      <c r="E37" s="697">
        <f>VLOOKUP(C37,TONGHOPCONGDOI!C116:Q203,15,0)</f>
        <v>0</v>
      </c>
      <c r="F37" s="696">
        <f t="shared" si="6"/>
        <v>0</v>
      </c>
      <c r="G37" s="696">
        <f>VLOOKUP(C37,TONGHOPCONGDOI!C116:AD203,16,0)</f>
        <v>0</v>
      </c>
      <c r="H37" s="696">
        <f>VLOOKUP(C37,TONGHOPCONGDOI!C116:AD203,18,0)</f>
        <v>0</v>
      </c>
      <c r="I37" s="696"/>
      <c r="J37" s="1556" t="e">
        <f t="shared" si="7"/>
        <v>#DIV/0!</v>
      </c>
      <c r="K37" s="683" t="str">
        <f>VLOOKUP(C37,'BTH mủ tạp'!C117:AL200,36,0)</f>
        <v>B</v>
      </c>
      <c r="L37" s="1185" t="e">
        <f t="shared" si="9"/>
        <v>#DIV/0!</v>
      </c>
      <c r="M37" s="696">
        <f>VLOOKUP(C37,TONGHOPCONGDOI!$C$96:$AD$183,20,0)</f>
        <v>0</v>
      </c>
      <c r="N37" s="696">
        <f>VLOOKUP(C37,TONGHOPCONGDOI!$C$96:$AD$183,21,0)</f>
        <v>0</v>
      </c>
      <c r="O37" s="696">
        <f>VLOOKUP(C37,TONGHOPCONGDOI!$C$96:$AD$183,22,0)</f>
        <v>0</v>
      </c>
      <c r="P37" s="696">
        <f>VLOOKUP(C37,TONGHOPCONGDOI!$C$96:$AD$183,23,0)</f>
        <v>0</v>
      </c>
      <c r="Q37" s="696">
        <f>VLOOKUP(C37,TONGHOPCONGDOI!$C$96:$AD$183,24,0)</f>
        <v>0</v>
      </c>
      <c r="R37" s="696">
        <f>VLOOKUP(C37,TONGHOPCONGDOI!$C$96:$AD$183,25,0)</f>
        <v>0</v>
      </c>
      <c r="S37" s="696"/>
      <c r="T37" s="685">
        <f t="shared" si="1"/>
        <v>0</v>
      </c>
      <c r="U37" s="685">
        <f t="shared" si="4"/>
        <v>0</v>
      </c>
      <c r="V37" s="685"/>
      <c r="W37" s="1725">
        <f t="shared" si="8"/>
        <v>0</v>
      </c>
      <c r="X37" s="696" t="e">
        <f t="shared" si="2"/>
        <v>#DIV/0!</v>
      </c>
      <c r="Y37" s="696"/>
      <c r="Z37" s="696">
        <f>VLOOKUP(C37,'CNKT '!$C$101:$Z$182,24,0)</f>
        <v>0</v>
      </c>
      <c r="AA37" s="591" t="e">
        <f t="shared" si="5"/>
        <v>#DIV/0!</v>
      </c>
    </row>
    <row r="38" spans="1:27" s="591" customFormat="1" ht="50.25" hidden="1" customHeight="1">
      <c r="A38" s="683">
        <v>22</v>
      </c>
      <c r="B38" s="683" t="str">
        <f>'Chấm công KT'!D113</f>
        <v>03535</v>
      </c>
      <c r="C38" s="696" t="str">
        <f>TONGHOPCONGDOI!C117</f>
        <v>T. Ôn</v>
      </c>
      <c r="D38" s="696"/>
      <c r="E38" s="697">
        <f>VLOOKUP(C38,TONGHOPCONGDOI!C117:Q204,15,0)</f>
        <v>0</v>
      </c>
      <c r="F38" s="696">
        <f t="shared" si="6"/>
        <v>0</v>
      </c>
      <c r="G38" s="696">
        <f>VLOOKUP(C38,TONGHOPCONGDOI!C117:AD204,16,0)</f>
        <v>0</v>
      </c>
      <c r="H38" s="696">
        <f>VLOOKUP(C38,TONGHOPCONGDOI!C117:AD204,18,0)</f>
        <v>0</v>
      </c>
      <c r="I38" s="696"/>
      <c r="J38" s="1556" t="e">
        <f t="shared" si="7"/>
        <v>#DIV/0!</v>
      </c>
      <c r="K38" s="683" t="str">
        <f>VLOOKUP(C38,'BTH mủ tạp'!C118:AL201,36,0)</f>
        <v>A</v>
      </c>
      <c r="L38" s="1185" t="e">
        <f t="shared" ref="L38:L48" si="10">ROUND((IF(K38="A",(G38*$Z$13*6.1),IF(K38="B",(G38*$Z$13*5.8),IF(K38="C",(G38*$Z$13*5.5),IF(K38="D",(G38*$Z$13*5.2),0))))*$E$13+(H38*$AB$12*$E$13*6.1)+I38*$E$13*$AB$13*6.1),0)</f>
        <v>#DIV/0!</v>
      </c>
      <c r="M38" s="696">
        <f>VLOOKUP(C38,TONGHOPCONGDOI!$C$96:$AD$183,20,0)</f>
        <v>0</v>
      </c>
      <c r="N38" s="696">
        <f>VLOOKUP(C38,TONGHOPCONGDOI!$C$96:$AD$183,21,0)</f>
        <v>0</v>
      </c>
      <c r="O38" s="696">
        <f>VLOOKUP(C38,TONGHOPCONGDOI!$C$96:$AD$183,22,0)</f>
        <v>0</v>
      </c>
      <c r="P38" s="696">
        <f>VLOOKUP(C38,TONGHOPCONGDOI!$C$96:$AD$183,23,0)</f>
        <v>0</v>
      </c>
      <c r="Q38" s="696">
        <f>VLOOKUP(C38,TONGHOPCONGDOI!$C$96:$AD$183,24,0)</f>
        <v>0</v>
      </c>
      <c r="R38" s="696">
        <f>VLOOKUP(C38,TONGHOPCONGDOI!$C$96:$AD$183,25,0)</f>
        <v>0</v>
      </c>
      <c r="S38" s="696"/>
      <c r="T38" s="685">
        <f t="shared" si="1"/>
        <v>0</v>
      </c>
      <c r="U38" s="685">
        <f t="shared" si="4"/>
        <v>0</v>
      </c>
      <c r="V38" s="685"/>
      <c r="W38" s="1725">
        <f t="shared" si="8"/>
        <v>0</v>
      </c>
      <c r="X38" s="696" t="e">
        <f t="shared" si="2"/>
        <v>#DIV/0!</v>
      </c>
      <c r="Y38" s="696"/>
      <c r="Z38" s="696">
        <f>VLOOKUP(C38,'CNKT '!$C$101:$Z$182,24,0)</f>
        <v>0</v>
      </c>
      <c r="AA38" s="591" t="e">
        <f t="shared" si="5"/>
        <v>#DIV/0!</v>
      </c>
    </row>
    <row r="39" spans="1:27" s="591" customFormat="1" ht="50.25" hidden="1" customHeight="1">
      <c r="A39" s="683">
        <v>23</v>
      </c>
      <c r="B39" s="683"/>
      <c r="C39" s="696" t="str">
        <f>TONGHOPCONGDOI!C118</f>
        <v>N. Không</v>
      </c>
      <c r="D39" s="696"/>
      <c r="E39" s="697">
        <f>VLOOKUP(C39,TONGHOPCONGDOI!C118:Q205,15,0)</f>
        <v>0</v>
      </c>
      <c r="F39" s="696">
        <f t="shared" si="6"/>
        <v>0</v>
      </c>
      <c r="G39" s="696">
        <f>VLOOKUP(C39,TONGHOPCONGDOI!C118:AD205,16,0)</f>
        <v>0</v>
      </c>
      <c r="H39" s="696">
        <f>VLOOKUP(C39,TONGHOPCONGDOI!C118:AD205,18,0)</f>
        <v>0</v>
      </c>
      <c r="I39" s="696"/>
      <c r="J39" s="1556" t="e">
        <f t="shared" si="7"/>
        <v>#DIV/0!</v>
      </c>
      <c r="K39" s="683" t="str">
        <f>VLOOKUP(C39,'BTH mủ tạp'!C119:AL202,36,0)</f>
        <v>B</v>
      </c>
      <c r="L39" s="1185" t="e">
        <f t="shared" si="10"/>
        <v>#DIV/0!</v>
      </c>
      <c r="M39" s="696">
        <f>VLOOKUP(C39,TONGHOPCONGDOI!$C$96:$AD$183,20,0)</f>
        <v>0</v>
      </c>
      <c r="N39" s="696">
        <f>VLOOKUP(C39,TONGHOPCONGDOI!$C$96:$AD$183,21,0)</f>
        <v>0</v>
      </c>
      <c r="O39" s="696">
        <f>VLOOKUP(C39,TONGHOPCONGDOI!$C$96:$AD$183,22,0)</f>
        <v>0</v>
      </c>
      <c r="P39" s="696">
        <f>VLOOKUP(C39,TONGHOPCONGDOI!$C$96:$AD$183,23,0)</f>
        <v>0</v>
      </c>
      <c r="Q39" s="696">
        <f>VLOOKUP(C39,TONGHOPCONGDOI!$C$96:$AD$183,24,0)</f>
        <v>0</v>
      </c>
      <c r="R39" s="696">
        <f>VLOOKUP(C39,TONGHOPCONGDOI!$C$96:$AD$183,25,0)</f>
        <v>0</v>
      </c>
      <c r="S39" s="696"/>
      <c r="T39" s="685">
        <f t="shared" si="1"/>
        <v>0</v>
      </c>
      <c r="U39" s="685">
        <f t="shared" si="4"/>
        <v>0</v>
      </c>
      <c r="V39" s="685"/>
      <c r="W39" s="1725">
        <f t="shared" si="8"/>
        <v>0</v>
      </c>
      <c r="X39" s="696" t="e">
        <f t="shared" si="2"/>
        <v>#DIV/0!</v>
      </c>
      <c r="Y39" s="696"/>
      <c r="Z39" s="696">
        <f>VLOOKUP(C39,'CNKT '!$C$101:$Z$182,24,0)</f>
        <v>0</v>
      </c>
      <c r="AA39" s="591" t="e">
        <f t="shared" si="5"/>
        <v>#DIV/0!</v>
      </c>
    </row>
    <row r="40" spans="1:27" s="591" customFormat="1" ht="50.25" hidden="1" customHeight="1">
      <c r="A40" s="683">
        <v>24</v>
      </c>
      <c r="B40" s="683" t="str">
        <f>'Chấm công KT'!D115</f>
        <v>03537</v>
      </c>
      <c r="C40" s="696" t="str">
        <f>TONGHOPCONGDOI!C119</f>
        <v>Văn Đi</v>
      </c>
      <c r="D40" s="696"/>
      <c r="E40" s="697">
        <f>VLOOKUP(C40,TONGHOPCONGDOI!C119:Q206,15,0)</f>
        <v>0</v>
      </c>
      <c r="F40" s="696">
        <f t="shared" si="6"/>
        <v>0</v>
      </c>
      <c r="G40" s="696">
        <f>VLOOKUP(C40,TONGHOPCONGDOI!C119:AD206,16,0)</f>
        <v>0</v>
      </c>
      <c r="H40" s="696">
        <f>VLOOKUP(C40,TONGHOPCONGDOI!C119:AD206,18,0)</f>
        <v>0</v>
      </c>
      <c r="I40" s="696"/>
      <c r="J40" s="1556" t="e">
        <f t="shared" si="7"/>
        <v>#DIV/0!</v>
      </c>
      <c r="K40" s="683" t="str">
        <f>VLOOKUP(C40,'BTH mủ tạp'!C120:AL203,36,0)</f>
        <v>B</v>
      </c>
      <c r="L40" s="1185" t="e">
        <f t="shared" si="10"/>
        <v>#DIV/0!</v>
      </c>
      <c r="M40" s="696">
        <f>VLOOKUP(C40,TONGHOPCONGDOI!$C$96:$AD$183,20,0)</f>
        <v>0</v>
      </c>
      <c r="N40" s="696">
        <f>VLOOKUP(C40,TONGHOPCONGDOI!$C$96:$AD$183,21,0)</f>
        <v>0</v>
      </c>
      <c r="O40" s="696">
        <f>VLOOKUP(C40,TONGHOPCONGDOI!$C$96:$AD$183,22,0)</f>
        <v>0</v>
      </c>
      <c r="P40" s="696">
        <f>VLOOKUP(C40,TONGHOPCONGDOI!$C$96:$AD$183,23,0)</f>
        <v>0</v>
      </c>
      <c r="Q40" s="696">
        <f>VLOOKUP(C40,TONGHOPCONGDOI!$C$96:$AD$183,24,0)</f>
        <v>0</v>
      </c>
      <c r="R40" s="696">
        <f>VLOOKUP(C40,TONGHOPCONGDOI!$C$96:$AD$183,25,0)</f>
        <v>0</v>
      </c>
      <c r="S40" s="696"/>
      <c r="T40" s="685">
        <f t="shared" si="1"/>
        <v>0</v>
      </c>
      <c r="U40" s="685">
        <f t="shared" si="4"/>
        <v>0</v>
      </c>
      <c r="V40" s="685"/>
      <c r="W40" s="1725">
        <f t="shared" si="8"/>
        <v>0</v>
      </c>
      <c r="X40" s="696" t="e">
        <f t="shared" si="2"/>
        <v>#DIV/0!</v>
      </c>
      <c r="Y40" s="696"/>
      <c r="Z40" s="696">
        <f>VLOOKUP(C40,'CNKT '!$C$101:$Z$182,24,0)</f>
        <v>0</v>
      </c>
      <c r="AA40" s="591" t="e">
        <f t="shared" si="5"/>
        <v>#DIV/0!</v>
      </c>
    </row>
    <row r="41" spans="1:27" s="591" customFormat="1" ht="50.25" hidden="1" customHeight="1">
      <c r="A41" s="683">
        <v>25</v>
      </c>
      <c r="B41" s="683" t="str">
        <f>'Chấm công KT'!D116</f>
        <v>03538</v>
      </c>
      <c r="C41" s="696" t="str">
        <f>TONGHOPCONGDOI!C120</f>
        <v>T. U Đôm</v>
      </c>
      <c r="D41" s="696"/>
      <c r="E41" s="697">
        <f>VLOOKUP(C41,TONGHOPCONGDOI!C120:Q207,15,0)</f>
        <v>0</v>
      </c>
      <c r="F41" s="696">
        <f t="shared" si="6"/>
        <v>0</v>
      </c>
      <c r="G41" s="696">
        <f>VLOOKUP(C41,TONGHOPCONGDOI!C120:AD207,16,0)</f>
        <v>0</v>
      </c>
      <c r="H41" s="696">
        <f>VLOOKUP(C41,TONGHOPCONGDOI!C120:AD207,18,0)</f>
        <v>0</v>
      </c>
      <c r="I41" s="696"/>
      <c r="J41" s="1556" t="e">
        <f t="shared" si="7"/>
        <v>#DIV/0!</v>
      </c>
      <c r="K41" s="683" t="str">
        <f>VLOOKUP(C41,'BTH mủ tạp'!C121:AL204,36,0)</f>
        <v>A</v>
      </c>
      <c r="L41" s="1185" t="e">
        <f t="shared" si="10"/>
        <v>#DIV/0!</v>
      </c>
      <c r="M41" s="696">
        <f>VLOOKUP(C41,TONGHOPCONGDOI!$C$96:$AD$183,20,0)</f>
        <v>0</v>
      </c>
      <c r="N41" s="696">
        <f>VLOOKUP(C41,TONGHOPCONGDOI!$C$96:$AD$183,21,0)</f>
        <v>0</v>
      </c>
      <c r="O41" s="696">
        <f>VLOOKUP(C41,TONGHOPCONGDOI!$C$96:$AD$183,22,0)</f>
        <v>0</v>
      </c>
      <c r="P41" s="696">
        <f>VLOOKUP(C41,TONGHOPCONGDOI!$C$96:$AD$183,23,0)</f>
        <v>0</v>
      </c>
      <c r="Q41" s="696">
        <f>VLOOKUP(C41,TONGHOPCONGDOI!$C$96:$AD$183,24,0)</f>
        <v>0</v>
      </c>
      <c r="R41" s="696">
        <f>VLOOKUP(C41,TONGHOPCONGDOI!$C$96:$AD$183,25,0)</f>
        <v>0</v>
      </c>
      <c r="S41" s="696"/>
      <c r="T41" s="685">
        <f t="shared" si="1"/>
        <v>0</v>
      </c>
      <c r="U41" s="685">
        <f t="shared" si="4"/>
        <v>0</v>
      </c>
      <c r="V41" s="685"/>
      <c r="W41" s="1725">
        <f t="shared" si="8"/>
        <v>0</v>
      </c>
      <c r="X41" s="696" t="e">
        <f t="shared" si="2"/>
        <v>#DIV/0!</v>
      </c>
      <c r="Y41" s="696"/>
      <c r="Z41" s="696">
        <f>VLOOKUP(C41,'CNKT '!$C$101:$Z$182,24,0)</f>
        <v>0</v>
      </c>
      <c r="AA41" s="591" t="e">
        <f t="shared" si="5"/>
        <v>#DIV/0!</v>
      </c>
    </row>
    <row r="42" spans="1:27" s="591" customFormat="1" ht="50.25" hidden="1" customHeight="1">
      <c r="A42" s="683">
        <v>26</v>
      </c>
      <c r="B42" s="683"/>
      <c r="C42" s="696" t="str">
        <f>TONGHOPCONGDOI!C121</f>
        <v>N. Lăm Thong</v>
      </c>
      <c r="D42" s="696"/>
      <c r="E42" s="697">
        <f>VLOOKUP(C42,TONGHOPCONGDOI!C121:Q208,15,0)</f>
        <v>0</v>
      </c>
      <c r="F42" s="696">
        <f t="shared" si="6"/>
        <v>0</v>
      </c>
      <c r="G42" s="696">
        <f>VLOOKUP(C42,TONGHOPCONGDOI!C121:AD208,16,0)</f>
        <v>0</v>
      </c>
      <c r="H42" s="696">
        <f>VLOOKUP(C42,TONGHOPCONGDOI!C121:AD208,18,0)</f>
        <v>0</v>
      </c>
      <c r="I42" s="696"/>
      <c r="J42" s="1556" t="e">
        <f t="shared" si="7"/>
        <v>#DIV/0!</v>
      </c>
      <c r="K42" s="683" t="str">
        <f>VLOOKUP(C42,'BTH mủ tạp'!C122:AL205,36,0)</f>
        <v>A</v>
      </c>
      <c r="L42" s="1185" t="e">
        <f t="shared" si="10"/>
        <v>#DIV/0!</v>
      </c>
      <c r="M42" s="696">
        <f>VLOOKUP(C42,TONGHOPCONGDOI!$C$96:$AD$183,20,0)</f>
        <v>0</v>
      </c>
      <c r="N42" s="696">
        <f>VLOOKUP(C42,TONGHOPCONGDOI!$C$96:$AD$183,21,0)</f>
        <v>0</v>
      </c>
      <c r="O42" s="696">
        <f>VLOOKUP(C42,TONGHOPCONGDOI!$C$96:$AD$183,22,0)</f>
        <v>0</v>
      </c>
      <c r="P42" s="696">
        <f>VLOOKUP(C42,TONGHOPCONGDOI!$C$96:$AD$183,23,0)</f>
        <v>0</v>
      </c>
      <c r="Q42" s="696">
        <f>VLOOKUP(C42,TONGHOPCONGDOI!$C$96:$AD$183,24,0)</f>
        <v>0</v>
      </c>
      <c r="R42" s="696">
        <f>VLOOKUP(C42,TONGHOPCONGDOI!$C$96:$AD$183,25,0)</f>
        <v>0</v>
      </c>
      <c r="S42" s="696"/>
      <c r="T42" s="685">
        <f t="shared" si="1"/>
        <v>0</v>
      </c>
      <c r="U42" s="685">
        <f t="shared" si="4"/>
        <v>0</v>
      </c>
      <c r="V42" s="685"/>
      <c r="W42" s="1725">
        <f t="shared" si="8"/>
        <v>0</v>
      </c>
      <c r="X42" s="696" t="e">
        <f t="shared" si="2"/>
        <v>#DIV/0!</v>
      </c>
      <c r="Y42" s="696"/>
      <c r="Z42" s="696">
        <f>VLOOKUP(C42,'CNKT '!$C$101:$Z$182,24,0)</f>
        <v>0</v>
      </c>
      <c r="AA42" s="591" t="e">
        <f t="shared" si="5"/>
        <v>#DIV/0!</v>
      </c>
    </row>
    <row r="43" spans="1:27" s="591" customFormat="1" ht="50.25" hidden="1" customHeight="1">
      <c r="A43" s="683">
        <v>27</v>
      </c>
      <c r="B43" s="683" t="str">
        <f>'Chấm công KT'!D118</f>
        <v>03540</v>
      </c>
      <c r="C43" s="696" t="str">
        <f>TONGHOPCONGDOI!C122</f>
        <v>N. Seng</v>
      </c>
      <c r="D43" s="696"/>
      <c r="E43" s="697">
        <f>VLOOKUP(C43,TONGHOPCONGDOI!C122:Q209,15,0)</f>
        <v>0</v>
      </c>
      <c r="F43" s="696">
        <f t="shared" si="6"/>
        <v>0</v>
      </c>
      <c r="G43" s="696">
        <f>VLOOKUP(C43,TONGHOPCONGDOI!C122:AD209,16,0)</f>
        <v>0</v>
      </c>
      <c r="H43" s="696">
        <f>VLOOKUP(C43,TONGHOPCONGDOI!C122:AD209,18,0)</f>
        <v>0</v>
      </c>
      <c r="I43" s="696"/>
      <c r="J43" s="1556" t="e">
        <f t="shared" si="7"/>
        <v>#DIV/0!</v>
      </c>
      <c r="K43" s="683" t="str">
        <f>VLOOKUP(C43,'BTH mủ tạp'!C123:AL206,36,0)</f>
        <v>B</v>
      </c>
      <c r="L43" s="1185" t="e">
        <f t="shared" si="10"/>
        <v>#DIV/0!</v>
      </c>
      <c r="M43" s="696">
        <f>VLOOKUP(C43,TONGHOPCONGDOI!$C$96:$AD$183,20,0)</f>
        <v>0</v>
      </c>
      <c r="N43" s="696">
        <f>VLOOKUP(C43,TONGHOPCONGDOI!$C$96:$AD$183,21,0)</f>
        <v>0</v>
      </c>
      <c r="O43" s="696">
        <f>VLOOKUP(C43,TONGHOPCONGDOI!$C$96:$AD$183,22,0)</f>
        <v>0</v>
      </c>
      <c r="P43" s="696">
        <f>VLOOKUP(C43,TONGHOPCONGDOI!$C$96:$AD$183,23,0)</f>
        <v>0</v>
      </c>
      <c r="Q43" s="696">
        <f>VLOOKUP(C43,TONGHOPCONGDOI!$C$96:$AD$183,24,0)</f>
        <v>0</v>
      </c>
      <c r="R43" s="696">
        <f>VLOOKUP(C43,TONGHOPCONGDOI!$C$96:$AD$183,25,0)</f>
        <v>0</v>
      </c>
      <c r="S43" s="696"/>
      <c r="T43" s="685">
        <f t="shared" si="1"/>
        <v>0</v>
      </c>
      <c r="U43" s="685">
        <f t="shared" si="4"/>
        <v>0</v>
      </c>
      <c r="V43" s="685"/>
      <c r="W43" s="1725">
        <f t="shared" si="8"/>
        <v>0</v>
      </c>
      <c r="X43" s="696" t="e">
        <f t="shared" si="2"/>
        <v>#DIV/0!</v>
      </c>
      <c r="Y43" s="696"/>
      <c r="Z43" s="696">
        <f>VLOOKUP(C43,'CNKT '!$C$101:$Z$182,24,0)</f>
        <v>0</v>
      </c>
      <c r="AA43" s="591" t="e">
        <f t="shared" si="5"/>
        <v>#DIV/0!</v>
      </c>
    </row>
    <row r="44" spans="1:27" s="591" customFormat="1" ht="50.25" hidden="1" customHeight="1">
      <c r="A44" s="683">
        <v>28</v>
      </c>
      <c r="B44" s="683" t="str">
        <f>'Chấm công KT'!D119</f>
        <v>03541</v>
      </c>
      <c r="C44" s="696" t="str">
        <f>TONGHOPCONGDOI!C123</f>
        <v>T Đeng</v>
      </c>
      <c r="D44" s="696"/>
      <c r="E44" s="697">
        <f>VLOOKUP(C44,TONGHOPCONGDOI!C123:Q210,15,0)</f>
        <v>0</v>
      </c>
      <c r="F44" s="696">
        <f t="shared" si="6"/>
        <v>0</v>
      </c>
      <c r="G44" s="696">
        <f>VLOOKUP(C44,TONGHOPCONGDOI!C123:AD210,16,0)</f>
        <v>0</v>
      </c>
      <c r="H44" s="696">
        <f>VLOOKUP(C44,TONGHOPCONGDOI!C123:AD210,18,0)</f>
        <v>0</v>
      </c>
      <c r="I44" s="696"/>
      <c r="J44" s="1556" t="e">
        <f t="shared" si="7"/>
        <v>#DIV/0!</v>
      </c>
      <c r="K44" s="683" t="str">
        <f>VLOOKUP(C44,'BTH mủ tạp'!C124:AL207,36,0)</f>
        <v>A</v>
      </c>
      <c r="L44" s="1185" t="e">
        <f t="shared" si="10"/>
        <v>#DIV/0!</v>
      </c>
      <c r="M44" s="696">
        <f>VLOOKUP(C44,TONGHOPCONGDOI!$C$96:$AD$183,20,0)</f>
        <v>0</v>
      </c>
      <c r="N44" s="696">
        <f>VLOOKUP(C44,TONGHOPCONGDOI!$C$96:$AD$183,21,0)</f>
        <v>0</v>
      </c>
      <c r="O44" s="696">
        <f>VLOOKUP(C44,TONGHOPCONGDOI!$C$96:$AD$183,22,0)</f>
        <v>0</v>
      </c>
      <c r="P44" s="696">
        <f>VLOOKUP(C44,TONGHOPCONGDOI!$C$96:$AD$183,23,0)</f>
        <v>0</v>
      </c>
      <c r="Q44" s="696">
        <f>VLOOKUP(C44,TONGHOPCONGDOI!$C$96:$AD$183,24,0)</f>
        <v>0</v>
      </c>
      <c r="R44" s="696">
        <f>VLOOKUP(C44,TONGHOPCONGDOI!$C$96:$AD$183,25,0)</f>
        <v>0</v>
      </c>
      <c r="S44" s="696"/>
      <c r="T44" s="685">
        <f t="shared" si="1"/>
        <v>0</v>
      </c>
      <c r="U44" s="685">
        <f t="shared" si="4"/>
        <v>0</v>
      </c>
      <c r="V44" s="685"/>
      <c r="W44" s="1725">
        <f t="shared" si="8"/>
        <v>0</v>
      </c>
      <c r="X44" s="696" t="e">
        <f t="shared" si="2"/>
        <v>#DIV/0!</v>
      </c>
      <c r="Y44" s="696"/>
      <c r="Z44" s="696">
        <f>VLOOKUP(C44,'CNKT '!$C$101:$Z$182,24,0)</f>
        <v>0</v>
      </c>
      <c r="AA44" s="591" t="e">
        <f t="shared" si="5"/>
        <v>#DIV/0!</v>
      </c>
    </row>
    <row r="45" spans="1:27" s="591" customFormat="1" ht="50.25" hidden="1" customHeight="1">
      <c r="A45" s="683">
        <v>29</v>
      </c>
      <c r="B45" s="683" t="str">
        <f>'Chấm công KT'!D120</f>
        <v>03542</v>
      </c>
      <c r="C45" s="696" t="str">
        <f>TONGHOPCONGDOI!C124</f>
        <v>T . Keo</v>
      </c>
      <c r="D45" s="696"/>
      <c r="E45" s="697">
        <f>VLOOKUP(C45,TONGHOPCONGDOI!C124:Q211,15,0)</f>
        <v>0</v>
      </c>
      <c r="F45" s="696">
        <f t="shared" si="6"/>
        <v>0</v>
      </c>
      <c r="G45" s="696">
        <f>VLOOKUP(C45,TONGHOPCONGDOI!C124:AD211,16,0)</f>
        <v>0</v>
      </c>
      <c r="H45" s="696">
        <f>VLOOKUP(C45,TONGHOPCONGDOI!C124:AD211,18,0)</f>
        <v>0</v>
      </c>
      <c r="I45" s="696"/>
      <c r="J45" s="1556" t="e">
        <f t="shared" si="7"/>
        <v>#DIV/0!</v>
      </c>
      <c r="K45" s="683" t="str">
        <f>VLOOKUP(C45,'BTH mủ tạp'!C125:AL208,36,0)</f>
        <v>B</v>
      </c>
      <c r="L45" s="1185" t="e">
        <f t="shared" si="10"/>
        <v>#DIV/0!</v>
      </c>
      <c r="M45" s="696">
        <f>VLOOKUP(C45,TONGHOPCONGDOI!$C$96:$AD$183,20,0)</f>
        <v>0</v>
      </c>
      <c r="N45" s="696">
        <f>VLOOKUP(C45,TONGHOPCONGDOI!$C$96:$AD$183,21,0)</f>
        <v>0</v>
      </c>
      <c r="O45" s="696">
        <f>VLOOKUP(C45,TONGHOPCONGDOI!$C$96:$AD$183,22,0)</f>
        <v>0</v>
      </c>
      <c r="P45" s="696">
        <f>VLOOKUP(C45,TONGHOPCONGDOI!$C$96:$AD$183,23,0)</f>
        <v>0</v>
      </c>
      <c r="Q45" s="696">
        <f>VLOOKUP(C45,TONGHOPCONGDOI!$C$96:$AD$183,24,0)</f>
        <v>0</v>
      </c>
      <c r="R45" s="696">
        <f>VLOOKUP(C45,TONGHOPCONGDOI!$C$96:$AD$183,25,0)</f>
        <v>0</v>
      </c>
      <c r="S45" s="696"/>
      <c r="T45" s="685">
        <f t="shared" si="1"/>
        <v>0</v>
      </c>
      <c r="U45" s="685">
        <f t="shared" si="4"/>
        <v>0</v>
      </c>
      <c r="V45" s="685"/>
      <c r="W45" s="1725">
        <f t="shared" si="8"/>
        <v>0</v>
      </c>
      <c r="X45" s="696" t="e">
        <f t="shared" si="2"/>
        <v>#DIV/0!</v>
      </c>
      <c r="Y45" s="696"/>
      <c r="Z45" s="696">
        <f>VLOOKUP(C45,'CNKT '!$C$101:$Z$182,24,0)</f>
        <v>0</v>
      </c>
      <c r="AA45" s="591" t="e">
        <f t="shared" si="5"/>
        <v>#DIV/0!</v>
      </c>
    </row>
    <row r="46" spans="1:27" s="591" customFormat="1" ht="50.25" hidden="1" customHeight="1">
      <c r="A46" s="683">
        <v>30</v>
      </c>
      <c r="B46" s="683" t="str">
        <f>'Chấm công KT'!D121</f>
        <v>03543</v>
      </c>
      <c r="C46" s="696" t="str">
        <f>TONGHOPCONGDOI!C125</f>
        <v>Văn Na Nọi</v>
      </c>
      <c r="D46" s="696"/>
      <c r="E46" s="697">
        <f>VLOOKUP(C46,TONGHOPCONGDOI!C125:Q212,15,0)</f>
        <v>0</v>
      </c>
      <c r="F46" s="696">
        <f t="shared" si="6"/>
        <v>0</v>
      </c>
      <c r="G46" s="696">
        <f>VLOOKUP(C46,TONGHOPCONGDOI!C125:AD212,16,0)</f>
        <v>0</v>
      </c>
      <c r="H46" s="696">
        <f>VLOOKUP(C46,TONGHOPCONGDOI!C125:AD212,18,0)</f>
        <v>0</v>
      </c>
      <c r="I46" s="696"/>
      <c r="J46" s="1556" t="e">
        <f t="shared" si="7"/>
        <v>#DIV/0!</v>
      </c>
      <c r="K46" s="683" t="str">
        <f>VLOOKUP(C46,'BTH mủ tạp'!C126:AL209,36,0)</f>
        <v>B</v>
      </c>
      <c r="L46" s="1185" t="e">
        <f t="shared" si="10"/>
        <v>#DIV/0!</v>
      </c>
      <c r="M46" s="696">
        <f>VLOOKUP(C46,TONGHOPCONGDOI!$C$96:$AD$183,20,0)</f>
        <v>0</v>
      </c>
      <c r="N46" s="696">
        <f>VLOOKUP(C46,TONGHOPCONGDOI!$C$96:$AD$183,21,0)</f>
        <v>0</v>
      </c>
      <c r="O46" s="696">
        <f>VLOOKUP(C46,TONGHOPCONGDOI!$C$96:$AD$183,22,0)</f>
        <v>0</v>
      </c>
      <c r="P46" s="696">
        <f>VLOOKUP(C46,TONGHOPCONGDOI!$C$96:$AD$183,23,0)</f>
        <v>0</v>
      </c>
      <c r="Q46" s="696">
        <f>VLOOKUP(C46,TONGHOPCONGDOI!$C$96:$AD$183,24,0)</f>
        <v>0</v>
      </c>
      <c r="R46" s="696">
        <f>VLOOKUP(C46,TONGHOPCONGDOI!$C$96:$AD$183,25,0)</f>
        <v>0</v>
      </c>
      <c r="S46" s="696"/>
      <c r="T46" s="685">
        <f t="shared" si="1"/>
        <v>0</v>
      </c>
      <c r="U46" s="685">
        <f t="shared" si="4"/>
        <v>0</v>
      </c>
      <c r="V46" s="685"/>
      <c r="W46" s="1725">
        <f t="shared" si="8"/>
        <v>0</v>
      </c>
      <c r="X46" s="696" t="e">
        <f t="shared" si="2"/>
        <v>#DIV/0!</v>
      </c>
      <c r="Y46" s="696"/>
      <c r="Z46" s="696">
        <f>VLOOKUP(C46,'CNKT '!$C$101:$Z$182,24,0)</f>
        <v>0</v>
      </c>
      <c r="AA46" s="591" t="e">
        <f t="shared" si="5"/>
        <v>#DIV/0!</v>
      </c>
    </row>
    <row r="47" spans="1:27" s="591" customFormat="1" ht="50.25" hidden="1" customHeight="1">
      <c r="A47" s="683">
        <v>31</v>
      </c>
      <c r="B47" s="683" t="str">
        <f>'Chấm công KT'!D122</f>
        <v>03544</v>
      </c>
      <c r="C47" s="696" t="str">
        <f>TONGHOPCONGDOI!C126</f>
        <v>T. Ta</v>
      </c>
      <c r="D47" s="696"/>
      <c r="E47" s="697">
        <f>VLOOKUP(C47,TONGHOPCONGDOI!C126:Q213,15,0)</f>
        <v>0</v>
      </c>
      <c r="F47" s="696">
        <f t="shared" si="6"/>
        <v>0</v>
      </c>
      <c r="G47" s="696">
        <f>VLOOKUP(C47,TONGHOPCONGDOI!C126:AD213,16,0)</f>
        <v>0</v>
      </c>
      <c r="H47" s="696">
        <f>VLOOKUP(C47,TONGHOPCONGDOI!C126:AD213,18,0)</f>
        <v>0</v>
      </c>
      <c r="I47" s="696"/>
      <c r="J47" s="1556" t="e">
        <f t="shared" si="7"/>
        <v>#DIV/0!</v>
      </c>
      <c r="K47" s="683" t="str">
        <f>VLOOKUP(C47,'BTH mủ tạp'!C127:AL210,36,0)</f>
        <v>A</v>
      </c>
      <c r="L47" s="1185" t="e">
        <f t="shared" si="10"/>
        <v>#DIV/0!</v>
      </c>
      <c r="M47" s="696">
        <f>VLOOKUP(C47,TONGHOPCONGDOI!$C$96:$AD$183,20,0)</f>
        <v>0</v>
      </c>
      <c r="N47" s="696">
        <f>VLOOKUP(C47,TONGHOPCONGDOI!$C$96:$AD$183,21,0)</f>
        <v>0</v>
      </c>
      <c r="O47" s="696">
        <f>VLOOKUP(C47,TONGHOPCONGDOI!$C$96:$AD$183,22,0)</f>
        <v>0</v>
      </c>
      <c r="P47" s="696">
        <f>VLOOKUP(C47,TONGHOPCONGDOI!$C$96:$AD$183,23,0)</f>
        <v>0</v>
      </c>
      <c r="Q47" s="696">
        <f>VLOOKUP(C47,TONGHOPCONGDOI!$C$96:$AD$183,24,0)</f>
        <v>0</v>
      </c>
      <c r="R47" s="696">
        <f>VLOOKUP(C47,TONGHOPCONGDOI!$C$96:$AD$183,25,0)</f>
        <v>0</v>
      </c>
      <c r="S47" s="696"/>
      <c r="T47" s="685">
        <f t="shared" si="1"/>
        <v>0</v>
      </c>
      <c r="U47" s="685">
        <f t="shared" si="4"/>
        <v>0</v>
      </c>
      <c r="V47" s="685"/>
      <c r="W47" s="1725">
        <f t="shared" si="8"/>
        <v>0</v>
      </c>
      <c r="X47" s="696" t="e">
        <f t="shared" si="2"/>
        <v>#DIV/0!</v>
      </c>
      <c r="Y47" s="696"/>
      <c r="Z47" s="696">
        <f>VLOOKUP(C47,'CNKT '!$C$101:$Z$182,24,0)</f>
        <v>0</v>
      </c>
      <c r="AA47" s="591" t="e">
        <f t="shared" si="5"/>
        <v>#DIV/0!</v>
      </c>
    </row>
    <row r="48" spans="1:27" s="591" customFormat="1" ht="50.25" hidden="1" customHeight="1">
      <c r="A48" s="683">
        <v>32</v>
      </c>
      <c r="B48" s="683" t="str">
        <f>'Chấm công KT'!D123</f>
        <v>03545</v>
      </c>
      <c r="C48" s="696" t="str">
        <f>TONGHOPCONGDOI!C127</f>
        <v>Phon Xa Văn</v>
      </c>
      <c r="D48" s="696"/>
      <c r="E48" s="697">
        <f>VLOOKUP(C48,TONGHOPCONGDOI!C127:Q214,15,0)</f>
        <v>0</v>
      </c>
      <c r="F48" s="696">
        <f t="shared" si="6"/>
        <v>0</v>
      </c>
      <c r="G48" s="696">
        <f>VLOOKUP(C48,TONGHOPCONGDOI!C127:AD214,16,0)</f>
        <v>0</v>
      </c>
      <c r="H48" s="696">
        <f>VLOOKUP(C48,TONGHOPCONGDOI!C127:AD214,18,0)</f>
        <v>0</v>
      </c>
      <c r="I48" s="696"/>
      <c r="J48" s="1556" t="e">
        <f t="shared" si="7"/>
        <v>#DIV/0!</v>
      </c>
      <c r="K48" s="683" t="str">
        <f>VLOOKUP(C48,'BTH mủ tạp'!C128:AL211,36,0)</f>
        <v>B</v>
      </c>
      <c r="L48" s="1185" t="e">
        <f t="shared" si="10"/>
        <v>#DIV/0!</v>
      </c>
      <c r="M48" s="696">
        <f>VLOOKUP(C48,TONGHOPCONGDOI!$C$96:$AD$183,20,0)</f>
        <v>0</v>
      </c>
      <c r="N48" s="696">
        <f>VLOOKUP(C48,TONGHOPCONGDOI!$C$96:$AD$183,21,0)</f>
        <v>0</v>
      </c>
      <c r="O48" s="696">
        <f>VLOOKUP(C48,TONGHOPCONGDOI!$C$96:$AD$183,22,0)</f>
        <v>0</v>
      </c>
      <c r="P48" s="696">
        <f>VLOOKUP(C48,TONGHOPCONGDOI!$C$96:$AD$183,23,0)</f>
        <v>0</v>
      </c>
      <c r="Q48" s="696">
        <f>VLOOKUP(C48,TONGHOPCONGDOI!$C$96:$AD$183,24,0)</f>
        <v>0</v>
      </c>
      <c r="R48" s="696">
        <f>VLOOKUP(C48,TONGHOPCONGDOI!$C$96:$AD$183,25,0)</f>
        <v>0</v>
      </c>
      <c r="S48" s="696"/>
      <c r="T48" s="685">
        <f t="shared" si="1"/>
        <v>0</v>
      </c>
      <c r="U48" s="685">
        <f t="shared" si="4"/>
        <v>0</v>
      </c>
      <c r="V48" s="685"/>
      <c r="W48" s="1725">
        <f t="shared" si="8"/>
        <v>0</v>
      </c>
      <c r="X48" s="696" t="e">
        <f t="shared" si="2"/>
        <v>#DIV/0!</v>
      </c>
      <c r="Y48" s="696"/>
      <c r="Z48" s="696">
        <f>VLOOKUP(C48,'CNKT '!$C$101:$Z$182,24,0)</f>
        <v>0</v>
      </c>
      <c r="AA48" s="591" t="e">
        <f t="shared" si="5"/>
        <v>#DIV/0!</v>
      </c>
    </row>
    <row r="49" spans="1:27" s="591" customFormat="1" ht="50.25" hidden="1" customHeight="1">
      <c r="A49" s="683">
        <v>33</v>
      </c>
      <c r="B49" s="683" t="str">
        <f>'Chấm công KT'!D124</f>
        <v>03546</v>
      </c>
      <c r="C49" s="696" t="str">
        <f>TONGHOPCONGDOI!C128</f>
        <v>T. Nọi</v>
      </c>
      <c r="D49" s="696"/>
      <c r="E49" s="697">
        <f>VLOOKUP(C49,TONGHOPCONGDOI!C128:Q215,15,0)</f>
        <v>0</v>
      </c>
      <c r="F49" s="696">
        <f t="shared" si="6"/>
        <v>0</v>
      </c>
      <c r="G49" s="696">
        <f>VLOOKUP(C49,TONGHOPCONGDOI!C128:AD215,16,0)</f>
        <v>0</v>
      </c>
      <c r="H49" s="696">
        <f>VLOOKUP(C49,TONGHOPCONGDOI!C128:AD215,18,0)</f>
        <v>0</v>
      </c>
      <c r="I49" s="696"/>
      <c r="J49" s="1556" t="e">
        <f t="shared" si="7"/>
        <v>#DIV/0!</v>
      </c>
      <c r="K49" s="683" t="str">
        <f>VLOOKUP(C49,'BTH mủ tạp'!C129:AL212,36,0)</f>
        <v>A</v>
      </c>
      <c r="L49" s="1185" t="e">
        <f t="shared" ref="L49:L51" si="11">ROUND((IF(K49="A",(G49*$Z$13*6.1),IF(K49="B",(G49*$Z$13*5.8),IF(K49="C",(G49*$Z$13*5.5),IF(K49="D",(G49*$Z$13*5.2),0))))*$E$13+(H49*$AB$12*$E$13*6.1)+I49*$E$13*$AB$13*6.1),0)</f>
        <v>#DIV/0!</v>
      </c>
      <c r="M49" s="696">
        <f>VLOOKUP(C49,TONGHOPCONGDOI!$C$96:$AD$183,20,0)</f>
        <v>0</v>
      </c>
      <c r="N49" s="696">
        <f>VLOOKUP(C49,TONGHOPCONGDOI!$C$96:$AD$183,21,0)</f>
        <v>0</v>
      </c>
      <c r="O49" s="696">
        <f>VLOOKUP(C49,TONGHOPCONGDOI!$C$96:$AD$183,22,0)</f>
        <v>0</v>
      </c>
      <c r="P49" s="696">
        <f>VLOOKUP(C49,TONGHOPCONGDOI!$C$96:$AD$183,23,0)</f>
        <v>0</v>
      </c>
      <c r="Q49" s="696">
        <f>VLOOKUP(C49,TONGHOPCONGDOI!$C$96:$AD$183,24,0)</f>
        <v>0</v>
      </c>
      <c r="R49" s="696">
        <f>VLOOKUP(C49,TONGHOPCONGDOI!$C$96:$AD$183,25,0)</f>
        <v>0</v>
      </c>
      <c r="S49" s="696"/>
      <c r="T49" s="685">
        <f t="shared" si="1"/>
        <v>0</v>
      </c>
      <c r="U49" s="685">
        <f t="shared" si="4"/>
        <v>0</v>
      </c>
      <c r="V49" s="685"/>
      <c r="W49" s="1725">
        <f t="shared" si="8"/>
        <v>0</v>
      </c>
      <c r="X49" s="696" t="e">
        <f t="shared" ref="X49:X80" si="12">F49+L49+W49</f>
        <v>#DIV/0!</v>
      </c>
      <c r="Y49" s="696"/>
      <c r="Z49" s="696">
        <f>VLOOKUP(C49,'CNKT '!$C$101:$Z$182,24,0)</f>
        <v>0</v>
      </c>
      <c r="AA49" s="591" t="e">
        <f t="shared" si="5"/>
        <v>#DIV/0!</v>
      </c>
    </row>
    <row r="50" spans="1:27" s="591" customFormat="1" ht="50.25" hidden="1" customHeight="1">
      <c r="A50" s="683">
        <v>34</v>
      </c>
      <c r="B50" s="683" t="str">
        <f>'Chấm công KT'!D125</f>
        <v>03547</v>
      </c>
      <c r="C50" s="696" t="str">
        <f>TONGHOPCONGDOI!C129</f>
        <v>N. Nôn</v>
      </c>
      <c r="D50" s="696"/>
      <c r="E50" s="697">
        <f>VLOOKUP(C50,TONGHOPCONGDOI!C129:Q216,15,0)</f>
        <v>0</v>
      </c>
      <c r="F50" s="696">
        <f t="shared" si="6"/>
        <v>0</v>
      </c>
      <c r="G50" s="696">
        <f>VLOOKUP(C50,TONGHOPCONGDOI!C129:AD216,16,0)</f>
        <v>0</v>
      </c>
      <c r="H50" s="696">
        <f>VLOOKUP(C50,TONGHOPCONGDOI!C129:AD216,18,0)</f>
        <v>0</v>
      </c>
      <c r="I50" s="696"/>
      <c r="J50" s="1556" t="e">
        <f t="shared" si="7"/>
        <v>#DIV/0!</v>
      </c>
      <c r="K50" s="683" t="str">
        <f>VLOOKUP(C50,'BTH mủ tạp'!C130:AL213,36,0)</f>
        <v>A</v>
      </c>
      <c r="L50" s="1185" t="e">
        <f t="shared" si="11"/>
        <v>#DIV/0!</v>
      </c>
      <c r="M50" s="696">
        <f>VLOOKUP(C50,TONGHOPCONGDOI!$C$96:$AD$183,20,0)</f>
        <v>0</v>
      </c>
      <c r="N50" s="696">
        <f>VLOOKUP(C50,TONGHOPCONGDOI!$C$96:$AD$183,21,0)</f>
        <v>0</v>
      </c>
      <c r="O50" s="696">
        <f>VLOOKUP(C50,TONGHOPCONGDOI!$C$96:$AD$183,22,0)</f>
        <v>0</v>
      </c>
      <c r="P50" s="696">
        <f>VLOOKUP(C50,TONGHOPCONGDOI!$C$96:$AD$183,23,0)</f>
        <v>0</v>
      </c>
      <c r="Q50" s="696">
        <f>VLOOKUP(C50,TONGHOPCONGDOI!$C$96:$AD$183,24,0)</f>
        <v>0</v>
      </c>
      <c r="R50" s="696">
        <f>VLOOKUP(C50,TONGHOPCONGDOI!$C$96:$AD$183,25,0)</f>
        <v>0</v>
      </c>
      <c r="S50" s="696"/>
      <c r="T50" s="685">
        <f t="shared" si="1"/>
        <v>0</v>
      </c>
      <c r="U50" s="685">
        <f t="shared" si="4"/>
        <v>0</v>
      </c>
      <c r="V50" s="685"/>
      <c r="W50" s="1725">
        <f t="shared" si="8"/>
        <v>0</v>
      </c>
      <c r="X50" s="696" t="e">
        <f t="shared" si="12"/>
        <v>#DIV/0!</v>
      </c>
      <c r="Y50" s="696"/>
      <c r="Z50" s="696">
        <f>VLOOKUP(C50,'CNKT '!$C$101:$Z$182,24,0)</f>
        <v>0</v>
      </c>
      <c r="AA50" s="591" t="e">
        <f t="shared" si="5"/>
        <v>#DIV/0!</v>
      </c>
    </row>
    <row r="51" spans="1:27" s="591" customFormat="1" ht="50.25" hidden="1" customHeight="1">
      <c r="A51" s="683">
        <v>35</v>
      </c>
      <c r="B51" s="683"/>
      <c r="C51" s="696" t="str">
        <f>TONGHOPCONGDOI!C130</f>
        <v>N. Công Say</v>
      </c>
      <c r="D51" s="696"/>
      <c r="E51" s="697">
        <f>VLOOKUP(C51,TONGHOPCONGDOI!C130:Q217,15,0)</f>
        <v>0</v>
      </c>
      <c r="F51" s="696">
        <f t="shared" si="6"/>
        <v>0</v>
      </c>
      <c r="G51" s="696">
        <f>VLOOKUP(C51,TONGHOPCONGDOI!C130:AD217,16,0)</f>
        <v>0</v>
      </c>
      <c r="H51" s="696">
        <f>VLOOKUP(C51,TONGHOPCONGDOI!C130:AD217,18,0)</f>
        <v>0</v>
      </c>
      <c r="I51" s="696"/>
      <c r="J51" s="1556" t="e">
        <f t="shared" si="7"/>
        <v>#DIV/0!</v>
      </c>
      <c r="K51" s="683" t="str">
        <f>VLOOKUP(C51,'BTH mủ tạp'!C131:AL214,36,0)</f>
        <v>A</v>
      </c>
      <c r="L51" s="1185" t="e">
        <f t="shared" si="11"/>
        <v>#DIV/0!</v>
      </c>
      <c r="M51" s="696">
        <f>VLOOKUP(C51,TONGHOPCONGDOI!$C$96:$AD$183,20,0)</f>
        <v>0</v>
      </c>
      <c r="N51" s="696">
        <f>VLOOKUP(C51,TONGHOPCONGDOI!$C$96:$AD$183,21,0)</f>
        <v>0</v>
      </c>
      <c r="O51" s="696">
        <f>VLOOKUP(C51,TONGHOPCONGDOI!$C$96:$AD$183,22,0)</f>
        <v>0</v>
      </c>
      <c r="P51" s="696">
        <f>VLOOKUP(C51,TONGHOPCONGDOI!$C$96:$AD$183,23,0)</f>
        <v>0</v>
      </c>
      <c r="Q51" s="696">
        <f>VLOOKUP(C51,TONGHOPCONGDOI!$C$96:$AD$183,24,0)</f>
        <v>0</v>
      </c>
      <c r="R51" s="696">
        <f>VLOOKUP(C51,TONGHOPCONGDOI!$C$96:$AD$183,25,0)</f>
        <v>0</v>
      </c>
      <c r="S51" s="696"/>
      <c r="T51" s="685">
        <f t="shared" si="1"/>
        <v>0</v>
      </c>
      <c r="U51" s="685">
        <f t="shared" si="4"/>
        <v>0</v>
      </c>
      <c r="V51" s="685"/>
      <c r="W51" s="1725">
        <f t="shared" si="8"/>
        <v>0</v>
      </c>
      <c r="X51" s="696" t="e">
        <f t="shared" si="12"/>
        <v>#DIV/0!</v>
      </c>
      <c r="Y51" s="696"/>
      <c r="Z51" s="696">
        <f>VLOOKUP(C51,'CNKT '!$C$101:$Z$182,24,0)</f>
        <v>0</v>
      </c>
      <c r="AA51" s="591" t="e">
        <f t="shared" si="5"/>
        <v>#DIV/0!</v>
      </c>
    </row>
    <row r="52" spans="1:27" s="591" customFormat="1" ht="50.25" hidden="1" customHeight="1">
      <c r="A52" s="683">
        <v>36</v>
      </c>
      <c r="B52" s="683" t="str">
        <f>'Chấm công KT'!D127</f>
        <v>03549</v>
      </c>
      <c r="C52" s="696" t="str">
        <f>TONGHOPCONGDOI!C131</f>
        <v>N. Xi Xộm</v>
      </c>
      <c r="D52" s="696"/>
      <c r="E52" s="697">
        <f>VLOOKUP(C52,TONGHOPCONGDOI!C131:Q218,15,0)</f>
        <v>0</v>
      </c>
      <c r="F52" s="696">
        <f t="shared" si="6"/>
        <v>0</v>
      </c>
      <c r="G52" s="696">
        <f>VLOOKUP(C52,TONGHOPCONGDOI!C131:AD218,16,0)</f>
        <v>0</v>
      </c>
      <c r="H52" s="696">
        <f>VLOOKUP(C52,TONGHOPCONGDOI!C131:AD218,18,0)</f>
        <v>0</v>
      </c>
      <c r="I52" s="696"/>
      <c r="J52" s="1556" t="e">
        <f t="shared" si="7"/>
        <v>#DIV/0!</v>
      </c>
      <c r="K52" s="683" t="str">
        <f>VLOOKUP(C52,'BTH mủ tạp'!C132:AL215,36,0)</f>
        <v>B</v>
      </c>
      <c r="L52" s="1185" t="e">
        <f t="shared" ref="L52:L60" si="13">ROUND((IF(K52="A",(G52*$Z$13*6.1),IF(K52="B",(G52*$Z$13*5.8),IF(K52="C",(G52*$Z$13*5.5),IF(K52="D",(G52*$Z$13*5.2),0))))*$E$13+(H52*$AB$12*$E$13*6.1)+I52*$E$13*$AB$13*6.1),0)</f>
        <v>#DIV/0!</v>
      </c>
      <c r="M52" s="696">
        <f>VLOOKUP(C52,TONGHOPCONGDOI!$C$96:$AD$183,20,0)</f>
        <v>0</v>
      </c>
      <c r="N52" s="696">
        <f>VLOOKUP(C52,TONGHOPCONGDOI!$C$96:$AD$183,21,0)</f>
        <v>0</v>
      </c>
      <c r="O52" s="696">
        <f>VLOOKUP(C52,TONGHOPCONGDOI!$C$96:$AD$183,22,0)</f>
        <v>0</v>
      </c>
      <c r="P52" s="696">
        <f>VLOOKUP(C52,TONGHOPCONGDOI!$C$96:$AD$183,23,0)</f>
        <v>0</v>
      </c>
      <c r="Q52" s="696">
        <f>VLOOKUP(C52,TONGHOPCONGDOI!$C$96:$AD$183,24,0)</f>
        <v>0</v>
      </c>
      <c r="R52" s="696">
        <f>VLOOKUP(C52,TONGHOPCONGDOI!$C$96:$AD$183,25,0)</f>
        <v>0</v>
      </c>
      <c r="S52" s="696"/>
      <c r="T52" s="685">
        <f t="shared" si="1"/>
        <v>0</v>
      </c>
      <c r="U52" s="685">
        <f t="shared" si="4"/>
        <v>0</v>
      </c>
      <c r="V52" s="685"/>
      <c r="W52" s="1725">
        <f t="shared" si="8"/>
        <v>0</v>
      </c>
      <c r="X52" s="696" t="e">
        <f t="shared" si="12"/>
        <v>#DIV/0!</v>
      </c>
      <c r="Y52" s="696"/>
      <c r="Z52" s="696">
        <f>VLOOKUP(C52,'CNKT '!$C$101:$Z$182,24,0)</f>
        <v>0</v>
      </c>
      <c r="AA52" s="591" t="e">
        <f t="shared" si="5"/>
        <v>#DIV/0!</v>
      </c>
    </row>
    <row r="53" spans="1:27" s="591" customFormat="1" ht="50.25" hidden="1" customHeight="1">
      <c r="A53" s="683">
        <v>37</v>
      </c>
      <c r="B53" s="683" t="str">
        <f>'Chấm công KT'!D128</f>
        <v>03550</v>
      </c>
      <c r="C53" s="696" t="str">
        <f>TONGHOPCONGDOI!C132</f>
        <v>T. Đuông</v>
      </c>
      <c r="D53" s="696"/>
      <c r="E53" s="697">
        <f>VLOOKUP(C53,TONGHOPCONGDOI!C132:Q219,15,0)</f>
        <v>0</v>
      </c>
      <c r="F53" s="696">
        <f t="shared" si="6"/>
        <v>0</v>
      </c>
      <c r="G53" s="696">
        <f>VLOOKUP(C53,TONGHOPCONGDOI!C132:AD219,16,0)</f>
        <v>0</v>
      </c>
      <c r="H53" s="696">
        <f>VLOOKUP(C53,TONGHOPCONGDOI!C132:AD219,18,0)</f>
        <v>0</v>
      </c>
      <c r="I53" s="696"/>
      <c r="J53" s="1556" t="e">
        <f t="shared" si="7"/>
        <v>#DIV/0!</v>
      </c>
      <c r="K53" s="683" t="str">
        <f>VLOOKUP(C53,'BTH mủ tạp'!C133:AL216,36,0)</f>
        <v>B</v>
      </c>
      <c r="L53" s="1185" t="e">
        <f t="shared" si="13"/>
        <v>#DIV/0!</v>
      </c>
      <c r="M53" s="696">
        <f>VLOOKUP(C53,TONGHOPCONGDOI!$C$96:$AD$183,20,0)</f>
        <v>0</v>
      </c>
      <c r="N53" s="696">
        <f>VLOOKUP(C53,TONGHOPCONGDOI!$C$96:$AD$183,21,0)</f>
        <v>0</v>
      </c>
      <c r="O53" s="696">
        <f>VLOOKUP(C53,TONGHOPCONGDOI!$C$96:$AD$183,22,0)</f>
        <v>0</v>
      </c>
      <c r="P53" s="696">
        <f>VLOOKUP(C53,TONGHOPCONGDOI!$C$96:$AD$183,23,0)</f>
        <v>0</v>
      </c>
      <c r="Q53" s="696">
        <f>VLOOKUP(C53,TONGHOPCONGDOI!$C$96:$AD$183,24,0)</f>
        <v>0</v>
      </c>
      <c r="R53" s="696">
        <f>VLOOKUP(C53,TONGHOPCONGDOI!$C$96:$AD$183,25,0)</f>
        <v>0</v>
      </c>
      <c r="S53" s="696"/>
      <c r="T53" s="685">
        <f t="shared" si="1"/>
        <v>0</v>
      </c>
      <c r="U53" s="685">
        <f t="shared" si="4"/>
        <v>0</v>
      </c>
      <c r="V53" s="685"/>
      <c r="W53" s="1725">
        <f t="shared" si="8"/>
        <v>0</v>
      </c>
      <c r="X53" s="696" t="e">
        <f t="shared" si="12"/>
        <v>#DIV/0!</v>
      </c>
      <c r="Y53" s="696"/>
      <c r="Z53" s="696">
        <f>VLOOKUP(C53,'CNKT '!$C$101:$Z$182,24,0)</f>
        <v>0</v>
      </c>
      <c r="AA53" s="591" t="e">
        <f t="shared" si="5"/>
        <v>#DIV/0!</v>
      </c>
    </row>
    <row r="54" spans="1:27" s="591" customFormat="1" ht="50.25" hidden="1" customHeight="1">
      <c r="A54" s="683">
        <v>38</v>
      </c>
      <c r="B54" s="683" t="str">
        <f>'Chấm công KT'!D129</f>
        <v>03551</v>
      </c>
      <c r="C54" s="696" t="str">
        <f>TONGHOPCONGDOI!C133</f>
        <v>T . Pheng</v>
      </c>
      <c r="D54" s="696"/>
      <c r="E54" s="697">
        <f>VLOOKUP(C54,TONGHOPCONGDOI!C133:Q220,15,0)</f>
        <v>0</v>
      </c>
      <c r="F54" s="696">
        <f t="shared" si="6"/>
        <v>0</v>
      </c>
      <c r="G54" s="696">
        <f>VLOOKUP(C54,TONGHOPCONGDOI!C133:AD220,16,0)</f>
        <v>0</v>
      </c>
      <c r="H54" s="696">
        <f>VLOOKUP(C54,TONGHOPCONGDOI!C133:AD220,18,0)</f>
        <v>0</v>
      </c>
      <c r="I54" s="696"/>
      <c r="J54" s="1556" t="e">
        <f t="shared" si="7"/>
        <v>#DIV/0!</v>
      </c>
      <c r="K54" s="683" t="str">
        <f>VLOOKUP(C54,'BTH mủ tạp'!C134:AL217,36,0)</f>
        <v>B</v>
      </c>
      <c r="L54" s="1185" t="e">
        <f t="shared" si="13"/>
        <v>#DIV/0!</v>
      </c>
      <c r="M54" s="696">
        <f>VLOOKUP(C54,TONGHOPCONGDOI!$C$96:$AD$183,20,0)</f>
        <v>0</v>
      </c>
      <c r="N54" s="696">
        <f>VLOOKUP(C54,TONGHOPCONGDOI!$C$96:$AD$183,21,0)</f>
        <v>0</v>
      </c>
      <c r="O54" s="696">
        <f>VLOOKUP(C54,TONGHOPCONGDOI!$C$96:$AD$183,22,0)</f>
        <v>0</v>
      </c>
      <c r="P54" s="696">
        <f>VLOOKUP(C54,TONGHOPCONGDOI!$C$96:$AD$183,23,0)</f>
        <v>0</v>
      </c>
      <c r="Q54" s="696">
        <f>VLOOKUP(C54,TONGHOPCONGDOI!$C$96:$AD$183,24,0)</f>
        <v>0</v>
      </c>
      <c r="R54" s="696">
        <f>VLOOKUP(C54,TONGHOPCONGDOI!$C$96:$AD$183,25,0)</f>
        <v>0</v>
      </c>
      <c r="S54" s="696"/>
      <c r="T54" s="685">
        <f t="shared" si="1"/>
        <v>0</v>
      </c>
      <c r="U54" s="685">
        <f t="shared" si="4"/>
        <v>0</v>
      </c>
      <c r="V54" s="685"/>
      <c r="W54" s="1725">
        <f t="shared" si="8"/>
        <v>0</v>
      </c>
      <c r="X54" s="696" t="e">
        <f t="shared" si="12"/>
        <v>#DIV/0!</v>
      </c>
      <c r="Y54" s="696"/>
      <c r="Z54" s="696">
        <f>VLOOKUP(C54,'CNKT '!$C$101:$Z$182,24,0)</f>
        <v>0</v>
      </c>
      <c r="AA54" s="591" t="e">
        <f t="shared" si="5"/>
        <v>#DIV/0!</v>
      </c>
    </row>
    <row r="55" spans="1:27" s="591" customFormat="1" ht="50.25" hidden="1" customHeight="1">
      <c r="A55" s="683">
        <v>39</v>
      </c>
      <c r="B55" s="683"/>
      <c r="C55" s="696" t="str">
        <f>TONGHOPCONGDOI!C134</f>
        <v>T. Nọi Ê</v>
      </c>
      <c r="D55" s="696"/>
      <c r="E55" s="697">
        <f>VLOOKUP(C55,TONGHOPCONGDOI!C134:Q221,15,0)</f>
        <v>0</v>
      </c>
      <c r="F55" s="696">
        <f t="shared" si="6"/>
        <v>0</v>
      </c>
      <c r="G55" s="696">
        <f>VLOOKUP(C55,TONGHOPCONGDOI!C134:AD221,16,0)</f>
        <v>0</v>
      </c>
      <c r="H55" s="696">
        <f>VLOOKUP(C55,TONGHOPCONGDOI!C134:AD221,18,0)</f>
        <v>0</v>
      </c>
      <c r="I55" s="696"/>
      <c r="J55" s="1556" t="e">
        <f t="shared" si="7"/>
        <v>#DIV/0!</v>
      </c>
      <c r="K55" s="683" t="str">
        <f>VLOOKUP(C55,'BTH mủ tạp'!C135:AL218,36,0)</f>
        <v>A</v>
      </c>
      <c r="L55" s="1185" t="e">
        <f t="shared" si="13"/>
        <v>#DIV/0!</v>
      </c>
      <c r="M55" s="696">
        <f>VLOOKUP(C55,TONGHOPCONGDOI!$C$96:$AD$183,20,0)</f>
        <v>0</v>
      </c>
      <c r="N55" s="696">
        <f>VLOOKUP(C55,TONGHOPCONGDOI!$C$96:$AD$183,21,0)</f>
        <v>0</v>
      </c>
      <c r="O55" s="696">
        <f>VLOOKUP(C55,TONGHOPCONGDOI!$C$96:$AD$183,22,0)</f>
        <v>0</v>
      </c>
      <c r="P55" s="696">
        <f>VLOOKUP(C55,TONGHOPCONGDOI!$C$96:$AD$183,23,0)</f>
        <v>0</v>
      </c>
      <c r="Q55" s="696">
        <f>VLOOKUP(C55,TONGHOPCONGDOI!$C$96:$AD$183,24,0)</f>
        <v>0</v>
      </c>
      <c r="R55" s="696">
        <f>VLOOKUP(C55,TONGHOPCONGDOI!$C$96:$AD$183,25,0)</f>
        <v>0</v>
      </c>
      <c r="S55" s="696"/>
      <c r="T55" s="685">
        <f t="shared" si="1"/>
        <v>0</v>
      </c>
      <c r="U55" s="685">
        <f t="shared" si="4"/>
        <v>0</v>
      </c>
      <c r="V55" s="685"/>
      <c r="W55" s="1725">
        <f t="shared" si="8"/>
        <v>0</v>
      </c>
      <c r="X55" s="696" t="e">
        <f t="shared" si="12"/>
        <v>#DIV/0!</v>
      </c>
      <c r="Y55" s="696"/>
      <c r="Z55" s="696">
        <f>VLOOKUP(C55,'CNKT '!$C$101:$Z$182,24,0)</f>
        <v>0</v>
      </c>
      <c r="AA55" s="591" t="e">
        <f t="shared" si="5"/>
        <v>#DIV/0!</v>
      </c>
    </row>
    <row r="56" spans="1:27" s="591" customFormat="1" ht="50.25" hidden="1" customHeight="1">
      <c r="A56" s="683">
        <v>40</v>
      </c>
      <c r="B56" s="683" t="str">
        <f>'Chấm công KT'!D131</f>
        <v>03488</v>
      </c>
      <c r="C56" s="696" t="str">
        <f>TONGHOPCONGDOI!C135</f>
        <v>N. Đeng</v>
      </c>
      <c r="D56" s="696"/>
      <c r="E56" s="697">
        <f>VLOOKUP(C56,TONGHOPCONGDOI!C135:Q222,15,0)</f>
        <v>0</v>
      </c>
      <c r="F56" s="696">
        <f t="shared" si="6"/>
        <v>0</v>
      </c>
      <c r="G56" s="696">
        <f>VLOOKUP(C56,TONGHOPCONGDOI!C135:AD222,16,0)</f>
        <v>0</v>
      </c>
      <c r="H56" s="696">
        <f>VLOOKUP(C56,TONGHOPCONGDOI!C135:AD222,18,0)</f>
        <v>0</v>
      </c>
      <c r="I56" s="696"/>
      <c r="J56" s="1556" t="e">
        <f t="shared" si="7"/>
        <v>#DIV/0!</v>
      </c>
      <c r="K56" s="683" t="str">
        <f>VLOOKUP(C56,'BTH mủ tạp'!C136:AL219,36,0)</f>
        <v>A</v>
      </c>
      <c r="L56" s="1185" t="e">
        <f t="shared" si="13"/>
        <v>#DIV/0!</v>
      </c>
      <c r="M56" s="696">
        <f>VLOOKUP(C56,TONGHOPCONGDOI!$C$96:$AD$183,20,0)</f>
        <v>0</v>
      </c>
      <c r="N56" s="696">
        <f>VLOOKUP(C56,TONGHOPCONGDOI!$C$96:$AD$183,21,0)</f>
        <v>0</v>
      </c>
      <c r="O56" s="696">
        <f>VLOOKUP(C56,TONGHOPCONGDOI!$C$96:$AD$183,22,0)</f>
        <v>0</v>
      </c>
      <c r="P56" s="696">
        <f>VLOOKUP(C56,TONGHOPCONGDOI!$C$96:$AD$183,23,0)</f>
        <v>0</v>
      </c>
      <c r="Q56" s="696">
        <f>VLOOKUP(C56,TONGHOPCONGDOI!$C$96:$AD$183,24,0)</f>
        <v>0</v>
      </c>
      <c r="R56" s="696">
        <f>VLOOKUP(C56,TONGHOPCONGDOI!$C$96:$AD$183,25,0)</f>
        <v>0</v>
      </c>
      <c r="S56" s="696"/>
      <c r="T56" s="685">
        <f t="shared" si="1"/>
        <v>0</v>
      </c>
      <c r="U56" s="685">
        <f t="shared" si="4"/>
        <v>0</v>
      </c>
      <c r="V56" s="685"/>
      <c r="W56" s="1725">
        <f t="shared" si="8"/>
        <v>0</v>
      </c>
      <c r="X56" s="696" t="e">
        <f t="shared" si="12"/>
        <v>#DIV/0!</v>
      </c>
      <c r="Y56" s="696"/>
      <c r="Z56" s="696">
        <f>VLOOKUP(C56,'CNKT '!$C$101:$Z$182,24,0)</f>
        <v>0</v>
      </c>
      <c r="AA56" s="591" t="e">
        <f t="shared" si="5"/>
        <v>#DIV/0!</v>
      </c>
    </row>
    <row r="57" spans="1:27" s="591" customFormat="1" ht="50.25" hidden="1" customHeight="1">
      <c r="A57" s="683">
        <v>41</v>
      </c>
      <c r="B57" s="683"/>
      <c r="C57" s="696" t="str">
        <f>TONGHOPCONGDOI!C136</f>
        <v>Xôm Phon 1</v>
      </c>
      <c r="D57" s="696"/>
      <c r="E57" s="697">
        <f>VLOOKUP(C57,TONGHOPCONGDOI!C136:Q223,15,0)</f>
        <v>0</v>
      </c>
      <c r="F57" s="696">
        <f t="shared" si="6"/>
        <v>0</v>
      </c>
      <c r="G57" s="696">
        <f>VLOOKUP(C57,TONGHOPCONGDOI!C136:AD223,16,0)</f>
        <v>0</v>
      </c>
      <c r="H57" s="696">
        <f>VLOOKUP(C57,TONGHOPCONGDOI!C136:AD223,18,0)</f>
        <v>0</v>
      </c>
      <c r="I57" s="696"/>
      <c r="J57" s="1556" t="e">
        <f t="shared" si="7"/>
        <v>#DIV/0!</v>
      </c>
      <c r="K57" s="683" t="str">
        <f>VLOOKUP(C57,'BTH mủ tạp'!C137:AL220,36,0)</f>
        <v>C</v>
      </c>
      <c r="L57" s="1185" t="e">
        <f t="shared" si="13"/>
        <v>#DIV/0!</v>
      </c>
      <c r="M57" s="696">
        <f>VLOOKUP(C57,TONGHOPCONGDOI!$C$96:$AD$183,20,0)</f>
        <v>0</v>
      </c>
      <c r="N57" s="696">
        <f>VLOOKUP(C57,TONGHOPCONGDOI!$C$96:$AD$183,21,0)</f>
        <v>0</v>
      </c>
      <c r="O57" s="696">
        <f>VLOOKUP(C57,TONGHOPCONGDOI!$C$96:$AD$183,22,0)</f>
        <v>0</v>
      </c>
      <c r="P57" s="696">
        <f>VLOOKUP(C57,TONGHOPCONGDOI!$C$96:$AD$183,23,0)</f>
        <v>0</v>
      </c>
      <c r="Q57" s="696">
        <f>VLOOKUP(C57,TONGHOPCONGDOI!$C$96:$AD$183,24,0)</f>
        <v>0</v>
      </c>
      <c r="R57" s="696">
        <f>VLOOKUP(C57,TONGHOPCONGDOI!$C$96:$AD$183,25,0)</f>
        <v>0</v>
      </c>
      <c r="S57" s="696"/>
      <c r="T57" s="685">
        <f t="shared" si="1"/>
        <v>0</v>
      </c>
      <c r="U57" s="685">
        <f t="shared" si="4"/>
        <v>0</v>
      </c>
      <c r="V57" s="685"/>
      <c r="W57" s="1725">
        <f t="shared" si="8"/>
        <v>0</v>
      </c>
      <c r="X57" s="696" t="e">
        <f t="shared" si="12"/>
        <v>#DIV/0!</v>
      </c>
      <c r="Y57" s="696"/>
      <c r="Z57" s="696">
        <f>VLOOKUP(C57,'CNKT '!$C$101:$Z$182,24,0)</f>
        <v>0</v>
      </c>
      <c r="AA57" s="591" t="e">
        <f t="shared" si="5"/>
        <v>#DIV/0!</v>
      </c>
    </row>
    <row r="58" spans="1:27" s="591" customFormat="1" ht="50.25" hidden="1" customHeight="1">
      <c r="A58" s="683">
        <v>42</v>
      </c>
      <c r="B58" s="683" t="str">
        <f>'Chấm công KT'!D133</f>
        <v>03555</v>
      </c>
      <c r="C58" s="696" t="str">
        <f>TONGHOPCONGDOI!C137</f>
        <v>C. Trang 1</v>
      </c>
      <c r="D58" s="696"/>
      <c r="E58" s="697">
        <f>VLOOKUP(C58,TONGHOPCONGDOI!C137:Q224,15,0)</f>
        <v>0</v>
      </c>
      <c r="F58" s="696">
        <f t="shared" si="6"/>
        <v>0</v>
      </c>
      <c r="G58" s="696">
        <f>VLOOKUP(C58,TONGHOPCONGDOI!C137:AD224,16,0)</f>
        <v>0</v>
      </c>
      <c r="H58" s="696">
        <f>VLOOKUP(C58,TONGHOPCONGDOI!C137:AD224,18,0)</f>
        <v>0</v>
      </c>
      <c r="I58" s="696"/>
      <c r="J58" s="1556" t="e">
        <f t="shared" si="7"/>
        <v>#DIV/0!</v>
      </c>
      <c r="K58" s="683" t="str">
        <f>VLOOKUP(C58,'BTH mủ tạp'!C138:AL221,36,0)</f>
        <v>A</v>
      </c>
      <c r="L58" s="1185" t="e">
        <f t="shared" si="13"/>
        <v>#DIV/0!</v>
      </c>
      <c r="M58" s="696">
        <f>VLOOKUP(C58,TONGHOPCONGDOI!$C$96:$AD$183,20,0)</f>
        <v>0</v>
      </c>
      <c r="N58" s="696">
        <f>VLOOKUP(C58,TONGHOPCONGDOI!$C$96:$AD$183,21,0)</f>
        <v>0</v>
      </c>
      <c r="O58" s="696">
        <f>VLOOKUP(C58,TONGHOPCONGDOI!$C$96:$AD$183,22,0)</f>
        <v>0</v>
      </c>
      <c r="P58" s="696">
        <f>VLOOKUP(C58,TONGHOPCONGDOI!$C$96:$AD$183,23,0)</f>
        <v>0</v>
      </c>
      <c r="Q58" s="696">
        <f>VLOOKUP(C58,TONGHOPCONGDOI!$C$96:$AD$183,24,0)</f>
        <v>0</v>
      </c>
      <c r="R58" s="696">
        <f>VLOOKUP(C58,TONGHOPCONGDOI!$C$96:$AD$183,25,0)</f>
        <v>0</v>
      </c>
      <c r="S58" s="696"/>
      <c r="T58" s="685">
        <f t="shared" si="1"/>
        <v>0</v>
      </c>
      <c r="U58" s="685">
        <f t="shared" si="4"/>
        <v>0</v>
      </c>
      <c r="V58" s="685"/>
      <c r="W58" s="1725">
        <f t="shared" si="8"/>
        <v>0</v>
      </c>
      <c r="X58" s="696" t="e">
        <f t="shared" si="12"/>
        <v>#DIV/0!</v>
      </c>
      <c r="Y58" s="696"/>
      <c r="Z58" s="696">
        <f>VLOOKUP(C58,'CNKT '!$C$101:$Z$182,24,0)</f>
        <v>0</v>
      </c>
      <c r="AA58" s="591" t="e">
        <f t="shared" si="5"/>
        <v>#DIV/0!</v>
      </c>
    </row>
    <row r="59" spans="1:27" s="591" customFormat="1" ht="50.25" hidden="1" customHeight="1">
      <c r="A59" s="683">
        <v>43</v>
      </c>
      <c r="B59" s="683">
        <f>'Chấm công KT'!D134</f>
        <v>0</v>
      </c>
      <c r="C59" s="696" t="str">
        <f>TONGHOPCONGDOI!C138</f>
        <v>Lâm Ngân</v>
      </c>
      <c r="D59" s="696"/>
      <c r="E59" s="697">
        <f>VLOOKUP(C59,TONGHOPCONGDOI!C138:Q225,15,0)</f>
        <v>0</v>
      </c>
      <c r="F59" s="696">
        <f t="shared" si="6"/>
        <v>0</v>
      </c>
      <c r="G59" s="696">
        <f>VLOOKUP(C59,TONGHOPCONGDOI!C138:AD225,16,0)</f>
        <v>0</v>
      </c>
      <c r="H59" s="696">
        <f>VLOOKUP(C59,TONGHOPCONGDOI!C138:AD225,18,0)</f>
        <v>0</v>
      </c>
      <c r="I59" s="696"/>
      <c r="J59" s="1556" t="e">
        <f t="shared" si="7"/>
        <v>#DIV/0!</v>
      </c>
      <c r="K59" s="683" t="str">
        <f>VLOOKUP(C59,'BTH mủ tạp'!C139:AL222,36,0)</f>
        <v>A</v>
      </c>
      <c r="L59" s="1185" t="e">
        <f t="shared" si="13"/>
        <v>#DIV/0!</v>
      </c>
      <c r="M59" s="696">
        <f>VLOOKUP(C59,TONGHOPCONGDOI!$C$96:$AD$183,20,0)</f>
        <v>0</v>
      </c>
      <c r="N59" s="696">
        <f>VLOOKUP(C59,TONGHOPCONGDOI!$C$96:$AD$183,21,0)</f>
        <v>0</v>
      </c>
      <c r="O59" s="696">
        <f>VLOOKUP(C59,TONGHOPCONGDOI!$C$96:$AD$183,22,0)</f>
        <v>0</v>
      </c>
      <c r="P59" s="696">
        <f>VLOOKUP(C59,TONGHOPCONGDOI!$C$96:$AD$183,23,0)</f>
        <v>0</v>
      </c>
      <c r="Q59" s="696">
        <f>VLOOKUP(C59,TONGHOPCONGDOI!$C$96:$AD$183,24,0)</f>
        <v>0</v>
      </c>
      <c r="R59" s="696">
        <f>VLOOKUP(C59,TONGHOPCONGDOI!$C$96:$AD$183,25,0)</f>
        <v>0</v>
      </c>
      <c r="S59" s="696"/>
      <c r="T59" s="685">
        <f t="shared" si="1"/>
        <v>0</v>
      </c>
      <c r="U59" s="685">
        <f t="shared" si="4"/>
        <v>0</v>
      </c>
      <c r="V59" s="685"/>
      <c r="W59" s="1725">
        <f t="shared" si="8"/>
        <v>0</v>
      </c>
      <c r="X59" s="696" t="e">
        <f t="shared" si="12"/>
        <v>#DIV/0!</v>
      </c>
      <c r="Y59" s="696"/>
      <c r="Z59" s="696">
        <f>VLOOKUP(C59,'CNKT '!$C$101:$Z$182,24,0)</f>
        <v>0</v>
      </c>
      <c r="AA59" s="591" t="e">
        <f t="shared" si="5"/>
        <v>#DIV/0!</v>
      </c>
    </row>
    <row r="60" spans="1:27" s="591" customFormat="1" ht="50.25" hidden="1" customHeight="1">
      <c r="A60" s="683">
        <v>44</v>
      </c>
      <c r="B60" s="683"/>
      <c r="C60" s="696" t="str">
        <f>TONGHOPCONGDOI!C139</f>
        <v>T. Thong A</v>
      </c>
      <c r="D60" s="696"/>
      <c r="E60" s="697">
        <f>VLOOKUP(C60,TONGHOPCONGDOI!C139:Q226,15,0)</f>
        <v>0</v>
      </c>
      <c r="F60" s="696">
        <f t="shared" si="6"/>
        <v>0</v>
      </c>
      <c r="G60" s="696">
        <f>VLOOKUP(C60,TONGHOPCONGDOI!C139:AD226,16,0)</f>
        <v>0</v>
      </c>
      <c r="H60" s="696">
        <f>VLOOKUP(C60,TONGHOPCONGDOI!C139:AD226,18,0)</f>
        <v>0</v>
      </c>
      <c r="I60" s="696"/>
      <c r="J60" s="1556" t="e">
        <f t="shared" si="7"/>
        <v>#DIV/0!</v>
      </c>
      <c r="K60" s="683" t="str">
        <f>VLOOKUP(C60,'BTH mủ tạp'!C140:AL223,36,0)</f>
        <v>A</v>
      </c>
      <c r="L60" s="1185" t="e">
        <f t="shared" si="13"/>
        <v>#DIV/0!</v>
      </c>
      <c r="M60" s="696">
        <f>VLOOKUP(C60,TONGHOPCONGDOI!$C$96:$AD$183,20,0)</f>
        <v>0</v>
      </c>
      <c r="N60" s="696">
        <f>VLOOKUP(C60,TONGHOPCONGDOI!$C$96:$AD$183,21,0)</f>
        <v>0</v>
      </c>
      <c r="O60" s="696">
        <f>VLOOKUP(C60,TONGHOPCONGDOI!$C$96:$AD$183,22,0)</f>
        <v>0</v>
      </c>
      <c r="P60" s="696">
        <f>VLOOKUP(C60,TONGHOPCONGDOI!$C$96:$AD$183,23,0)</f>
        <v>0</v>
      </c>
      <c r="Q60" s="696">
        <f>VLOOKUP(C60,TONGHOPCONGDOI!$C$96:$AD$183,24,0)</f>
        <v>0</v>
      </c>
      <c r="R60" s="696">
        <f>VLOOKUP(C60,TONGHOPCONGDOI!$C$96:$AD$183,25,0)</f>
        <v>0</v>
      </c>
      <c r="S60" s="696"/>
      <c r="T60" s="685">
        <f t="shared" si="1"/>
        <v>0</v>
      </c>
      <c r="U60" s="685">
        <f t="shared" si="4"/>
        <v>0</v>
      </c>
      <c r="V60" s="685"/>
      <c r="W60" s="1725">
        <f t="shared" si="8"/>
        <v>0</v>
      </c>
      <c r="X60" s="696" t="e">
        <f t="shared" si="12"/>
        <v>#DIV/0!</v>
      </c>
      <c r="Y60" s="696"/>
      <c r="Z60" s="696">
        <f>VLOOKUP(C60,'CNKT '!$C$101:$Z$182,24,0)</f>
        <v>0</v>
      </c>
      <c r="AA60" s="591" t="e">
        <f t="shared" si="5"/>
        <v>#DIV/0!</v>
      </c>
    </row>
    <row r="61" spans="1:27" s="591" customFormat="1" ht="50.25" hidden="1" customHeight="1">
      <c r="A61" s="683">
        <v>45</v>
      </c>
      <c r="B61" s="683"/>
      <c r="C61" s="696" t="str">
        <f>TONGHOPCONGDOI!C140</f>
        <v>T Phù</v>
      </c>
      <c r="D61" s="696"/>
      <c r="E61" s="697">
        <f>VLOOKUP(C61,TONGHOPCONGDOI!C140:Q227,15,0)</f>
        <v>0</v>
      </c>
      <c r="F61" s="696">
        <f t="shared" si="6"/>
        <v>0</v>
      </c>
      <c r="G61" s="696">
        <f>VLOOKUP(C61,TONGHOPCONGDOI!C140:AD227,16,0)</f>
        <v>0</v>
      </c>
      <c r="H61" s="696">
        <f>VLOOKUP(C61,TONGHOPCONGDOI!C140:AD227,18,0)</f>
        <v>0</v>
      </c>
      <c r="I61" s="696"/>
      <c r="J61" s="1556" t="e">
        <f t="shared" si="7"/>
        <v>#DIV/0!</v>
      </c>
      <c r="K61" s="683" t="str">
        <f>VLOOKUP(C61,'BTH mủ tạp'!C141:AL224,36,0)</f>
        <v>A</v>
      </c>
      <c r="L61" s="1185" t="e">
        <f t="shared" ref="L61:L65" si="14">ROUND((IF(K61="A",(G61*$Z$13*6.1),IF(K61="B",(G61*$Z$13*5.8),IF(K61="C",(G61*$Z$13*5.5),IF(K61="D",(G61*$Z$13*5.2),0))))*$E$13+(H61*$AB$12*$E$13*6.1)+I61*$E$13*$AB$13*6.1),0)</f>
        <v>#DIV/0!</v>
      </c>
      <c r="M61" s="696">
        <f>VLOOKUP(C61,TONGHOPCONGDOI!$C$96:$AD$183,20,0)</f>
        <v>0</v>
      </c>
      <c r="N61" s="696">
        <f>VLOOKUP(C61,TONGHOPCONGDOI!$C$96:$AD$183,21,0)</f>
        <v>0</v>
      </c>
      <c r="O61" s="696">
        <f>VLOOKUP(C61,TONGHOPCONGDOI!$C$96:$AD$183,22,0)</f>
        <v>0</v>
      </c>
      <c r="P61" s="696">
        <f>VLOOKUP(C61,TONGHOPCONGDOI!$C$96:$AD$183,23,0)</f>
        <v>0</v>
      </c>
      <c r="Q61" s="696">
        <f>VLOOKUP(C61,TONGHOPCONGDOI!$C$96:$AD$183,24,0)</f>
        <v>0</v>
      </c>
      <c r="R61" s="696">
        <f>VLOOKUP(C61,TONGHOPCONGDOI!$C$96:$AD$183,25,0)</f>
        <v>0</v>
      </c>
      <c r="S61" s="696"/>
      <c r="T61" s="685">
        <f t="shared" si="1"/>
        <v>0</v>
      </c>
      <c r="U61" s="685">
        <f t="shared" si="4"/>
        <v>0</v>
      </c>
      <c r="V61" s="685"/>
      <c r="W61" s="1725">
        <f t="shared" si="8"/>
        <v>0</v>
      </c>
      <c r="X61" s="696" t="e">
        <f t="shared" si="12"/>
        <v>#DIV/0!</v>
      </c>
      <c r="Y61" s="696"/>
      <c r="Z61" s="696">
        <f>VLOOKUP(C61,'CNKT '!$C$101:$Z$182,24,0)</f>
        <v>0</v>
      </c>
      <c r="AA61" s="591" t="e">
        <f t="shared" si="5"/>
        <v>#DIV/0!</v>
      </c>
    </row>
    <row r="62" spans="1:27" s="591" customFormat="1" ht="50.25" hidden="1" customHeight="1">
      <c r="A62" s="683">
        <v>46</v>
      </c>
      <c r="B62" s="683" t="str">
        <f>'Chấm công KT'!D137</f>
        <v>03559</v>
      </c>
      <c r="C62" s="696" t="str">
        <f>TONGHOPCONGDOI!C141</f>
        <v>Viêng Khăm</v>
      </c>
      <c r="D62" s="696"/>
      <c r="E62" s="697">
        <f>VLOOKUP(C62,TONGHOPCONGDOI!C141:Q228,15,0)</f>
        <v>0</v>
      </c>
      <c r="F62" s="696">
        <f t="shared" si="6"/>
        <v>0</v>
      </c>
      <c r="G62" s="696">
        <f>VLOOKUP(C62,TONGHOPCONGDOI!C141:AD228,16,0)</f>
        <v>0</v>
      </c>
      <c r="H62" s="696">
        <f>VLOOKUP(C62,TONGHOPCONGDOI!C141:AD228,18,0)</f>
        <v>0</v>
      </c>
      <c r="I62" s="696"/>
      <c r="J62" s="1556" t="e">
        <f t="shared" si="7"/>
        <v>#DIV/0!</v>
      </c>
      <c r="K62" s="683" t="str">
        <f>VLOOKUP(C62,'BTH mủ tạp'!C142:AL225,36,0)</f>
        <v>B</v>
      </c>
      <c r="L62" s="1185" t="e">
        <f t="shared" si="14"/>
        <v>#DIV/0!</v>
      </c>
      <c r="M62" s="696">
        <f>VLOOKUP(C62,TONGHOPCONGDOI!$C$96:$AD$183,20,0)</f>
        <v>0</v>
      </c>
      <c r="N62" s="696">
        <f>VLOOKUP(C62,TONGHOPCONGDOI!$C$96:$AD$183,21,0)</f>
        <v>0</v>
      </c>
      <c r="O62" s="696">
        <f>VLOOKUP(C62,TONGHOPCONGDOI!$C$96:$AD$183,22,0)</f>
        <v>0</v>
      </c>
      <c r="P62" s="696">
        <f>VLOOKUP(C62,TONGHOPCONGDOI!$C$96:$AD$183,23,0)</f>
        <v>0</v>
      </c>
      <c r="Q62" s="696">
        <f>VLOOKUP(C62,TONGHOPCONGDOI!$C$96:$AD$183,24,0)</f>
        <v>0</v>
      </c>
      <c r="R62" s="696">
        <f>VLOOKUP(C62,TONGHOPCONGDOI!$C$96:$AD$183,25,0)</f>
        <v>0</v>
      </c>
      <c r="S62" s="696"/>
      <c r="T62" s="685">
        <f t="shared" si="1"/>
        <v>0</v>
      </c>
      <c r="U62" s="685">
        <f t="shared" si="4"/>
        <v>0</v>
      </c>
      <c r="V62" s="685"/>
      <c r="W62" s="1725">
        <f t="shared" si="8"/>
        <v>0</v>
      </c>
      <c r="X62" s="696" t="e">
        <f t="shared" si="12"/>
        <v>#DIV/0!</v>
      </c>
      <c r="Y62" s="696"/>
      <c r="Z62" s="696">
        <f>VLOOKUP(C62,'CNKT '!$C$101:$Z$182,24,0)</f>
        <v>0</v>
      </c>
      <c r="AA62" s="591" t="e">
        <f t="shared" si="5"/>
        <v>#DIV/0!</v>
      </c>
    </row>
    <row r="63" spans="1:27" s="591" customFormat="1" ht="50.25" hidden="1" customHeight="1">
      <c r="A63" s="683">
        <v>47</v>
      </c>
      <c r="B63" s="683" t="str">
        <f>'Chấm công KT'!D138</f>
        <v>03560</v>
      </c>
      <c r="C63" s="696" t="str">
        <f>TONGHOPCONGDOI!C142</f>
        <v>Veo Khăm</v>
      </c>
      <c r="D63" s="696"/>
      <c r="E63" s="697">
        <f>VLOOKUP(C63,TONGHOPCONGDOI!C142:Q229,15,0)</f>
        <v>0</v>
      </c>
      <c r="F63" s="696">
        <f t="shared" si="6"/>
        <v>0</v>
      </c>
      <c r="G63" s="696">
        <f>VLOOKUP(C63,TONGHOPCONGDOI!C142:AD229,16,0)</f>
        <v>0</v>
      </c>
      <c r="H63" s="696">
        <f>VLOOKUP(C63,TONGHOPCONGDOI!C142:AD229,18,0)</f>
        <v>0</v>
      </c>
      <c r="I63" s="696"/>
      <c r="J63" s="1556" t="e">
        <f t="shared" si="7"/>
        <v>#DIV/0!</v>
      </c>
      <c r="K63" s="683" t="str">
        <f>VLOOKUP(C63,'BTH mủ tạp'!C143:AL226,36,0)</f>
        <v>A</v>
      </c>
      <c r="L63" s="1185" t="e">
        <f t="shared" si="14"/>
        <v>#DIV/0!</v>
      </c>
      <c r="M63" s="696">
        <f>VLOOKUP(C63,TONGHOPCONGDOI!$C$96:$AD$183,20,0)</f>
        <v>0</v>
      </c>
      <c r="N63" s="696">
        <f>VLOOKUP(C63,TONGHOPCONGDOI!$C$96:$AD$183,21,0)</f>
        <v>0</v>
      </c>
      <c r="O63" s="696">
        <f>VLOOKUP(C63,TONGHOPCONGDOI!$C$96:$AD$183,22,0)</f>
        <v>0</v>
      </c>
      <c r="P63" s="696">
        <f>VLOOKUP(C63,TONGHOPCONGDOI!$C$96:$AD$183,23,0)</f>
        <v>0</v>
      </c>
      <c r="Q63" s="696">
        <f>VLOOKUP(C63,TONGHOPCONGDOI!$C$96:$AD$183,24,0)</f>
        <v>0</v>
      </c>
      <c r="R63" s="696">
        <f>VLOOKUP(C63,TONGHOPCONGDOI!$C$96:$AD$183,25,0)</f>
        <v>0</v>
      </c>
      <c r="S63" s="696"/>
      <c r="T63" s="685">
        <f t="shared" si="1"/>
        <v>0</v>
      </c>
      <c r="U63" s="685">
        <f t="shared" si="4"/>
        <v>0</v>
      </c>
      <c r="V63" s="685"/>
      <c r="W63" s="1725">
        <f t="shared" si="8"/>
        <v>0</v>
      </c>
      <c r="X63" s="696" t="e">
        <f t="shared" si="12"/>
        <v>#DIV/0!</v>
      </c>
      <c r="Y63" s="696"/>
      <c r="Z63" s="696">
        <f>VLOOKUP(C63,'CNKT '!$C$101:$Z$182,24,0)</f>
        <v>0</v>
      </c>
      <c r="AA63" s="591" t="e">
        <f t="shared" si="5"/>
        <v>#DIV/0!</v>
      </c>
    </row>
    <row r="64" spans="1:27" s="591" customFormat="1" ht="50.25" hidden="1" customHeight="1">
      <c r="A64" s="683">
        <v>48</v>
      </c>
      <c r="B64" s="683" t="str">
        <f>'Chấm công KT'!D139</f>
        <v>03561</v>
      </c>
      <c r="C64" s="696" t="str">
        <f>TONGHOPCONGDOI!C143</f>
        <v>T . Khon</v>
      </c>
      <c r="D64" s="696"/>
      <c r="E64" s="697">
        <f>VLOOKUP(C64,TONGHOPCONGDOI!C143:Q230,15,0)</f>
        <v>0</v>
      </c>
      <c r="F64" s="696">
        <f t="shared" si="6"/>
        <v>0</v>
      </c>
      <c r="G64" s="696">
        <f>VLOOKUP(C64,TONGHOPCONGDOI!C143:AD230,16,0)</f>
        <v>0</v>
      </c>
      <c r="H64" s="696">
        <f>VLOOKUP(C64,TONGHOPCONGDOI!C143:AD230,18,0)</f>
        <v>0</v>
      </c>
      <c r="I64" s="696"/>
      <c r="J64" s="1556" t="e">
        <f t="shared" si="7"/>
        <v>#DIV/0!</v>
      </c>
      <c r="K64" s="683" t="str">
        <f>VLOOKUP(C64,'BTH mủ tạp'!C144:AL227,36,0)</f>
        <v>C</v>
      </c>
      <c r="L64" s="1185" t="e">
        <f t="shared" si="14"/>
        <v>#DIV/0!</v>
      </c>
      <c r="M64" s="696">
        <f>VLOOKUP(C64,TONGHOPCONGDOI!$C$96:$AD$183,20,0)</f>
        <v>0</v>
      </c>
      <c r="N64" s="696">
        <f>VLOOKUP(C64,TONGHOPCONGDOI!$C$96:$AD$183,21,0)</f>
        <v>0</v>
      </c>
      <c r="O64" s="696">
        <f>VLOOKUP(C64,TONGHOPCONGDOI!$C$96:$AD$183,22,0)</f>
        <v>0</v>
      </c>
      <c r="P64" s="696">
        <f>VLOOKUP(C64,TONGHOPCONGDOI!$C$96:$AD$183,23,0)</f>
        <v>0</v>
      </c>
      <c r="Q64" s="696">
        <f>VLOOKUP(C64,TONGHOPCONGDOI!$C$96:$AD$183,24,0)</f>
        <v>0</v>
      </c>
      <c r="R64" s="696">
        <f>VLOOKUP(C64,TONGHOPCONGDOI!$C$96:$AD$183,25,0)</f>
        <v>0</v>
      </c>
      <c r="S64" s="696"/>
      <c r="T64" s="685">
        <f t="shared" si="1"/>
        <v>0</v>
      </c>
      <c r="U64" s="685">
        <f t="shared" si="4"/>
        <v>0</v>
      </c>
      <c r="V64" s="685"/>
      <c r="W64" s="1725">
        <f t="shared" si="8"/>
        <v>0</v>
      </c>
      <c r="X64" s="696" t="e">
        <f t="shared" si="12"/>
        <v>#DIV/0!</v>
      </c>
      <c r="Y64" s="696"/>
      <c r="Z64" s="696">
        <f>VLOOKUP(C64,'CNKT '!$C$101:$Z$182,24,0)</f>
        <v>0</v>
      </c>
      <c r="AA64" s="591" t="e">
        <f t="shared" si="5"/>
        <v>#DIV/0!</v>
      </c>
    </row>
    <row r="65" spans="1:27" s="591" customFormat="1" ht="50.25" hidden="1" customHeight="1">
      <c r="A65" s="683">
        <v>49</v>
      </c>
      <c r="B65" s="683" t="str">
        <f>'Chấm công KT'!D140</f>
        <v>03562</v>
      </c>
      <c r="C65" s="696" t="str">
        <f>TONGHOPCONGDOI!C144</f>
        <v>N. Nun</v>
      </c>
      <c r="D65" s="696"/>
      <c r="E65" s="697">
        <f>VLOOKUP(C65,TONGHOPCONGDOI!C144:Q231,15,0)</f>
        <v>0</v>
      </c>
      <c r="F65" s="696">
        <f t="shared" si="6"/>
        <v>0</v>
      </c>
      <c r="G65" s="696">
        <f>VLOOKUP(C65,TONGHOPCONGDOI!C144:AD231,16,0)</f>
        <v>0</v>
      </c>
      <c r="H65" s="696">
        <f>VLOOKUP(C65,TONGHOPCONGDOI!C144:AD231,18,0)</f>
        <v>0</v>
      </c>
      <c r="I65" s="696"/>
      <c r="J65" s="1556" t="e">
        <f t="shared" si="7"/>
        <v>#DIV/0!</v>
      </c>
      <c r="K65" s="683" t="str">
        <f>VLOOKUP(C65,'BTH mủ tạp'!C145:AL228,36,0)</f>
        <v>A</v>
      </c>
      <c r="L65" s="1185" t="e">
        <f t="shared" si="14"/>
        <v>#DIV/0!</v>
      </c>
      <c r="M65" s="696">
        <f>VLOOKUP(C65,TONGHOPCONGDOI!$C$96:$AD$183,20,0)</f>
        <v>0</v>
      </c>
      <c r="N65" s="696">
        <f>VLOOKUP(C65,TONGHOPCONGDOI!$C$96:$AD$183,21,0)</f>
        <v>0</v>
      </c>
      <c r="O65" s="696">
        <f>VLOOKUP(C65,TONGHOPCONGDOI!$C$96:$AD$183,22,0)</f>
        <v>0</v>
      </c>
      <c r="P65" s="696">
        <f>VLOOKUP(C65,TONGHOPCONGDOI!$C$96:$AD$183,23,0)</f>
        <v>0</v>
      </c>
      <c r="Q65" s="696">
        <f>VLOOKUP(C65,TONGHOPCONGDOI!$C$96:$AD$183,24,0)</f>
        <v>0</v>
      </c>
      <c r="R65" s="696">
        <f>VLOOKUP(C65,TONGHOPCONGDOI!$C$96:$AD$183,25,0)</f>
        <v>0</v>
      </c>
      <c r="S65" s="696"/>
      <c r="T65" s="685">
        <f t="shared" si="1"/>
        <v>0</v>
      </c>
      <c r="U65" s="685">
        <f t="shared" si="4"/>
        <v>0</v>
      </c>
      <c r="V65" s="685"/>
      <c r="W65" s="1725">
        <f t="shared" si="8"/>
        <v>0</v>
      </c>
      <c r="X65" s="696" t="e">
        <f t="shared" si="12"/>
        <v>#DIV/0!</v>
      </c>
      <c r="Y65" s="696"/>
      <c r="Z65" s="696">
        <f>VLOOKUP(C65,'CNKT '!$C$101:$Z$182,24,0)</f>
        <v>0</v>
      </c>
      <c r="AA65" s="591" t="e">
        <f t="shared" si="5"/>
        <v>#DIV/0!</v>
      </c>
    </row>
    <row r="66" spans="1:27" s="591" customFormat="1" ht="50.25" hidden="1" customHeight="1">
      <c r="A66" s="683">
        <v>50</v>
      </c>
      <c r="B66" s="683" t="str">
        <f>'Chấm công KT'!D141</f>
        <v>03563</v>
      </c>
      <c r="C66" s="696" t="str">
        <f>TONGHOPCONGDOI!C145</f>
        <v>In Pông</v>
      </c>
      <c r="D66" s="696"/>
      <c r="E66" s="697">
        <f>VLOOKUP(C66,TONGHOPCONGDOI!C145:Q232,15,0)</f>
        <v>0</v>
      </c>
      <c r="F66" s="696">
        <f t="shared" si="6"/>
        <v>0</v>
      </c>
      <c r="G66" s="696">
        <f>VLOOKUP(C66,TONGHOPCONGDOI!C145:AD232,16,0)</f>
        <v>0</v>
      </c>
      <c r="H66" s="696">
        <f>VLOOKUP(C66,TONGHOPCONGDOI!C145:AD232,18,0)</f>
        <v>0</v>
      </c>
      <c r="I66" s="696"/>
      <c r="J66" s="1556" t="e">
        <f t="shared" si="7"/>
        <v>#DIV/0!</v>
      </c>
      <c r="K66" s="683" t="str">
        <f>VLOOKUP(C66,'BTH mủ tạp'!C146:AL229,36,0)</f>
        <v>B</v>
      </c>
      <c r="L66" s="1185" t="e">
        <f>ROUND((IF(K66="A",(G66*$Z$13*6.1),IF(K66="B",(G66*$Z$13*5.8),IF(K66="C",(G66*$Z$13*5.5),IF(K66="D",(G66*$Z$13*5.2),0))))*$E$13+(H66*$AB$12*$E$13*6.1)+I66*$E$13*$AB$13*6.1),0)</f>
        <v>#DIV/0!</v>
      </c>
      <c r="M66" s="696">
        <f>VLOOKUP(C66,TONGHOPCONGDOI!$C$96:$AD$183,20,0)</f>
        <v>0</v>
      </c>
      <c r="N66" s="696">
        <f>VLOOKUP(C66,TONGHOPCONGDOI!$C$96:$AD$183,21,0)</f>
        <v>0</v>
      </c>
      <c r="O66" s="696">
        <f>VLOOKUP(C66,TONGHOPCONGDOI!$C$96:$AD$183,22,0)</f>
        <v>0</v>
      </c>
      <c r="P66" s="696">
        <f>VLOOKUP(C66,TONGHOPCONGDOI!$C$96:$AD$183,23,0)</f>
        <v>0</v>
      </c>
      <c r="Q66" s="696">
        <f>VLOOKUP(C66,TONGHOPCONGDOI!$C$96:$AD$183,24,0)</f>
        <v>0</v>
      </c>
      <c r="R66" s="696">
        <f>VLOOKUP(C66,TONGHOPCONGDOI!$C$96:$AD$183,25,0)</f>
        <v>0</v>
      </c>
      <c r="S66" s="696"/>
      <c r="T66" s="685">
        <f t="shared" si="1"/>
        <v>0</v>
      </c>
      <c r="U66" s="685">
        <f t="shared" si="4"/>
        <v>0</v>
      </c>
      <c r="V66" s="685"/>
      <c r="W66" s="1725">
        <f t="shared" si="8"/>
        <v>0</v>
      </c>
      <c r="X66" s="696" t="e">
        <f t="shared" si="12"/>
        <v>#DIV/0!</v>
      </c>
      <c r="Y66" s="696"/>
      <c r="Z66" s="696">
        <f>VLOOKUP(C66,'CNKT '!$C$101:$Z$182,24,0)</f>
        <v>0</v>
      </c>
      <c r="AA66" s="591" t="e">
        <f t="shared" si="5"/>
        <v>#DIV/0!</v>
      </c>
    </row>
    <row r="67" spans="1:27" s="591" customFormat="1" ht="50.25" hidden="1" customHeight="1">
      <c r="A67" s="683">
        <v>51</v>
      </c>
      <c r="B67" s="683" t="str">
        <f>'Chấm công KT'!D142</f>
        <v>03564</v>
      </c>
      <c r="C67" s="696" t="str">
        <f>TONGHOPCONGDOI!C146</f>
        <v>A Nóc</v>
      </c>
      <c r="D67" s="696"/>
      <c r="E67" s="697">
        <f>VLOOKUP(C67,TONGHOPCONGDOI!C146:Q233,15,0)</f>
        <v>0</v>
      </c>
      <c r="F67" s="696">
        <f t="shared" si="6"/>
        <v>0</v>
      </c>
      <c r="G67" s="696">
        <f>VLOOKUP(C67,TONGHOPCONGDOI!C146:AD233,16,0)</f>
        <v>0</v>
      </c>
      <c r="H67" s="696">
        <f>VLOOKUP(C67,TONGHOPCONGDOI!C146:AD233,18,0)</f>
        <v>0</v>
      </c>
      <c r="I67" s="696"/>
      <c r="J67" s="1556" t="e">
        <f t="shared" si="7"/>
        <v>#DIV/0!</v>
      </c>
      <c r="K67" s="683" t="str">
        <f>VLOOKUP(C67,'BTH mủ tạp'!C147:AL230,36,0)</f>
        <v>B</v>
      </c>
      <c r="L67" s="1185" t="e">
        <f>ROUND((IF(K67="A",(G67*$Z$13*6.1),IF(K67="B",(G67*$Z$13*5.8),IF(K67="C",(G67*$Z$13*5.5),IF(K67="D",(G67*$Z$13*5.2),0))))*$E$13+(H67*$AB$12*$E$13*6.1)+I67*$E$13*$AB$13*6.1),0)</f>
        <v>#DIV/0!</v>
      </c>
      <c r="M67" s="696">
        <f>VLOOKUP(C67,TONGHOPCONGDOI!$C$96:$AD$183,20,0)</f>
        <v>0</v>
      </c>
      <c r="N67" s="696">
        <f>VLOOKUP(C67,TONGHOPCONGDOI!$C$96:$AD$183,21,0)</f>
        <v>0</v>
      </c>
      <c r="O67" s="696">
        <f>VLOOKUP(C67,TONGHOPCONGDOI!$C$96:$AD$183,22,0)</f>
        <v>0</v>
      </c>
      <c r="P67" s="696">
        <f>VLOOKUP(C67,TONGHOPCONGDOI!$C$96:$AD$183,23,0)</f>
        <v>0</v>
      </c>
      <c r="Q67" s="696">
        <f>VLOOKUP(C67,TONGHOPCONGDOI!$C$96:$AD$183,24,0)</f>
        <v>0</v>
      </c>
      <c r="R67" s="696">
        <f>VLOOKUP(C67,TONGHOPCONGDOI!$C$96:$AD$183,25,0)</f>
        <v>0</v>
      </c>
      <c r="S67" s="696"/>
      <c r="T67" s="685">
        <f t="shared" si="1"/>
        <v>0</v>
      </c>
      <c r="U67" s="685">
        <f t="shared" si="4"/>
        <v>0</v>
      </c>
      <c r="V67" s="685"/>
      <c r="W67" s="1725">
        <f t="shared" si="8"/>
        <v>0</v>
      </c>
      <c r="X67" s="696" t="e">
        <f t="shared" si="12"/>
        <v>#DIV/0!</v>
      </c>
      <c r="Y67" s="696"/>
      <c r="Z67" s="696">
        <f>VLOOKUP(C67,'CNKT '!$C$101:$Z$182,24,0)</f>
        <v>0</v>
      </c>
      <c r="AA67" s="591" t="e">
        <f t="shared" si="5"/>
        <v>#DIV/0!</v>
      </c>
    </row>
    <row r="68" spans="1:27" s="591" customFormat="1" ht="50.25" hidden="1" customHeight="1">
      <c r="A68" s="683">
        <v>52</v>
      </c>
      <c r="B68" s="683"/>
      <c r="C68" s="696" t="str">
        <f>TONGHOPCONGDOI!C147</f>
        <v>N. Lắc</v>
      </c>
      <c r="D68" s="696"/>
      <c r="E68" s="697">
        <f>VLOOKUP(C68,TONGHOPCONGDOI!C147:Q234,15,0)</f>
        <v>0</v>
      </c>
      <c r="F68" s="696">
        <f t="shared" si="6"/>
        <v>0</v>
      </c>
      <c r="G68" s="696">
        <f>VLOOKUP(C68,TONGHOPCONGDOI!C147:AD234,16,0)</f>
        <v>0</v>
      </c>
      <c r="H68" s="696">
        <f>VLOOKUP(C68,TONGHOPCONGDOI!C147:AD234,18,0)</f>
        <v>0</v>
      </c>
      <c r="I68" s="696"/>
      <c r="J68" s="1556" t="e">
        <f t="shared" si="7"/>
        <v>#DIV/0!</v>
      </c>
      <c r="K68" s="683" t="str">
        <f>VLOOKUP(C68,'BTH mủ tạp'!C148:AL231,36,0)</f>
        <v>A</v>
      </c>
      <c r="L68" s="1185" t="e">
        <f>ROUND((IF(K68="A",(G68*$Z$13*6.1),IF(K68="B",(G68*$Z$13*5.8),IF(K68="C",(G68*$Z$13*5.5),IF(K68="D",(G68*$Z$13*5.2),0))))*$E$13+(H68*$AB$12*$E$13*6.1)+I68*$E$13*$AB$13*6.1),0)</f>
        <v>#DIV/0!</v>
      </c>
      <c r="M68" s="696">
        <f>VLOOKUP(C68,TONGHOPCONGDOI!$C$96:$AD$183,20,0)</f>
        <v>0</v>
      </c>
      <c r="N68" s="696">
        <f>VLOOKUP(C68,TONGHOPCONGDOI!$C$96:$AD$183,21,0)</f>
        <v>0</v>
      </c>
      <c r="O68" s="696">
        <f>VLOOKUP(C68,TONGHOPCONGDOI!$C$96:$AD$183,22,0)</f>
        <v>0</v>
      </c>
      <c r="P68" s="696">
        <f>VLOOKUP(C68,TONGHOPCONGDOI!$C$96:$AD$183,23,0)</f>
        <v>0</v>
      </c>
      <c r="Q68" s="696">
        <f>VLOOKUP(C68,TONGHOPCONGDOI!$C$96:$AD$183,24,0)</f>
        <v>0</v>
      </c>
      <c r="R68" s="696">
        <f>VLOOKUP(C68,TONGHOPCONGDOI!$C$96:$AD$183,25,0)</f>
        <v>0</v>
      </c>
      <c r="S68" s="696"/>
      <c r="T68" s="685">
        <f t="shared" si="1"/>
        <v>0</v>
      </c>
      <c r="U68" s="685">
        <f t="shared" si="4"/>
        <v>0</v>
      </c>
      <c r="V68" s="685"/>
      <c r="W68" s="1725">
        <f t="shared" si="8"/>
        <v>0</v>
      </c>
      <c r="X68" s="696" t="e">
        <f t="shared" si="12"/>
        <v>#DIV/0!</v>
      </c>
      <c r="Y68" s="696"/>
      <c r="Z68" s="696">
        <f>VLOOKUP(C68,'CNKT '!$C$101:$Z$182,24,0)</f>
        <v>0</v>
      </c>
      <c r="AA68" s="591" t="e">
        <f t="shared" si="5"/>
        <v>#DIV/0!</v>
      </c>
    </row>
    <row r="69" spans="1:27" s="591" customFormat="1" ht="50.25" hidden="1" customHeight="1">
      <c r="A69" s="683">
        <v>53</v>
      </c>
      <c r="B69" s="683" t="e">
        <f>'Chấm công KT'!D144</f>
        <v>#N/A</v>
      </c>
      <c r="C69" s="696" t="str">
        <f>TONGHOPCONGDOI!C148</f>
        <v xml:space="preserve">T. Lăm  </v>
      </c>
      <c r="D69" s="696"/>
      <c r="E69" s="697">
        <f>VLOOKUP(C69,TONGHOPCONGDOI!C148:Q235,15,0)</f>
        <v>0</v>
      </c>
      <c r="F69" s="696">
        <f t="shared" si="6"/>
        <v>0</v>
      </c>
      <c r="G69" s="696">
        <f>VLOOKUP(C69,TONGHOPCONGDOI!C148:AD235,16,0)</f>
        <v>0</v>
      </c>
      <c r="H69" s="696">
        <f>VLOOKUP(C69,TONGHOPCONGDOI!C148:AD235,18,0)</f>
        <v>0</v>
      </c>
      <c r="I69" s="696"/>
      <c r="J69" s="1556" t="e">
        <f t="shared" si="7"/>
        <v>#DIV/0!</v>
      </c>
      <c r="K69" s="683" t="str">
        <f>VLOOKUP(C69,'BTH mủ tạp'!C149:AL232,36,0)</f>
        <v>A</v>
      </c>
      <c r="L69" s="1185" t="e">
        <f>ROUND((IF(K69="A",(G69*$Z$13*6.1),IF(K69="B",(G69*$Z$13*5.8),IF(K69="C",(G69*$Z$13*5.5),IF(K69="D",(G69*$Z$13*5.2),0))))*$E$13+(H69*$AB$12*$E$13*6.1)+I69*$E$13*$AB$13*6.1),0)</f>
        <v>#DIV/0!</v>
      </c>
      <c r="M69" s="696">
        <f>VLOOKUP(C69,TONGHOPCONGDOI!$C$96:$AD$183,20,0)</f>
        <v>0</v>
      </c>
      <c r="N69" s="696">
        <f>VLOOKUP(C69,TONGHOPCONGDOI!$C$96:$AD$183,21,0)</f>
        <v>0</v>
      </c>
      <c r="O69" s="696">
        <f>VLOOKUP(C69,TONGHOPCONGDOI!$C$96:$AD$183,22,0)</f>
        <v>0</v>
      </c>
      <c r="P69" s="696">
        <f>VLOOKUP(C69,TONGHOPCONGDOI!$C$96:$AD$183,23,0)</f>
        <v>0</v>
      </c>
      <c r="Q69" s="696">
        <f>VLOOKUP(C69,TONGHOPCONGDOI!$C$96:$AD$183,24,0)</f>
        <v>0</v>
      </c>
      <c r="R69" s="696">
        <f>VLOOKUP(C69,TONGHOPCONGDOI!$C$96:$AD$183,25,0)</f>
        <v>0</v>
      </c>
      <c r="S69" s="696"/>
      <c r="T69" s="685">
        <f t="shared" si="1"/>
        <v>0</v>
      </c>
      <c r="U69" s="685">
        <f t="shared" si="4"/>
        <v>0</v>
      </c>
      <c r="V69" s="685"/>
      <c r="W69" s="1725">
        <f t="shared" si="8"/>
        <v>0</v>
      </c>
      <c r="X69" s="696" t="e">
        <f t="shared" si="12"/>
        <v>#DIV/0!</v>
      </c>
      <c r="Y69" s="696"/>
      <c r="Z69" s="696">
        <f>VLOOKUP(C69,'CNKT '!$C$101:$Z$182,24,0)</f>
        <v>0</v>
      </c>
      <c r="AA69" s="591" t="e">
        <f t="shared" si="5"/>
        <v>#DIV/0!</v>
      </c>
    </row>
    <row r="70" spans="1:27" s="591" customFormat="1" ht="50.25" hidden="1" customHeight="1">
      <c r="A70" s="683">
        <v>54</v>
      </c>
      <c r="B70" s="683" t="str">
        <f>'Chấm công KT'!D145</f>
        <v>03567</v>
      </c>
      <c r="C70" s="696" t="str">
        <f>TONGHOPCONGDOI!C149</f>
        <v>Khăm Phiêng</v>
      </c>
      <c r="D70" s="696"/>
      <c r="E70" s="697">
        <f>VLOOKUP(C70,TONGHOPCONGDOI!C149:Q236,15,0)</f>
        <v>0</v>
      </c>
      <c r="F70" s="696">
        <f t="shared" si="6"/>
        <v>0</v>
      </c>
      <c r="G70" s="696">
        <f>VLOOKUP(C70,TONGHOPCONGDOI!C149:AD236,16,0)</f>
        <v>0</v>
      </c>
      <c r="H70" s="696">
        <f>VLOOKUP(C70,TONGHOPCONGDOI!C149:AD236,18,0)</f>
        <v>0</v>
      </c>
      <c r="I70" s="696"/>
      <c r="J70" s="1556" t="e">
        <f t="shared" si="7"/>
        <v>#DIV/0!</v>
      </c>
      <c r="K70" s="683" t="str">
        <f>VLOOKUP(C70,'BTH mủ tạp'!C150:AL233,36,0)</f>
        <v>A</v>
      </c>
      <c r="L70" s="1185" t="e">
        <f>ROUND((IF(K70="A",(G70*$Z$13*6.1),IF(K70="B",(G70*$Z$13*5.8),IF(K70="C",(G70*$Z$13*5.5),IF(K70="D",(G70*$Z$13*5.2),0))))*$E$13+(H70*$AB$12*$E$13*6.1)+I70*$E$13*$AB$13*6.1),0)</f>
        <v>#DIV/0!</v>
      </c>
      <c r="M70" s="696">
        <f>VLOOKUP(C70,TONGHOPCONGDOI!$C$96:$AD$183,20,0)</f>
        <v>0</v>
      </c>
      <c r="N70" s="696">
        <f>VLOOKUP(C70,TONGHOPCONGDOI!$C$96:$AD$183,21,0)</f>
        <v>0</v>
      </c>
      <c r="O70" s="696">
        <f>VLOOKUP(C70,TONGHOPCONGDOI!$C$96:$AD$183,22,0)</f>
        <v>0</v>
      </c>
      <c r="P70" s="696">
        <f>VLOOKUP(C70,TONGHOPCONGDOI!$C$96:$AD$183,23,0)</f>
        <v>0</v>
      </c>
      <c r="Q70" s="696">
        <f>VLOOKUP(C70,TONGHOPCONGDOI!$C$96:$AD$183,24,0)</f>
        <v>0</v>
      </c>
      <c r="R70" s="696">
        <f>VLOOKUP(C70,TONGHOPCONGDOI!$C$96:$AD$183,25,0)</f>
        <v>0</v>
      </c>
      <c r="S70" s="696"/>
      <c r="T70" s="685">
        <f t="shared" si="1"/>
        <v>0</v>
      </c>
      <c r="U70" s="685">
        <f t="shared" si="4"/>
        <v>0</v>
      </c>
      <c r="V70" s="685"/>
      <c r="W70" s="1725">
        <f t="shared" si="8"/>
        <v>0</v>
      </c>
      <c r="X70" s="696" t="e">
        <f t="shared" si="12"/>
        <v>#DIV/0!</v>
      </c>
      <c r="Y70" s="696"/>
      <c r="Z70" s="696">
        <f>VLOOKUP(C70,'CNKT '!$C$101:$Z$182,24,0)</f>
        <v>0</v>
      </c>
      <c r="AA70" s="591" t="e">
        <f t="shared" si="5"/>
        <v>#DIV/0!</v>
      </c>
    </row>
    <row r="71" spans="1:27" s="591" customFormat="1" ht="50.25" hidden="1" customHeight="1">
      <c r="A71" s="683">
        <v>55</v>
      </c>
      <c r="B71" s="683" t="str">
        <f>'Chấm công KT'!D146</f>
        <v>03568</v>
      </c>
      <c r="C71" s="696" t="str">
        <f>TONGHOPCONGDOI!C150</f>
        <v>Khiêng Khăm</v>
      </c>
      <c r="D71" s="696"/>
      <c r="E71" s="697">
        <f>VLOOKUP(C71,TONGHOPCONGDOI!C150:Q237,15,0)</f>
        <v>0</v>
      </c>
      <c r="F71" s="696">
        <f t="shared" si="6"/>
        <v>0</v>
      </c>
      <c r="G71" s="696">
        <f>VLOOKUP(C71,TONGHOPCONGDOI!C150:AD237,16,0)</f>
        <v>0</v>
      </c>
      <c r="H71" s="696">
        <f>VLOOKUP(C71,TONGHOPCONGDOI!C150:AD237,18,0)</f>
        <v>0</v>
      </c>
      <c r="I71" s="696"/>
      <c r="J71" s="1556" t="e">
        <f t="shared" si="7"/>
        <v>#DIV/0!</v>
      </c>
      <c r="K71" s="683" t="str">
        <f>VLOOKUP(C71,'BTH mủ tạp'!C151:AL234,36,0)</f>
        <v>A</v>
      </c>
      <c r="L71" s="1185" t="e">
        <f t="shared" ref="L71:L77" si="15">ROUND((IF(K71="A",(G71*$Z$13*6.1),IF(K71="B",(G71*$Z$13*5.8),IF(K71="C",(G71*$Z$13*5.5),IF(K71="D",(G71*$Z$13*5.2),0))))*$E$13+(H71*$AB$12*$E$13*6.1)+I71*$E$13*$AB$13*6.1),0)</f>
        <v>#DIV/0!</v>
      </c>
      <c r="M71" s="696">
        <f>VLOOKUP(C71,TONGHOPCONGDOI!$C$96:$AD$183,20,0)</f>
        <v>0</v>
      </c>
      <c r="N71" s="696">
        <f>VLOOKUP(C71,TONGHOPCONGDOI!$C$96:$AD$183,21,0)</f>
        <v>0</v>
      </c>
      <c r="O71" s="696">
        <f>VLOOKUP(C71,TONGHOPCONGDOI!$C$96:$AD$183,22,0)</f>
        <v>0</v>
      </c>
      <c r="P71" s="696">
        <f>VLOOKUP(C71,TONGHOPCONGDOI!$C$96:$AD$183,23,0)</f>
        <v>0</v>
      </c>
      <c r="Q71" s="696">
        <f>VLOOKUP(C71,TONGHOPCONGDOI!$C$96:$AD$183,24,0)</f>
        <v>0</v>
      </c>
      <c r="R71" s="696">
        <f>VLOOKUP(C71,TONGHOPCONGDOI!$C$96:$AD$183,25,0)</f>
        <v>0</v>
      </c>
      <c r="S71" s="696"/>
      <c r="T71" s="685">
        <f t="shared" si="1"/>
        <v>0</v>
      </c>
      <c r="U71" s="685">
        <f t="shared" si="4"/>
        <v>0</v>
      </c>
      <c r="V71" s="685"/>
      <c r="W71" s="1725">
        <f t="shared" si="8"/>
        <v>0</v>
      </c>
      <c r="X71" s="696" t="e">
        <f t="shared" si="12"/>
        <v>#DIV/0!</v>
      </c>
      <c r="Y71" s="696"/>
      <c r="Z71" s="696">
        <f>VLOOKUP(C71,'CNKT '!$C$101:$Z$182,24,0)</f>
        <v>0</v>
      </c>
      <c r="AA71" s="591" t="e">
        <f t="shared" si="5"/>
        <v>#DIV/0!</v>
      </c>
    </row>
    <row r="72" spans="1:27" s="591" customFormat="1" ht="50.25" hidden="1" customHeight="1">
      <c r="A72" s="683">
        <v>56</v>
      </c>
      <c r="B72" s="683" t="str">
        <f>'Chấm công KT'!D147</f>
        <v>03569</v>
      </c>
      <c r="C72" s="696" t="str">
        <f>TONGHOPCONGDOI!C151</f>
        <v>T. Kỷ</v>
      </c>
      <c r="D72" s="696"/>
      <c r="E72" s="697">
        <f>VLOOKUP(C72,TONGHOPCONGDOI!C151:Q238,15,0)</f>
        <v>0</v>
      </c>
      <c r="F72" s="696">
        <f t="shared" si="6"/>
        <v>0</v>
      </c>
      <c r="G72" s="696">
        <f>VLOOKUP(C72,TONGHOPCONGDOI!C151:AD238,16,0)</f>
        <v>0</v>
      </c>
      <c r="H72" s="696">
        <f>VLOOKUP(C72,TONGHOPCONGDOI!C151:AD238,18,0)</f>
        <v>0</v>
      </c>
      <c r="I72" s="696"/>
      <c r="J72" s="1556" t="e">
        <f t="shared" si="7"/>
        <v>#DIV/0!</v>
      </c>
      <c r="K72" s="683" t="str">
        <f>VLOOKUP(C72,'BTH mủ tạp'!C152:AL235,36,0)</f>
        <v>A</v>
      </c>
      <c r="L72" s="1185" t="e">
        <f t="shared" si="15"/>
        <v>#DIV/0!</v>
      </c>
      <c r="M72" s="696">
        <f>VLOOKUP(C72,TONGHOPCONGDOI!$C$96:$AD$183,20,0)</f>
        <v>0</v>
      </c>
      <c r="N72" s="696">
        <f>VLOOKUP(C72,TONGHOPCONGDOI!$C$96:$AD$183,21,0)</f>
        <v>0</v>
      </c>
      <c r="O72" s="696">
        <f>VLOOKUP(C72,TONGHOPCONGDOI!$C$96:$AD$183,22,0)</f>
        <v>0</v>
      </c>
      <c r="P72" s="696">
        <f>VLOOKUP(C72,TONGHOPCONGDOI!$C$96:$AD$183,23,0)</f>
        <v>0</v>
      </c>
      <c r="Q72" s="696">
        <f>VLOOKUP(C72,TONGHOPCONGDOI!$C$96:$AD$183,24,0)</f>
        <v>0</v>
      </c>
      <c r="R72" s="696">
        <f>VLOOKUP(C72,TONGHOPCONGDOI!$C$96:$AD$183,25,0)</f>
        <v>0</v>
      </c>
      <c r="S72" s="696"/>
      <c r="T72" s="685">
        <f t="shared" si="1"/>
        <v>0</v>
      </c>
      <c r="U72" s="685">
        <f t="shared" si="4"/>
        <v>0</v>
      </c>
      <c r="V72" s="685"/>
      <c r="W72" s="1725">
        <f t="shared" si="8"/>
        <v>0</v>
      </c>
      <c r="X72" s="696" t="e">
        <f t="shared" si="12"/>
        <v>#DIV/0!</v>
      </c>
      <c r="Y72" s="696"/>
      <c r="Z72" s="696">
        <f>VLOOKUP(C72,'CNKT '!$C$101:$Z$182,24,0)</f>
        <v>0</v>
      </c>
      <c r="AA72" s="591" t="e">
        <f t="shared" si="5"/>
        <v>#DIV/0!</v>
      </c>
    </row>
    <row r="73" spans="1:27" s="591" customFormat="1" ht="50.25" hidden="1" customHeight="1">
      <c r="A73" s="683">
        <v>57</v>
      </c>
      <c r="B73" s="683" t="str">
        <f>'Chấm công KT'!D148</f>
        <v>03570</v>
      </c>
      <c r="C73" s="696" t="str">
        <f>TONGHOPCONGDOI!C152</f>
        <v>T. Vi Lai Văn</v>
      </c>
      <c r="D73" s="696"/>
      <c r="E73" s="697">
        <f>VLOOKUP(C73,TONGHOPCONGDOI!C152:Q239,15,0)</f>
        <v>0</v>
      </c>
      <c r="F73" s="696">
        <f t="shared" si="6"/>
        <v>0</v>
      </c>
      <c r="G73" s="696">
        <f>VLOOKUP(C73,TONGHOPCONGDOI!C152:AD239,16,0)</f>
        <v>0</v>
      </c>
      <c r="H73" s="696">
        <f>VLOOKUP(C73,TONGHOPCONGDOI!C152:AD239,18,0)</f>
        <v>0</v>
      </c>
      <c r="I73" s="696"/>
      <c r="J73" s="1556" t="e">
        <f t="shared" si="7"/>
        <v>#DIV/0!</v>
      </c>
      <c r="K73" s="683" t="str">
        <f>VLOOKUP(C73,'BTH mủ tạp'!C153:AL236,36,0)</f>
        <v>A</v>
      </c>
      <c r="L73" s="1185" t="e">
        <f t="shared" si="15"/>
        <v>#DIV/0!</v>
      </c>
      <c r="M73" s="696">
        <f>VLOOKUP(C73,TONGHOPCONGDOI!$C$96:$AD$183,20,0)</f>
        <v>0</v>
      </c>
      <c r="N73" s="696">
        <f>VLOOKUP(C73,TONGHOPCONGDOI!$C$96:$AD$183,21,0)</f>
        <v>0</v>
      </c>
      <c r="O73" s="696">
        <f>VLOOKUP(C73,TONGHOPCONGDOI!$C$96:$AD$183,22,0)</f>
        <v>0</v>
      </c>
      <c r="P73" s="696">
        <f>VLOOKUP(C73,TONGHOPCONGDOI!$C$96:$AD$183,23,0)</f>
        <v>0</v>
      </c>
      <c r="Q73" s="696">
        <f>VLOOKUP(C73,TONGHOPCONGDOI!$C$96:$AD$183,24,0)</f>
        <v>0</v>
      </c>
      <c r="R73" s="696">
        <f>VLOOKUP(C73,TONGHOPCONGDOI!$C$96:$AD$183,25,0)</f>
        <v>0</v>
      </c>
      <c r="S73" s="696"/>
      <c r="T73" s="685">
        <f t="shared" si="1"/>
        <v>0</v>
      </c>
      <c r="U73" s="685">
        <f t="shared" si="4"/>
        <v>0</v>
      </c>
      <c r="V73" s="685"/>
      <c r="W73" s="1725">
        <f t="shared" si="8"/>
        <v>0</v>
      </c>
      <c r="X73" s="696" t="e">
        <f t="shared" si="12"/>
        <v>#DIV/0!</v>
      </c>
      <c r="Y73" s="696"/>
      <c r="Z73" s="696">
        <f>VLOOKUP(C73,'CNKT '!$C$101:$Z$182,24,0)</f>
        <v>0</v>
      </c>
      <c r="AA73" s="591" t="e">
        <f t="shared" si="5"/>
        <v>#DIV/0!</v>
      </c>
    </row>
    <row r="74" spans="1:27" s="591" customFormat="1" ht="50.25" hidden="1" customHeight="1">
      <c r="A74" s="683">
        <v>58</v>
      </c>
      <c r="B74" s="683" t="str">
        <f>'Chấm công KT'!D149</f>
        <v>03571</v>
      </c>
      <c r="C74" s="696" t="str">
        <f>TONGHOPCONGDOI!C153</f>
        <v>T. Ê</v>
      </c>
      <c r="D74" s="696"/>
      <c r="E74" s="697">
        <f>VLOOKUP(C74,TONGHOPCONGDOI!C153:Q240,15,0)</f>
        <v>0</v>
      </c>
      <c r="F74" s="696">
        <f t="shared" si="6"/>
        <v>0</v>
      </c>
      <c r="G74" s="696">
        <f>VLOOKUP(C74,TONGHOPCONGDOI!C153:AD240,16,0)</f>
        <v>0</v>
      </c>
      <c r="H74" s="696">
        <f>VLOOKUP(C74,TONGHOPCONGDOI!C153:AD240,18,0)</f>
        <v>0</v>
      </c>
      <c r="I74" s="696"/>
      <c r="J74" s="1556" t="e">
        <f t="shared" si="7"/>
        <v>#DIV/0!</v>
      </c>
      <c r="K74" s="683" t="str">
        <f>VLOOKUP(C74,'BTH mủ tạp'!C154:AL237,36,0)</f>
        <v>A</v>
      </c>
      <c r="L74" s="1185" t="e">
        <f t="shared" si="15"/>
        <v>#DIV/0!</v>
      </c>
      <c r="M74" s="696">
        <f>VLOOKUP(C74,TONGHOPCONGDOI!$C$96:$AD$183,20,0)</f>
        <v>0</v>
      </c>
      <c r="N74" s="696">
        <f>VLOOKUP(C74,TONGHOPCONGDOI!$C$96:$AD$183,21,0)</f>
        <v>0</v>
      </c>
      <c r="O74" s="696">
        <f>VLOOKUP(C74,TONGHOPCONGDOI!$C$96:$AD$183,22,0)</f>
        <v>0</v>
      </c>
      <c r="P74" s="696">
        <f>VLOOKUP(C74,TONGHOPCONGDOI!$C$96:$AD$183,23,0)</f>
        <v>0</v>
      </c>
      <c r="Q74" s="696">
        <f>VLOOKUP(C74,TONGHOPCONGDOI!$C$96:$AD$183,24,0)</f>
        <v>0</v>
      </c>
      <c r="R74" s="696">
        <f>VLOOKUP(C74,TONGHOPCONGDOI!$C$96:$AD$183,25,0)</f>
        <v>0</v>
      </c>
      <c r="S74" s="696"/>
      <c r="T74" s="685">
        <f t="shared" si="1"/>
        <v>0</v>
      </c>
      <c r="U74" s="685">
        <f t="shared" si="4"/>
        <v>0</v>
      </c>
      <c r="V74" s="685"/>
      <c r="W74" s="1725">
        <f t="shared" si="8"/>
        <v>0</v>
      </c>
      <c r="X74" s="696" t="e">
        <f t="shared" si="12"/>
        <v>#DIV/0!</v>
      </c>
      <c r="Y74" s="696"/>
      <c r="Z74" s="696">
        <f>VLOOKUP(C74,'CNKT '!$C$101:$Z$182,24,0)</f>
        <v>0</v>
      </c>
      <c r="AA74" s="591" t="e">
        <f t="shared" si="5"/>
        <v>#DIV/0!</v>
      </c>
    </row>
    <row r="75" spans="1:27" s="591" customFormat="1" ht="50.25" hidden="1" customHeight="1">
      <c r="A75" s="683">
        <v>59</v>
      </c>
      <c r="B75" s="683" t="str">
        <f>'Chấm công KT'!D150</f>
        <v>03572</v>
      </c>
      <c r="C75" s="696" t="str">
        <f>TONGHOPCONGDOI!C154</f>
        <v>N. Lắt Đa</v>
      </c>
      <c r="D75" s="696"/>
      <c r="E75" s="697">
        <f>VLOOKUP(C75,TONGHOPCONGDOI!C154:Q241,15,0)</f>
        <v>0</v>
      </c>
      <c r="F75" s="696">
        <f t="shared" si="6"/>
        <v>0</v>
      </c>
      <c r="G75" s="696">
        <f>VLOOKUP(C75,TONGHOPCONGDOI!C154:AD241,16,0)</f>
        <v>0</v>
      </c>
      <c r="H75" s="696">
        <f>VLOOKUP(C75,TONGHOPCONGDOI!C154:AD241,18,0)</f>
        <v>0</v>
      </c>
      <c r="I75" s="696"/>
      <c r="J75" s="1556" t="e">
        <f t="shared" si="7"/>
        <v>#DIV/0!</v>
      </c>
      <c r="K75" s="683" t="str">
        <f>VLOOKUP(C75,'BTH mủ tạp'!C155:AL238,36,0)</f>
        <v>A</v>
      </c>
      <c r="L75" s="1185" t="e">
        <f t="shared" si="15"/>
        <v>#DIV/0!</v>
      </c>
      <c r="M75" s="696">
        <f>VLOOKUP(C75,TONGHOPCONGDOI!$C$96:$AD$183,20,0)</f>
        <v>0</v>
      </c>
      <c r="N75" s="696">
        <f>VLOOKUP(C75,TONGHOPCONGDOI!$C$96:$AD$183,21,0)</f>
        <v>0</v>
      </c>
      <c r="O75" s="696">
        <f>VLOOKUP(C75,TONGHOPCONGDOI!$C$96:$AD$183,22,0)</f>
        <v>0</v>
      </c>
      <c r="P75" s="696">
        <f>VLOOKUP(C75,TONGHOPCONGDOI!$C$96:$AD$183,23,0)</f>
        <v>0</v>
      </c>
      <c r="Q75" s="696">
        <f>VLOOKUP(C75,TONGHOPCONGDOI!$C$96:$AD$183,24,0)</f>
        <v>0</v>
      </c>
      <c r="R75" s="696">
        <f>VLOOKUP(C75,TONGHOPCONGDOI!$C$96:$AD$183,25,0)</f>
        <v>0</v>
      </c>
      <c r="S75" s="696"/>
      <c r="T75" s="685">
        <f t="shared" si="1"/>
        <v>0</v>
      </c>
      <c r="U75" s="685">
        <f t="shared" si="4"/>
        <v>0</v>
      </c>
      <c r="V75" s="685"/>
      <c r="W75" s="1725">
        <f t="shared" si="8"/>
        <v>0</v>
      </c>
      <c r="X75" s="696" t="e">
        <f t="shared" si="12"/>
        <v>#DIV/0!</v>
      </c>
      <c r="Y75" s="696"/>
      <c r="Z75" s="696">
        <f>VLOOKUP(C75,'CNKT '!$C$101:$Z$182,24,0)</f>
        <v>0</v>
      </c>
      <c r="AA75" s="591" t="e">
        <f t="shared" si="5"/>
        <v>#DIV/0!</v>
      </c>
    </row>
    <row r="76" spans="1:27" s="591" customFormat="1" ht="50.25" hidden="1" customHeight="1">
      <c r="A76" s="683">
        <v>60</v>
      </c>
      <c r="B76" s="683" t="str">
        <f>'Chấm công KT'!D151</f>
        <v>03573</v>
      </c>
      <c r="C76" s="696" t="str">
        <f>TONGHOPCONGDOI!C155</f>
        <v>N. Tieng Na</v>
      </c>
      <c r="D76" s="696"/>
      <c r="E76" s="697">
        <f>VLOOKUP(C76,TONGHOPCONGDOI!C155:Q242,15,0)</f>
        <v>0</v>
      </c>
      <c r="F76" s="696">
        <f t="shared" si="6"/>
        <v>0</v>
      </c>
      <c r="G76" s="696">
        <f>VLOOKUP(C76,TONGHOPCONGDOI!C155:AD242,16,0)</f>
        <v>0</v>
      </c>
      <c r="H76" s="696">
        <f>VLOOKUP(C76,TONGHOPCONGDOI!C155:AD242,18,0)</f>
        <v>0</v>
      </c>
      <c r="I76" s="696"/>
      <c r="J76" s="1556" t="e">
        <f t="shared" si="7"/>
        <v>#DIV/0!</v>
      </c>
      <c r="K76" s="683" t="str">
        <f>VLOOKUP(C76,'BTH mủ tạp'!C156:AL239,36,0)</f>
        <v>A</v>
      </c>
      <c r="L76" s="1185" t="e">
        <f t="shared" si="15"/>
        <v>#DIV/0!</v>
      </c>
      <c r="M76" s="696">
        <f>VLOOKUP(C76,TONGHOPCONGDOI!$C$96:$AD$183,20,0)</f>
        <v>0</v>
      </c>
      <c r="N76" s="696">
        <f>VLOOKUP(C76,TONGHOPCONGDOI!$C$96:$AD$183,21,0)</f>
        <v>0</v>
      </c>
      <c r="O76" s="696">
        <f>VLOOKUP(C76,TONGHOPCONGDOI!$C$96:$AD$183,22,0)</f>
        <v>0</v>
      </c>
      <c r="P76" s="696">
        <f>VLOOKUP(C76,TONGHOPCONGDOI!$C$96:$AD$183,23,0)</f>
        <v>0</v>
      </c>
      <c r="Q76" s="696">
        <f>VLOOKUP(C76,TONGHOPCONGDOI!$C$96:$AD$183,24,0)</f>
        <v>0</v>
      </c>
      <c r="R76" s="696">
        <f>VLOOKUP(C76,TONGHOPCONGDOI!$C$96:$AD$183,25,0)</f>
        <v>0</v>
      </c>
      <c r="S76" s="696"/>
      <c r="T76" s="685">
        <f t="shared" si="1"/>
        <v>0</v>
      </c>
      <c r="U76" s="685">
        <f t="shared" si="4"/>
        <v>0</v>
      </c>
      <c r="V76" s="685"/>
      <c r="W76" s="1725">
        <f t="shared" si="8"/>
        <v>0</v>
      </c>
      <c r="X76" s="696" t="e">
        <f t="shared" si="12"/>
        <v>#DIV/0!</v>
      </c>
      <c r="Y76" s="696"/>
      <c r="Z76" s="696">
        <f>VLOOKUP(C76,'CNKT '!$C$101:$Z$182,24,0)</f>
        <v>0</v>
      </c>
      <c r="AA76" s="591" t="e">
        <f t="shared" si="5"/>
        <v>#DIV/0!</v>
      </c>
    </row>
    <row r="77" spans="1:27" s="591" customFormat="1" ht="50.25" hidden="1" customHeight="1">
      <c r="A77" s="683">
        <v>61</v>
      </c>
      <c r="B77" s="683" t="str">
        <f>'Chấm công KT'!D152</f>
        <v>03574</v>
      </c>
      <c r="C77" s="696" t="str">
        <f>TONGHOPCONGDOI!C156</f>
        <v>T. Đăm</v>
      </c>
      <c r="D77" s="696"/>
      <c r="E77" s="697">
        <f>VLOOKUP(C77,TONGHOPCONGDOI!C156:Q243,15,0)</f>
        <v>0</v>
      </c>
      <c r="F77" s="696">
        <f t="shared" si="6"/>
        <v>0</v>
      </c>
      <c r="G77" s="696">
        <f>VLOOKUP(C77,TONGHOPCONGDOI!C156:AD243,16,0)</f>
        <v>0</v>
      </c>
      <c r="H77" s="696">
        <f>VLOOKUP(C77,TONGHOPCONGDOI!C156:AD243,18,0)</f>
        <v>0</v>
      </c>
      <c r="I77" s="696"/>
      <c r="J77" s="1556" t="e">
        <f t="shared" si="7"/>
        <v>#DIV/0!</v>
      </c>
      <c r="K77" s="683" t="str">
        <f>VLOOKUP(C77,'BTH mủ tạp'!C157:AL240,36,0)</f>
        <v>B</v>
      </c>
      <c r="L77" s="1185" t="e">
        <f t="shared" si="15"/>
        <v>#DIV/0!</v>
      </c>
      <c r="M77" s="696">
        <f>VLOOKUP(C77,TONGHOPCONGDOI!$C$96:$AD$183,20,0)</f>
        <v>0</v>
      </c>
      <c r="N77" s="696">
        <f>VLOOKUP(C77,TONGHOPCONGDOI!$C$96:$AD$183,21,0)</f>
        <v>0</v>
      </c>
      <c r="O77" s="696">
        <f>VLOOKUP(C77,TONGHOPCONGDOI!$C$96:$AD$183,22,0)</f>
        <v>0</v>
      </c>
      <c r="P77" s="696">
        <f>VLOOKUP(C77,TONGHOPCONGDOI!$C$96:$AD$183,23,0)</f>
        <v>0</v>
      </c>
      <c r="Q77" s="696">
        <f>VLOOKUP(C77,TONGHOPCONGDOI!$C$96:$AD$183,24,0)</f>
        <v>0</v>
      </c>
      <c r="R77" s="696">
        <f>VLOOKUP(C77,TONGHOPCONGDOI!$C$96:$AD$183,25,0)</f>
        <v>0</v>
      </c>
      <c r="S77" s="696"/>
      <c r="T77" s="685">
        <f t="shared" si="1"/>
        <v>0</v>
      </c>
      <c r="U77" s="685">
        <f t="shared" si="4"/>
        <v>0</v>
      </c>
      <c r="V77" s="685"/>
      <c r="W77" s="1725">
        <f t="shared" si="8"/>
        <v>0</v>
      </c>
      <c r="X77" s="696" t="e">
        <f t="shared" si="12"/>
        <v>#DIV/0!</v>
      </c>
      <c r="Y77" s="696"/>
      <c r="Z77" s="696">
        <f>VLOOKUP(C77,'CNKT '!$C$101:$Z$182,24,0)</f>
        <v>0</v>
      </c>
      <c r="AA77" s="591" t="e">
        <f t="shared" si="5"/>
        <v>#DIV/0!</v>
      </c>
    </row>
    <row r="78" spans="1:27" s="591" customFormat="1" ht="50.25" hidden="1" customHeight="1">
      <c r="A78" s="683">
        <v>62</v>
      </c>
      <c r="B78" s="683" t="e">
        <f>'Chấm công KT'!D153</f>
        <v>#N/A</v>
      </c>
      <c r="C78" s="696" t="str">
        <f>TONGHOPCONGDOI!C157</f>
        <v>T. Văn Ê</v>
      </c>
      <c r="D78" s="696"/>
      <c r="E78" s="697">
        <f>VLOOKUP(C78,TONGHOPCONGDOI!C157:Q244,15,0)</f>
        <v>0</v>
      </c>
      <c r="F78" s="696">
        <f t="shared" si="6"/>
        <v>0</v>
      </c>
      <c r="G78" s="696">
        <f>VLOOKUP(C78,TONGHOPCONGDOI!C157:AD244,16,0)</f>
        <v>0</v>
      </c>
      <c r="H78" s="696">
        <f>VLOOKUP(C78,TONGHOPCONGDOI!C157:AD244,18,0)</f>
        <v>0</v>
      </c>
      <c r="I78" s="696"/>
      <c r="J78" s="1556" t="e">
        <f t="shared" si="7"/>
        <v>#DIV/0!</v>
      </c>
      <c r="K78" s="683" t="str">
        <f>VLOOKUP(C78,'BTH mủ tạp'!C158:AL241,36,0)</f>
        <v>A</v>
      </c>
      <c r="L78" s="1185" t="e">
        <f>ROUND((IF(K78="A",(G78*$Z$13*6.1),IF(K78="B",(G78*$Z$13*5.8),IF(K78="C",(G78*$Z$13*5.5),IF(K78="D",(G78*$Z$13*5.2),0))))*$E$13+(H78*$AB$12*$E$13*6.1)+I78*$E$13*$AB$13*6.1),0)</f>
        <v>#DIV/0!</v>
      </c>
      <c r="M78" s="696">
        <f>VLOOKUP(C78,TONGHOPCONGDOI!$C$96:$AD$183,20,0)</f>
        <v>0</v>
      </c>
      <c r="N78" s="696">
        <f>VLOOKUP(C78,TONGHOPCONGDOI!$C$96:$AD$183,21,0)</f>
        <v>0</v>
      </c>
      <c r="O78" s="696">
        <f>VLOOKUP(C78,TONGHOPCONGDOI!$C$96:$AD$183,22,0)</f>
        <v>0</v>
      </c>
      <c r="P78" s="696">
        <f>VLOOKUP(C78,TONGHOPCONGDOI!$C$96:$AD$183,23,0)</f>
        <v>0</v>
      </c>
      <c r="Q78" s="696">
        <f>VLOOKUP(C78,TONGHOPCONGDOI!$C$96:$AD$183,24,0)</f>
        <v>0</v>
      </c>
      <c r="R78" s="696">
        <f>VLOOKUP(C78,TONGHOPCONGDOI!$C$96:$AD$183,25,0)</f>
        <v>0</v>
      </c>
      <c r="S78" s="696"/>
      <c r="T78" s="685">
        <f t="shared" si="1"/>
        <v>0</v>
      </c>
      <c r="U78" s="685">
        <f t="shared" si="4"/>
        <v>0</v>
      </c>
      <c r="V78" s="685"/>
      <c r="W78" s="1725">
        <f t="shared" si="8"/>
        <v>0</v>
      </c>
      <c r="X78" s="696" t="e">
        <f t="shared" si="12"/>
        <v>#DIV/0!</v>
      </c>
      <c r="Y78" s="696"/>
      <c r="Z78" s="696">
        <f>VLOOKUP(C78,'CNKT '!$C$101:$Z$182,24,0)</f>
        <v>0</v>
      </c>
      <c r="AA78" s="591" t="e">
        <f t="shared" si="5"/>
        <v>#DIV/0!</v>
      </c>
    </row>
    <row r="79" spans="1:27" s="591" customFormat="1" ht="50.25" hidden="1" customHeight="1">
      <c r="A79" s="683">
        <v>63</v>
      </c>
      <c r="B79" s="683" t="str">
        <f>'Chấm công KT'!D154</f>
        <v>03576</v>
      </c>
      <c r="C79" s="696" t="str">
        <f>TONGHOPCONGDOI!C158</f>
        <v>T. Sinh</v>
      </c>
      <c r="D79" s="696"/>
      <c r="E79" s="697">
        <f>VLOOKUP(C79,TONGHOPCONGDOI!C158:Q245,15,0)</f>
        <v>0</v>
      </c>
      <c r="F79" s="696">
        <f t="shared" si="6"/>
        <v>0</v>
      </c>
      <c r="G79" s="696">
        <f>VLOOKUP(C79,TONGHOPCONGDOI!C158:AD245,16,0)</f>
        <v>0</v>
      </c>
      <c r="H79" s="696">
        <f>VLOOKUP(C79,TONGHOPCONGDOI!C158:AD245,18,0)</f>
        <v>0</v>
      </c>
      <c r="I79" s="696"/>
      <c r="J79" s="1556" t="e">
        <f t="shared" si="7"/>
        <v>#DIV/0!</v>
      </c>
      <c r="K79" s="683" t="str">
        <f>VLOOKUP(C79,'BTH mủ tạp'!C159:AL242,36,0)</f>
        <v>A</v>
      </c>
      <c r="L79" s="1185" t="e">
        <f>ROUND((IF(K79="A",(G79*$Z$13*6.1),IF(K79="B",(G79*$Z$13*5.8),IF(K79="C",(G79*$Z$13*5.5),IF(K79="D",(G79*$Z$13*5.2),0))))*$E$13+(H79*$AB$12*$E$13*6.1)+I79*$E$13*$AB$13*6.1),0)</f>
        <v>#DIV/0!</v>
      </c>
      <c r="M79" s="696">
        <f>VLOOKUP(C79,TONGHOPCONGDOI!$C$96:$AD$183,20,0)</f>
        <v>0</v>
      </c>
      <c r="N79" s="696">
        <f>VLOOKUP(C79,TONGHOPCONGDOI!$C$96:$AD$183,21,0)</f>
        <v>0</v>
      </c>
      <c r="O79" s="696">
        <f>VLOOKUP(C79,TONGHOPCONGDOI!$C$96:$AD$183,22,0)</f>
        <v>0</v>
      </c>
      <c r="P79" s="696">
        <f>VLOOKUP(C79,TONGHOPCONGDOI!$C$96:$AD$183,23,0)</f>
        <v>0</v>
      </c>
      <c r="Q79" s="696">
        <f>VLOOKUP(C79,TONGHOPCONGDOI!$C$96:$AD$183,24,0)</f>
        <v>0</v>
      </c>
      <c r="R79" s="696">
        <f>VLOOKUP(C79,TONGHOPCONGDOI!$C$96:$AD$183,25,0)</f>
        <v>0</v>
      </c>
      <c r="S79" s="696"/>
      <c r="T79" s="685">
        <f t="shared" si="1"/>
        <v>0</v>
      </c>
      <c r="U79" s="685">
        <f t="shared" si="4"/>
        <v>0</v>
      </c>
      <c r="V79" s="685"/>
      <c r="W79" s="1725">
        <f t="shared" si="8"/>
        <v>0</v>
      </c>
      <c r="X79" s="696" t="e">
        <f t="shared" si="12"/>
        <v>#DIV/0!</v>
      </c>
      <c r="Y79" s="696"/>
      <c r="Z79" s="696">
        <f>VLOOKUP(C79,'CNKT '!$C$101:$Z$182,24,0)</f>
        <v>0</v>
      </c>
      <c r="AA79" s="591" t="e">
        <f t="shared" si="5"/>
        <v>#DIV/0!</v>
      </c>
    </row>
    <row r="80" spans="1:27" s="591" customFormat="1" ht="50.25" hidden="1" customHeight="1">
      <c r="A80" s="683">
        <v>64</v>
      </c>
      <c r="B80" s="683"/>
      <c r="C80" s="696" t="str">
        <f>TONGHOPCONGDOI!C159</f>
        <v>T. Khăm Công</v>
      </c>
      <c r="D80" s="696"/>
      <c r="E80" s="697">
        <f>VLOOKUP(C80,TONGHOPCONGDOI!C159:Q246,15,0)</f>
        <v>0</v>
      </c>
      <c r="F80" s="696">
        <f t="shared" si="6"/>
        <v>0</v>
      </c>
      <c r="G80" s="696">
        <f>VLOOKUP(C80,TONGHOPCONGDOI!C159:AD245,16,0)</f>
        <v>0</v>
      </c>
      <c r="H80" s="696">
        <f>VLOOKUP(C80,TONGHOPCONGDOI!C159:AD248,18,0)</f>
        <v>0</v>
      </c>
      <c r="I80" s="696"/>
      <c r="J80" s="1556" t="e">
        <f t="shared" si="7"/>
        <v>#DIV/0!</v>
      </c>
      <c r="K80" s="683" t="str">
        <f>VLOOKUP(C80,'BTH mủ tạp'!C160:AL243,36,0)</f>
        <v>B</v>
      </c>
      <c r="L80" s="1185" t="e">
        <f>ROUND((IF(K80="A",(G80*$Z$13*6.1),IF(K80="B",(G80*$Z$13*5.8),IF(K80="C",(G80*$Z$13*5.5),IF(K80="D",(G80*$Z$13*5.2),0))))*$E$13+(H80*$AB$12*$E$13*6.1)+I80*$E$13*$AB$13*6.1),0)</f>
        <v>#DIV/0!</v>
      </c>
      <c r="M80" s="696">
        <f>VLOOKUP(C80,TONGHOPCONGDOI!$C$96:$AD$183,20,0)</f>
        <v>0</v>
      </c>
      <c r="N80" s="696">
        <f>VLOOKUP(C80,TONGHOPCONGDOI!$C$96:$AD$183,21,0)</f>
        <v>0</v>
      </c>
      <c r="O80" s="696">
        <f>VLOOKUP(C80,TONGHOPCONGDOI!$C$96:$AD$183,22,0)</f>
        <v>0</v>
      </c>
      <c r="P80" s="696">
        <f>VLOOKUP(C80,TONGHOPCONGDOI!$C$96:$AD$183,23,0)</f>
        <v>0</v>
      </c>
      <c r="Q80" s="696">
        <f>VLOOKUP(C80,TONGHOPCONGDOI!$C$96:$AD$183,24,0)</f>
        <v>0</v>
      </c>
      <c r="R80" s="696">
        <f>VLOOKUP(C80,TONGHOPCONGDOI!$C$96:$AD$183,25,0)</f>
        <v>0</v>
      </c>
      <c r="S80" s="696"/>
      <c r="T80" s="685">
        <f t="shared" si="1"/>
        <v>0</v>
      </c>
      <c r="U80" s="685">
        <f t="shared" si="4"/>
        <v>0</v>
      </c>
      <c r="V80" s="685"/>
      <c r="W80" s="1725">
        <f t="shared" si="8"/>
        <v>0</v>
      </c>
      <c r="X80" s="696" t="e">
        <f t="shared" si="12"/>
        <v>#DIV/0!</v>
      </c>
      <c r="Y80" s="696"/>
      <c r="Z80" s="696">
        <f>VLOOKUP(C80,'CNKT '!$C$101:$Z$182,24,0)</f>
        <v>0</v>
      </c>
      <c r="AA80" s="591" t="e">
        <f t="shared" si="5"/>
        <v>#DIV/0!</v>
      </c>
    </row>
    <row r="81" spans="1:27" s="591" customFormat="1" ht="50.25" hidden="1" customHeight="1">
      <c r="A81" s="683">
        <v>65</v>
      </c>
      <c r="B81" s="683" t="str">
        <f>'Chấm công KT'!D156</f>
        <v>03578</v>
      </c>
      <c r="C81" s="696" t="str">
        <f>TONGHOPCONGDOI!C160</f>
        <v>T. Ngon</v>
      </c>
      <c r="D81" s="696"/>
      <c r="E81" s="697">
        <f>VLOOKUP(C81,TONGHOPCONGDOI!C160:Q247,15,0)</f>
        <v>0</v>
      </c>
      <c r="F81" s="696">
        <f t="shared" si="6"/>
        <v>0</v>
      </c>
      <c r="G81" s="696">
        <f>VLOOKUP(C81,TONGHOPCONGDOI!C160:AD248,16,0)</f>
        <v>0</v>
      </c>
      <c r="H81" s="696">
        <f>VLOOKUP(C81,TONGHOPCONGDOI!C160:AD248,18,0)</f>
        <v>0</v>
      </c>
      <c r="I81" s="696"/>
      <c r="J81" s="1556" t="e">
        <f t="shared" si="7"/>
        <v>#DIV/0!</v>
      </c>
      <c r="K81" s="683" t="str">
        <f>VLOOKUP(C81,'BTH mủ tạp'!C161:AL244,36,0)</f>
        <v>A</v>
      </c>
      <c r="L81" s="1185" t="e">
        <f>ROUND((IF(K81="A",(G81*$Z$13*6.1),IF(K81="B",(G81*$Z$13*5.8),IF(K81="C",(G81*$Z$13*5.5),IF(K81="D",(G81*$Z$13*5.2),0))))*$E$13+(H81*$AB$12*$E$13*6.1)+I81*$E$13*$AB$13*6.1),0)</f>
        <v>#DIV/0!</v>
      </c>
      <c r="M81" s="696">
        <f>VLOOKUP(C81,TONGHOPCONGDOI!$C$96:$AD$183,20,0)</f>
        <v>0</v>
      </c>
      <c r="N81" s="696">
        <f>VLOOKUP(C81,TONGHOPCONGDOI!$C$96:$AD$183,21,0)</f>
        <v>0</v>
      </c>
      <c r="O81" s="696">
        <f>VLOOKUP(C81,TONGHOPCONGDOI!$C$96:$AD$183,22,0)</f>
        <v>0</v>
      </c>
      <c r="P81" s="696">
        <f>VLOOKUP(C81,TONGHOPCONGDOI!$C$96:$AD$183,23,0)</f>
        <v>0</v>
      </c>
      <c r="Q81" s="696">
        <f>VLOOKUP(C81,TONGHOPCONGDOI!$C$96:$AD$183,24,0)</f>
        <v>0</v>
      </c>
      <c r="R81" s="696">
        <f>VLOOKUP(C81,TONGHOPCONGDOI!$C$96:$AD$183,25,0)</f>
        <v>0</v>
      </c>
      <c r="S81" s="696"/>
      <c r="T81" s="685">
        <f t="shared" ref="T81:T98" si="16">SUM(M81:R81)</f>
        <v>0</v>
      </c>
      <c r="U81" s="685">
        <f t="shared" si="4"/>
        <v>0</v>
      </c>
      <c r="V81" s="685"/>
      <c r="W81" s="1725">
        <f t="shared" si="8"/>
        <v>0</v>
      </c>
      <c r="X81" s="696" t="e">
        <f t="shared" ref="X81:X90" si="17">F81+L81+W81</f>
        <v>#DIV/0!</v>
      </c>
      <c r="Y81" s="696"/>
      <c r="Z81" s="696">
        <f>VLOOKUP(C81,'CNKT '!$C$101:$Z$182,24,0)</f>
        <v>0</v>
      </c>
      <c r="AA81" s="591" t="e">
        <f t="shared" si="5"/>
        <v>#DIV/0!</v>
      </c>
    </row>
    <row r="82" spans="1:27" s="591" customFormat="1" ht="50.25" hidden="1" customHeight="1">
      <c r="A82" s="683">
        <v>66</v>
      </c>
      <c r="B82" s="683"/>
      <c r="C82" s="696" t="str">
        <f>TONGHOPCONGDOI!C161</f>
        <v>N . Lạ</v>
      </c>
      <c r="D82" s="696"/>
      <c r="E82" s="697">
        <f>VLOOKUP(C82,TONGHOPCONGDOI!C161:Q248,15,0)</f>
        <v>0</v>
      </c>
      <c r="F82" s="696">
        <f t="shared" si="6"/>
        <v>0</v>
      </c>
      <c r="G82" s="696">
        <f>VLOOKUP(C82,TONGHOPCONGDOI!C161:AD248,16,0)</f>
        <v>0</v>
      </c>
      <c r="H82" s="696">
        <f>VLOOKUP(C82,TONGHOPCONGDOI!C161:AD248,18,0)</f>
        <v>0</v>
      </c>
      <c r="I82" s="696"/>
      <c r="J82" s="1556" t="e">
        <f t="shared" si="7"/>
        <v>#DIV/0!</v>
      </c>
      <c r="K82" s="683" t="str">
        <f>VLOOKUP(C82,'BTH mủ tạp'!C162:AL245,36,0)</f>
        <v>A</v>
      </c>
      <c r="L82" s="1185" t="e">
        <f>ROUND((IF(K82="A",(G82*$Z$13*6.1),IF(K82="B",(G82*$Z$13*5.8),IF(K82="C",(G82*$Z$13*5.5),IF(K82="D",(G82*$Z$13*5.2),0))))*$E$13+(H82*$AB$12*$E$13*6.1)+I82*$E$13*$AB$13*6.1),0)</f>
        <v>#DIV/0!</v>
      </c>
      <c r="M82" s="696">
        <f>VLOOKUP(C82,TONGHOPCONGDOI!$C$96:$AD$183,20,0)</f>
        <v>0</v>
      </c>
      <c r="N82" s="696">
        <f>VLOOKUP(C82,TONGHOPCONGDOI!$C$96:$AD$183,21,0)</f>
        <v>0</v>
      </c>
      <c r="O82" s="696">
        <f>VLOOKUP(C82,TONGHOPCONGDOI!$C$96:$AD$183,22,0)</f>
        <v>0</v>
      </c>
      <c r="P82" s="696">
        <f>VLOOKUP(C82,TONGHOPCONGDOI!$C$96:$AD$183,23,0)</f>
        <v>0</v>
      </c>
      <c r="Q82" s="696">
        <f>VLOOKUP(C82,TONGHOPCONGDOI!$C$96:$AD$183,24,0)</f>
        <v>0</v>
      </c>
      <c r="R82" s="696">
        <f>VLOOKUP(C82,TONGHOPCONGDOI!$C$96:$AD$183,25,0)</f>
        <v>0</v>
      </c>
      <c r="S82" s="696"/>
      <c r="T82" s="685">
        <f t="shared" si="16"/>
        <v>0</v>
      </c>
      <c r="U82" s="685">
        <f t="shared" ref="U82:U104" si="18">SUM(M82:R82)</f>
        <v>0</v>
      </c>
      <c r="V82" s="685"/>
      <c r="W82" s="1725">
        <f t="shared" si="8"/>
        <v>0</v>
      </c>
      <c r="X82" s="696" t="e">
        <f t="shared" si="17"/>
        <v>#DIV/0!</v>
      </c>
      <c r="Y82" s="696"/>
      <c r="Z82" s="696">
        <f>VLOOKUP(C82,'CNKT '!$C$101:$Z$182,24,0)</f>
        <v>0</v>
      </c>
      <c r="AA82" s="591" t="e">
        <f t="shared" ref="AA82:AA105" si="19">X82-Z82</f>
        <v>#DIV/0!</v>
      </c>
    </row>
    <row r="83" spans="1:27" s="591" customFormat="1" ht="50.25" hidden="1" customHeight="1">
      <c r="A83" s="683">
        <v>67</v>
      </c>
      <c r="B83" s="683"/>
      <c r="C83" s="696" t="str">
        <f>TONGHOPCONGDOI!C162</f>
        <v>T. Chỏ</v>
      </c>
      <c r="D83" s="696"/>
      <c r="E83" s="697">
        <f>VLOOKUP(C83,TONGHOPCONGDOI!C162:Q249,15,0)</f>
        <v>0</v>
      </c>
      <c r="F83" s="696">
        <f t="shared" ref="F83:F104" si="20">E83*25000</f>
        <v>0</v>
      </c>
      <c r="G83" s="696">
        <f>VLOOKUP(C83,TONGHOPCONGDOI!C162:AD248,16,0)</f>
        <v>0</v>
      </c>
      <c r="H83" s="696">
        <f>VLOOKUP(C83,TONGHOPCONGDOI!C162:AD250,18,0)</f>
        <v>0</v>
      </c>
      <c r="I83" s="696"/>
      <c r="J83" s="1556" t="e">
        <f t="shared" ref="J83:J90" si="21">$AB$11/$AB$10*G83+H83*$AB$12+I83*$AB$13</f>
        <v>#DIV/0!</v>
      </c>
      <c r="K83" s="683" t="str">
        <f>VLOOKUP(C83,'BTH mủ tạp'!C163:AL246,36,0)</f>
        <v>B</v>
      </c>
      <c r="L83" s="1185" t="e">
        <f t="shared" ref="L83:L89" si="22">ROUND((IF(K83="A",(G83*$Z$13*6.1),IF(K83="B",(G83*$Z$13*5.8),IF(K83="C",(G83*$Z$13*5.5),IF(K83="D",(G83*$Z$13*5.2),0))))*$E$13+(H83*$AB$12*$E$13*6.1)+I83*$E$13*$AB$13*6.1),0)</f>
        <v>#DIV/0!</v>
      </c>
      <c r="M83" s="696">
        <f>VLOOKUP(C83,TONGHOPCONGDOI!$C$96:$AD$183,20,0)</f>
        <v>0</v>
      </c>
      <c r="N83" s="696">
        <f>VLOOKUP(C83,TONGHOPCONGDOI!$C$96:$AD$183,21,0)</f>
        <v>0</v>
      </c>
      <c r="O83" s="696">
        <f>VLOOKUP(C83,TONGHOPCONGDOI!$C$96:$AD$183,22,0)</f>
        <v>0</v>
      </c>
      <c r="P83" s="696">
        <f>VLOOKUP(C83,TONGHOPCONGDOI!$C$96:$AD$183,23,0)</f>
        <v>0</v>
      </c>
      <c r="Q83" s="696">
        <f>VLOOKUP(C83,TONGHOPCONGDOI!$C$96:$AD$183,24,0)</f>
        <v>0</v>
      </c>
      <c r="R83" s="696">
        <f>VLOOKUP(C83,TONGHOPCONGDOI!$C$96:$AD$183,25,0)</f>
        <v>0</v>
      </c>
      <c r="S83" s="696"/>
      <c r="T83" s="685">
        <f t="shared" si="16"/>
        <v>0</v>
      </c>
      <c r="U83" s="685">
        <f t="shared" si="18"/>
        <v>0</v>
      </c>
      <c r="V83" s="685"/>
      <c r="W83" s="1725">
        <f t="shared" ref="W83:W87" si="23">ROUND(((M83*46.1)+(N83*76.9)+(O83*92.2)+(P83*153.8)+(Q83*92.2)+(R83*153.8))*$E$13+(S83*20000)+(T83*10000)+(U83*30000),0)</f>
        <v>0</v>
      </c>
      <c r="X83" s="696" t="e">
        <f t="shared" si="17"/>
        <v>#DIV/0!</v>
      </c>
      <c r="Y83" s="696"/>
      <c r="Z83" s="696">
        <f>VLOOKUP(C83,'CNKT '!$C$101:$Z$182,24,0)</f>
        <v>0</v>
      </c>
      <c r="AA83" s="591" t="e">
        <f t="shared" si="19"/>
        <v>#DIV/0!</v>
      </c>
    </row>
    <row r="84" spans="1:27" s="591" customFormat="1" ht="50.25" hidden="1" customHeight="1">
      <c r="A84" s="683">
        <v>68</v>
      </c>
      <c r="B84" s="683" t="str">
        <f>'Chấm công KT'!D159</f>
        <v>03581</v>
      </c>
      <c r="C84" s="696" t="str">
        <f>TONGHOPCONGDOI!C163</f>
        <v>Chăn Đen</v>
      </c>
      <c r="D84" s="696"/>
      <c r="E84" s="697">
        <f>VLOOKUP(C84,TONGHOPCONGDOI!C163:Q250,15,0)</f>
        <v>0</v>
      </c>
      <c r="F84" s="696">
        <f t="shared" si="20"/>
        <v>0</v>
      </c>
      <c r="G84" s="696">
        <f>VLOOKUP(C84,TONGHOPCONGDOI!C163:AD250,16,0)</f>
        <v>0</v>
      </c>
      <c r="H84" s="696">
        <f>VLOOKUP(C84,TONGHOPCONGDOI!C163:AD251,18,0)</f>
        <v>0</v>
      </c>
      <c r="I84" s="696"/>
      <c r="J84" s="1556" t="e">
        <f t="shared" si="21"/>
        <v>#DIV/0!</v>
      </c>
      <c r="K84" s="683" t="str">
        <f>VLOOKUP(C84,'BTH mủ tạp'!C164:AL247,36,0)</f>
        <v>B</v>
      </c>
      <c r="L84" s="1185" t="e">
        <f t="shared" si="22"/>
        <v>#DIV/0!</v>
      </c>
      <c r="M84" s="696">
        <f>VLOOKUP(C84,TONGHOPCONGDOI!$C$96:$AD$183,20,0)</f>
        <v>0</v>
      </c>
      <c r="N84" s="696">
        <f>VLOOKUP(C84,TONGHOPCONGDOI!$C$96:$AD$183,21,0)</f>
        <v>0</v>
      </c>
      <c r="O84" s="696">
        <f>VLOOKUP(C84,TONGHOPCONGDOI!$C$96:$AD$183,22,0)</f>
        <v>0</v>
      </c>
      <c r="P84" s="696">
        <f>VLOOKUP(C84,TONGHOPCONGDOI!$C$96:$AD$183,23,0)</f>
        <v>0</v>
      </c>
      <c r="Q84" s="696">
        <f>VLOOKUP(C84,TONGHOPCONGDOI!$C$96:$AD$183,24,0)</f>
        <v>0</v>
      </c>
      <c r="R84" s="696">
        <f>VLOOKUP(C84,TONGHOPCONGDOI!$C$96:$AD$183,25,0)</f>
        <v>0</v>
      </c>
      <c r="S84" s="696"/>
      <c r="T84" s="685">
        <f t="shared" si="16"/>
        <v>0</v>
      </c>
      <c r="U84" s="685">
        <f t="shared" si="18"/>
        <v>0</v>
      </c>
      <c r="V84" s="685"/>
      <c r="W84" s="1725">
        <f t="shared" si="23"/>
        <v>0</v>
      </c>
      <c r="X84" s="696" t="e">
        <f t="shared" si="17"/>
        <v>#DIV/0!</v>
      </c>
      <c r="Y84" s="696"/>
      <c r="Z84" s="696">
        <f>VLOOKUP(C84,'CNKT '!$C$101:$Z$182,24,0)</f>
        <v>0</v>
      </c>
      <c r="AA84" s="591" t="e">
        <f t="shared" si="19"/>
        <v>#DIV/0!</v>
      </c>
    </row>
    <row r="85" spans="1:27" s="591" customFormat="1" ht="50.25" hidden="1" customHeight="1">
      <c r="A85" s="683">
        <v>69</v>
      </c>
      <c r="B85" s="683" t="str">
        <f>'Chấm công KT'!D160</f>
        <v>03456</v>
      </c>
      <c r="C85" s="696" t="str">
        <f>TONGHOPCONGDOI!C164</f>
        <v>T. Vôn</v>
      </c>
      <c r="D85" s="696"/>
      <c r="E85" s="697">
        <f>VLOOKUP(C85,TONGHOPCONGDOI!C164:Q251,15,0)</f>
        <v>0</v>
      </c>
      <c r="F85" s="696">
        <f t="shared" si="20"/>
        <v>0</v>
      </c>
      <c r="G85" s="696">
        <f>VLOOKUP(C85,TONGHOPCONGDOI!C164:AD251,16,0)</f>
        <v>0</v>
      </c>
      <c r="H85" s="696">
        <f>VLOOKUP(C85,TONGHOPCONGDOI!C164:AD252,18,0)</f>
        <v>0</v>
      </c>
      <c r="I85" s="696"/>
      <c r="J85" s="1556" t="e">
        <f t="shared" si="21"/>
        <v>#DIV/0!</v>
      </c>
      <c r="K85" s="683" t="str">
        <f>VLOOKUP(C85,'BTH mủ tạp'!C165:AL248,36,0)</f>
        <v>A</v>
      </c>
      <c r="L85" s="1185" t="e">
        <f t="shared" si="22"/>
        <v>#DIV/0!</v>
      </c>
      <c r="M85" s="696">
        <f>VLOOKUP(C85,TONGHOPCONGDOI!$C$96:$AD$183,20,0)</f>
        <v>0</v>
      </c>
      <c r="N85" s="696">
        <f>VLOOKUP(C85,TONGHOPCONGDOI!$C$96:$AD$183,21,0)</f>
        <v>0</v>
      </c>
      <c r="O85" s="696">
        <f>VLOOKUP(C85,TONGHOPCONGDOI!$C$96:$AD$183,22,0)</f>
        <v>0</v>
      </c>
      <c r="P85" s="696">
        <f>VLOOKUP(C85,TONGHOPCONGDOI!$C$96:$AD$183,23,0)</f>
        <v>0</v>
      </c>
      <c r="Q85" s="696">
        <f>VLOOKUP(C85,TONGHOPCONGDOI!$C$96:$AD$183,24,0)</f>
        <v>0</v>
      </c>
      <c r="R85" s="696">
        <f>VLOOKUP(C85,TONGHOPCONGDOI!$C$96:$AD$183,25,0)</f>
        <v>0</v>
      </c>
      <c r="S85" s="696"/>
      <c r="T85" s="685">
        <f t="shared" si="16"/>
        <v>0</v>
      </c>
      <c r="U85" s="685">
        <f t="shared" si="18"/>
        <v>0</v>
      </c>
      <c r="V85" s="685"/>
      <c r="W85" s="1725">
        <f t="shared" si="23"/>
        <v>0</v>
      </c>
      <c r="X85" s="696" t="e">
        <f t="shared" si="17"/>
        <v>#DIV/0!</v>
      </c>
      <c r="Y85" s="696"/>
      <c r="Z85" s="696">
        <f>VLOOKUP(C85,'CNKT '!$C$101:$Z$182,24,0)</f>
        <v>0</v>
      </c>
      <c r="AA85" s="591" t="e">
        <f t="shared" si="19"/>
        <v>#DIV/0!</v>
      </c>
    </row>
    <row r="86" spans="1:27" s="591" customFormat="1" ht="50.25" hidden="1" customHeight="1">
      <c r="A86" s="683">
        <v>70</v>
      </c>
      <c r="B86" s="683" t="str">
        <f>'Chấm công KT'!D161</f>
        <v>03583</v>
      </c>
      <c r="C86" s="696" t="str">
        <f>TONGHOPCONGDOI!C165</f>
        <v>Đa Ly</v>
      </c>
      <c r="D86" s="696"/>
      <c r="E86" s="697">
        <f>VLOOKUP(C86,TONGHOPCONGDOI!C165:Q252,15,0)</f>
        <v>0</v>
      </c>
      <c r="F86" s="696">
        <f t="shared" si="20"/>
        <v>0</v>
      </c>
      <c r="G86" s="696">
        <f>VLOOKUP(C86,TONGHOPCONGDOI!C165:AD252,16,0)</f>
        <v>0</v>
      </c>
      <c r="H86" s="696">
        <f>VLOOKUP(C86,TONGHOPCONGDOI!C165:AD253,18,0)</f>
        <v>0</v>
      </c>
      <c r="I86" s="696"/>
      <c r="J86" s="1556" t="e">
        <f t="shared" si="21"/>
        <v>#DIV/0!</v>
      </c>
      <c r="K86" s="683" t="str">
        <f>VLOOKUP(C86,'BTH mủ tạp'!C166:AL249,36,0)</f>
        <v>A</v>
      </c>
      <c r="L86" s="1185" t="e">
        <f t="shared" si="22"/>
        <v>#DIV/0!</v>
      </c>
      <c r="M86" s="696">
        <f>VLOOKUP(C86,TONGHOPCONGDOI!$C$96:$AD$183,20,0)</f>
        <v>0</v>
      </c>
      <c r="N86" s="696">
        <f>VLOOKUP(C86,TONGHOPCONGDOI!$C$96:$AD$183,21,0)</f>
        <v>0</v>
      </c>
      <c r="O86" s="696">
        <f>VLOOKUP(C86,TONGHOPCONGDOI!$C$96:$AD$183,22,0)</f>
        <v>0</v>
      </c>
      <c r="P86" s="696">
        <f>VLOOKUP(C86,TONGHOPCONGDOI!$C$96:$AD$183,23,0)</f>
        <v>0</v>
      </c>
      <c r="Q86" s="696">
        <f>VLOOKUP(C86,TONGHOPCONGDOI!$C$96:$AD$183,24,0)</f>
        <v>0</v>
      </c>
      <c r="R86" s="696">
        <f>VLOOKUP(C86,TONGHOPCONGDOI!$C$96:$AD$183,25,0)</f>
        <v>0</v>
      </c>
      <c r="S86" s="696"/>
      <c r="T86" s="685">
        <f t="shared" si="16"/>
        <v>0</v>
      </c>
      <c r="U86" s="685">
        <f t="shared" si="18"/>
        <v>0</v>
      </c>
      <c r="V86" s="685"/>
      <c r="W86" s="1725">
        <f t="shared" si="23"/>
        <v>0</v>
      </c>
      <c r="X86" s="696" t="e">
        <f t="shared" si="17"/>
        <v>#DIV/0!</v>
      </c>
      <c r="Y86" s="696"/>
      <c r="Z86" s="696">
        <f>VLOOKUP(C86,'CNKT '!$C$101:$Z$182,24,0)</f>
        <v>0</v>
      </c>
      <c r="AA86" s="591" t="e">
        <f t="shared" si="19"/>
        <v>#DIV/0!</v>
      </c>
    </row>
    <row r="87" spans="1:27" s="591" customFormat="1" ht="50.25" hidden="1" customHeight="1">
      <c r="A87" s="683">
        <v>71</v>
      </c>
      <c r="B87" s="683"/>
      <c r="C87" s="696" t="str">
        <f>TONGHOPCONGDOI!C166</f>
        <v>Na Ly ...</v>
      </c>
      <c r="D87" s="696"/>
      <c r="E87" s="697">
        <f>VLOOKUP(C87,TONGHOPCONGDOI!C166:Q253,15,0)</f>
        <v>0</v>
      </c>
      <c r="F87" s="696">
        <f t="shared" si="20"/>
        <v>0</v>
      </c>
      <c r="G87" s="696">
        <f>VLOOKUP(C87,TONGHOPCONGDOI!C166:AD253,16,0)</f>
        <v>0</v>
      </c>
      <c r="H87" s="696">
        <f>VLOOKUP(C87,TONGHOPCONGDOI!C166:AD254,18,0)</f>
        <v>0</v>
      </c>
      <c r="I87" s="696"/>
      <c r="J87" s="1556" t="e">
        <f t="shared" si="21"/>
        <v>#DIV/0!</v>
      </c>
      <c r="K87" s="683" t="str">
        <f>VLOOKUP(C87,'BTH mủ tạp'!C167:AL250,36,0)</f>
        <v>A</v>
      </c>
      <c r="L87" s="1185" t="e">
        <f t="shared" si="22"/>
        <v>#DIV/0!</v>
      </c>
      <c r="M87" s="696">
        <f>VLOOKUP(C87,TONGHOPCONGDOI!$C$96:$AD$183,20,0)</f>
        <v>0</v>
      </c>
      <c r="N87" s="696">
        <f>VLOOKUP(C87,TONGHOPCONGDOI!$C$96:$AD$183,21,0)</f>
        <v>0</v>
      </c>
      <c r="O87" s="696">
        <f>VLOOKUP(C87,TONGHOPCONGDOI!$C$96:$AD$183,22,0)</f>
        <v>0</v>
      </c>
      <c r="P87" s="696">
        <f>VLOOKUP(C87,TONGHOPCONGDOI!$C$96:$AD$183,23,0)</f>
        <v>0</v>
      </c>
      <c r="Q87" s="696">
        <f>VLOOKUP(C87,TONGHOPCONGDOI!$C$96:$AD$183,24,0)</f>
        <v>0</v>
      </c>
      <c r="R87" s="696">
        <f>VLOOKUP(C87,TONGHOPCONGDOI!$C$96:$AD$183,25,0)</f>
        <v>0</v>
      </c>
      <c r="S87" s="696"/>
      <c r="T87" s="685">
        <f t="shared" si="16"/>
        <v>0</v>
      </c>
      <c r="U87" s="685">
        <f t="shared" si="18"/>
        <v>0</v>
      </c>
      <c r="V87" s="685"/>
      <c r="W87" s="1725">
        <f t="shared" si="23"/>
        <v>0</v>
      </c>
      <c r="X87" s="696" t="e">
        <f t="shared" si="17"/>
        <v>#DIV/0!</v>
      </c>
      <c r="Y87" s="696"/>
      <c r="Z87" s="696">
        <f>VLOOKUP(C87,'CNKT '!$C$101:$Z$182,24,0)</f>
        <v>0</v>
      </c>
      <c r="AA87" s="591" t="e">
        <f t="shared" si="19"/>
        <v>#DIV/0!</v>
      </c>
    </row>
    <row r="88" spans="1:27" s="591" customFormat="1" ht="50.25" hidden="1" customHeight="1">
      <c r="A88" s="683">
        <v>72</v>
      </c>
      <c r="B88" s="683" t="str">
        <f>'Chấm công KT'!D163</f>
        <v>03585</v>
      </c>
      <c r="C88" s="696" t="str">
        <f>TONGHOPCONGDOI!C167</f>
        <v>Lắc Xa Mi</v>
      </c>
      <c r="D88" s="696"/>
      <c r="E88" s="697">
        <f>VLOOKUP(C88,TONGHOPCONGDOI!C167:Q254,15,0)</f>
        <v>0</v>
      </c>
      <c r="F88" s="696">
        <f t="shared" si="20"/>
        <v>0</v>
      </c>
      <c r="G88" s="696">
        <f>VLOOKUP(C88,TONGHOPCONGDOI!C167:AD254,16,0)</f>
        <v>0</v>
      </c>
      <c r="H88" s="696">
        <f>VLOOKUP(C88,TONGHOPCONGDOI!C167:AD255,18,0)</f>
        <v>0</v>
      </c>
      <c r="I88" s="696"/>
      <c r="J88" s="1556" t="e">
        <f t="shared" si="21"/>
        <v>#DIV/0!</v>
      </c>
      <c r="K88" s="683" t="str">
        <f>VLOOKUP(C88,'BTH mủ tạp'!C168:AL251,36,0)</f>
        <v>A</v>
      </c>
      <c r="L88" s="1185" t="e">
        <f t="shared" si="22"/>
        <v>#DIV/0!</v>
      </c>
      <c r="M88" s="696">
        <f>VLOOKUP(C88,TONGHOPCONGDOI!$C$96:$AD$183,20,0)</f>
        <v>0</v>
      </c>
      <c r="N88" s="696">
        <f>VLOOKUP(C88,TONGHOPCONGDOI!$C$96:$AD$183,21,0)</f>
        <v>0</v>
      </c>
      <c r="O88" s="696">
        <f>VLOOKUP(C88,TONGHOPCONGDOI!$C$96:$AD$183,22,0)</f>
        <v>0</v>
      </c>
      <c r="P88" s="696">
        <f>VLOOKUP(C88,TONGHOPCONGDOI!$C$96:$AD$183,23,0)</f>
        <v>0</v>
      </c>
      <c r="Q88" s="696">
        <f>VLOOKUP(C88,TONGHOPCONGDOI!$C$96:$AD$183,24,0)</f>
        <v>0</v>
      </c>
      <c r="R88" s="696">
        <f>VLOOKUP(C88,TONGHOPCONGDOI!$C$96:$AD$183,25,0)</f>
        <v>0</v>
      </c>
      <c r="S88" s="696"/>
      <c r="T88" s="685">
        <f t="shared" si="16"/>
        <v>0</v>
      </c>
      <c r="U88" s="685">
        <f t="shared" si="18"/>
        <v>0</v>
      </c>
      <c r="V88" s="685"/>
      <c r="W88" s="1725">
        <f>ROUND(((M88*46.1)+(N88*76.9)+(O88*92.2)+(P88*153.8)+(Q88*92.2)+(R88*153.8))*$E$13+(S88*20000)+(T88*10000)+(U88*30000),0)</f>
        <v>0</v>
      </c>
      <c r="X88" s="696" t="e">
        <f t="shared" si="17"/>
        <v>#DIV/0!</v>
      </c>
      <c r="Y88" s="696"/>
      <c r="Z88" s="696">
        <f>VLOOKUP(C88,'CNKT '!$C$101:$Z$182,24,0)</f>
        <v>0</v>
      </c>
      <c r="AA88" s="591" t="e">
        <f t="shared" si="19"/>
        <v>#DIV/0!</v>
      </c>
    </row>
    <row r="89" spans="1:27" s="591" customFormat="1" ht="50.25" hidden="1" customHeight="1">
      <c r="A89" s="683">
        <v>73</v>
      </c>
      <c r="B89" s="683"/>
      <c r="C89" s="696" t="str">
        <f>TONGHOPCONGDOI!C168</f>
        <v>A Xít</v>
      </c>
      <c r="D89" s="696"/>
      <c r="E89" s="697">
        <f>VLOOKUP(C89,TONGHOPCONGDOI!C168:Q255,15,0)</f>
        <v>0</v>
      </c>
      <c r="F89" s="696">
        <f t="shared" si="20"/>
        <v>0</v>
      </c>
      <c r="G89" s="696">
        <f>VLOOKUP(C89,TONGHOPCONGDOI!C168:AD255,16,0)</f>
        <v>0</v>
      </c>
      <c r="H89" s="696">
        <f>VLOOKUP(C89,TONGHOPCONGDOI!C168:AD256,18,0)</f>
        <v>0</v>
      </c>
      <c r="I89" s="696"/>
      <c r="J89" s="1556" t="e">
        <f t="shared" si="21"/>
        <v>#DIV/0!</v>
      </c>
      <c r="K89" s="683" t="str">
        <f>VLOOKUP(C89,'BTH mủ tạp'!C169:AL252,36,0)</f>
        <v>B</v>
      </c>
      <c r="L89" s="1185" t="e">
        <f t="shared" si="22"/>
        <v>#DIV/0!</v>
      </c>
      <c r="M89" s="696">
        <f>VLOOKUP(C89,TONGHOPCONGDOI!$C$96:$AD$183,20,0)</f>
        <v>0</v>
      </c>
      <c r="N89" s="696">
        <f>VLOOKUP(C89,TONGHOPCONGDOI!$C$96:$AD$183,21,0)</f>
        <v>0</v>
      </c>
      <c r="O89" s="696">
        <f>VLOOKUP(C89,TONGHOPCONGDOI!$C$96:$AD$183,22,0)</f>
        <v>0</v>
      </c>
      <c r="P89" s="696">
        <f>VLOOKUP(C89,TONGHOPCONGDOI!$C$96:$AD$183,23,0)</f>
        <v>0</v>
      </c>
      <c r="Q89" s="696">
        <f>VLOOKUP(C89,TONGHOPCONGDOI!$C$96:$AD$183,24,0)</f>
        <v>0</v>
      </c>
      <c r="R89" s="696">
        <f>VLOOKUP(C89,TONGHOPCONGDOI!$C$96:$AD$183,25,0)</f>
        <v>0</v>
      </c>
      <c r="S89" s="696"/>
      <c r="T89" s="685">
        <f t="shared" si="16"/>
        <v>0</v>
      </c>
      <c r="U89" s="685">
        <f t="shared" si="18"/>
        <v>0</v>
      </c>
      <c r="V89" s="685"/>
      <c r="W89" s="1725">
        <f>ROUND(((M89*46.1)+(N89*76.9)+(O89*92.2)+(P89*153.8)+(Q89*92.2)+(R89*153.8))*$E$13+(S89*20000)+(T89*10000)+(U89*30000),0)-2</f>
        <v>-2</v>
      </c>
      <c r="X89" s="696" t="e">
        <f t="shared" si="17"/>
        <v>#DIV/0!</v>
      </c>
      <c r="Y89" s="696"/>
      <c r="Z89" s="696">
        <f>VLOOKUP(C89,'CNKT '!$C$101:$Z$182,24,0)</f>
        <v>0</v>
      </c>
      <c r="AA89" s="591" t="e">
        <f t="shared" si="19"/>
        <v>#DIV/0!</v>
      </c>
    </row>
    <row r="90" spans="1:27" s="591" customFormat="1" ht="50.25" hidden="1" customHeight="1">
      <c r="A90" s="683">
        <v>74</v>
      </c>
      <c r="B90" s="683"/>
      <c r="C90" s="696" t="str">
        <f>TONGHOPCONGDOI!C169</f>
        <v>Bợt</v>
      </c>
      <c r="D90" s="696"/>
      <c r="E90" s="697">
        <f>VLOOKUP(C90,TONGHOPCONGDOI!C169:Q256,15,0)</f>
        <v>0</v>
      </c>
      <c r="F90" s="696">
        <f t="shared" si="20"/>
        <v>0</v>
      </c>
      <c r="G90" s="696">
        <f>VLOOKUP(C90,TONGHOPCONGDOI!C169:AD256,16,0)</f>
        <v>0</v>
      </c>
      <c r="H90" s="696">
        <f>VLOOKUP(C90,TONGHOPCONGDOI!C169:AD257,18,0)</f>
        <v>0</v>
      </c>
      <c r="I90" s="696"/>
      <c r="J90" s="1556" t="e">
        <f t="shared" si="21"/>
        <v>#DIV/0!</v>
      </c>
      <c r="K90" s="683" t="str">
        <f>VLOOKUP(C90,'BTH mủ tạp'!C170:AL253,36,0)</f>
        <v>C.</v>
      </c>
      <c r="L90" s="1185">
        <f t="shared" ref="L90" si="24">IF(K90="A",(G90*$Z$13*6.1),IF(K90="B",(G90*$Z$13*5.8),IF(K90="C",(G90*$Z$13*5.5),IF(K90="D",(G90*$Z$13*5.2),0))))*$E$13+(H90*$AB$12*$E$13*6.1)+I90*$E$13*$AB$13*6.1</f>
        <v>0</v>
      </c>
      <c r="M90" s="696">
        <f>VLOOKUP(C90,TONGHOPCONGDOI!$C$96:$AD$183,20,0)</f>
        <v>0</v>
      </c>
      <c r="N90" s="696">
        <f>VLOOKUP(C90,TONGHOPCONGDOI!$C$96:$AD$183,21,0)</f>
        <v>0</v>
      </c>
      <c r="O90" s="696">
        <f>VLOOKUP(C90,TONGHOPCONGDOI!$C$96:$AD$183,22,0)</f>
        <v>0</v>
      </c>
      <c r="P90" s="696">
        <f>VLOOKUP(C90,TONGHOPCONGDOI!$C$96:$AD$183,23,0)</f>
        <v>0</v>
      </c>
      <c r="Q90" s="696">
        <f>VLOOKUP(C90,TONGHOPCONGDOI!$C$96:$AD$183,24,0)</f>
        <v>0</v>
      </c>
      <c r="R90" s="696">
        <f>VLOOKUP(C90,TONGHOPCONGDOI!$C$96:$AD$183,25,0)</f>
        <v>0</v>
      </c>
      <c r="S90" s="696"/>
      <c r="T90" s="685">
        <f t="shared" si="16"/>
        <v>0</v>
      </c>
      <c r="U90" s="685">
        <f t="shared" si="18"/>
        <v>0</v>
      </c>
      <c r="V90" s="685"/>
      <c r="W90" s="1725">
        <f>ROUND(((M90*46.1)+(N90*76.9)+(O90*92.2)+(P90*153.8)+(Q90*92.2)+(R90*153.8))*$E$13+(S90*20000)+(T90*10000)+(U90*30000),0)</f>
        <v>0</v>
      </c>
      <c r="X90" s="696">
        <f t="shared" si="17"/>
        <v>0</v>
      </c>
      <c r="Y90" s="696"/>
      <c r="Z90" s="696">
        <f>VLOOKUP(C90,'CNKT '!$C$101:$Z$182,24,0)</f>
        <v>0</v>
      </c>
      <c r="AA90" s="591">
        <f t="shared" si="19"/>
        <v>0</v>
      </c>
    </row>
    <row r="91" spans="1:27" s="591" customFormat="1" ht="50.25" hidden="1" customHeight="1">
      <c r="A91" s="683">
        <v>75</v>
      </c>
      <c r="B91" s="683"/>
      <c r="C91" s="696" t="str">
        <f>TONGHOPCONGDOI!C170</f>
        <v>Đức Văn</v>
      </c>
      <c r="D91" s="696"/>
      <c r="E91" s="697">
        <f>VLOOKUP(C91,TONGHOPCONGDOI!C170:Q257,15,0)</f>
        <v>0</v>
      </c>
      <c r="F91" s="696">
        <f t="shared" si="20"/>
        <v>0</v>
      </c>
      <c r="G91" s="696">
        <f>VLOOKUP(C91,TONGHOPCONGDOI!C170:AD257,16,0)</f>
        <v>0</v>
      </c>
      <c r="H91" s="696">
        <f>VLOOKUP(C91,TONGHOPCONGDOI!C170:AD258,18,0)</f>
        <v>0</v>
      </c>
      <c r="I91" s="696"/>
      <c r="J91" s="1556" t="e">
        <f t="shared" ref="J91:J104" si="25">$AB$11/$AB$10*G91+H91*$AB$12+I91*$AB$13</f>
        <v>#DIV/0!</v>
      </c>
      <c r="K91" s="683" t="s">
        <v>889</v>
      </c>
      <c r="L91" s="1185" t="e">
        <f t="shared" ref="L91:L100" si="26">IF(K91="A",(G91*$Z$13*6.1),IF(K91="B",(G91*$Z$13*5.8),IF(K91="C",(G91*$Z$13*5.5),IF(K91="D",(G91*$Z$13*5.2),0))))*$E$13+(H91*$AB$12*$E$13*6.1)+I91*$E$13*$AB$13*6.1</f>
        <v>#DIV/0!</v>
      </c>
      <c r="M91" s="696">
        <f>VLOOKUP(C91,TONGHOPCONGDOI!$C$96:$AD$183,20,0)</f>
        <v>0</v>
      </c>
      <c r="N91" s="696">
        <f>VLOOKUP(C91,TONGHOPCONGDOI!$C$96:$AD$183,21,0)</f>
        <v>0</v>
      </c>
      <c r="O91" s="696">
        <f>VLOOKUP(C91,TONGHOPCONGDOI!$C$96:$AD$183,22,0)</f>
        <v>0</v>
      </c>
      <c r="P91" s="696">
        <f>VLOOKUP(C91,TONGHOPCONGDOI!$C$96:$AD$183,23,0)</f>
        <v>0</v>
      </c>
      <c r="Q91" s="696">
        <f>VLOOKUP(C91,TONGHOPCONGDOI!$C$96:$AD$183,24,0)</f>
        <v>0</v>
      </c>
      <c r="R91" s="696">
        <f>VLOOKUP(C91,TONGHOPCONGDOI!$C$96:$AD$183,25,0)</f>
        <v>0</v>
      </c>
      <c r="S91" s="696"/>
      <c r="T91" s="685">
        <f t="shared" si="16"/>
        <v>0</v>
      </c>
      <c r="U91" s="685">
        <f t="shared" si="18"/>
        <v>0</v>
      </c>
      <c r="V91" s="685"/>
      <c r="W91" s="1725">
        <f>ROUND(((M91*46.1)+(N91*76.9)+(O91*92.2)+(P91*153.8)+(Q91*92.2)+(R91*153.8))*$E$13+(S91*20000)+(T91*10000)+(U91*30000),0)</f>
        <v>0</v>
      </c>
      <c r="X91" s="696" t="e">
        <f t="shared" ref="X91:X104" si="27">F91+L91+W91</f>
        <v>#DIV/0!</v>
      </c>
      <c r="Y91" s="696"/>
      <c r="Z91" s="696">
        <f>VLOOKUP(C91,'CNKT '!$C$101:$Z$182,24,0)</f>
        <v>0</v>
      </c>
      <c r="AA91" s="591" t="e">
        <f t="shared" si="19"/>
        <v>#DIV/0!</v>
      </c>
    </row>
    <row r="92" spans="1:27" s="591" customFormat="1" ht="50.25" hidden="1" customHeight="1">
      <c r="A92" s="683">
        <v>76</v>
      </c>
      <c r="B92" s="683"/>
      <c r="C92" s="696" t="str">
        <f>TONGHOPCONGDOI!C171</f>
        <v>A Van</v>
      </c>
      <c r="D92" s="696"/>
      <c r="E92" s="697">
        <f>VLOOKUP(C92,TONGHOPCONGDOI!C171:Q258,15,0)</f>
        <v>0</v>
      </c>
      <c r="F92" s="696">
        <f t="shared" si="20"/>
        <v>0</v>
      </c>
      <c r="G92" s="696">
        <f>VLOOKUP(C92,TONGHOPCONGDOI!C171:AD258,16,0)</f>
        <v>0</v>
      </c>
      <c r="H92" s="696">
        <f>VLOOKUP(C92,TONGHOPCONGDOI!C171:AD259,18,0)</f>
        <v>0</v>
      </c>
      <c r="I92" s="696"/>
      <c r="J92" s="1556" t="e">
        <f t="shared" si="25"/>
        <v>#DIV/0!</v>
      </c>
      <c r="K92" s="683" t="s">
        <v>889</v>
      </c>
      <c r="L92" s="1185" t="e">
        <f t="shared" si="26"/>
        <v>#DIV/0!</v>
      </c>
      <c r="M92" s="696">
        <f>VLOOKUP(C92,TONGHOPCONGDOI!$C$96:$AD$183,20,0)</f>
        <v>0</v>
      </c>
      <c r="N92" s="696">
        <f>VLOOKUP(C92,TONGHOPCONGDOI!$C$96:$AD$183,21,0)</f>
        <v>0</v>
      </c>
      <c r="O92" s="696">
        <f>VLOOKUP(C92,TONGHOPCONGDOI!$C$96:$AD$183,22,0)</f>
        <v>0</v>
      </c>
      <c r="P92" s="696">
        <f>VLOOKUP(C92,TONGHOPCONGDOI!$C$96:$AD$183,23,0)</f>
        <v>0</v>
      </c>
      <c r="Q92" s="696">
        <f>VLOOKUP(C92,TONGHOPCONGDOI!$C$96:$AD$183,24,0)</f>
        <v>0</v>
      </c>
      <c r="R92" s="696">
        <f>VLOOKUP(C92,TONGHOPCONGDOI!$C$96:$AD$183,25,0)</f>
        <v>0</v>
      </c>
      <c r="S92" s="696"/>
      <c r="T92" s="685">
        <f t="shared" si="16"/>
        <v>0</v>
      </c>
      <c r="U92" s="685">
        <f t="shared" si="18"/>
        <v>0</v>
      </c>
      <c r="V92" s="685"/>
      <c r="W92" s="1725">
        <f t="shared" ref="W92:W103" si="28">ROUND(((M92*46.1)+(N92*76.9)+(O92*92.2)+(P92*153.8)+(Q92*92.2)+(R92*153.8))*$E$13+(S92*20000)+(T92*10000)+(U92*30000),0)</f>
        <v>0</v>
      </c>
      <c r="X92" s="696" t="e">
        <f t="shared" si="27"/>
        <v>#DIV/0!</v>
      </c>
      <c r="Y92" s="696"/>
      <c r="Z92" s="696">
        <f>VLOOKUP(C92,'CNKT '!$C$101:$Z$182,24,0)</f>
        <v>0</v>
      </c>
      <c r="AA92" s="591" t="e">
        <f t="shared" si="19"/>
        <v>#DIV/0!</v>
      </c>
    </row>
    <row r="93" spans="1:27" s="591" customFormat="1" ht="50.25" hidden="1" customHeight="1">
      <c r="A93" s="683">
        <v>77</v>
      </c>
      <c r="B93" s="683"/>
      <c r="C93" s="696" t="str">
        <f>TONGHOPCONGDOI!C172</f>
        <v>A thít</v>
      </c>
      <c r="D93" s="696"/>
      <c r="E93" s="697">
        <f>VLOOKUP(C93,TONGHOPCONGDOI!C172:Q259,15,0)</f>
        <v>0</v>
      </c>
      <c r="F93" s="696">
        <f t="shared" si="20"/>
        <v>0</v>
      </c>
      <c r="G93" s="696">
        <f>VLOOKUP(C93,TONGHOPCONGDOI!C172:AD259,16,0)</f>
        <v>0</v>
      </c>
      <c r="H93" s="696">
        <f>VLOOKUP(C93,TONGHOPCONGDOI!C172:AD260,18,0)</f>
        <v>0</v>
      </c>
      <c r="I93" s="696"/>
      <c r="J93" s="1556" t="e">
        <f t="shared" si="25"/>
        <v>#DIV/0!</v>
      </c>
      <c r="K93" s="683" t="s">
        <v>889</v>
      </c>
      <c r="L93" s="1185" t="e">
        <f t="shared" si="26"/>
        <v>#DIV/0!</v>
      </c>
      <c r="M93" s="696">
        <f>VLOOKUP(C93,TONGHOPCONGDOI!$C$96:$AD$183,20,0)</f>
        <v>0</v>
      </c>
      <c r="N93" s="696">
        <f>VLOOKUP(C93,TONGHOPCONGDOI!$C$96:$AD$183,21,0)</f>
        <v>0</v>
      </c>
      <c r="O93" s="696">
        <f>VLOOKUP(C93,TONGHOPCONGDOI!$C$96:$AD$183,22,0)</f>
        <v>0</v>
      </c>
      <c r="P93" s="696">
        <f>VLOOKUP(C93,TONGHOPCONGDOI!$C$96:$AD$183,23,0)</f>
        <v>0</v>
      </c>
      <c r="Q93" s="696">
        <f>VLOOKUP(C93,TONGHOPCONGDOI!$C$96:$AD$183,24,0)</f>
        <v>0</v>
      </c>
      <c r="R93" s="696">
        <f>VLOOKUP(C93,TONGHOPCONGDOI!$C$96:$AD$183,25,0)</f>
        <v>0</v>
      </c>
      <c r="S93" s="696"/>
      <c r="T93" s="685">
        <f t="shared" si="16"/>
        <v>0</v>
      </c>
      <c r="U93" s="685">
        <f t="shared" si="18"/>
        <v>0</v>
      </c>
      <c r="V93" s="685"/>
      <c r="W93" s="1725">
        <f t="shared" si="28"/>
        <v>0</v>
      </c>
      <c r="X93" s="696" t="e">
        <f t="shared" si="27"/>
        <v>#DIV/0!</v>
      </c>
      <c r="Y93" s="696"/>
      <c r="Z93" s="696">
        <f>VLOOKUP(C93,'CNKT '!$C$101:$Z$182,24,0)</f>
        <v>0</v>
      </c>
      <c r="AA93" s="591" t="e">
        <f t="shared" si="19"/>
        <v>#DIV/0!</v>
      </c>
    </row>
    <row r="94" spans="1:27" s="591" customFormat="1" ht="50.25" hidden="1" customHeight="1">
      <c r="A94" s="683">
        <v>78</v>
      </c>
      <c r="B94" s="683"/>
      <c r="C94" s="696" t="str">
        <f>TONGHOPCONGDOI!C173</f>
        <v>Món</v>
      </c>
      <c r="D94" s="696"/>
      <c r="E94" s="697">
        <f>VLOOKUP(C94,TONGHOPCONGDOI!C173:Q260,15,0)</f>
        <v>0</v>
      </c>
      <c r="F94" s="696">
        <f t="shared" si="20"/>
        <v>0</v>
      </c>
      <c r="G94" s="696">
        <f>VLOOKUP(C94,TONGHOPCONGDOI!C173:AD260,16,0)</f>
        <v>0</v>
      </c>
      <c r="H94" s="696">
        <f>VLOOKUP(C94,TONGHOPCONGDOI!C173:AD261,18,0)</f>
        <v>0</v>
      </c>
      <c r="I94" s="696"/>
      <c r="J94" s="1556" t="e">
        <f t="shared" si="25"/>
        <v>#DIV/0!</v>
      </c>
      <c r="K94" s="683" t="s">
        <v>889</v>
      </c>
      <c r="L94" s="1185" t="e">
        <f t="shared" si="26"/>
        <v>#DIV/0!</v>
      </c>
      <c r="M94" s="696">
        <f>VLOOKUP(C94,TONGHOPCONGDOI!$C$96:$AD$183,20,0)</f>
        <v>0</v>
      </c>
      <c r="N94" s="696">
        <f>VLOOKUP(C94,TONGHOPCONGDOI!$C$96:$AD$183,21,0)</f>
        <v>0</v>
      </c>
      <c r="O94" s="696">
        <f>VLOOKUP(C94,TONGHOPCONGDOI!$C$96:$AD$183,22,0)</f>
        <v>0</v>
      </c>
      <c r="P94" s="696">
        <f>VLOOKUP(C94,TONGHOPCONGDOI!$C$96:$AD$183,23,0)</f>
        <v>0</v>
      </c>
      <c r="Q94" s="696">
        <f>VLOOKUP(C94,TONGHOPCONGDOI!$C$96:$AD$183,24,0)</f>
        <v>0</v>
      </c>
      <c r="R94" s="696">
        <f>VLOOKUP(C94,TONGHOPCONGDOI!$C$96:$AD$183,25,0)</f>
        <v>0</v>
      </c>
      <c r="S94" s="696"/>
      <c r="T94" s="685">
        <f t="shared" si="16"/>
        <v>0</v>
      </c>
      <c r="U94" s="685">
        <f t="shared" si="18"/>
        <v>0</v>
      </c>
      <c r="V94" s="685"/>
      <c r="W94" s="1725">
        <f t="shared" si="28"/>
        <v>0</v>
      </c>
      <c r="X94" s="696" t="e">
        <f t="shared" si="27"/>
        <v>#DIV/0!</v>
      </c>
      <c r="Y94" s="696"/>
      <c r="Z94" s="696">
        <f>VLOOKUP(C94,'CNKT '!$C$101:$Z$182,24,0)</f>
        <v>0</v>
      </c>
      <c r="AA94" s="591" t="e">
        <f t="shared" si="19"/>
        <v>#DIV/0!</v>
      </c>
    </row>
    <row r="95" spans="1:27" s="591" customFormat="1" ht="50.25" hidden="1" customHeight="1">
      <c r="A95" s="683">
        <v>79</v>
      </c>
      <c r="B95" s="683"/>
      <c r="C95" s="696" t="str">
        <f>TONGHOPCONGDOI!C174</f>
        <v>A tèng</v>
      </c>
      <c r="D95" s="696"/>
      <c r="E95" s="697">
        <f>VLOOKUP(C95,TONGHOPCONGDOI!C174:Q261,15,0)</f>
        <v>0</v>
      </c>
      <c r="F95" s="696">
        <f t="shared" si="20"/>
        <v>0</v>
      </c>
      <c r="G95" s="696">
        <f>VLOOKUP(C95,TONGHOPCONGDOI!C174:AD261,16,0)</f>
        <v>0</v>
      </c>
      <c r="H95" s="696">
        <f>VLOOKUP(C95,TONGHOPCONGDOI!C174:AD262,18,0)</f>
        <v>0</v>
      </c>
      <c r="I95" s="696"/>
      <c r="J95" s="1556" t="e">
        <f t="shared" si="25"/>
        <v>#DIV/0!</v>
      </c>
      <c r="K95" s="683" t="s">
        <v>889</v>
      </c>
      <c r="L95" s="1185" t="e">
        <f t="shared" si="26"/>
        <v>#DIV/0!</v>
      </c>
      <c r="M95" s="696">
        <f>VLOOKUP(C95,TONGHOPCONGDOI!$C$96:$AD$183,20,0)</f>
        <v>0</v>
      </c>
      <c r="N95" s="696">
        <f>VLOOKUP(C95,TONGHOPCONGDOI!$C$96:$AD$183,21,0)</f>
        <v>0</v>
      </c>
      <c r="O95" s="696">
        <f>VLOOKUP(C95,TONGHOPCONGDOI!$C$96:$AD$183,22,0)</f>
        <v>0</v>
      </c>
      <c r="P95" s="696">
        <f>VLOOKUP(C95,TONGHOPCONGDOI!$C$96:$AD$183,23,0)</f>
        <v>0</v>
      </c>
      <c r="Q95" s="696">
        <f>VLOOKUP(C95,TONGHOPCONGDOI!$C$96:$AD$183,24,0)</f>
        <v>0</v>
      </c>
      <c r="R95" s="696">
        <f>VLOOKUP(C95,TONGHOPCONGDOI!$C$96:$AD$183,25,0)</f>
        <v>0</v>
      </c>
      <c r="S95" s="696"/>
      <c r="T95" s="685">
        <f t="shared" si="16"/>
        <v>0</v>
      </c>
      <c r="U95" s="685">
        <f t="shared" si="18"/>
        <v>0</v>
      </c>
      <c r="V95" s="685"/>
      <c r="W95" s="1725">
        <f t="shared" si="28"/>
        <v>0</v>
      </c>
      <c r="X95" s="696" t="e">
        <f t="shared" si="27"/>
        <v>#DIV/0!</v>
      </c>
      <c r="Y95" s="696"/>
      <c r="Z95" s="696">
        <f>VLOOKUP(C95,'CNKT '!$C$101:$Z$182,24,0)</f>
        <v>0</v>
      </c>
      <c r="AA95" s="591" t="e">
        <f t="shared" si="19"/>
        <v>#DIV/0!</v>
      </c>
    </row>
    <row r="96" spans="1:27" s="591" customFormat="1" ht="50.25" hidden="1" customHeight="1">
      <c r="A96" s="683">
        <v>80</v>
      </c>
      <c r="B96" s="683"/>
      <c r="C96" s="696" t="str">
        <f>TONGHOPCONGDOI!C175</f>
        <v xml:space="preserve">Đao </v>
      </c>
      <c r="D96" s="696"/>
      <c r="E96" s="697">
        <f>VLOOKUP(C96,TONGHOPCONGDOI!C175:Q262,15,0)</f>
        <v>0</v>
      </c>
      <c r="F96" s="696">
        <f t="shared" si="20"/>
        <v>0</v>
      </c>
      <c r="G96" s="696">
        <f>VLOOKUP(C96,TONGHOPCONGDOI!C175:AD262,16,0)</f>
        <v>0</v>
      </c>
      <c r="H96" s="696">
        <f>VLOOKUP(C96,TONGHOPCONGDOI!C175:AD263,18,0)</f>
        <v>0</v>
      </c>
      <c r="I96" s="696"/>
      <c r="J96" s="1556" t="e">
        <f t="shared" si="25"/>
        <v>#DIV/0!</v>
      </c>
      <c r="K96" s="683" t="s">
        <v>889</v>
      </c>
      <c r="L96" s="1185" t="e">
        <f t="shared" si="26"/>
        <v>#DIV/0!</v>
      </c>
      <c r="M96" s="696">
        <f>VLOOKUP(C96,TONGHOPCONGDOI!$C$96:$AD$183,20,0)</f>
        <v>0</v>
      </c>
      <c r="N96" s="696">
        <f>VLOOKUP(C96,TONGHOPCONGDOI!$C$96:$AD$183,21,0)</f>
        <v>0</v>
      </c>
      <c r="O96" s="696">
        <f>VLOOKUP(C96,TONGHOPCONGDOI!$C$96:$AD$183,22,0)</f>
        <v>0</v>
      </c>
      <c r="P96" s="696">
        <f>VLOOKUP(C96,TONGHOPCONGDOI!$C$96:$AD$183,23,0)</f>
        <v>0</v>
      </c>
      <c r="Q96" s="696">
        <f>VLOOKUP(C96,TONGHOPCONGDOI!$C$96:$AD$183,24,0)</f>
        <v>0</v>
      </c>
      <c r="R96" s="696">
        <f>VLOOKUP(C96,TONGHOPCONGDOI!$C$96:$AD$183,25,0)</f>
        <v>0</v>
      </c>
      <c r="S96" s="696"/>
      <c r="T96" s="685">
        <f t="shared" si="16"/>
        <v>0</v>
      </c>
      <c r="U96" s="685">
        <f t="shared" si="18"/>
        <v>0</v>
      </c>
      <c r="V96" s="685"/>
      <c r="W96" s="1725">
        <f t="shared" si="28"/>
        <v>0</v>
      </c>
      <c r="X96" s="696" t="e">
        <f t="shared" si="27"/>
        <v>#DIV/0!</v>
      </c>
      <c r="Y96" s="696"/>
      <c r="Z96" s="696">
        <f>VLOOKUP(C96,'CNKT '!$C$101:$Z$182,24,0)</f>
        <v>0</v>
      </c>
      <c r="AA96" s="591" t="e">
        <f t="shared" si="19"/>
        <v>#DIV/0!</v>
      </c>
    </row>
    <row r="97" spans="1:29" s="591" customFormat="1" ht="50.25" hidden="1" customHeight="1">
      <c r="A97" s="683">
        <v>81</v>
      </c>
      <c r="B97" s="683"/>
      <c r="C97" s="696" t="str">
        <f>TONGHOPCONGDOI!C176</f>
        <v>Lôn</v>
      </c>
      <c r="D97" s="696"/>
      <c r="E97" s="697">
        <f>VLOOKUP(C97,TONGHOPCONGDOI!C176:Q263,15,0)</f>
        <v>0</v>
      </c>
      <c r="F97" s="696">
        <f t="shared" si="20"/>
        <v>0</v>
      </c>
      <c r="G97" s="696">
        <f>VLOOKUP(C97,TONGHOPCONGDOI!C176:AD263,16,0)</f>
        <v>0</v>
      </c>
      <c r="H97" s="696">
        <f>VLOOKUP(C97,TONGHOPCONGDOI!C176:AD264,18,0)</f>
        <v>0</v>
      </c>
      <c r="I97" s="696"/>
      <c r="J97" s="1556" t="e">
        <f t="shared" si="25"/>
        <v>#DIV/0!</v>
      </c>
      <c r="K97" s="683" t="s">
        <v>889</v>
      </c>
      <c r="L97" s="1185" t="e">
        <f t="shared" si="26"/>
        <v>#DIV/0!</v>
      </c>
      <c r="M97" s="696">
        <f>VLOOKUP(C97,TONGHOPCONGDOI!$C$96:$AD$183,20,0)</f>
        <v>0</v>
      </c>
      <c r="N97" s="696">
        <f>VLOOKUP(C97,TONGHOPCONGDOI!$C$96:$AD$183,21,0)</f>
        <v>0</v>
      </c>
      <c r="O97" s="696">
        <f>VLOOKUP(C97,TONGHOPCONGDOI!$C$96:$AD$183,22,0)</f>
        <v>0</v>
      </c>
      <c r="P97" s="696">
        <f>VLOOKUP(C97,TONGHOPCONGDOI!$C$96:$AD$183,23,0)</f>
        <v>0</v>
      </c>
      <c r="Q97" s="696">
        <f>VLOOKUP(C97,TONGHOPCONGDOI!$C$96:$AD$183,24,0)</f>
        <v>0</v>
      </c>
      <c r="R97" s="696">
        <f>VLOOKUP(C97,TONGHOPCONGDOI!$C$96:$AD$183,25,0)</f>
        <v>0</v>
      </c>
      <c r="S97" s="696"/>
      <c r="T97" s="685">
        <f t="shared" si="16"/>
        <v>0</v>
      </c>
      <c r="U97" s="685">
        <f t="shared" si="18"/>
        <v>0</v>
      </c>
      <c r="V97" s="685"/>
      <c r="W97" s="1725">
        <f t="shared" si="28"/>
        <v>0</v>
      </c>
      <c r="X97" s="696" t="e">
        <f t="shared" si="27"/>
        <v>#DIV/0!</v>
      </c>
      <c r="Y97" s="696"/>
      <c r="Z97" s="696">
        <f>VLOOKUP(C97,'CNKT '!$C$101:$Z$182,24,0)</f>
        <v>0</v>
      </c>
      <c r="AA97" s="591" t="e">
        <f t="shared" si="19"/>
        <v>#DIV/0!</v>
      </c>
    </row>
    <row r="98" spans="1:29" s="591" customFormat="1" ht="50.25" hidden="1" customHeight="1">
      <c r="A98" s="683">
        <v>82</v>
      </c>
      <c r="B98" s="1105"/>
      <c r="C98" s="696" t="str">
        <f>TONGHOPCONGDOI!C177</f>
        <v>Phay</v>
      </c>
      <c r="D98" s="1033"/>
      <c r="E98" s="697">
        <f>VLOOKUP(C98,TONGHOPCONGDOI!C177:Q264,15,0)</f>
        <v>0</v>
      </c>
      <c r="F98" s="696">
        <f t="shared" si="20"/>
        <v>0</v>
      </c>
      <c r="G98" s="696">
        <f>VLOOKUP(C98,TONGHOPCONGDOI!C177:AD264,16,0)</f>
        <v>0</v>
      </c>
      <c r="H98" s="696">
        <f>VLOOKUP(C98,TONGHOPCONGDOI!C177:AD265,18,0)</f>
        <v>0</v>
      </c>
      <c r="I98" s="696"/>
      <c r="J98" s="1556" t="e">
        <f t="shared" si="25"/>
        <v>#DIV/0!</v>
      </c>
      <c r="K98" s="683" t="s">
        <v>889</v>
      </c>
      <c r="L98" s="1185" t="e">
        <f t="shared" si="26"/>
        <v>#DIV/0!</v>
      </c>
      <c r="M98" s="696">
        <f>VLOOKUP(C98,TONGHOPCONGDOI!$C$96:$AD$183,20,0)</f>
        <v>0</v>
      </c>
      <c r="N98" s="696">
        <f>VLOOKUP(C98,TONGHOPCONGDOI!$C$96:$AD$183,21,0)</f>
        <v>0</v>
      </c>
      <c r="O98" s="696">
        <f>VLOOKUP(C98,TONGHOPCONGDOI!$C$96:$AD$183,22,0)</f>
        <v>0</v>
      </c>
      <c r="P98" s="696">
        <f>VLOOKUP(C98,TONGHOPCONGDOI!$C$96:$AD$183,23,0)</f>
        <v>0</v>
      </c>
      <c r="Q98" s="696">
        <f>VLOOKUP(C98,TONGHOPCONGDOI!$C$96:$AD$183,24,0)</f>
        <v>0</v>
      </c>
      <c r="R98" s="696">
        <f>VLOOKUP(C98,TONGHOPCONGDOI!$C$96:$AD$183,25,0)</f>
        <v>0</v>
      </c>
      <c r="S98" s="696"/>
      <c r="T98" s="685">
        <f t="shared" si="16"/>
        <v>0</v>
      </c>
      <c r="U98" s="685">
        <f t="shared" si="18"/>
        <v>0</v>
      </c>
      <c r="V98" s="685"/>
      <c r="W98" s="1725">
        <f t="shared" si="28"/>
        <v>0</v>
      </c>
      <c r="X98" s="696" t="e">
        <f t="shared" si="27"/>
        <v>#DIV/0!</v>
      </c>
      <c r="Y98" s="696"/>
      <c r="Z98" s="696">
        <f>VLOOKUP(C98,'CNKT '!$C$101:$Z$188,24,0)</f>
        <v>0</v>
      </c>
      <c r="AA98" s="591" t="e">
        <f t="shared" si="19"/>
        <v>#DIV/0!</v>
      </c>
    </row>
    <row r="99" spans="1:29" s="591" customFormat="1" ht="50.25" hidden="1" customHeight="1">
      <c r="A99" s="683">
        <v>83</v>
      </c>
      <c r="B99" s="1105"/>
      <c r="C99" s="696" t="str">
        <f>TONGHOPCONGDOI!C178</f>
        <v xml:space="preserve">Chày </v>
      </c>
      <c r="D99" s="1033"/>
      <c r="E99" s="697">
        <f>VLOOKUP(C99,TONGHOPCONGDOI!C178:Q265,15,0)</f>
        <v>0</v>
      </c>
      <c r="F99" s="696">
        <f t="shared" si="20"/>
        <v>0</v>
      </c>
      <c r="G99" s="696">
        <f>VLOOKUP(C99,TONGHOPCONGDOI!C178:AD265,16,0)</f>
        <v>0</v>
      </c>
      <c r="H99" s="696">
        <f>VLOOKUP(C99,TONGHOPCONGDOI!C178:AD266,18,0)</f>
        <v>0</v>
      </c>
      <c r="I99" s="696"/>
      <c r="J99" s="1556" t="e">
        <f t="shared" si="25"/>
        <v>#DIV/0!</v>
      </c>
      <c r="K99" s="683" t="s">
        <v>889</v>
      </c>
      <c r="L99" s="1185" t="e">
        <f t="shared" si="26"/>
        <v>#DIV/0!</v>
      </c>
      <c r="M99" s="696">
        <f>VLOOKUP(C99,TONGHOPCONGDOI!$C$96:$AD$183,20,0)</f>
        <v>0</v>
      </c>
      <c r="N99" s="696">
        <f>VLOOKUP(C99,TONGHOPCONGDOI!$C$96:$AD$183,21,0)</f>
        <v>0</v>
      </c>
      <c r="O99" s="696">
        <f>VLOOKUP(C99,TONGHOPCONGDOI!$C$96:$AD$183,22,0)</f>
        <v>0</v>
      </c>
      <c r="P99" s="696">
        <f>VLOOKUP(C99,TONGHOPCONGDOI!$C$96:$AD$183,23,0)</f>
        <v>0</v>
      </c>
      <c r="Q99" s="696">
        <f>VLOOKUP(C99,TONGHOPCONGDOI!$C$96:$AD$183,24,0)</f>
        <v>0</v>
      </c>
      <c r="R99" s="696">
        <f>VLOOKUP(C99,TONGHOPCONGDOI!$C$96:$AD$183,25,0)</f>
        <v>0</v>
      </c>
      <c r="S99" s="696"/>
      <c r="T99" s="685">
        <f>SUM(M99:R99)</f>
        <v>0</v>
      </c>
      <c r="U99" s="685">
        <f t="shared" si="18"/>
        <v>0</v>
      </c>
      <c r="V99" s="685"/>
      <c r="W99" s="1725">
        <f t="shared" si="28"/>
        <v>0</v>
      </c>
      <c r="X99" s="696" t="e">
        <f t="shared" si="27"/>
        <v>#DIV/0!</v>
      </c>
      <c r="Y99" s="696"/>
      <c r="Z99" s="696">
        <f>VLOOKUP(C99,'CNKT '!$C$101:$Z$188,24,0)</f>
        <v>0</v>
      </c>
      <c r="AA99" s="591" t="e">
        <f t="shared" si="19"/>
        <v>#DIV/0!</v>
      </c>
    </row>
    <row r="100" spans="1:29" s="591" customFormat="1" ht="50.25" hidden="1" customHeight="1">
      <c r="A100" s="683">
        <v>84</v>
      </c>
      <c r="B100" s="1105"/>
      <c r="C100" s="696" t="str">
        <f>TONGHOPCONGDOI!C179</f>
        <v>Mày</v>
      </c>
      <c r="D100" s="1033"/>
      <c r="E100" s="697">
        <f>VLOOKUP(C100,TONGHOPCONGDOI!C179:Q266,15,0)</f>
        <v>0</v>
      </c>
      <c r="F100" s="696">
        <f t="shared" si="20"/>
        <v>0</v>
      </c>
      <c r="G100" s="696">
        <f>VLOOKUP(C100,TONGHOPCONGDOI!C179:AD266,16,0)</f>
        <v>0</v>
      </c>
      <c r="H100" s="696">
        <f>VLOOKUP(C100,TONGHOPCONGDOI!C179:AD267,18,0)</f>
        <v>0</v>
      </c>
      <c r="I100" s="696"/>
      <c r="J100" s="1556" t="e">
        <f t="shared" ref="J100" si="29">$AB$11/$AB$10*G100+H100*$AB$12+I100*$AB$13</f>
        <v>#DIV/0!</v>
      </c>
      <c r="K100" s="683" t="s">
        <v>889</v>
      </c>
      <c r="L100" s="1185" t="e">
        <f t="shared" si="26"/>
        <v>#DIV/0!</v>
      </c>
      <c r="M100" s="696">
        <f>VLOOKUP(C100,TONGHOPCONGDOI!$C$96:$AD$183,20,0)</f>
        <v>0</v>
      </c>
      <c r="N100" s="696">
        <f>VLOOKUP(C100,TONGHOPCONGDOI!$C$96:$AD$183,21,0)</f>
        <v>0</v>
      </c>
      <c r="O100" s="696">
        <f>VLOOKUP(C100,TONGHOPCONGDOI!$C$96:$AD$183,22,0)</f>
        <v>0</v>
      </c>
      <c r="P100" s="696">
        <f>VLOOKUP(C100,TONGHOPCONGDOI!$C$96:$AD$183,23,0)</f>
        <v>0</v>
      </c>
      <c r="Q100" s="696">
        <f>VLOOKUP(C100,TONGHOPCONGDOI!$C$96:$AD$183,24,0)</f>
        <v>0</v>
      </c>
      <c r="R100" s="696">
        <f>VLOOKUP(C100,TONGHOPCONGDOI!$C$96:$AD$183,25,0)</f>
        <v>0</v>
      </c>
      <c r="S100" s="696"/>
      <c r="T100" s="685">
        <f>SUM(M100:R100)</f>
        <v>0</v>
      </c>
      <c r="U100" s="685">
        <f t="shared" si="18"/>
        <v>0</v>
      </c>
      <c r="V100" s="685"/>
      <c r="W100" s="1725">
        <f t="shared" si="28"/>
        <v>0</v>
      </c>
      <c r="X100" s="696" t="e">
        <f t="shared" ref="X100:X101" si="30">F100+L100+W100</f>
        <v>#DIV/0!</v>
      </c>
      <c r="Y100" s="696"/>
      <c r="Z100" s="696">
        <f>VLOOKUP(C100,'CNKT '!$C$101:$Z$188,24,0)</f>
        <v>0</v>
      </c>
      <c r="AA100" s="591" t="e">
        <f t="shared" si="19"/>
        <v>#DIV/0!</v>
      </c>
    </row>
    <row r="101" spans="1:29" s="591" customFormat="1" ht="65.25" hidden="1" customHeight="1">
      <c r="A101" s="683">
        <v>74</v>
      </c>
      <c r="B101" s="1105"/>
      <c r="C101" s="696" t="str">
        <f>TONGHOPCONGDOI!C180</f>
        <v>Mủ Xi Rum</v>
      </c>
      <c r="D101" s="1033"/>
      <c r="E101" s="697">
        <f>VLOOKUP(C101,TONGHOPCONGDOI!C180:Q267,15,0)</f>
        <v>0</v>
      </c>
      <c r="F101" s="696">
        <f t="shared" si="20"/>
        <v>0</v>
      </c>
      <c r="G101" s="696"/>
      <c r="H101" s="696"/>
      <c r="I101" s="696">
        <f>'BTH mủ Sỉum'!AH16</f>
        <v>0</v>
      </c>
      <c r="J101" s="1556">
        <f>'BTH mủ Sỉum'!AJ16</f>
        <v>0</v>
      </c>
      <c r="K101" s="683"/>
      <c r="L101" s="1185">
        <f>ROUND((J101*6.1*E13),0)</f>
        <v>0</v>
      </c>
      <c r="M101" s="696"/>
      <c r="N101" s="696"/>
      <c r="O101" s="696"/>
      <c r="P101" s="696"/>
      <c r="Q101" s="696"/>
      <c r="R101" s="696"/>
      <c r="S101" s="696"/>
      <c r="T101" s="685"/>
      <c r="U101" s="685">
        <f t="shared" si="18"/>
        <v>0</v>
      </c>
      <c r="V101" s="685"/>
      <c r="W101" s="1725">
        <f t="shared" si="28"/>
        <v>0</v>
      </c>
      <c r="X101" s="696">
        <f t="shared" si="30"/>
        <v>0</v>
      </c>
      <c r="Y101" s="696"/>
      <c r="Z101" s="696">
        <f>VLOOKUP(C101,'CNKT '!$C$101:$Z$188,24,0)</f>
        <v>0</v>
      </c>
      <c r="AA101" s="591">
        <f t="shared" si="19"/>
        <v>0</v>
      </c>
    </row>
    <row r="102" spans="1:29" s="591" customFormat="1" ht="65.25" hidden="1" customHeight="1">
      <c r="A102" s="683">
        <v>86</v>
      </c>
      <c r="B102" s="1105"/>
      <c r="C102" s="696" t="str">
        <f>TONGHOPCONGDOI!C181</f>
        <v>Say ủi</v>
      </c>
      <c r="D102" s="1033"/>
      <c r="E102" s="697">
        <f>VLOOKUP(C102,TONGHOPCONGDOI!C181:Q268,15,0)</f>
        <v>0</v>
      </c>
      <c r="F102" s="696">
        <f t="shared" si="20"/>
        <v>0</v>
      </c>
      <c r="G102" s="696"/>
      <c r="H102" s="696"/>
      <c r="I102" s="696"/>
      <c r="J102" s="1556"/>
      <c r="K102" s="683"/>
      <c r="L102" s="1185"/>
      <c r="M102" s="696"/>
      <c r="N102" s="696"/>
      <c r="O102" s="696"/>
      <c r="P102" s="696"/>
      <c r="Q102" s="696"/>
      <c r="R102" s="696"/>
      <c r="S102" s="696"/>
      <c r="T102" s="685"/>
      <c r="U102" s="685"/>
      <c r="V102" s="685"/>
      <c r="W102" s="1725">
        <f t="shared" si="28"/>
        <v>0</v>
      </c>
      <c r="X102" s="696">
        <f t="shared" ref="X102:X103" si="31">F102+L102+W102</f>
        <v>0</v>
      </c>
      <c r="Y102" s="696"/>
      <c r="Z102" s="696">
        <f>VLOOKUP(C102,'CNKT '!$C$101:$Z$188,24,0)</f>
        <v>0</v>
      </c>
      <c r="AA102" s="591">
        <f t="shared" si="19"/>
        <v>0</v>
      </c>
    </row>
    <row r="103" spans="1:29" s="591" customFormat="1" ht="65.25" customHeight="1">
      <c r="A103" s="683">
        <v>1</v>
      </c>
      <c r="B103" s="1105"/>
      <c r="C103" s="696" t="str">
        <f>TONGHOPCONGDOI!C182</f>
        <v>Kỷ</v>
      </c>
      <c r="D103" s="1033"/>
      <c r="E103" s="697">
        <f>VLOOKUP(C103,TONGHOPCONGDOI!C182:Q269,15,0)</f>
        <v>3852.99</v>
      </c>
      <c r="F103" s="684">
        <f>ROUND(E103*25000,0)</f>
        <v>96324750</v>
      </c>
      <c r="G103" s="696"/>
      <c r="H103" s="696"/>
      <c r="I103" s="696"/>
      <c r="J103" s="1556"/>
      <c r="K103" s="683"/>
      <c r="L103" s="1185"/>
      <c r="M103" s="696"/>
      <c r="N103" s="696"/>
      <c r="O103" s="696"/>
      <c r="P103" s="696"/>
      <c r="Q103" s="696"/>
      <c r="R103" s="696"/>
      <c r="S103" s="696"/>
      <c r="T103" s="685"/>
      <c r="U103" s="685"/>
      <c r="V103" s="685"/>
      <c r="W103" s="1725">
        <f t="shared" si="28"/>
        <v>0</v>
      </c>
      <c r="X103" s="696">
        <f t="shared" si="31"/>
        <v>96324750</v>
      </c>
      <c r="Y103" s="696"/>
      <c r="Z103" s="696">
        <f>VLOOKUP(C103,'CNKT '!$C$101:$Z$188,24,0)</f>
        <v>96324751</v>
      </c>
      <c r="AA103" s="591">
        <f t="shared" si="19"/>
        <v>-1</v>
      </c>
    </row>
    <row r="104" spans="1:29" s="591" customFormat="1" ht="50.25" hidden="1" customHeight="1">
      <c r="A104" s="683">
        <v>76</v>
      </c>
      <c r="B104" s="1105"/>
      <c r="C104" s="696" t="str">
        <f>TONGHOPCONGDOI!C183</f>
        <v>Say</v>
      </c>
      <c r="D104" s="1033"/>
      <c r="E104" s="697">
        <f>VLOOKUP(C104,TONGHOPCONGDOI!C183:Q270,15,0)</f>
        <v>0</v>
      </c>
      <c r="F104" s="696">
        <f t="shared" si="20"/>
        <v>0</v>
      </c>
      <c r="G104" s="696">
        <f>VLOOKUP(C104,TONGHOPCONGDOI!C181:AD266,16,0)</f>
        <v>0</v>
      </c>
      <c r="H104" s="696">
        <f>VLOOKUP(C104,TONGHOPCONGDOI!C181:AD267,18,0)</f>
        <v>0</v>
      </c>
      <c r="I104" s="696"/>
      <c r="J104" s="1556" t="e">
        <f t="shared" si="25"/>
        <v>#DIV/0!</v>
      </c>
      <c r="K104" s="683"/>
      <c r="L104" s="1185"/>
      <c r="M104" s="696">
        <f>VLOOKUP(C104,TONGHOPCONGDOI!$C$96:$AD$183,20,0)</f>
        <v>0</v>
      </c>
      <c r="N104" s="696">
        <f>VLOOKUP(C104,TONGHOPCONGDOI!$C$96:$AD$183,21,0)</f>
        <v>0</v>
      </c>
      <c r="O104" s="696">
        <f>VLOOKUP(C104,TONGHOPCONGDOI!$C$96:$AD$183,22,0)</f>
        <v>0</v>
      </c>
      <c r="P104" s="696">
        <f>VLOOKUP(C104,TONGHOPCONGDOI!$C$96:$AD$183,23,0)</f>
        <v>0</v>
      </c>
      <c r="Q104" s="696">
        <f>VLOOKUP(C104,TONGHOPCONGDOI!$C$96:$AD$183,24,0)</f>
        <v>0</v>
      </c>
      <c r="R104" s="696">
        <f>VLOOKUP(C104,TONGHOPCONGDOI!$C$96:$AD$183,25,0)</f>
        <v>0</v>
      </c>
      <c r="S104" s="696"/>
      <c r="T104" s="685">
        <f t="shared" ref="T104" si="32">SUM(M104:R104)</f>
        <v>0</v>
      </c>
      <c r="U104" s="685">
        <f t="shared" si="18"/>
        <v>0</v>
      </c>
      <c r="V104" s="685">
        <f t="shared" ref="V104" si="33">SUM(M104:R104)</f>
        <v>0</v>
      </c>
      <c r="W104" s="1725">
        <f t="shared" ref="W104" si="34">((M104*46.1)+(N104*76.9)+(O104*92.2)+(P104*153.8)+(Q104*92.2)+(R104*153.8))*$E$13+(S104*20000)+(T104*10000)+(U104*20000)+(V104*10000)</f>
        <v>0</v>
      </c>
      <c r="X104" s="696">
        <f t="shared" si="27"/>
        <v>0</v>
      </c>
      <c r="Y104" s="696"/>
      <c r="Z104" s="696">
        <f>VLOOKUP(C104,'CNKT '!$C$101:$Z$188,24,0)</f>
        <v>0</v>
      </c>
      <c r="AA104" s="591">
        <f t="shared" si="19"/>
        <v>0</v>
      </c>
    </row>
    <row r="105" spans="1:29" s="1814" customFormat="1" ht="50.25" customHeight="1">
      <c r="A105" s="1992" t="s">
        <v>785</v>
      </c>
      <c r="B105" s="1993"/>
      <c r="C105" s="1993"/>
      <c r="D105" s="1994"/>
      <c r="E105" s="686">
        <f>SUM(E17:E104)</f>
        <v>3852.99</v>
      </c>
      <c r="F105" s="686">
        <f t="shared" ref="F105:Z105" si="35">SUM(F17:F104)</f>
        <v>96324750</v>
      </c>
      <c r="G105" s="686">
        <f t="shared" si="35"/>
        <v>0</v>
      </c>
      <c r="H105" s="686">
        <f t="shared" si="35"/>
        <v>0</v>
      </c>
      <c r="I105" s="686">
        <f t="shared" si="35"/>
        <v>0</v>
      </c>
      <c r="J105" s="686"/>
      <c r="K105" s="686"/>
      <c r="L105" s="686"/>
      <c r="M105" s="686"/>
      <c r="N105" s="686"/>
      <c r="O105" s="686"/>
      <c r="P105" s="686"/>
      <c r="Q105" s="686"/>
      <c r="R105" s="686"/>
      <c r="S105" s="686"/>
      <c r="T105" s="686"/>
      <c r="U105" s="686"/>
      <c r="V105" s="686"/>
      <c r="W105" s="686"/>
      <c r="X105" s="686">
        <f>X103</f>
        <v>96324750</v>
      </c>
      <c r="Y105" s="686">
        <f t="shared" si="35"/>
        <v>0</v>
      </c>
      <c r="Z105" s="686">
        <f t="shared" si="35"/>
        <v>96324751</v>
      </c>
      <c r="AA105" s="591">
        <f t="shared" si="19"/>
        <v>-1</v>
      </c>
      <c r="AB105" s="1814">
        <v>97250664</v>
      </c>
    </row>
    <row r="106" spans="1:29" ht="50.25" customHeight="1">
      <c r="A106" s="2003" t="s">
        <v>1174</v>
      </c>
      <c r="B106" s="2003"/>
      <c r="C106" s="2003"/>
      <c r="D106" s="2003"/>
      <c r="E106" s="2003"/>
      <c r="F106" s="2003"/>
      <c r="G106" s="2003"/>
      <c r="H106" s="2003"/>
      <c r="I106" s="2003"/>
      <c r="J106" s="2003"/>
      <c r="K106" s="2003"/>
      <c r="L106" s="2003"/>
      <c r="M106" s="2003"/>
      <c r="N106" s="2003"/>
      <c r="O106" s="2003"/>
      <c r="P106" s="2003"/>
      <c r="Q106" s="2003"/>
      <c r="R106" s="2003"/>
      <c r="S106" s="2003"/>
      <c r="T106" s="2003"/>
      <c r="U106" s="2003"/>
      <c r="V106" s="2003"/>
      <c r="W106" s="2003"/>
      <c r="X106" s="2003"/>
      <c r="Y106" s="2003"/>
      <c r="Z106" s="2003"/>
      <c r="AA106" s="595">
        <v>522031269</v>
      </c>
    </row>
    <row r="107" spans="1:29" ht="31.5" customHeight="1">
      <c r="D107" s="593"/>
      <c r="E107" s="594"/>
      <c r="M107" s="599"/>
      <c r="N107" s="599"/>
      <c r="O107" s="2019" t="s">
        <v>1146</v>
      </c>
      <c r="P107" s="2019"/>
      <c r="Q107" s="2019"/>
      <c r="R107" s="2019"/>
      <c r="S107" s="2019"/>
      <c r="T107" s="2019"/>
      <c r="U107" s="2019"/>
      <c r="V107" s="2019"/>
      <c r="W107" s="2019"/>
      <c r="X107" s="2019"/>
      <c r="Y107" s="2019"/>
      <c r="Z107" s="2019"/>
      <c r="AA107" s="595">
        <f>Z105-AA106</f>
        <v>-425706518</v>
      </c>
    </row>
    <row r="108" spans="1:29" s="602" customFormat="1" ht="19.5" customHeight="1">
      <c r="A108" s="591"/>
      <c r="B108" s="1816"/>
      <c r="C108" s="592"/>
      <c r="D108" s="593"/>
      <c r="E108" s="594"/>
      <c r="F108" s="595"/>
      <c r="G108" s="595"/>
      <c r="H108" s="595"/>
      <c r="I108" s="595"/>
      <c r="J108" s="596"/>
      <c r="K108" s="597"/>
      <c r="L108" s="598"/>
      <c r="M108" s="599"/>
      <c r="N108" s="599"/>
      <c r="O108" s="599"/>
      <c r="P108" s="599"/>
      <c r="Q108" s="599"/>
      <c r="R108" s="599"/>
      <c r="S108" s="599"/>
      <c r="T108" s="595"/>
      <c r="U108" s="595"/>
      <c r="V108" s="595"/>
      <c r="W108" s="595"/>
      <c r="X108" s="595"/>
      <c r="Y108" s="600"/>
      <c r="Z108" s="600"/>
    </row>
    <row r="109" spans="1:29" s="602" customFormat="1" ht="29.25" customHeight="1">
      <c r="B109" s="604"/>
      <c r="C109" s="2001" t="s">
        <v>46</v>
      </c>
      <c r="D109" s="2001"/>
      <c r="E109" s="601"/>
      <c r="F109" s="1814"/>
      <c r="G109" s="601" t="s">
        <v>45</v>
      </c>
      <c r="H109" s="601"/>
      <c r="I109" s="601"/>
      <c r="J109" s="601"/>
      <c r="K109" s="601"/>
      <c r="L109" s="601"/>
      <c r="M109" s="2001" t="s">
        <v>101</v>
      </c>
      <c r="N109" s="2001"/>
      <c r="O109" s="2001"/>
      <c r="P109" s="2001"/>
      <c r="Q109" s="2001"/>
      <c r="R109" s="601"/>
      <c r="S109" s="601"/>
      <c r="T109" s="601"/>
      <c r="U109" s="601"/>
      <c r="V109" s="601"/>
      <c r="W109" s="2001" t="s">
        <v>826</v>
      </c>
      <c r="X109" s="2001"/>
      <c r="Y109" s="2001"/>
      <c r="Z109" s="2001"/>
      <c r="AA109" s="604"/>
      <c r="AC109" s="602">
        <f>1442+5382</f>
        <v>6824</v>
      </c>
    </row>
    <row r="110" spans="1:29" s="602" customFormat="1" ht="19.5" customHeight="1">
      <c r="A110" s="601"/>
      <c r="C110" s="1813"/>
      <c r="D110" s="1813"/>
      <c r="E110" s="1813"/>
      <c r="F110" s="1813"/>
      <c r="G110" s="1813"/>
      <c r="H110" s="1813"/>
      <c r="I110" s="1813"/>
      <c r="J110" s="603"/>
      <c r="K110" s="1813"/>
      <c r="L110" s="604"/>
      <c r="O110" s="604"/>
      <c r="P110" s="604"/>
      <c r="Q110" s="604"/>
      <c r="R110" s="604"/>
      <c r="S110" s="604"/>
      <c r="T110" s="604"/>
      <c r="U110" s="604"/>
      <c r="V110" s="604"/>
      <c r="W110" s="605"/>
      <c r="X110" s="1813"/>
      <c r="Y110" s="1813"/>
      <c r="Z110" s="1813"/>
    </row>
    <row r="111" spans="1:29" s="602" customFormat="1" ht="19.5" customHeight="1">
      <c r="A111" s="601"/>
      <c r="C111" s="1813"/>
      <c r="D111" s="1813"/>
      <c r="E111" s="1813"/>
      <c r="F111" s="1813"/>
      <c r="G111" s="1813"/>
      <c r="H111" s="1813"/>
      <c r="I111" s="1813"/>
      <c r="J111" s="603"/>
      <c r="K111" s="1813"/>
      <c r="L111" s="604"/>
      <c r="O111" s="604"/>
      <c r="P111" s="604"/>
      <c r="Q111" s="604"/>
      <c r="R111" s="604"/>
      <c r="S111" s="604"/>
      <c r="T111" s="604"/>
      <c r="U111" s="604"/>
      <c r="V111" s="604"/>
      <c r="W111" s="605"/>
      <c r="X111" s="1813"/>
      <c r="Y111" s="1813"/>
      <c r="Z111" s="1813"/>
    </row>
    <row r="112" spans="1:29" s="602" customFormat="1" ht="19.5" customHeight="1">
      <c r="A112" s="601"/>
      <c r="C112" s="1813"/>
      <c r="D112" s="1813"/>
      <c r="E112" s="1813"/>
      <c r="F112" s="1813"/>
      <c r="G112" s="1813"/>
      <c r="H112" s="1813"/>
      <c r="I112" s="1813"/>
      <c r="J112" s="603"/>
      <c r="K112" s="1813"/>
      <c r="L112" s="604"/>
      <c r="O112" s="604"/>
      <c r="P112" s="604"/>
      <c r="Q112" s="604"/>
      <c r="R112" s="604"/>
      <c r="S112" s="604"/>
      <c r="T112" s="604"/>
      <c r="U112" s="604"/>
      <c r="V112" s="604"/>
      <c r="W112" s="605"/>
      <c r="X112" s="1813"/>
      <c r="Y112" s="1813"/>
      <c r="Z112" s="1813"/>
    </row>
    <row r="113" spans="1:29" s="602" customFormat="1" ht="19.5" customHeight="1">
      <c r="A113" s="601"/>
      <c r="C113" s="1813"/>
      <c r="D113" s="1813"/>
      <c r="E113" s="1813"/>
      <c r="F113" s="1813"/>
      <c r="G113" s="1813"/>
      <c r="H113" s="1813"/>
      <c r="I113" s="1813"/>
      <c r="J113" s="603"/>
      <c r="K113" s="1813"/>
      <c r="L113" s="604"/>
      <c r="O113" s="604"/>
      <c r="P113" s="604"/>
      <c r="Q113" s="604"/>
      <c r="R113" s="604"/>
      <c r="S113" s="604"/>
      <c r="T113" s="604"/>
      <c r="U113" s="604"/>
      <c r="V113" s="604"/>
      <c r="W113" s="605"/>
      <c r="X113" s="1813"/>
      <c r="Y113" s="1813"/>
      <c r="Z113" s="1813"/>
    </row>
    <row r="114" spans="1:29" s="602" customFormat="1" ht="19.5" customHeight="1">
      <c r="A114" s="601"/>
      <c r="C114" s="1813"/>
      <c r="D114" s="1813"/>
      <c r="E114" s="1813"/>
      <c r="F114" s="1813"/>
      <c r="G114" s="1813"/>
      <c r="H114" s="1813"/>
      <c r="I114" s="1813"/>
      <c r="J114" s="603"/>
      <c r="K114" s="1813"/>
      <c r="L114" s="604"/>
      <c r="O114" s="604"/>
      <c r="P114" s="604"/>
      <c r="Q114" s="604"/>
      <c r="R114" s="604"/>
      <c r="S114" s="604"/>
      <c r="T114" s="604"/>
      <c r="U114" s="604"/>
      <c r="V114" s="604"/>
      <c r="W114" s="605"/>
      <c r="X114" s="1813"/>
      <c r="Y114" s="1813"/>
      <c r="Z114" s="1813"/>
    </row>
    <row r="115" spans="1:29" s="602" customFormat="1" ht="19.5" customHeight="1">
      <c r="A115" s="601"/>
      <c r="C115" s="1813"/>
      <c r="D115" s="1813"/>
      <c r="E115" s="1813"/>
      <c r="F115" s="1813"/>
      <c r="G115" s="1813"/>
      <c r="H115" s="1813"/>
      <c r="I115" s="1813"/>
      <c r="J115" s="603"/>
      <c r="K115" s="1813"/>
      <c r="L115" s="604"/>
      <c r="O115" s="604"/>
      <c r="P115" s="604"/>
      <c r="Q115" s="604"/>
      <c r="R115" s="604"/>
      <c r="S115" s="604"/>
      <c r="T115" s="604"/>
      <c r="U115" s="604"/>
      <c r="V115" s="604"/>
      <c r="W115" s="605"/>
      <c r="X115" s="1813"/>
      <c r="Y115" s="1813"/>
      <c r="Z115" s="1813"/>
    </row>
    <row r="116" spans="1:29" s="602" customFormat="1" ht="19.5" customHeight="1">
      <c r="A116" s="601"/>
      <c r="C116" s="1813"/>
      <c r="D116" s="1813"/>
      <c r="E116" s="1813"/>
      <c r="F116" s="1813"/>
      <c r="G116" s="1813"/>
      <c r="H116" s="1813"/>
      <c r="I116" s="1813"/>
      <c r="J116" s="603"/>
      <c r="K116" s="1813"/>
      <c r="L116" s="604"/>
      <c r="O116" s="604"/>
      <c r="P116" s="604"/>
      <c r="Q116" s="604"/>
      <c r="R116" s="604"/>
      <c r="S116" s="604"/>
      <c r="T116" s="604"/>
      <c r="U116" s="604"/>
      <c r="V116" s="604"/>
      <c r="W116" s="605"/>
      <c r="X116" s="1813"/>
      <c r="Y116" s="1813"/>
      <c r="Z116" s="1813"/>
      <c r="AC116" s="602">
        <f>+AC109*25000</f>
        <v>170600000</v>
      </c>
    </row>
    <row r="117" spans="1:29" s="602" customFormat="1" ht="19.5" customHeight="1">
      <c r="A117" s="601"/>
      <c r="C117" s="1813"/>
      <c r="D117" s="1813"/>
      <c r="E117" s="1813"/>
      <c r="F117" s="1813"/>
      <c r="G117" s="1813"/>
      <c r="H117" s="1813"/>
      <c r="I117" s="1813"/>
      <c r="J117" s="603"/>
      <c r="K117" s="1813"/>
      <c r="L117" s="606"/>
      <c r="O117" s="604"/>
      <c r="P117" s="604"/>
      <c r="Q117" s="604"/>
      <c r="R117" s="604"/>
      <c r="S117" s="604"/>
      <c r="T117" s="604"/>
      <c r="U117" s="604"/>
      <c r="V117" s="604"/>
      <c r="W117" s="604"/>
      <c r="X117" s="1813"/>
      <c r="Y117" s="1813"/>
      <c r="Z117" s="1813"/>
    </row>
    <row r="118" spans="1:29" s="602" customFormat="1" ht="19.5" customHeight="1">
      <c r="A118" s="601"/>
      <c r="C118" s="1813"/>
      <c r="D118" s="1813"/>
      <c r="E118" s="607"/>
      <c r="F118" s="1813"/>
      <c r="G118" s="1813"/>
      <c r="H118" s="1813"/>
      <c r="I118" s="1813"/>
      <c r="J118" s="603"/>
      <c r="K118" s="1813"/>
      <c r="L118" s="604"/>
      <c r="O118" s="604"/>
      <c r="P118" s="604"/>
      <c r="Q118" s="604"/>
      <c r="R118" s="604"/>
      <c r="S118" s="604"/>
      <c r="T118" s="604"/>
      <c r="U118" s="604"/>
      <c r="V118" s="604"/>
      <c r="W118" s="605"/>
      <c r="X118" s="1813"/>
      <c r="Y118" s="1813"/>
      <c r="Z118" s="1813"/>
      <c r="AA118" s="602" t="e">
        <f>+#REF!-#REF!</f>
        <v>#REF!</v>
      </c>
    </row>
    <row r="119" spans="1:29" s="602" customFormat="1" ht="19.5" customHeight="1">
      <c r="A119" s="601"/>
      <c r="C119" s="1813"/>
      <c r="D119" s="607"/>
      <c r="E119" s="1814"/>
      <c r="F119" s="1813"/>
      <c r="G119" s="1813"/>
      <c r="H119" s="1813"/>
      <c r="I119" s="1813"/>
      <c r="J119" s="603"/>
      <c r="K119" s="1813"/>
      <c r="L119" s="604"/>
      <c r="O119" s="604"/>
      <c r="P119" s="604"/>
      <c r="Q119" s="604"/>
      <c r="R119" s="604"/>
      <c r="S119" s="604"/>
      <c r="T119" s="604"/>
      <c r="U119" s="604"/>
      <c r="V119" s="604"/>
      <c r="W119" s="605"/>
      <c r="X119" s="1813"/>
      <c r="Y119" s="1813"/>
      <c r="Z119" s="1813"/>
    </row>
    <row r="120" spans="1:29" s="602" customFormat="1" ht="31.5" customHeight="1">
      <c r="A120" s="2001" t="s">
        <v>830</v>
      </c>
      <c r="B120" s="2001"/>
      <c r="C120" s="2001"/>
      <c r="D120" s="2001"/>
      <c r="E120" s="2001"/>
      <c r="F120" s="601"/>
      <c r="G120" s="601" t="s">
        <v>828</v>
      </c>
      <c r="H120" s="601"/>
      <c r="I120" s="601"/>
      <c r="J120" s="601"/>
      <c r="K120" s="601"/>
      <c r="M120" s="2001" t="s">
        <v>419</v>
      </c>
      <c r="N120" s="2001"/>
      <c r="O120" s="2001"/>
      <c r="P120" s="2001"/>
      <c r="Q120" s="2001"/>
      <c r="R120" s="601"/>
      <c r="S120" s="601"/>
      <c r="T120" s="601"/>
      <c r="U120" s="601"/>
      <c r="V120" s="601"/>
      <c r="W120" s="2001" t="s">
        <v>76</v>
      </c>
      <c r="X120" s="2001"/>
      <c r="Y120" s="2001"/>
      <c r="Z120" s="2001"/>
    </row>
    <row r="121" spans="1:29" s="602" customFormat="1" ht="19.5" customHeight="1">
      <c r="A121" s="601"/>
      <c r="C121" s="1813"/>
      <c r="D121" s="607"/>
      <c r="E121" s="606"/>
      <c r="F121" s="608"/>
      <c r="G121" s="608"/>
      <c r="H121" s="608"/>
      <c r="I121" s="608"/>
      <c r="J121" s="603"/>
      <c r="K121" s="1813"/>
      <c r="L121" s="606"/>
      <c r="O121" s="604"/>
      <c r="P121" s="604"/>
      <c r="Q121" s="604"/>
      <c r="R121" s="604"/>
      <c r="S121" s="604"/>
      <c r="T121" s="604"/>
      <c r="U121" s="604"/>
      <c r="V121" s="604"/>
      <c r="W121" s="595"/>
      <c r="X121" s="606"/>
      <c r="Y121" s="604"/>
      <c r="Z121" s="604"/>
    </row>
    <row r="122" spans="1:29">
      <c r="B122" s="595"/>
      <c r="C122" s="595"/>
      <c r="E122" s="599"/>
      <c r="F122" s="599"/>
      <c r="G122" s="599"/>
      <c r="H122" s="599"/>
      <c r="I122" s="599"/>
      <c r="J122" s="610"/>
      <c r="K122" s="610"/>
      <c r="L122" s="599"/>
    </row>
    <row r="123" spans="1:29">
      <c r="B123" s="595"/>
      <c r="C123" s="595"/>
      <c r="E123" s="599"/>
      <c r="F123" s="688"/>
      <c r="G123" s="688"/>
      <c r="H123" s="688"/>
      <c r="I123" s="688"/>
      <c r="J123" s="610"/>
      <c r="K123" s="610"/>
      <c r="L123" s="689"/>
      <c r="M123" s="689"/>
      <c r="N123" s="689"/>
      <c r="O123" s="689"/>
      <c r="P123" s="689"/>
      <c r="Q123" s="689"/>
      <c r="R123" s="689"/>
      <c r="S123" s="689"/>
      <c r="W123" s="687"/>
      <c r="X123" s="687"/>
    </row>
    <row r="124" spans="1:29">
      <c r="B124" s="595"/>
      <c r="C124" s="595"/>
      <c r="E124" s="599"/>
      <c r="F124" s="688"/>
      <c r="G124" s="688"/>
      <c r="H124" s="688"/>
      <c r="I124" s="688"/>
      <c r="J124" s="610"/>
      <c r="K124" s="610"/>
      <c r="L124" s="689"/>
      <c r="M124" s="1815"/>
      <c r="N124" s="1815"/>
      <c r="O124" s="1815"/>
      <c r="P124" s="1815"/>
      <c r="Q124" s="1815"/>
      <c r="R124" s="1815"/>
      <c r="S124" s="1815"/>
      <c r="W124" s="687"/>
      <c r="X124" s="687"/>
    </row>
    <row r="125" spans="1:29">
      <c r="B125" s="595"/>
      <c r="C125" s="595"/>
      <c r="E125" s="599"/>
      <c r="F125" s="688"/>
      <c r="G125" s="688"/>
      <c r="H125" s="688"/>
      <c r="I125" s="688"/>
      <c r="J125" s="610"/>
      <c r="K125" s="610"/>
      <c r="L125" s="689"/>
      <c r="M125" s="1815"/>
      <c r="N125" s="1815"/>
      <c r="O125" s="1815"/>
      <c r="P125" s="1815"/>
      <c r="Q125" s="1815"/>
      <c r="R125" s="1815"/>
      <c r="S125" s="1815"/>
      <c r="W125" s="687"/>
      <c r="X125" s="687"/>
    </row>
    <row r="126" spans="1:29">
      <c r="B126" s="595"/>
      <c r="C126" s="595"/>
      <c r="E126" s="599"/>
      <c r="F126" s="688"/>
      <c r="G126" s="688"/>
      <c r="H126" s="688"/>
      <c r="I126" s="688"/>
      <c r="J126" s="610"/>
      <c r="K126" s="610"/>
      <c r="L126" s="689"/>
      <c r="M126" s="1815"/>
      <c r="N126" s="1815"/>
      <c r="O126" s="1815"/>
      <c r="P126" s="1815"/>
      <c r="Q126" s="1815"/>
      <c r="R126" s="1815"/>
      <c r="S126" s="1815"/>
      <c r="W126" s="687"/>
      <c r="X126" s="687"/>
    </row>
    <row r="127" spans="1:29">
      <c r="B127" s="595"/>
      <c r="C127" s="595"/>
      <c r="E127" s="599"/>
      <c r="F127" s="688"/>
      <c r="G127" s="688"/>
      <c r="H127" s="688"/>
      <c r="I127" s="688"/>
      <c r="J127" s="610"/>
      <c r="K127" s="610"/>
      <c r="L127" s="689"/>
      <c r="M127" s="1815"/>
      <c r="N127" s="1815"/>
      <c r="O127" s="1815"/>
      <c r="P127" s="1815"/>
      <c r="Q127" s="1815"/>
      <c r="R127" s="1815"/>
      <c r="S127" s="1815"/>
      <c r="W127" s="687"/>
      <c r="X127" s="687"/>
    </row>
    <row r="128" spans="1:29">
      <c r="B128" s="595"/>
      <c r="C128" s="595"/>
      <c r="E128" s="599"/>
      <c r="F128" s="688"/>
      <c r="G128" s="688"/>
      <c r="H128" s="688"/>
      <c r="I128" s="688"/>
      <c r="J128" s="610"/>
      <c r="K128" s="610"/>
      <c r="L128" s="689"/>
      <c r="M128" s="1815"/>
      <c r="N128" s="1815"/>
      <c r="O128" s="1815"/>
      <c r="P128" s="1815"/>
      <c r="Q128" s="1815"/>
      <c r="R128" s="1815"/>
      <c r="S128" s="1815"/>
      <c r="W128" s="687"/>
      <c r="X128" s="687"/>
    </row>
    <row r="129" spans="2:24">
      <c r="B129" s="595"/>
      <c r="C129" s="595"/>
      <c r="E129" s="599"/>
      <c r="F129" s="688"/>
      <c r="G129" s="688"/>
      <c r="H129" s="688"/>
      <c r="I129" s="688"/>
      <c r="J129" s="610"/>
      <c r="K129" s="610"/>
      <c r="L129" s="689"/>
      <c r="M129" s="1815"/>
      <c r="N129" s="1815"/>
      <c r="O129" s="1815"/>
      <c r="P129" s="1815"/>
      <c r="Q129" s="1815"/>
      <c r="R129" s="1815"/>
      <c r="S129" s="1815"/>
      <c r="W129" s="687"/>
      <c r="X129" s="687"/>
    </row>
    <row r="130" spans="2:24">
      <c r="B130" s="595"/>
      <c r="C130" s="595"/>
      <c r="E130" s="599"/>
      <c r="F130" s="688"/>
      <c r="G130" s="688"/>
      <c r="H130" s="688"/>
      <c r="I130" s="688"/>
      <c r="J130" s="610"/>
      <c r="K130" s="610"/>
      <c r="L130" s="689"/>
      <c r="M130" s="1815"/>
      <c r="N130" s="1815"/>
      <c r="O130" s="1815"/>
      <c r="P130" s="1815"/>
      <c r="Q130" s="1815"/>
      <c r="R130" s="1815"/>
      <c r="S130" s="1815"/>
      <c r="W130" s="687"/>
      <c r="X130" s="687"/>
    </row>
    <row r="131" spans="2:24">
      <c r="B131" s="595"/>
      <c r="C131" s="595"/>
      <c r="E131" s="599"/>
      <c r="F131" s="688"/>
      <c r="G131" s="688"/>
      <c r="H131" s="688"/>
      <c r="I131" s="688"/>
      <c r="J131" s="610"/>
      <c r="K131" s="610"/>
      <c r="L131" s="689"/>
      <c r="M131" s="1815"/>
      <c r="N131" s="1815"/>
      <c r="O131" s="1815"/>
      <c r="P131" s="1815"/>
      <c r="Q131" s="1815"/>
      <c r="R131" s="1815"/>
      <c r="S131" s="1815"/>
      <c r="W131" s="687"/>
      <c r="X131" s="687"/>
    </row>
    <row r="132" spans="2:24">
      <c r="B132" s="595"/>
      <c r="C132" s="595"/>
      <c r="E132" s="599"/>
      <c r="F132" s="688"/>
      <c r="G132" s="688"/>
      <c r="H132" s="688"/>
      <c r="I132" s="688"/>
      <c r="J132" s="610"/>
      <c r="K132" s="610"/>
      <c r="L132" s="689"/>
      <c r="M132" s="1815"/>
      <c r="N132" s="1815"/>
      <c r="O132" s="1815"/>
      <c r="P132" s="1815"/>
      <c r="Q132" s="1815"/>
      <c r="R132" s="1815"/>
      <c r="S132" s="1815"/>
      <c r="W132" s="687"/>
      <c r="X132" s="687"/>
    </row>
    <row r="133" spans="2:24">
      <c r="B133" s="595"/>
      <c r="C133" s="595"/>
      <c r="E133" s="599"/>
      <c r="F133" s="688"/>
      <c r="G133" s="688"/>
      <c r="H133" s="688"/>
      <c r="I133" s="688"/>
      <c r="J133" s="610"/>
      <c r="K133" s="610"/>
      <c r="L133" s="689"/>
      <c r="M133" s="1815"/>
      <c r="N133" s="1815"/>
      <c r="O133" s="1815"/>
      <c r="P133" s="1815"/>
      <c r="Q133" s="1815"/>
      <c r="R133" s="1815"/>
      <c r="S133" s="1815"/>
      <c r="W133" s="687"/>
      <c r="X133" s="687"/>
    </row>
    <row r="134" spans="2:24">
      <c r="B134" s="595"/>
      <c r="C134" s="595"/>
      <c r="E134" s="599"/>
      <c r="F134" s="688"/>
      <c r="G134" s="688"/>
      <c r="H134" s="688"/>
      <c r="I134" s="688"/>
      <c r="J134" s="610"/>
      <c r="K134" s="610"/>
      <c r="L134" s="689"/>
      <c r="M134" s="1815"/>
      <c r="N134" s="1815"/>
      <c r="O134" s="1815"/>
      <c r="P134" s="1815"/>
      <c r="Q134" s="1815"/>
      <c r="R134" s="1815"/>
      <c r="S134" s="1815"/>
      <c r="W134" s="687"/>
      <c r="X134" s="687"/>
    </row>
    <row r="135" spans="2:24">
      <c r="B135" s="595"/>
      <c r="C135" s="595"/>
      <c r="E135" s="599"/>
      <c r="F135" s="688"/>
      <c r="G135" s="688"/>
      <c r="H135" s="688"/>
      <c r="I135" s="688"/>
      <c r="J135" s="610"/>
      <c r="K135" s="610"/>
      <c r="L135" s="689"/>
      <c r="M135" s="1815"/>
      <c r="N135" s="1815"/>
      <c r="O135" s="1815"/>
      <c r="P135" s="1815"/>
      <c r="Q135" s="1815"/>
      <c r="R135" s="1815"/>
      <c r="S135" s="1815"/>
      <c r="W135" s="687"/>
      <c r="X135" s="687"/>
    </row>
    <row r="136" spans="2:24">
      <c r="B136" s="595"/>
      <c r="C136" s="595"/>
      <c r="E136" s="599"/>
      <c r="F136" s="688"/>
      <c r="G136" s="688"/>
      <c r="H136" s="688"/>
      <c r="I136" s="688"/>
      <c r="J136" s="610"/>
      <c r="K136" s="610"/>
      <c r="L136" s="689"/>
      <c r="M136" s="1815"/>
      <c r="N136" s="1815"/>
      <c r="O136" s="1815"/>
      <c r="P136" s="1815"/>
      <c r="Q136" s="1815"/>
      <c r="R136" s="1815"/>
      <c r="S136" s="1815"/>
      <c r="W136" s="687"/>
      <c r="X136" s="687"/>
    </row>
    <row r="137" spans="2:24">
      <c r="B137" s="595"/>
      <c r="C137" s="595"/>
      <c r="E137" s="599"/>
      <c r="F137" s="688"/>
      <c r="G137" s="688"/>
      <c r="H137" s="688"/>
      <c r="I137" s="688"/>
      <c r="J137" s="610"/>
      <c r="K137" s="610"/>
      <c r="L137" s="689"/>
      <c r="M137" s="1815"/>
      <c r="N137" s="1815"/>
      <c r="O137" s="1815"/>
      <c r="P137" s="1815"/>
      <c r="Q137" s="1815"/>
      <c r="R137" s="1815"/>
      <c r="S137" s="1815"/>
      <c r="W137" s="687"/>
      <c r="X137" s="687"/>
    </row>
    <row r="138" spans="2:24">
      <c r="B138" s="595"/>
      <c r="C138" s="595"/>
      <c r="E138" s="599"/>
      <c r="F138" s="688"/>
      <c r="G138" s="688"/>
      <c r="H138" s="688"/>
      <c r="I138" s="688"/>
      <c r="J138" s="610"/>
      <c r="K138" s="610"/>
      <c r="L138" s="689"/>
      <c r="M138" s="1815"/>
      <c r="N138" s="1815"/>
      <c r="O138" s="1815"/>
      <c r="P138" s="1815"/>
      <c r="Q138" s="1815"/>
      <c r="R138" s="1815"/>
      <c r="S138" s="1815"/>
      <c r="W138" s="687"/>
      <c r="X138" s="687"/>
    </row>
    <row r="139" spans="2:24">
      <c r="B139" s="595"/>
      <c r="C139" s="595"/>
      <c r="E139" s="599"/>
      <c r="F139" s="688"/>
      <c r="G139" s="688"/>
      <c r="H139" s="688"/>
      <c r="I139" s="688"/>
      <c r="J139" s="610"/>
      <c r="K139" s="610"/>
      <c r="L139" s="689"/>
      <c r="M139" s="1815"/>
      <c r="N139" s="1815"/>
      <c r="O139" s="1815"/>
      <c r="P139" s="1815"/>
      <c r="Q139" s="1815"/>
      <c r="R139" s="1815"/>
      <c r="S139" s="1815"/>
      <c r="W139" s="687"/>
      <c r="X139" s="687"/>
    </row>
    <row r="140" spans="2:24">
      <c r="B140" s="595"/>
      <c r="C140" s="595"/>
      <c r="E140" s="599"/>
      <c r="F140" s="688"/>
      <c r="G140" s="688"/>
      <c r="H140" s="688"/>
      <c r="I140" s="688"/>
      <c r="J140" s="610"/>
      <c r="K140" s="610"/>
      <c r="L140" s="689"/>
      <c r="M140" s="1815"/>
      <c r="N140" s="1815"/>
      <c r="O140" s="1815"/>
      <c r="P140" s="1815"/>
      <c r="Q140" s="1815"/>
      <c r="R140" s="1815"/>
      <c r="S140" s="1815"/>
      <c r="W140" s="687"/>
      <c r="X140" s="687"/>
    </row>
    <row r="141" spans="2:24">
      <c r="B141" s="595"/>
      <c r="C141" s="595"/>
      <c r="E141" s="599"/>
      <c r="F141" s="688"/>
      <c r="G141" s="688"/>
      <c r="H141" s="688"/>
      <c r="I141" s="688"/>
      <c r="J141" s="610"/>
      <c r="K141" s="610"/>
      <c r="L141" s="689"/>
      <c r="M141" s="1815"/>
      <c r="N141" s="1815"/>
      <c r="O141" s="1815"/>
      <c r="P141" s="1815"/>
      <c r="Q141" s="1815"/>
      <c r="R141" s="1815"/>
      <c r="S141" s="1815"/>
      <c r="W141" s="687"/>
      <c r="X141" s="687"/>
    </row>
    <row r="142" spans="2:24">
      <c r="B142" s="595"/>
      <c r="C142" s="595"/>
      <c r="E142" s="599"/>
      <c r="F142" s="688"/>
      <c r="G142" s="688"/>
      <c r="H142" s="688"/>
      <c r="I142" s="688"/>
      <c r="J142" s="610"/>
      <c r="K142" s="610"/>
      <c r="L142" s="689"/>
      <c r="M142" s="1815"/>
      <c r="N142" s="1815"/>
      <c r="O142" s="1815"/>
      <c r="P142" s="1815"/>
      <c r="Q142" s="1815"/>
      <c r="R142" s="1815"/>
      <c r="S142" s="1815"/>
      <c r="W142" s="687"/>
      <c r="X142" s="687"/>
    </row>
    <row r="143" spans="2:24">
      <c r="B143" s="595"/>
      <c r="C143" s="595"/>
      <c r="E143" s="599"/>
      <c r="F143" s="688"/>
      <c r="G143" s="688"/>
      <c r="H143" s="688"/>
      <c r="I143" s="688"/>
      <c r="J143" s="610"/>
      <c r="K143" s="610"/>
      <c r="L143" s="689"/>
      <c r="M143" s="1815"/>
      <c r="N143" s="1815"/>
      <c r="O143" s="1815"/>
      <c r="P143" s="1815"/>
      <c r="Q143" s="1815"/>
      <c r="R143" s="1815"/>
      <c r="S143" s="1815"/>
      <c r="W143" s="687"/>
      <c r="X143" s="687"/>
    </row>
    <row r="144" spans="2:24">
      <c r="B144" s="595"/>
      <c r="C144" s="595"/>
      <c r="E144" s="599"/>
      <c r="F144" s="688"/>
      <c r="G144" s="688"/>
      <c r="H144" s="688"/>
      <c r="I144" s="688"/>
      <c r="J144" s="610"/>
      <c r="K144" s="610"/>
      <c r="L144" s="689"/>
      <c r="M144" s="1815"/>
      <c r="N144" s="1815"/>
      <c r="O144" s="1815"/>
      <c r="P144" s="1815"/>
      <c r="Q144" s="1815"/>
      <c r="R144" s="1815"/>
      <c r="S144" s="1815"/>
      <c r="W144" s="687"/>
      <c r="X144" s="687"/>
    </row>
    <row r="145" spans="2:26">
      <c r="B145" s="595"/>
      <c r="C145" s="595"/>
      <c r="E145" s="599"/>
      <c r="F145" s="688"/>
      <c r="G145" s="688"/>
      <c r="H145" s="688"/>
      <c r="I145" s="688"/>
      <c r="J145" s="610"/>
      <c r="K145" s="610"/>
      <c r="L145" s="689"/>
      <c r="M145" s="1815"/>
      <c r="N145" s="1815"/>
      <c r="O145" s="1815"/>
      <c r="P145" s="1815"/>
      <c r="Q145" s="1815"/>
      <c r="R145" s="1815"/>
      <c r="S145" s="1815"/>
      <c r="W145" s="687"/>
      <c r="X145" s="687"/>
    </row>
    <row r="146" spans="2:26">
      <c r="B146" s="595"/>
      <c r="C146" s="595"/>
      <c r="E146" s="599"/>
      <c r="F146" s="688"/>
      <c r="G146" s="688"/>
      <c r="H146" s="688"/>
      <c r="I146" s="688"/>
      <c r="J146" s="610"/>
      <c r="K146" s="610"/>
      <c r="L146" s="689"/>
      <c r="M146" s="1815"/>
      <c r="N146" s="1815"/>
      <c r="O146" s="1815"/>
      <c r="P146" s="1815"/>
      <c r="Q146" s="1815"/>
      <c r="R146" s="1815"/>
      <c r="S146" s="1815"/>
      <c r="W146" s="687"/>
      <c r="X146" s="687"/>
    </row>
    <row r="147" spans="2:26">
      <c r="B147" s="595"/>
      <c r="C147" s="595"/>
      <c r="E147" s="599"/>
      <c r="F147" s="688"/>
      <c r="G147" s="688"/>
      <c r="H147" s="688"/>
      <c r="I147" s="688"/>
      <c r="J147" s="610"/>
      <c r="K147" s="610"/>
      <c r="L147" s="689"/>
      <c r="M147" s="1815"/>
      <c r="N147" s="1815"/>
      <c r="O147" s="1815"/>
      <c r="P147" s="1815"/>
      <c r="Q147" s="1815"/>
      <c r="R147" s="1815"/>
      <c r="S147" s="1815"/>
      <c r="W147" s="687"/>
      <c r="X147" s="687"/>
    </row>
    <row r="148" spans="2:26">
      <c r="B148" s="595"/>
      <c r="C148" s="595"/>
      <c r="E148" s="599"/>
      <c r="F148" s="688"/>
      <c r="G148" s="688"/>
      <c r="H148" s="688"/>
      <c r="I148" s="688"/>
      <c r="J148" s="610"/>
      <c r="K148" s="610"/>
      <c r="L148" s="689"/>
      <c r="M148" s="1815"/>
      <c r="N148" s="1815"/>
      <c r="O148" s="1815"/>
      <c r="P148" s="1815"/>
      <c r="Q148" s="1815"/>
      <c r="R148" s="1815"/>
      <c r="S148" s="1815"/>
      <c r="W148" s="687"/>
      <c r="X148" s="687"/>
    </row>
    <row r="149" spans="2:26">
      <c r="B149" s="595"/>
      <c r="C149" s="595"/>
      <c r="E149" s="599"/>
      <c r="F149" s="688"/>
      <c r="G149" s="688"/>
      <c r="H149" s="688"/>
      <c r="I149" s="688"/>
      <c r="J149" s="610"/>
      <c r="K149" s="610"/>
      <c r="L149" s="689"/>
      <c r="M149" s="1815"/>
      <c r="N149" s="1815"/>
      <c r="O149" s="1815"/>
      <c r="P149" s="1815"/>
      <c r="Q149" s="1815"/>
      <c r="R149" s="1815"/>
      <c r="S149" s="1815"/>
      <c r="W149" s="687"/>
      <c r="X149" s="687"/>
    </row>
    <row r="150" spans="2:26">
      <c r="B150" s="595"/>
      <c r="C150" s="595"/>
      <c r="E150" s="599"/>
      <c r="F150" s="688"/>
      <c r="G150" s="688"/>
      <c r="H150" s="688"/>
      <c r="I150" s="688"/>
      <c r="J150" s="610"/>
      <c r="K150" s="610"/>
      <c r="L150" s="689"/>
      <c r="M150" s="1815"/>
      <c r="N150" s="1815"/>
      <c r="O150" s="1815"/>
      <c r="P150" s="1815"/>
      <c r="Q150" s="1815"/>
      <c r="R150" s="1815"/>
      <c r="S150" s="1815"/>
      <c r="W150" s="687"/>
      <c r="X150" s="687"/>
    </row>
    <row r="151" spans="2:26">
      <c r="B151" s="595"/>
      <c r="C151" s="595"/>
      <c r="E151" s="599"/>
      <c r="F151" s="688"/>
      <c r="G151" s="688"/>
      <c r="H151" s="688"/>
      <c r="I151" s="688"/>
      <c r="J151" s="610"/>
      <c r="K151" s="610"/>
      <c r="L151" s="689"/>
      <c r="M151" s="1815"/>
      <c r="N151" s="1815"/>
      <c r="O151" s="1815"/>
      <c r="P151" s="1815"/>
      <c r="Q151" s="1815"/>
      <c r="R151" s="1815"/>
      <c r="S151" s="1815"/>
      <c r="W151" s="687"/>
      <c r="X151" s="687"/>
    </row>
    <row r="152" spans="2:26">
      <c r="B152" s="595"/>
      <c r="C152" s="595"/>
      <c r="E152" s="599"/>
      <c r="F152" s="688"/>
      <c r="G152" s="688"/>
      <c r="H152" s="688"/>
      <c r="I152" s="688"/>
      <c r="J152" s="610"/>
      <c r="K152" s="610"/>
      <c r="L152" s="689"/>
      <c r="M152" s="1815"/>
      <c r="N152" s="1815"/>
      <c r="O152" s="1815"/>
      <c r="P152" s="1815"/>
      <c r="Q152" s="1815"/>
      <c r="R152" s="1815"/>
      <c r="S152" s="1815"/>
      <c r="W152" s="687"/>
      <c r="X152" s="687"/>
    </row>
    <row r="153" spans="2:26">
      <c r="B153" s="595"/>
      <c r="C153" s="595"/>
      <c r="E153" s="599"/>
      <c r="F153" s="688"/>
      <c r="G153" s="688"/>
      <c r="H153" s="688"/>
      <c r="I153" s="688"/>
      <c r="J153" s="610"/>
      <c r="K153" s="610"/>
      <c r="L153" s="689"/>
      <c r="M153" s="1815"/>
      <c r="N153" s="1815"/>
      <c r="O153" s="1815"/>
      <c r="P153" s="1815"/>
      <c r="Q153" s="1815"/>
      <c r="R153" s="1815"/>
      <c r="S153" s="1815"/>
      <c r="W153" s="687"/>
      <c r="X153" s="687"/>
    </row>
    <row r="154" spans="2:26">
      <c r="B154" s="595"/>
      <c r="C154" s="595"/>
      <c r="E154" s="599"/>
      <c r="F154" s="688"/>
      <c r="G154" s="688"/>
      <c r="H154" s="688"/>
      <c r="I154" s="688"/>
      <c r="J154" s="610"/>
      <c r="K154" s="610"/>
      <c r="L154" s="689"/>
      <c r="M154" s="1815"/>
      <c r="N154" s="1815"/>
      <c r="O154" s="1815"/>
      <c r="P154" s="1815"/>
      <c r="Q154" s="1815"/>
      <c r="R154" s="1815"/>
      <c r="S154" s="1815"/>
      <c r="W154" s="687"/>
      <c r="X154" s="687"/>
    </row>
    <row r="155" spans="2:26">
      <c r="B155" s="595"/>
      <c r="C155" s="595"/>
      <c r="E155" s="599"/>
      <c r="F155" s="688"/>
      <c r="G155" s="688"/>
      <c r="H155" s="688"/>
      <c r="I155" s="688"/>
      <c r="J155" s="610"/>
      <c r="K155" s="610"/>
      <c r="L155" s="689"/>
      <c r="M155" s="1815"/>
      <c r="N155" s="1815"/>
      <c r="O155" s="1815"/>
      <c r="P155" s="1815"/>
      <c r="Q155" s="1815"/>
      <c r="R155" s="1815"/>
      <c r="S155" s="1815"/>
      <c r="W155" s="687"/>
      <c r="X155" s="687"/>
    </row>
    <row r="156" spans="2:26">
      <c r="B156" s="595"/>
      <c r="C156" s="595"/>
      <c r="E156" s="599"/>
      <c r="F156" s="688"/>
      <c r="G156" s="688"/>
      <c r="H156" s="688"/>
      <c r="I156" s="688"/>
      <c r="J156" s="610"/>
      <c r="K156" s="610"/>
      <c r="L156" s="689"/>
      <c r="M156" s="1815"/>
      <c r="N156" s="1815"/>
      <c r="O156" s="1815"/>
      <c r="P156" s="1815"/>
      <c r="Q156" s="1815"/>
      <c r="R156" s="1815"/>
      <c r="S156" s="1815"/>
      <c r="W156" s="687"/>
      <c r="X156" s="687"/>
    </row>
    <row r="157" spans="2:26">
      <c r="B157" s="595"/>
      <c r="C157" s="595"/>
      <c r="E157" s="599"/>
      <c r="J157" s="610"/>
      <c r="K157" s="610"/>
      <c r="L157" s="595"/>
      <c r="W157" s="690"/>
    </row>
    <row r="158" spans="2:26">
      <c r="B158" s="595"/>
      <c r="C158" s="599"/>
      <c r="E158" s="609"/>
      <c r="J158" s="610"/>
      <c r="K158" s="610"/>
      <c r="L158" s="595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Y158" s="687"/>
      <c r="Z158" s="687"/>
    </row>
    <row r="159" spans="2:26">
      <c r="B159" s="595"/>
      <c r="C159" s="595"/>
      <c r="D159" s="599"/>
      <c r="E159" s="599"/>
      <c r="K159" s="1816"/>
      <c r="L159" s="595"/>
      <c r="Y159" s="687"/>
      <c r="Z159" s="687"/>
    </row>
    <row r="160" spans="2:26">
      <c r="B160" s="595"/>
      <c r="C160" s="599"/>
      <c r="D160" s="691"/>
      <c r="E160" s="2005"/>
      <c r="F160" s="599"/>
      <c r="G160" s="599"/>
      <c r="H160" s="599"/>
      <c r="I160" s="599"/>
      <c r="J160" s="610"/>
      <c r="K160" s="610"/>
      <c r="L160" s="688"/>
    </row>
    <row r="161" spans="1:26">
      <c r="B161" s="595"/>
      <c r="C161" s="595"/>
      <c r="E161" s="2005"/>
      <c r="F161" s="599"/>
      <c r="G161" s="599"/>
      <c r="H161" s="599"/>
      <c r="I161" s="599"/>
      <c r="J161" s="610"/>
      <c r="K161" s="610"/>
      <c r="L161" s="599"/>
    </row>
    <row r="162" spans="1:26">
      <c r="B162" s="595"/>
      <c r="C162" s="595"/>
      <c r="E162" s="2005"/>
      <c r="F162" s="599"/>
      <c r="G162" s="599"/>
      <c r="H162" s="599"/>
      <c r="I162" s="599"/>
      <c r="J162" s="610"/>
      <c r="K162" s="610"/>
      <c r="L162" s="595"/>
      <c r="M162" s="689"/>
      <c r="N162" s="689"/>
      <c r="O162" s="689"/>
      <c r="P162" s="689"/>
      <c r="Q162" s="689"/>
      <c r="R162" s="689"/>
      <c r="S162" s="689"/>
      <c r="T162" s="689"/>
      <c r="U162" s="689"/>
      <c r="V162" s="689"/>
      <c r="W162" s="689"/>
      <c r="Z162" s="599"/>
    </row>
    <row r="163" spans="1:26">
      <c r="B163" s="595"/>
      <c r="C163" s="595"/>
      <c r="E163" s="2005"/>
      <c r="F163" s="599"/>
      <c r="G163" s="599"/>
      <c r="H163" s="599"/>
      <c r="I163" s="599"/>
      <c r="J163" s="610"/>
      <c r="K163" s="610"/>
      <c r="L163" s="595"/>
      <c r="M163" s="1815"/>
      <c r="N163" s="1815"/>
      <c r="O163" s="1815"/>
      <c r="P163" s="1815"/>
      <c r="Q163" s="1815"/>
      <c r="R163" s="1815"/>
      <c r="S163" s="1815"/>
      <c r="T163" s="1815"/>
      <c r="U163" s="1815"/>
      <c r="V163" s="1815"/>
      <c r="W163" s="1815"/>
      <c r="Z163" s="599"/>
    </row>
    <row r="164" spans="1:26">
      <c r="B164" s="595"/>
      <c r="C164" s="595"/>
      <c r="E164" s="599"/>
      <c r="F164" s="599"/>
      <c r="G164" s="599"/>
      <c r="H164" s="599"/>
      <c r="I164" s="599"/>
      <c r="J164" s="610"/>
      <c r="K164" s="610"/>
      <c r="L164" s="595"/>
      <c r="M164" s="1815"/>
      <c r="N164" s="1815"/>
      <c r="O164" s="1815"/>
      <c r="P164" s="1815"/>
      <c r="Q164" s="1815"/>
      <c r="R164" s="1815"/>
      <c r="S164" s="1815"/>
      <c r="T164" s="1815"/>
      <c r="U164" s="1815"/>
      <c r="V164" s="1815"/>
      <c r="W164" s="1815"/>
      <c r="Z164" s="599"/>
    </row>
    <row r="165" spans="1:26">
      <c r="B165" s="595"/>
      <c r="C165" s="595"/>
      <c r="E165" s="599"/>
      <c r="F165" s="599"/>
      <c r="G165" s="599"/>
      <c r="H165" s="599"/>
      <c r="I165" s="599"/>
      <c r="J165" s="610"/>
      <c r="K165" s="610"/>
      <c r="L165" s="595"/>
      <c r="M165" s="1815"/>
      <c r="N165" s="1815"/>
      <c r="O165" s="1815"/>
      <c r="P165" s="1815"/>
      <c r="Q165" s="1815"/>
      <c r="R165" s="1815"/>
      <c r="S165" s="1815"/>
      <c r="T165" s="1815"/>
      <c r="U165" s="1815"/>
      <c r="V165" s="1815"/>
      <c r="W165" s="1815"/>
      <c r="Z165" s="599"/>
    </row>
    <row r="166" spans="1:26">
      <c r="B166" s="595"/>
      <c r="C166" s="595"/>
      <c r="E166" s="599"/>
      <c r="F166" s="599"/>
      <c r="G166" s="599"/>
      <c r="H166" s="599"/>
      <c r="I166" s="599"/>
      <c r="J166" s="610"/>
      <c r="K166" s="610"/>
      <c r="L166" s="595"/>
      <c r="M166" s="1815"/>
      <c r="N166" s="1815"/>
      <c r="O166" s="1815"/>
      <c r="P166" s="1815"/>
      <c r="Q166" s="1815"/>
      <c r="R166" s="1815"/>
      <c r="S166" s="1815"/>
      <c r="T166" s="1815"/>
      <c r="U166" s="1815"/>
      <c r="V166" s="1815"/>
      <c r="W166" s="1815"/>
      <c r="Z166" s="599"/>
    </row>
    <row r="167" spans="1:26">
      <c r="B167" s="595"/>
      <c r="C167" s="595"/>
      <c r="E167" s="599"/>
      <c r="F167" s="599" t="e">
        <f>SUMIF(#REF!,"C",#REF!)</f>
        <v>#REF!</v>
      </c>
      <c r="G167" s="599"/>
      <c r="H167" s="599"/>
      <c r="I167" s="599"/>
      <c r="J167" s="610" t="e">
        <f>F167*2600</f>
        <v>#REF!</v>
      </c>
      <c r="K167" s="610"/>
      <c r="L167" s="595"/>
      <c r="M167" s="1815"/>
      <c r="N167" s="1815"/>
      <c r="O167" s="1815"/>
      <c r="P167" s="1815"/>
      <c r="Q167" s="1815"/>
      <c r="R167" s="1815"/>
      <c r="S167" s="1815"/>
      <c r="T167" s="1815"/>
      <c r="U167" s="1815"/>
      <c r="V167" s="1815"/>
      <c r="W167" s="1815"/>
      <c r="Z167" s="599"/>
    </row>
    <row r="168" spans="1:26">
      <c r="B168" s="595"/>
      <c r="C168" s="595"/>
      <c r="E168" s="599"/>
      <c r="F168" s="599" t="e">
        <f>SUMIF(#REF!,"D",#REF!)</f>
        <v>#REF!</v>
      </c>
      <c r="G168" s="599"/>
      <c r="H168" s="599"/>
      <c r="I168" s="599"/>
      <c r="J168" s="610" t="e">
        <f>F168*2500</f>
        <v>#REF!</v>
      </c>
      <c r="K168" s="610"/>
      <c r="L168" s="595"/>
      <c r="M168" s="1815"/>
      <c r="N168" s="1815"/>
      <c r="O168" s="1815"/>
      <c r="P168" s="1815"/>
      <c r="Q168" s="1815"/>
      <c r="R168" s="1815"/>
      <c r="S168" s="1815"/>
      <c r="T168" s="1815"/>
      <c r="U168" s="1815"/>
      <c r="V168" s="1815"/>
      <c r="W168" s="1815"/>
      <c r="Z168" s="599"/>
    </row>
    <row r="169" spans="1:26">
      <c r="B169" s="595"/>
      <c r="C169" s="595"/>
      <c r="E169" s="599"/>
      <c r="F169" s="599"/>
      <c r="G169" s="599"/>
      <c r="H169" s="599"/>
      <c r="I169" s="599"/>
      <c r="J169" s="610"/>
      <c r="K169" s="610"/>
      <c r="L169" s="595"/>
      <c r="M169" s="1815"/>
      <c r="N169" s="1815"/>
      <c r="O169" s="1815"/>
      <c r="P169" s="1815"/>
      <c r="Q169" s="1815"/>
      <c r="R169" s="1815"/>
      <c r="S169" s="1815"/>
      <c r="T169" s="1815"/>
      <c r="U169" s="1815"/>
      <c r="V169" s="1815"/>
      <c r="W169" s="1815"/>
      <c r="Z169" s="599"/>
    </row>
    <row r="170" spans="1:26">
      <c r="B170" s="595"/>
      <c r="C170" s="595"/>
      <c r="E170" s="595"/>
      <c r="F170" s="595" t="e">
        <f>SUM(F160:F168)</f>
        <v>#REF!</v>
      </c>
      <c r="J170" s="610" t="e">
        <f>SUM(J160:J168)</f>
        <v>#REF!</v>
      </c>
      <c r="K170" s="610"/>
      <c r="L170" s="595"/>
      <c r="M170" s="2006" t="e">
        <f>J170+J180+F185</f>
        <v>#REF!</v>
      </c>
      <c r="N170" s="2006"/>
      <c r="O170" s="2006"/>
      <c r="P170" s="1816"/>
      <c r="Q170" s="1816"/>
      <c r="R170" s="1816"/>
      <c r="S170" s="1816"/>
      <c r="W170" s="595" t="e">
        <f>M170-#REF!</f>
        <v>#REF!</v>
      </c>
    </row>
    <row r="171" spans="1:26">
      <c r="B171" s="595"/>
      <c r="C171" s="595"/>
      <c r="E171" s="595"/>
      <c r="J171" s="1810"/>
      <c r="K171" s="1810"/>
      <c r="L171" s="595"/>
      <c r="O171" s="687"/>
      <c r="P171" s="687"/>
      <c r="Q171" s="687"/>
      <c r="R171" s="687"/>
      <c r="S171" s="687"/>
      <c r="T171" s="687"/>
      <c r="U171" s="687"/>
      <c r="V171" s="687"/>
      <c r="W171" s="687"/>
    </row>
    <row r="172" spans="1:26">
      <c r="B172" s="595"/>
      <c r="C172" s="595"/>
      <c r="E172" s="599"/>
      <c r="F172" s="595">
        <v>5422</v>
      </c>
      <c r="J172" s="610">
        <f>F172*30000</f>
        <v>162660000</v>
      </c>
      <c r="K172" s="610"/>
      <c r="L172" s="595"/>
    </row>
    <row r="173" spans="1:26">
      <c r="B173" s="595"/>
      <c r="C173" s="595"/>
      <c r="E173" s="599"/>
      <c r="F173" s="595">
        <v>20</v>
      </c>
      <c r="J173" s="610">
        <f>F173*60000</f>
        <v>1200000</v>
      </c>
      <c r="K173" s="610"/>
      <c r="L173" s="595"/>
    </row>
    <row r="174" spans="1:26">
      <c r="B174" s="595"/>
      <c r="C174" s="595"/>
      <c r="E174" s="599"/>
      <c r="F174" s="595">
        <v>230</v>
      </c>
      <c r="J174" s="610">
        <f>F174*80000</f>
        <v>18400000</v>
      </c>
      <c r="K174" s="610"/>
      <c r="L174" s="595"/>
    </row>
    <row r="175" spans="1:26">
      <c r="A175" s="595"/>
      <c r="F175" s="595">
        <v>998</v>
      </c>
      <c r="J175" s="610">
        <f>F175*50000</f>
        <v>49900000</v>
      </c>
      <c r="K175" s="610"/>
      <c r="Z175" s="687"/>
    </row>
    <row r="176" spans="1:26">
      <c r="A176" s="595"/>
      <c r="F176" s="595">
        <v>2</v>
      </c>
      <c r="J176" s="610">
        <f>F176*80000</f>
        <v>160000</v>
      </c>
      <c r="K176" s="610"/>
      <c r="Z176" s="687"/>
    </row>
    <row r="177" spans="1:26">
      <c r="A177" s="595"/>
      <c r="F177" s="595">
        <v>89</v>
      </c>
      <c r="J177" s="610">
        <f>F177*100000</f>
        <v>8900000</v>
      </c>
      <c r="K177" s="610"/>
      <c r="Z177" s="1816"/>
    </row>
    <row r="178" spans="1:26">
      <c r="A178" s="595"/>
      <c r="F178" s="595">
        <v>301.56000000000006</v>
      </c>
      <c r="J178" s="610">
        <f>F178*25000</f>
        <v>7539000.0000000019</v>
      </c>
      <c r="K178" s="610"/>
      <c r="Z178" s="1816"/>
    </row>
    <row r="179" spans="1:26">
      <c r="A179" s="595"/>
      <c r="F179" s="595">
        <v>2965</v>
      </c>
      <c r="J179" s="610">
        <f>F179*20000</f>
        <v>59300000</v>
      </c>
      <c r="K179" s="610"/>
      <c r="Z179" s="1816"/>
    </row>
    <row r="180" spans="1:26" ht="28.5" customHeight="1">
      <c r="A180" s="595"/>
      <c r="B180" s="1821"/>
      <c r="F180" s="595">
        <f>SUM(F172:F179)</f>
        <v>10027.560000000001</v>
      </c>
      <c r="J180" s="1996">
        <f>SUM(J172:J179)</f>
        <v>308059000</v>
      </c>
      <c r="K180" s="1996"/>
      <c r="T180" s="2006" t="e">
        <f>J180-#REF!</f>
        <v>#REF!</v>
      </c>
      <c r="U180" s="2006"/>
      <c r="V180" s="2006"/>
      <c r="W180" s="2006"/>
      <c r="X180" s="687"/>
    </row>
    <row r="181" spans="1:26">
      <c r="A181" s="595"/>
      <c r="B181" s="693"/>
      <c r="F181" s="599" t="e">
        <f>#REF!+#REF!+E105+#REF!</f>
        <v>#REF!</v>
      </c>
      <c r="G181" s="599"/>
      <c r="H181" s="599"/>
      <c r="I181" s="599"/>
      <c r="J181" s="610" t="e">
        <f>F181*25000</f>
        <v>#REF!</v>
      </c>
      <c r="K181" s="610"/>
    </row>
    <row r="182" spans="1:26">
      <c r="A182" s="595"/>
      <c r="B182" s="693"/>
      <c r="E182" s="687" t="s">
        <v>291</v>
      </c>
      <c r="F182" s="595" t="e">
        <f>#REF!+#REF!</f>
        <v>#REF!</v>
      </c>
      <c r="J182" s="610" t="e">
        <f>#REF!+#REF!</f>
        <v>#REF!</v>
      </c>
      <c r="K182" s="694"/>
    </row>
    <row r="183" spans="1:26">
      <c r="A183" s="595"/>
      <c r="B183" s="693"/>
      <c r="F183" s="595" t="e">
        <f>#REF!</f>
        <v>#REF!</v>
      </c>
      <c r="J183" s="610" t="e">
        <f>#REF!</f>
        <v>#REF!</v>
      </c>
      <c r="K183" s="694"/>
    </row>
    <row r="184" spans="1:26">
      <c r="A184" s="595"/>
      <c r="F184" s="595" t="e">
        <f>#REF!+#REF!+#REF!+#REF!</f>
        <v>#REF!</v>
      </c>
      <c r="J184" s="610" t="e">
        <f>#REF!+#REF!+#REF!+#REF!</f>
        <v>#REF!</v>
      </c>
      <c r="K184" s="694"/>
    </row>
    <row r="185" spans="1:26">
      <c r="A185" s="595"/>
      <c r="F185" s="1996" t="e">
        <f>SUM(J181:K184)</f>
        <v>#REF!</v>
      </c>
      <c r="G185" s="1996"/>
      <c r="H185" s="1996"/>
      <c r="I185" s="1996"/>
      <c r="J185" s="1996"/>
      <c r="K185" s="694"/>
      <c r="L185" s="598" t="e">
        <f>F185-#REF!</f>
        <v>#REF!</v>
      </c>
    </row>
    <row r="187" spans="1:26">
      <c r="A187" s="595"/>
      <c r="J187" s="2002" t="e">
        <f>+#REF!+#REF!+#REF!+#REF!+1000000</f>
        <v>#REF!</v>
      </c>
      <c r="K187" s="2002"/>
    </row>
    <row r="189" spans="1:26">
      <c r="A189" s="595"/>
      <c r="F189" s="599"/>
      <c r="G189" s="599"/>
      <c r="H189" s="599"/>
      <c r="I189" s="599"/>
      <c r="J189" s="610"/>
    </row>
    <row r="190" spans="1:26">
      <c r="A190" s="595"/>
      <c r="M190" s="599"/>
      <c r="N190" s="599"/>
    </row>
    <row r="194" spans="1:23">
      <c r="A194" s="595"/>
      <c r="F194" s="599">
        <v>2551.8899999999994</v>
      </c>
      <c r="G194" s="599"/>
      <c r="H194" s="599"/>
      <c r="I194" s="599"/>
    </row>
    <row r="195" spans="1:23">
      <c r="A195" s="595"/>
      <c r="B195" s="595"/>
      <c r="C195" s="595"/>
      <c r="E195" s="595"/>
      <c r="F195" s="599" t="e">
        <f>+F181-F194</f>
        <v>#REF!</v>
      </c>
      <c r="G195" s="599"/>
      <c r="H195" s="599"/>
      <c r="I195" s="599"/>
    </row>
    <row r="201" spans="1:23">
      <c r="A201" s="595"/>
      <c r="B201" s="595"/>
      <c r="C201" s="595"/>
      <c r="E201" s="595"/>
      <c r="K201" s="597">
        <v>1678</v>
      </c>
      <c r="L201" s="598">
        <v>1573</v>
      </c>
      <c r="M201" s="595">
        <v>1187</v>
      </c>
      <c r="O201" s="595">
        <v>1183</v>
      </c>
      <c r="W201" s="595">
        <f>SUM(K201:O201)</f>
        <v>5621</v>
      </c>
    </row>
    <row r="202" spans="1:23">
      <c r="A202" s="595"/>
      <c r="B202" s="595"/>
      <c r="C202" s="595"/>
      <c r="E202" s="595"/>
      <c r="K202" s="597">
        <v>257</v>
      </c>
      <c r="L202" s="598">
        <v>244</v>
      </c>
      <c r="M202" s="595">
        <v>183</v>
      </c>
      <c r="O202" s="595">
        <v>182</v>
      </c>
      <c r="W202" s="595">
        <f>SUM(K202:O202)</f>
        <v>866</v>
      </c>
    </row>
    <row r="203" spans="1:23">
      <c r="A203" s="595"/>
      <c r="B203" s="595"/>
      <c r="C203" s="595"/>
      <c r="E203" s="595"/>
      <c r="K203" s="597">
        <v>1935</v>
      </c>
      <c r="L203" s="598">
        <v>1817</v>
      </c>
      <c r="M203" s="595">
        <v>1370</v>
      </c>
      <c r="O203" s="595">
        <v>1365</v>
      </c>
      <c r="W203" s="595">
        <f>SUM(K203:O203)</f>
        <v>6487</v>
      </c>
    </row>
  </sheetData>
  <mergeCells count="35">
    <mergeCell ref="C12:E12"/>
    <mergeCell ref="Y14:Y16"/>
    <mergeCell ref="Z14:Z16"/>
    <mergeCell ref="X14:X16"/>
    <mergeCell ref="C13:D13"/>
    <mergeCell ref="X13:Y13"/>
    <mergeCell ref="A14:A16"/>
    <mergeCell ref="B14:B16"/>
    <mergeCell ref="C14:C16"/>
    <mergeCell ref="D14:D16"/>
    <mergeCell ref="E14:W14"/>
    <mergeCell ref="E15:F15"/>
    <mergeCell ref="M15:W15"/>
    <mergeCell ref="G15:L15"/>
    <mergeCell ref="A10:Z10"/>
    <mergeCell ref="A6:J6"/>
    <mergeCell ref="A2:Z2"/>
    <mergeCell ref="A3:Z3"/>
    <mergeCell ref="A4:Z4"/>
    <mergeCell ref="A7:J7"/>
    <mergeCell ref="F185:J185"/>
    <mergeCell ref="J187:K187"/>
    <mergeCell ref="M170:O170"/>
    <mergeCell ref="J180:K180"/>
    <mergeCell ref="T180:W180"/>
    <mergeCell ref="A105:D105"/>
    <mergeCell ref="A106:Z106"/>
    <mergeCell ref="E160:E163"/>
    <mergeCell ref="O107:Z107"/>
    <mergeCell ref="W120:Z120"/>
    <mergeCell ref="A120:E120"/>
    <mergeCell ref="W109:Z109"/>
    <mergeCell ref="C109:D109"/>
    <mergeCell ref="M109:Q109"/>
    <mergeCell ref="M120:Q120"/>
  </mergeCells>
  <printOptions horizontalCentered="1"/>
  <pageMargins left="0.196850393700787" right="0.196850393700787" top="0.23622047244094499" bottom="0.196850393700787" header="0.15748031496063" footer="0.196850393700787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2:AC146"/>
  <sheetViews>
    <sheetView topLeftCell="A9" zoomScale="55" zoomScaleNormal="55" zoomScaleSheetLayoutView="55" workbookViewId="0">
      <selection activeCell="A13" sqref="A13:XFD13"/>
    </sheetView>
  </sheetViews>
  <sheetFormatPr defaultColWidth="9.42578125" defaultRowHeight="23.25"/>
  <cols>
    <col min="1" max="1" width="7.28515625" style="591" customWidth="1"/>
    <col min="2" max="2" width="14.5703125" style="1816" customWidth="1"/>
    <col min="3" max="3" width="22.7109375" style="592" customWidth="1"/>
    <col min="4" max="4" width="29.85546875" style="595" customWidth="1"/>
    <col min="5" max="5" width="17.140625" style="692" customWidth="1"/>
    <col min="6" max="6" width="21.42578125" style="595" customWidth="1"/>
    <col min="7" max="7" width="19" style="595" customWidth="1"/>
    <col min="8" max="8" width="15.85546875" style="595" hidden="1" customWidth="1"/>
    <col min="9" max="9" width="19" style="595" customWidth="1"/>
    <col min="10" max="10" width="16" style="596" customWidth="1"/>
    <col min="11" max="11" width="12.5703125" style="597" customWidth="1"/>
    <col min="12" max="12" width="20.7109375" style="598" customWidth="1"/>
    <col min="13" max="13" width="17.5703125" style="595" customWidth="1"/>
    <col min="14" max="14" width="15.28515625" style="595" customWidth="1"/>
    <col min="15" max="18" width="16.7109375" style="595" hidden="1" customWidth="1"/>
    <col min="19" max="19" width="16.42578125" style="595" hidden="1" customWidth="1"/>
    <col min="20" max="20" width="16.42578125" style="595" customWidth="1"/>
    <col min="21" max="21" width="17.28515625" style="595" customWidth="1"/>
    <col min="22" max="22" width="17.28515625" style="595" hidden="1" customWidth="1"/>
    <col min="23" max="24" width="22.5703125" style="595" customWidth="1"/>
    <col min="25" max="25" width="16.28515625" style="595" hidden="1" customWidth="1"/>
    <col min="26" max="26" width="21.42578125" style="595" customWidth="1"/>
    <col min="27" max="27" width="25" style="595" hidden="1" customWidth="1"/>
    <col min="28" max="28" width="25.28515625" style="595" hidden="1" customWidth="1"/>
    <col min="29" max="29" width="13.85546875" style="595" hidden="1" customWidth="1"/>
    <col min="30" max="33" width="9.42578125" style="595"/>
    <col min="34" max="34" width="9.5703125" style="595" bestFit="1" customWidth="1"/>
    <col min="35" max="16384" width="9.42578125" style="595"/>
  </cols>
  <sheetData>
    <row r="2" spans="1:28">
      <c r="A2" s="2032" t="s">
        <v>90</v>
      </c>
      <c r="B2" s="2032"/>
      <c r="C2" s="2032"/>
      <c r="D2" s="2032"/>
      <c r="E2" s="2032"/>
      <c r="F2" s="2032"/>
      <c r="G2" s="2032"/>
      <c r="H2" s="2032"/>
      <c r="I2" s="2032"/>
      <c r="J2" s="2032"/>
      <c r="K2" s="2032"/>
      <c r="L2" s="2032"/>
      <c r="M2" s="2032"/>
      <c r="N2" s="2032"/>
      <c r="O2" s="2032"/>
      <c r="P2" s="2032"/>
      <c r="Q2" s="2032"/>
      <c r="R2" s="2032"/>
      <c r="S2" s="2032"/>
      <c r="T2" s="2032"/>
      <c r="U2" s="2032"/>
      <c r="V2" s="2032"/>
      <c r="W2" s="2032"/>
      <c r="X2" s="2032"/>
      <c r="Y2" s="2032"/>
      <c r="Z2" s="2032"/>
    </row>
    <row r="3" spans="1:28">
      <c r="A3" s="2032" t="s">
        <v>56</v>
      </c>
      <c r="B3" s="2032"/>
      <c r="C3" s="2032"/>
      <c r="D3" s="2032"/>
      <c r="E3" s="2032"/>
      <c r="F3" s="2032"/>
      <c r="G3" s="2032"/>
      <c r="H3" s="2032"/>
      <c r="I3" s="2032"/>
      <c r="J3" s="2032"/>
      <c r="K3" s="2032"/>
      <c r="L3" s="2032"/>
      <c r="M3" s="2032"/>
      <c r="N3" s="2032"/>
      <c r="O3" s="2032"/>
      <c r="P3" s="2032"/>
      <c r="Q3" s="2032"/>
      <c r="R3" s="2032"/>
      <c r="S3" s="2032"/>
      <c r="T3" s="2032"/>
      <c r="U3" s="2032"/>
      <c r="V3" s="2032"/>
      <c r="W3" s="2032"/>
      <c r="X3" s="2032"/>
      <c r="Y3" s="2032"/>
      <c r="Z3" s="2032"/>
    </row>
    <row r="4" spans="1:28" ht="26.25" customHeight="1">
      <c r="A4" s="2033" t="s">
        <v>604</v>
      </c>
      <c r="B4" s="2032"/>
      <c r="C4" s="2032"/>
      <c r="D4" s="2032"/>
      <c r="E4" s="2032"/>
      <c r="F4" s="2032"/>
      <c r="G4" s="2032"/>
      <c r="H4" s="2032"/>
      <c r="I4" s="2032"/>
      <c r="J4" s="2032"/>
      <c r="K4" s="2032"/>
      <c r="L4" s="2032"/>
      <c r="M4" s="2032"/>
      <c r="N4" s="2032"/>
      <c r="O4" s="2032"/>
      <c r="P4" s="2032"/>
      <c r="Q4" s="2032"/>
      <c r="R4" s="2032"/>
      <c r="S4" s="2032"/>
      <c r="T4" s="2032"/>
      <c r="U4" s="2032"/>
      <c r="V4" s="2032"/>
      <c r="W4" s="2032"/>
      <c r="X4" s="2032"/>
      <c r="Y4" s="2032"/>
      <c r="Z4" s="2032"/>
    </row>
    <row r="5" spans="1:28">
      <c r="A5" s="1822"/>
      <c r="B5" s="1822"/>
      <c r="C5" s="1822"/>
      <c r="D5" s="1822"/>
      <c r="E5" s="1822"/>
      <c r="F5" s="1822"/>
      <c r="G5" s="1822"/>
      <c r="H5" s="1822"/>
      <c r="I5" s="1822"/>
      <c r="J5" s="1822"/>
      <c r="K5" s="1822"/>
      <c r="L5" s="1822"/>
      <c r="M5" s="1822"/>
      <c r="N5" s="1822"/>
      <c r="O5" s="1822"/>
      <c r="P5" s="1822"/>
      <c r="Q5" s="1822"/>
      <c r="R5" s="1822"/>
      <c r="S5" s="1822"/>
      <c r="T5" s="1822"/>
      <c r="U5" s="1822"/>
      <c r="V5" s="1822"/>
      <c r="W5" s="1822"/>
      <c r="X5" s="1822"/>
      <c r="Y5" s="1822"/>
      <c r="Z5" s="1822"/>
    </row>
    <row r="6" spans="1:28" ht="24.75" customHeight="1">
      <c r="A6" s="2006" t="s">
        <v>5</v>
      </c>
      <c r="B6" s="2006"/>
      <c r="C6" s="2006"/>
      <c r="D6" s="2006"/>
      <c r="E6" s="2006"/>
      <c r="F6" s="2006"/>
      <c r="G6" s="2006"/>
      <c r="H6" s="2006"/>
      <c r="I6" s="2006"/>
      <c r="J6" s="2006"/>
      <c r="K6" s="672"/>
      <c r="L6" s="672"/>
      <c r="M6" s="672"/>
      <c r="N6" s="672"/>
      <c r="O6" s="672"/>
      <c r="P6" s="672"/>
      <c r="Q6" s="672"/>
      <c r="R6" s="672"/>
      <c r="S6" s="672"/>
      <c r="T6" s="672"/>
      <c r="U6" s="672"/>
      <c r="V6" s="672"/>
      <c r="W6" s="673"/>
      <c r="X6" s="673"/>
      <c r="Y6" s="673"/>
      <c r="Z6" s="673"/>
    </row>
    <row r="7" spans="1:28">
      <c r="A7" s="2000" t="s">
        <v>113</v>
      </c>
      <c r="B7" s="2000"/>
      <c r="C7" s="2000"/>
      <c r="D7" s="2000"/>
      <c r="E7" s="2000"/>
      <c r="F7" s="2000"/>
      <c r="G7" s="2000"/>
      <c r="H7" s="2000"/>
      <c r="I7" s="2000"/>
      <c r="J7" s="2000"/>
      <c r="K7" s="672"/>
      <c r="L7" s="672"/>
      <c r="M7" s="672"/>
      <c r="N7" s="672"/>
      <c r="O7" s="672"/>
      <c r="P7" s="672"/>
      <c r="Q7" s="672"/>
      <c r="R7" s="672"/>
      <c r="S7" s="672"/>
      <c r="T7" s="672"/>
      <c r="U7" s="672"/>
      <c r="V7" s="672"/>
      <c r="W7" s="673"/>
      <c r="X7" s="673"/>
      <c r="Y7" s="673"/>
      <c r="Z7" s="673"/>
    </row>
    <row r="8" spans="1:28">
      <c r="A8" s="1813"/>
      <c r="B8" s="1813"/>
      <c r="C8" s="1813"/>
      <c r="D8" s="1813"/>
      <c r="E8" s="1813"/>
      <c r="F8" s="695"/>
      <c r="G8" s="695"/>
      <c r="H8" s="695"/>
      <c r="I8" s="695"/>
      <c r="J8" s="672"/>
      <c r="K8" s="672"/>
      <c r="L8" s="672"/>
      <c r="M8" s="672"/>
      <c r="N8" s="672"/>
      <c r="O8" s="672"/>
      <c r="P8" s="672"/>
      <c r="Q8" s="672"/>
      <c r="R8" s="672"/>
      <c r="S8" s="672"/>
      <c r="T8" s="672"/>
      <c r="U8" s="672"/>
      <c r="V8" s="672"/>
      <c r="W8" s="673"/>
      <c r="X8" s="673"/>
      <c r="Y8" s="673"/>
      <c r="Z8" s="673"/>
    </row>
    <row r="9" spans="1:28">
      <c r="A9" s="1813"/>
      <c r="B9" s="1813"/>
      <c r="C9" s="1813"/>
      <c r="D9" s="1813"/>
      <c r="E9" s="1813"/>
      <c r="F9" s="695"/>
      <c r="G9" s="695"/>
      <c r="H9" s="695"/>
      <c r="I9" s="695"/>
      <c r="J9" s="672"/>
      <c r="K9" s="672"/>
      <c r="L9" s="672"/>
      <c r="M9" s="672"/>
      <c r="N9" s="672"/>
      <c r="O9" s="672"/>
      <c r="P9" s="672"/>
      <c r="Q9" s="672"/>
      <c r="R9" s="672"/>
      <c r="S9" s="672"/>
      <c r="T9" s="672"/>
      <c r="U9" s="672"/>
      <c r="V9" s="672"/>
      <c r="W9" s="673"/>
      <c r="X9" s="673"/>
      <c r="Y9" s="673"/>
      <c r="Z9" s="673"/>
    </row>
    <row r="10" spans="1:28" ht="30">
      <c r="A10" s="2010" t="s">
        <v>1148</v>
      </c>
      <c r="B10" s="2010"/>
      <c r="C10" s="2010"/>
      <c r="D10" s="2010"/>
      <c r="E10" s="2010"/>
      <c r="F10" s="2010"/>
      <c r="G10" s="2010"/>
      <c r="H10" s="2010"/>
      <c r="I10" s="2010"/>
      <c r="J10" s="2010"/>
      <c r="K10" s="2010"/>
      <c r="L10" s="2010"/>
      <c r="M10" s="2010"/>
      <c r="N10" s="2010"/>
      <c r="O10" s="2010"/>
      <c r="P10" s="2010"/>
      <c r="Q10" s="2010"/>
      <c r="R10" s="2010"/>
      <c r="S10" s="2010"/>
      <c r="T10" s="2010"/>
      <c r="U10" s="2010"/>
      <c r="V10" s="2010"/>
      <c r="W10" s="2010"/>
      <c r="X10" s="2010"/>
      <c r="Y10" s="2010"/>
      <c r="Z10" s="2010"/>
      <c r="AA10" s="1721" t="s">
        <v>50</v>
      </c>
      <c r="AB10" s="1722">
        <f>'BTH mủ tạp'!$AI$182</f>
        <v>0</v>
      </c>
    </row>
    <row r="11" spans="1:28" s="604" customFormat="1" ht="18" customHeight="1">
      <c r="A11" s="2000"/>
      <c r="B11" s="2000"/>
      <c r="C11" s="2000"/>
      <c r="D11" s="2000"/>
      <c r="E11" s="2000"/>
      <c r="F11" s="2000"/>
      <c r="G11" s="2000"/>
      <c r="H11" s="2000"/>
      <c r="I11" s="2000"/>
      <c r="J11" s="2000"/>
      <c r="K11" s="2000"/>
      <c r="L11" s="2000"/>
      <c r="M11" s="2000"/>
      <c r="N11" s="2000"/>
      <c r="O11" s="2000"/>
      <c r="P11" s="2000"/>
      <c r="Q11" s="2000"/>
      <c r="R11" s="2000"/>
      <c r="S11" s="2000"/>
      <c r="T11" s="2000"/>
      <c r="U11" s="2000"/>
      <c r="V11" s="2000"/>
      <c r="W11" s="2000"/>
      <c r="X11" s="2000"/>
      <c r="Y11" s="2000"/>
      <c r="Z11" s="2000"/>
      <c r="AA11" s="1721" t="s">
        <v>844</v>
      </c>
      <c r="AB11" s="1722">
        <f>'BTH mủ tạp'!$AK$182</f>
        <v>0</v>
      </c>
    </row>
    <row r="12" spans="1:28" s="604" customFormat="1" ht="36.75" customHeight="1">
      <c r="A12" s="601"/>
      <c r="B12" s="1813"/>
      <c r="C12" s="2030"/>
      <c r="D12" s="2030"/>
      <c r="E12" s="1037"/>
      <c r="F12" s="674"/>
      <c r="G12" s="674"/>
      <c r="H12" s="674"/>
      <c r="I12" s="674"/>
      <c r="J12" s="675"/>
      <c r="K12" s="1813"/>
      <c r="L12" s="1813"/>
      <c r="M12" s="1813"/>
      <c r="N12" s="1813"/>
      <c r="O12" s="1813"/>
      <c r="P12" s="1813"/>
      <c r="Q12" s="1813"/>
      <c r="R12" s="1813"/>
      <c r="S12" s="1813"/>
      <c r="T12" s="1813"/>
      <c r="U12" s="1813"/>
      <c r="V12" s="1813"/>
      <c r="W12" s="1813"/>
      <c r="X12" s="1813"/>
      <c r="Y12" s="1813"/>
      <c r="Z12" s="1813"/>
      <c r="AA12" s="1723" t="s">
        <v>845</v>
      </c>
      <c r="AB12" s="1724">
        <v>0.5</v>
      </c>
    </row>
    <row r="13" spans="1:28" ht="27" hidden="1" customHeight="1">
      <c r="A13" s="676"/>
      <c r="B13" s="1817"/>
      <c r="C13" s="2017" t="s">
        <v>613</v>
      </c>
      <c r="D13" s="2017"/>
      <c r="E13" s="1821">
        <f>'CNKT '!E11</f>
        <v>656</v>
      </c>
      <c r="F13" s="677"/>
      <c r="G13" s="677"/>
      <c r="H13" s="677"/>
      <c r="I13" s="677"/>
      <c r="J13" s="678"/>
      <c r="K13" s="679"/>
      <c r="L13" s="680"/>
      <c r="M13" s="681"/>
      <c r="N13" s="681"/>
      <c r="O13" s="681"/>
      <c r="P13" s="681"/>
      <c r="Q13" s="681"/>
      <c r="R13" s="681"/>
      <c r="S13" s="681"/>
      <c r="T13" s="681"/>
      <c r="U13" s="681"/>
      <c r="V13" s="681"/>
      <c r="W13" s="681"/>
      <c r="X13" s="2031" t="s">
        <v>840</v>
      </c>
      <c r="Y13" s="2031"/>
      <c r="Z13" s="1877" t="e">
        <f>AB11/AB10</f>
        <v>#DIV/0!</v>
      </c>
      <c r="AA13" s="1723" t="s">
        <v>846</v>
      </c>
      <c r="AB13" s="1724">
        <v>0.2</v>
      </c>
    </row>
    <row r="14" spans="1:28" s="1813" customFormat="1" ht="26.25" customHeight="1">
      <c r="A14" s="1998" t="s">
        <v>11</v>
      </c>
      <c r="B14" s="1998" t="s">
        <v>145</v>
      </c>
      <c r="C14" s="1999" t="s">
        <v>29</v>
      </c>
      <c r="D14" s="1998" t="s">
        <v>417</v>
      </c>
      <c r="E14" s="1995" t="s">
        <v>34</v>
      </c>
      <c r="F14" s="1995"/>
      <c r="G14" s="1995"/>
      <c r="H14" s="1995"/>
      <c r="I14" s="1995"/>
      <c r="J14" s="1995"/>
      <c r="K14" s="1995"/>
      <c r="L14" s="1995"/>
      <c r="M14" s="1995"/>
      <c r="N14" s="1995"/>
      <c r="O14" s="1995"/>
      <c r="P14" s="1995"/>
      <c r="Q14" s="1995"/>
      <c r="R14" s="1995"/>
      <c r="S14" s="1995"/>
      <c r="T14" s="1995"/>
      <c r="U14" s="1995"/>
      <c r="V14" s="1995"/>
      <c r="W14" s="1995"/>
      <c r="X14" s="2026" t="s">
        <v>754</v>
      </c>
      <c r="Y14" s="1997" t="s">
        <v>275</v>
      </c>
      <c r="Z14" s="1997" t="s">
        <v>752</v>
      </c>
    </row>
    <row r="15" spans="1:28" s="1813" customFormat="1" ht="52.5" customHeight="1">
      <c r="A15" s="1998"/>
      <c r="B15" s="1998"/>
      <c r="C15" s="1999"/>
      <c r="D15" s="1998"/>
      <c r="E15" s="2011" t="s">
        <v>751</v>
      </c>
      <c r="F15" s="2012"/>
      <c r="G15" s="2023" t="s">
        <v>37</v>
      </c>
      <c r="H15" s="2024"/>
      <c r="I15" s="2024"/>
      <c r="J15" s="2024"/>
      <c r="K15" s="2024"/>
      <c r="L15" s="2025"/>
      <c r="M15" s="1997" t="s">
        <v>38</v>
      </c>
      <c r="N15" s="1997"/>
      <c r="O15" s="1997"/>
      <c r="P15" s="1997"/>
      <c r="Q15" s="1997"/>
      <c r="R15" s="1997"/>
      <c r="S15" s="1997"/>
      <c r="T15" s="1997"/>
      <c r="U15" s="1997"/>
      <c r="V15" s="1997"/>
      <c r="W15" s="1997"/>
      <c r="X15" s="2027"/>
      <c r="Y15" s="1997"/>
      <c r="Z15" s="1997"/>
    </row>
    <row r="16" spans="1:28" s="1814" customFormat="1" ht="121.5" customHeight="1">
      <c r="A16" s="1998"/>
      <c r="B16" s="1998"/>
      <c r="C16" s="1999"/>
      <c r="D16" s="1998"/>
      <c r="E16" s="698" t="s">
        <v>115</v>
      </c>
      <c r="F16" s="1812" t="s">
        <v>40</v>
      </c>
      <c r="G16" s="1812" t="s">
        <v>749</v>
      </c>
      <c r="H16" s="1812" t="s">
        <v>837</v>
      </c>
      <c r="I16" s="1183" t="s">
        <v>847</v>
      </c>
      <c r="J16" s="1042" t="s">
        <v>838</v>
      </c>
      <c r="K16" s="1811" t="s">
        <v>41</v>
      </c>
      <c r="L16" s="1811" t="s">
        <v>42</v>
      </c>
      <c r="M16" s="1150" t="s">
        <v>880</v>
      </c>
      <c r="N16" s="1149" t="s">
        <v>927</v>
      </c>
      <c r="O16" s="1149" t="s">
        <v>928</v>
      </c>
      <c r="P16" s="1149" t="s">
        <v>929</v>
      </c>
      <c r="Q16" s="1149" t="s">
        <v>930</v>
      </c>
      <c r="R16" s="1149" t="s">
        <v>931</v>
      </c>
      <c r="S16" s="1275" t="s">
        <v>488</v>
      </c>
      <c r="T16" s="1493" t="s">
        <v>1015</v>
      </c>
      <c r="U16" s="1493" t="s">
        <v>1168</v>
      </c>
      <c r="V16" s="1493" t="s">
        <v>1015</v>
      </c>
      <c r="W16" s="1811" t="s">
        <v>32</v>
      </c>
      <c r="X16" s="2028"/>
      <c r="Y16" s="1997"/>
      <c r="Z16" s="1997"/>
    </row>
    <row r="17" spans="1:27" s="591" customFormat="1" ht="42.75" hidden="1" customHeight="1">
      <c r="A17" s="683">
        <v>1</v>
      </c>
      <c r="B17" s="696"/>
      <c r="C17" s="696" t="str">
        <f>TONGHOPCONGDOI!C185</f>
        <v>T.Son say A</v>
      </c>
      <c r="D17" s="696"/>
      <c r="E17" s="697">
        <f>VLOOKUP(C17,TONGHOPCONGDOI!C185:Q248,15,0)</f>
        <v>0</v>
      </c>
      <c r="F17" s="696">
        <f>E17*25000</f>
        <v>0</v>
      </c>
      <c r="G17" s="696">
        <f>VLOOKUP(C17,TONGHOPCONGDOI!C185:AD248,16,0)</f>
        <v>0</v>
      </c>
      <c r="H17" s="696">
        <f>VLOOKUP(C17,TONGHOPCONGDOI!C185:AD248,17,0)</f>
        <v>0</v>
      </c>
      <c r="I17" s="696"/>
      <c r="J17" s="1556" t="e">
        <f>$AB$11/$AB$10*G17+H17*$AB$12+I17*$AB$13</f>
        <v>#DIV/0!</v>
      </c>
      <c r="K17" s="683" t="str">
        <f>VLOOKUP(C17,'BTH mủ tạp'!C183:AL244,36,0)</f>
        <v>B</v>
      </c>
      <c r="L17" s="1185" t="e">
        <f>ROUND((IF(K17="A",(G17*$Z$13*6.1),IF(K17="B",(G17*$Z$13*5.8),IF(K17="C",(G17*$Z$13*5.5),IF(K17="D",(G17*$Z$13*5.2),0))))*$E$13+(H17*$AB$12*$E$13*6.1)+I17*$E$13*$AB$13*6.1),0)</f>
        <v>#DIV/0!</v>
      </c>
      <c r="M17" s="696">
        <f>VLOOKUP(C17,TONGHOPCONGDOI!$C$185:$AD$248,20,0)</f>
        <v>0</v>
      </c>
      <c r="N17" s="696">
        <f>VLOOKUP(C17,TONGHOPCONGDOI!$C$185:$AD$248,21,0)</f>
        <v>0</v>
      </c>
      <c r="O17" s="696">
        <f>VLOOKUP(C17,TONGHOPCONGDOI!$C$185:$AD$248,22,0)</f>
        <v>0</v>
      </c>
      <c r="P17" s="696">
        <f>VLOOKUP(C17,TONGHOPCONGDOI!$C$185:$AD$248,23,0)</f>
        <v>0</v>
      </c>
      <c r="Q17" s="696">
        <f>VLOOKUP(C17,TONGHOPCONGDOI!$C$185:$AD$248,24,0)</f>
        <v>0</v>
      </c>
      <c r="R17" s="696">
        <f>VLOOKUP(C17,TONGHOPCONGDOI!$C$185:$AD$248,25,0)</f>
        <v>0</v>
      </c>
      <c r="S17" s="696"/>
      <c r="T17" s="685">
        <f>SUM(M17:S17)</f>
        <v>0</v>
      </c>
      <c r="U17" s="685">
        <f>SUM(M17:R17)</f>
        <v>0</v>
      </c>
      <c r="V17" s="685"/>
      <c r="W17" s="1725">
        <f>ROUND(((M17*46.1)+(N17*76.9)+(O17*92.2)+(P17*153.8)+(Q17*92.2)+(R17*153.8))*$E$13+(S17*20000)+(T17*10000)+(U17*30000),0)</f>
        <v>0</v>
      </c>
      <c r="X17" s="696" t="e">
        <f t="shared" ref="X17:X48" si="0">F17+L17+W17</f>
        <v>#DIV/0!</v>
      </c>
      <c r="Y17" s="696"/>
      <c r="Z17" s="696">
        <f>VLOOKUP(C17,'CNKT '!$C$190:$Z$253,24,0)</f>
        <v>0</v>
      </c>
      <c r="AA17" s="591" t="e">
        <f>X17-Z17</f>
        <v>#DIV/0!</v>
      </c>
    </row>
    <row r="18" spans="1:27" s="591" customFormat="1" ht="42.75" hidden="1" customHeight="1">
      <c r="A18" s="683">
        <v>2</v>
      </c>
      <c r="B18" s="696" t="str">
        <f>'Chấm công KT'!D93</f>
        <v>02735</v>
      </c>
      <c r="C18" s="696" t="str">
        <f>TONGHOPCONGDOI!C186</f>
        <v>N. Keo</v>
      </c>
      <c r="D18" s="696"/>
      <c r="E18" s="697">
        <f>VLOOKUP(C18,TONGHOPCONGDOI!C186:Q250,15,0)</f>
        <v>0</v>
      </c>
      <c r="F18" s="696">
        <f t="shared" ref="F18:F78" si="1">E18*25000</f>
        <v>0</v>
      </c>
      <c r="G18" s="696">
        <f>VLOOKUP(C18,TONGHOPCONGDOI!C186:AD250,16,0)</f>
        <v>0</v>
      </c>
      <c r="H18" s="696">
        <f>VLOOKUP(C18,TONGHOPCONGDOI!C186:AD250,17,0)</f>
        <v>0</v>
      </c>
      <c r="I18" s="696"/>
      <c r="J18" s="1556" t="e">
        <f>$AB$11/$AB$10*G18+H18*$AB$12+I18*$AB$13</f>
        <v>#DIV/0!</v>
      </c>
      <c r="K18" s="683" t="str">
        <f>VLOOKUP(C18,'BTH mủ tạp'!C184:AL245,36,0)</f>
        <v>B</v>
      </c>
      <c r="L18" s="1185" t="e">
        <f t="shared" ref="L18:L78" si="2">ROUND((IF(K18="A",(G18*$Z$13*6.1),IF(K18="B",(G18*$Z$13*5.8),IF(K18="C",(G18*$Z$13*5.5),IF(K18="D",(G18*$Z$13*5.2),0))))*$E$13+(H18*$AB$12*$E$13*6.1)+I18*$E$13*$AB$13*6.1),0)</f>
        <v>#DIV/0!</v>
      </c>
      <c r="M18" s="696">
        <f>VLOOKUP(C18,TONGHOPCONGDOI!$C$185:$AD$248,20,0)</f>
        <v>0</v>
      </c>
      <c r="N18" s="696">
        <f>VLOOKUP(C18,TONGHOPCONGDOI!$C$185:$AD$248,21,0)</f>
        <v>0</v>
      </c>
      <c r="O18" s="696">
        <f>VLOOKUP(C18,TONGHOPCONGDOI!$C$185:$AD$248,22,0)</f>
        <v>0</v>
      </c>
      <c r="P18" s="696">
        <f>VLOOKUP(C18,TONGHOPCONGDOI!$C$185:$AD$248,23,0)</f>
        <v>0</v>
      </c>
      <c r="Q18" s="696">
        <f>VLOOKUP(C18,TONGHOPCONGDOI!$C$185:$AD$248,24,0)</f>
        <v>0</v>
      </c>
      <c r="R18" s="696">
        <f>VLOOKUP(C18,TONGHOPCONGDOI!$C$185:$AD$248,25,0)</f>
        <v>0</v>
      </c>
      <c r="S18" s="696"/>
      <c r="T18" s="685">
        <f t="shared" ref="T18:T81" si="3">SUM(M18:S18)</f>
        <v>0</v>
      </c>
      <c r="U18" s="685">
        <f t="shared" ref="U18:U80" si="4">SUM(M18:R18)</f>
        <v>0</v>
      </c>
      <c r="V18" s="685"/>
      <c r="W18" s="1725">
        <f>ROUND(((M18*46.1)+(N18*76.9)+(O18*92.2)+(P18*153.8)+(Q18*92.2)+(R18*153.8))*$E$13+(S18*20000)+(T18*10000)+(U18*30000),0)</f>
        <v>0</v>
      </c>
      <c r="X18" s="696" t="e">
        <f t="shared" si="0"/>
        <v>#DIV/0!</v>
      </c>
      <c r="Y18" s="696"/>
      <c r="Z18" s="696">
        <f>VLOOKUP(C18,'CNKT '!$C$190:$Z$253,24,0)</f>
        <v>0</v>
      </c>
      <c r="AA18" s="591" t="e">
        <f t="shared" ref="AA18:AA82" si="5">X18-Z18</f>
        <v>#DIV/0!</v>
      </c>
    </row>
    <row r="19" spans="1:27" s="591" customFormat="1" ht="42.75" hidden="1" customHeight="1">
      <c r="A19" s="683">
        <v>3</v>
      </c>
      <c r="B19" s="696" t="str">
        <f>'Chấm công KT'!D94</f>
        <v>03518</v>
      </c>
      <c r="C19" s="696" t="str">
        <f>TONGHOPCONGDOI!C187</f>
        <v>T .Nhum</v>
      </c>
      <c r="D19" s="696"/>
      <c r="E19" s="697">
        <f>VLOOKUP(C19,TONGHOPCONGDOI!C187:Q251,15,0)</f>
        <v>0</v>
      </c>
      <c r="F19" s="696">
        <f t="shared" si="1"/>
        <v>0</v>
      </c>
      <c r="G19" s="696">
        <f>VLOOKUP(C19,TONGHOPCONGDOI!C187:AD251,16,0)</f>
        <v>0</v>
      </c>
      <c r="H19" s="696">
        <f>VLOOKUP(C19,TONGHOPCONGDOI!C187:AD251,17,0)</f>
        <v>0</v>
      </c>
      <c r="I19" s="696"/>
      <c r="J19" s="1556" t="e">
        <f t="shared" ref="J19:J77" si="6">$AB$11/$AB$10*G19+H19*$AB$12+I19*$AB$13</f>
        <v>#DIV/0!</v>
      </c>
      <c r="K19" s="683" t="str">
        <f>VLOOKUP(C19,'BTH mủ tạp'!C185:AL246,36,0)</f>
        <v>B</v>
      </c>
      <c r="L19" s="1185" t="e">
        <f t="shared" si="2"/>
        <v>#DIV/0!</v>
      </c>
      <c r="M19" s="696">
        <f>VLOOKUP(C19,TONGHOPCONGDOI!$C$185:$AD$248,20,0)</f>
        <v>0</v>
      </c>
      <c r="N19" s="696">
        <f>VLOOKUP(C19,TONGHOPCONGDOI!$C$185:$AD$248,21,0)</f>
        <v>0</v>
      </c>
      <c r="O19" s="696">
        <f>VLOOKUP(C19,TONGHOPCONGDOI!$C$185:$AD$248,22,0)</f>
        <v>0</v>
      </c>
      <c r="P19" s="696">
        <f>VLOOKUP(C19,TONGHOPCONGDOI!$C$185:$AD$248,23,0)</f>
        <v>0</v>
      </c>
      <c r="Q19" s="696">
        <f>VLOOKUP(C19,TONGHOPCONGDOI!$C$185:$AD$248,24,0)</f>
        <v>0</v>
      </c>
      <c r="R19" s="696">
        <f>VLOOKUP(C19,TONGHOPCONGDOI!$C$185:$AD$248,25,0)</f>
        <v>0</v>
      </c>
      <c r="S19" s="696"/>
      <c r="T19" s="685">
        <f t="shared" si="3"/>
        <v>0</v>
      </c>
      <c r="U19" s="685">
        <f t="shared" si="4"/>
        <v>0</v>
      </c>
      <c r="V19" s="685"/>
      <c r="W19" s="1725">
        <f t="shared" ref="W19:W80" si="7">ROUND(((M19*46.1)+(N19*76.9)+(O19*92.2)+(P19*153.8)+(Q19*92.2)+(R19*153.8))*$E$13+(S19*20000)+(T19*10000)+(U19*30000),0)</f>
        <v>0</v>
      </c>
      <c r="X19" s="696" t="e">
        <f t="shared" si="0"/>
        <v>#DIV/0!</v>
      </c>
      <c r="Y19" s="696"/>
      <c r="Z19" s="696">
        <f>VLOOKUP(C19,'CNKT '!$C$190:$Z$253,24,0)</f>
        <v>0</v>
      </c>
      <c r="AA19" s="591" t="e">
        <f t="shared" si="5"/>
        <v>#DIV/0!</v>
      </c>
    </row>
    <row r="20" spans="1:27" s="591" customFormat="1" ht="42.75" hidden="1" customHeight="1">
      <c r="A20" s="683">
        <v>4</v>
      </c>
      <c r="B20" s="696" t="str">
        <f>'Chấm công KT'!D95</f>
        <v>03519</v>
      </c>
      <c r="C20" s="696" t="str">
        <f>TONGHOPCONGDOI!C188</f>
        <v>N.Vông Ma Ni</v>
      </c>
      <c r="D20" s="696"/>
      <c r="E20" s="697">
        <f>VLOOKUP(C20,TONGHOPCONGDOI!C188:Q252,15,0)</f>
        <v>0</v>
      </c>
      <c r="F20" s="696">
        <f t="shared" si="1"/>
        <v>0</v>
      </c>
      <c r="G20" s="696">
        <f>VLOOKUP(C20,TONGHOPCONGDOI!C188:AD252,16,0)</f>
        <v>0</v>
      </c>
      <c r="H20" s="696">
        <f>VLOOKUP(C20,TONGHOPCONGDOI!C188:AD252,17,0)</f>
        <v>0</v>
      </c>
      <c r="I20" s="696"/>
      <c r="J20" s="1556" t="e">
        <f t="shared" si="6"/>
        <v>#DIV/0!</v>
      </c>
      <c r="K20" s="683" t="str">
        <f>VLOOKUP(C20,'BTH mủ tạp'!C186:AL247,36,0)</f>
        <v>A</v>
      </c>
      <c r="L20" s="1185" t="e">
        <f t="shared" si="2"/>
        <v>#DIV/0!</v>
      </c>
      <c r="M20" s="696">
        <f>VLOOKUP(C20,TONGHOPCONGDOI!$C$185:$AD$248,20,0)</f>
        <v>0</v>
      </c>
      <c r="N20" s="696">
        <f>VLOOKUP(C20,TONGHOPCONGDOI!$C$185:$AD$248,21,0)</f>
        <v>0</v>
      </c>
      <c r="O20" s="696">
        <f>VLOOKUP(C20,TONGHOPCONGDOI!$C$185:$AD$248,22,0)</f>
        <v>0</v>
      </c>
      <c r="P20" s="696">
        <f>VLOOKUP(C20,TONGHOPCONGDOI!$C$185:$AD$248,23,0)</f>
        <v>0</v>
      </c>
      <c r="Q20" s="696">
        <f>VLOOKUP(C20,TONGHOPCONGDOI!$C$185:$AD$248,24,0)</f>
        <v>0</v>
      </c>
      <c r="R20" s="696">
        <f>VLOOKUP(C20,TONGHOPCONGDOI!$C$185:$AD$248,25,0)</f>
        <v>0</v>
      </c>
      <c r="S20" s="696"/>
      <c r="T20" s="685">
        <f t="shared" si="3"/>
        <v>0</v>
      </c>
      <c r="U20" s="685">
        <f t="shared" si="4"/>
        <v>0</v>
      </c>
      <c r="V20" s="685"/>
      <c r="W20" s="1725">
        <f t="shared" si="7"/>
        <v>0</v>
      </c>
      <c r="X20" s="696" t="e">
        <f t="shared" si="0"/>
        <v>#DIV/0!</v>
      </c>
      <c r="Y20" s="696"/>
      <c r="Z20" s="696">
        <f>VLOOKUP(C20,'CNKT '!$C$190:$Z$253,24,0)</f>
        <v>0</v>
      </c>
      <c r="AA20" s="591" t="e">
        <f t="shared" si="5"/>
        <v>#DIV/0!</v>
      </c>
    </row>
    <row r="21" spans="1:27" s="591" customFormat="1" ht="42.75" hidden="1" customHeight="1">
      <c r="A21" s="683">
        <v>5</v>
      </c>
      <c r="B21" s="696" t="str">
        <f>'Chấm công KT'!D96</f>
        <v>03520</v>
      </c>
      <c r="C21" s="696" t="str">
        <f>TONGHOPCONGDOI!C189</f>
        <v>Đao Hương</v>
      </c>
      <c r="D21" s="696"/>
      <c r="E21" s="697">
        <f>VLOOKUP(C21,TONGHOPCONGDOI!C189:Q253,15,0)</f>
        <v>0</v>
      </c>
      <c r="F21" s="696">
        <f t="shared" si="1"/>
        <v>0</v>
      </c>
      <c r="G21" s="696">
        <f>VLOOKUP(C21,TONGHOPCONGDOI!C189:AD253,16,0)</f>
        <v>0</v>
      </c>
      <c r="H21" s="696">
        <f>VLOOKUP(C21,TONGHOPCONGDOI!C189:AD253,17,0)</f>
        <v>0</v>
      </c>
      <c r="I21" s="696"/>
      <c r="J21" s="1556" t="e">
        <f t="shared" si="6"/>
        <v>#DIV/0!</v>
      </c>
      <c r="K21" s="683" t="str">
        <f>VLOOKUP(C21,'BTH mủ tạp'!C187:AL248,36,0)</f>
        <v>A</v>
      </c>
      <c r="L21" s="1185" t="e">
        <f t="shared" si="2"/>
        <v>#DIV/0!</v>
      </c>
      <c r="M21" s="696">
        <f>VLOOKUP(C21,TONGHOPCONGDOI!$C$185:$AD$248,20,0)</f>
        <v>0</v>
      </c>
      <c r="N21" s="696">
        <f>VLOOKUP(C21,TONGHOPCONGDOI!$C$185:$AD$248,21,0)</f>
        <v>0</v>
      </c>
      <c r="O21" s="696">
        <f>VLOOKUP(C21,TONGHOPCONGDOI!$C$185:$AD$248,22,0)</f>
        <v>0</v>
      </c>
      <c r="P21" s="696">
        <f>VLOOKUP(C21,TONGHOPCONGDOI!$C$185:$AD$248,23,0)</f>
        <v>0</v>
      </c>
      <c r="Q21" s="696">
        <f>VLOOKUP(C21,TONGHOPCONGDOI!$C$185:$AD$248,24,0)</f>
        <v>0</v>
      </c>
      <c r="R21" s="696">
        <f>VLOOKUP(C21,TONGHOPCONGDOI!$C$185:$AD$248,25,0)</f>
        <v>0</v>
      </c>
      <c r="S21" s="696"/>
      <c r="T21" s="685">
        <f t="shared" si="3"/>
        <v>0</v>
      </c>
      <c r="U21" s="685">
        <f t="shared" si="4"/>
        <v>0</v>
      </c>
      <c r="V21" s="685"/>
      <c r="W21" s="1725">
        <f t="shared" si="7"/>
        <v>0</v>
      </c>
      <c r="X21" s="696" t="e">
        <f t="shared" si="0"/>
        <v>#DIV/0!</v>
      </c>
      <c r="Y21" s="696"/>
      <c r="Z21" s="696">
        <f>VLOOKUP(C21,'CNKT '!$C$190:$Z$253,24,0)</f>
        <v>0</v>
      </c>
      <c r="AA21" s="591" t="e">
        <f t="shared" si="5"/>
        <v>#DIV/0!</v>
      </c>
    </row>
    <row r="22" spans="1:27" s="591" customFormat="1" ht="42.75" hidden="1" customHeight="1">
      <c r="A22" s="683">
        <v>6</v>
      </c>
      <c r="B22" s="696" t="str">
        <f>'Chấm công KT'!D97</f>
        <v>03521</v>
      </c>
      <c r="C22" s="696" t="str">
        <f>TONGHOPCONGDOI!C190</f>
        <v>T. Xi Nun</v>
      </c>
      <c r="D22" s="696"/>
      <c r="E22" s="697">
        <f>VLOOKUP(C22,TONGHOPCONGDOI!C190:Q254,15,0)</f>
        <v>0</v>
      </c>
      <c r="F22" s="696">
        <f t="shared" si="1"/>
        <v>0</v>
      </c>
      <c r="G22" s="696">
        <f>VLOOKUP(C22,TONGHOPCONGDOI!C190:AD254,16,0)</f>
        <v>0</v>
      </c>
      <c r="H22" s="696">
        <f>VLOOKUP(C22,TONGHOPCONGDOI!C190:AD254,17,0)</f>
        <v>0</v>
      </c>
      <c r="I22" s="696"/>
      <c r="J22" s="1556" t="e">
        <f t="shared" si="6"/>
        <v>#DIV/0!</v>
      </c>
      <c r="K22" s="683" t="str">
        <f>VLOOKUP(C22,'BTH mủ tạp'!C188:AL249,36,0)</f>
        <v>A</v>
      </c>
      <c r="L22" s="1185" t="e">
        <f t="shared" si="2"/>
        <v>#DIV/0!</v>
      </c>
      <c r="M22" s="696">
        <f>VLOOKUP(C22,TONGHOPCONGDOI!$C$185:$AD$248,20,0)</f>
        <v>0</v>
      </c>
      <c r="N22" s="696">
        <f>VLOOKUP(C22,TONGHOPCONGDOI!$C$185:$AD$248,21,0)</f>
        <v>0</v>
      </c>
      <c r="O22" s="696">
        <f>VLOOKUP(C22,TONGHOPCONGDOI!$C$185:$AD$248,22,0)</f>
        <v>0</v>
      </c>
      <c r="P22" s="696">
        <f>VLOOKUP(C22,TONGHOPCONGDOI!$C$185:$AD$248,23,0)</f>
        <v>0</v>
      </c>
      <c r="Q22" s="696">
        <f>VLOOKUP(C22,TONGHOPCONGDOI!$C$185:$AD$248,24,0)</f>
        <v>0</v>
      </c>
      <c r="R22" s="696">
        <f>VLOOKUP(C22,TONGHOPCONGDOI!$C$185:$AD$248,25,0)</f>
        <v>0</v>
      </c>
      <c r="S22" s="696"/>
      <c r="T22" s="685">
        <f t="shared" si="3"/>
        <v>0</v>
      </c>
      <c r="U22" s="685">
        <f t="shared" si="4"/>
        <v>0</v>
      </c>
      <c r="V22" s="685"/>
      <c r="W22" s="1725">
        <f t="shared" si="7"/>
        <v>0</v>
      </c>
      <c r="X22" s="696" t="e">
        <f t="shared" si="0"/>
        <v>#DIV/0!</v>
      </c>
      <c r="Y22" s="696"/>
      <c r="Z22" s="696">
        <f>VLOOKUP(C22,'CNKT '!$C$190:$Z$253,24,0)</f>
        <v>0</v>
      </c>
      <c r="AA22" s="591" t="e">
        <f t="shared" si="5"/>
        <v>#DIV/0!</v>
      </c>
    </row>
    <row r="23" spans="1:27" s="591" customFormat="1" ht="42.75" hidden="1" customHeight="1">
      <c r="A23" s="683">
        <v>7</v>
      </c>
      <c r="B23" s="696" t="str">
        <f>'Chấm công KT'!D98</f>
        <v>03522</v>
      </c>
      <c r="C23" s="696" t="str">
        <f>TONGHOPCONGDOI!C191</f>
        <v>T. Bun Hinh</v>
      </c>
      <c r="D23" s="696"/>
      <c r="E23" s="697">
        <f>VLOOKUP(C23,TONGHOPCONGDOI!C191:Q255,15,0)</f>
        <v>0</v>
      </c>
      <c r="F23" s="696">
        <f t="shared" si="1"/>
        <v>0</v>
      </c>
      <c r="G23" s="696">
        <f>VLOOKUP(C23,TONGHOPCONGDOI!C191:AD255,16,0)</f>
        <v>0</v>
      </c>
      <c r="H23" s="696">
        <f>VLOOKUP(C23,TONGHOPCONGDOI!C191:AD255,17,0)</f>
        <v>0</v>
      </c>
      <c r="I23" s="696"/>
      <c r="J23" s="1556" t="e">
        <f t="shared" si="6"/>
        <v>#DIV/0!</v>
      </c>
      <c r="K23" s="683" t="str">
        <f>VLOOKUP(C23,'BTH mủ tạp'!C189:AL250,36,0)</f>
        <v>A</v>
      </c>
      <c r="L23" s="1185" t="e">
        <f t="shared" si="2"/>
        <v>#DIV/0!</v>
      </c>
      <c r="M23" s="696">
        <f>VLOOKUP(C23,TONGHOPCONGDOI!$C$185:$AD$248,20,0)</f>
        <v>0</v>
      </c>
      <c r="N23" s="696">
        <f>VLOOKUP(C23,TONGHOPCONGDOI!$C$185:$AD$248,21,0)</f>
        <v>0</v>
      </c>
      <c r="O23" s="696">
        <f>VLOOKUP(C23,TONGHOPCONGDOI!$C$185:$AD$248,22,0)</f>
        <v>0</v>
      </c>
      <c r="P23" s="696">
        <f>VLOOKUP(C23,TONGHOPCONGDOI!$C$185:$AD$248,23,0)</f>
        <v>0</v>
      </c>
      <c r="Q23" s="696">
        <f>VLOOKUP(C23,TONGHOPCONGDOI!$C$185:$AD$248,24,0)</f>
        <v>0</v>
      </c>
      <c r="R23" s="696">
        <f>VLOOKUP(C23,TONGHOPCONGDOI!$C$185:$AD$248,25,0)</f>
        <v>0</v>
      </c>
      <c r="S23" s="696"/>
      <c r="T23" s="685">
        <f t="shared" si="3"/>
        <v>0</v>
      </c>
      <c r="U23" s="685">
        <f t="shared" si="4"/>
        <v>0</v>
      </c>
      <c r="V23" s="685"/>
      <c r="W23" s="1725">
        <f t="shared" si="7"/>
        <v>0</v>
      </c>
      <c r="X23" s="696" t="e">
        <f t="shared" si="0"/>
        <v>#DIV/0!</v>
      </c>
      <c r="Y23" s="696"/>
      <c r="Z23" s="696">
        <f>VLOOKUP(C23,'CNKT '!$C$190:$Z$253,24,0)</f>
        <v>0</v>
      </c>
      <c r="AA23" s="591" t="e">
        <f t="shared" si="5"/>
        <v>#DIV/0!</v>
      </c>
    </row>
    <row r="24" spans="1:27" s="591" customFormat="1" ht="42.75" hidden="1" customHeight="1">
      <c r="A24" s="683">
        <v>8</v>
      </c>
      <c r="B24" s="696" t="str">
        <f>'Chấm công KT'!D99</f>
        <v>03523</v>
      </c>
      <c r="C24" s="696" t="str">
        <f>TONGHOPCONGDOI!C192</f>
        <v>N. Lăm</v>
      </c>
      <c r="D24" s="696"/>
      <c r="E24" s="697">
        <f>VLOOKUP(C24,TONGHOPCONGDOI!C192:Q256,15,0)</f>
        <v>0</v>
      </c>
      <c r="F24" s="696">
        <f t="shared" si="1"/>
        <v>0</v>
      </c>
      <c r="G24" s="696">
        <f>VLOOKUP(C24,TONGHOPCONGDOI!C192:AD256,16,0)</f>
        <v>0</v>
      </c>
      <c r="H24" s="696">
        <f>VLOOKUP(C24,TONGHOPCONGDOI!C192:AD256,17,0)</f>
        <v>0</v>
      </c>
      <c r="I24" s="696"/>
      <c r="J24" s="1556" t="e">
        <f t="shared" si="6"/>
        <v>#DIV/0!</v>
      </c>
      <c r="K24" s="683" t="str">
        <f>VLOOKUP(C24,'BTH mủ tạp'!C190:AL251,36,0)</f>
        <v>A</v>
      </c>
      <c r="L24" s="1185" t="e">
        <f t="shared" si="2"/>
        <v>#DIV/0!</v>
      </c>
      <c r="M24" s="696">
        <f>VLOOKUP(C24,TONGHOPCONGDOI!$C$185:$AD$248,20,0)</f>
        <v>0</v>
      </c>
      <c r="N24" s="696">
        <f>VLOOKUP(C24,TONGHOPCONGDOI!$C$185:$AD$248,21,0)</f>
        <v>0</v>
      </c>
      <c r="O24" s="696">
        <f>VLOOKUP(C24,TONGHOPCONGDOI!$C$185:$AD$248,22,0)</f>
        <v>0</v>
      </c>
      <c r="P24" s="696">
        <f>VLOOKUP(C24,TONGHOPCONGDOI!$C$185:$AD$248,23,0)</f>
        <v>0</v>
      </c>
      <c r="Q24" s="696">
        <f>VLOOKUP(C24,TONGHOPCONGDOI!$C$185:$AD$248,24,0)</f>
        <v>0</v>
      </c>
      <c r="R24" s="696">
        <f>VLOOKUP(C24,TONGHOPCONGDOI!$C$185:$AD$248,25,0)</f>
        <v>0</v>
      </c>
      <c r="S24" s="696"/>
      <c r="T24" s="685">
        <f t="shared" si="3"/>
        <v>0</v>
      </c>
      <c r="U24" s="685">
        <f t="shared" si="4"/>
        <v>0</v>
      </c>
      <c r="V24" s="685"/>
      <c r="W24" s="1725">
        <f t="shared" si="7"/>
        <v>0</v>
      </c>
      <c r="X24" s="696" t="e">
        <f t="shared" si="0"/>
        <v>#DIV/0!</v>
      </c>
      <c r="Y24" s="696"/>
      <c r="Z24" s="696">
        <f>VLOOKUP(C24,'CNKT '!$C$190:$Z$253,24,0)</f>
        <v>0</v>
      </c>
      <c r="AA24" s="591" t="e">
        <f t="shared" si="5"/>
        <v>#DIV/0!</v>
      </c>
    </row>
    <row r="25" spans="1:27" s="591" customFormat="1" ht="42.75" hidden="1" customHeight="1">
      <c r="A25" s="683">
        <v>9</v>
      </c>
      <c r="B25" s="696" t="str">
        <f>'Chấm công KT'!D100</f>
        <v>02739</v>
      </c>
      <c r="C25" s="696" t="str">
        <f>TONGHOPCONGDOI!C193</f>
        <v>N. Xúc</v>
      </c>
      <c r="D25" s="696"/>
      <c r="E25" s="697">
        <f>VLOOKUP(C25,TONGHOPCONGDOI!C193:Q257,15,0)</f>
        <v>0</v>
      </c>
      <c r="F25" s="696">
        <f t="shared" si="1"/>
        <v>0</v>
      </c>
      <c r="G25" s="696">
        <f>VLOOKUP(C25,TONGHOPCONGDOI!C193:AD257,16,0)</f>
        <v>0</v>
      </c>
      <c r="H25" s="696">
        <f>VLOOKUP(C25,TONGHOPCONGDOI!C193:AD257,17,0)</f>
        <v>0</v>
      </c>
      <c r="I25" s="696"/>
      <c r="J25" s="1556" t="e">
        <f t="shared" si="6"/>
        <v>#DIV/0!</v>
      </c>
      <c r="K25" s="683" t="str">
        <f>VLOOKUP(C25,'BTH mủ tạp'!C191:AL252,36,0)</f>
        <v>A</v>
      </c>
      <c r="L25" s="1185" t="e">
        <f t="shared" si="2"/>
        <v>#DIV/0!</v>
      </c>
      <c r="M25" s="696">
        <f>VLOOKUP(C25,TONGHOPCONGDOI!$C$185:$AD$248,20,0)</f>
        <v>0</v>
      </c>
      <c r="N25" s="696">
        <f>VLOOKUP(C25,TONGHOPCONGDOI!$C$185:$AD$248,21,0)</f>
        <v>0</v>
      </c>
      <c r="O25" s="696">
        <f>VLOOKUP(C25,TONGHOPCONGDOI!$C$185:$AD$248,22,0)</f>
        <v>0</v>
      </c>
      <c r="P25" s="696">
        <f>VLOOKUP(C25,TONGHOPCONGDOI!$C$185:$AD$248,23,0)</f>
        <v>0</v>
      </c>
      <c r="Q25" s="696">
        <f>VLOOKUP(C25,TONGHOPCONGDOI!$C$185:$AD$248,24,0)</f>
        <v>0</v>
      </c>
      <c r="R25" s="696">
        <f>VLOOKUP(C25,TONGHOPCONGDOI!$C$185:$AD$248,25,0)</f>
        <v>0</v>
      </c>
      <c r="S25" s="696"/>
      <c r="T25" s="685">
        <f t="shared" si="3"/>
        <v>0</v>
      </c>
      <c r="U25" s="685">
        <f t="shared" si="4"/>
        <v>0</v>
      </c>
      <c r="V25" s="685"/>
      <c r="W25" s="1725">
        <f t="shared" si="7"/>
        <v>0</v>
      </c>
      <c r="X25" s="696" t="e">
        <f t="shared" si="0"/>
        <v>#DIV/0!</v>
      </c>
      <c r="Y25" s="696"/>
      <c r="Z25" s="696">
        <f>VLOOKUP(C25,'CNKT '!$C$190:$Z$253,24,0)</f>
        <v>0</v>
      </c>
      <c r="AA25" s="591" t="e">
        <f t="shared" si="5"/>
        <v>#DIV/0!</v>
      </c>
    </row>
    <row r="26" spans="1:27" s="591" customFormat="1" ht="42.75" hidden="1" customHeight="1">
      <c r="A26" s="683">
        <v>10</v>
      </c>
      <c r="B26" s="696" t="str">
        <f>'Chấm công KT'!D101</f>
        <v>03524</v>
      </c>
      <c r="C26" s="696" t="str">
        <f>TONGHOPCONGDOI!C194</f>
        <v>N. Lẹ</v>
      </c>
      <c r="D26" s="696"/>
      <c r="E26" s="697">
        <f>VLOOKUP(C26,TONGHOPCONGDOI!C194:Q258,15,0)</f>
        <v>0</v>
      </c>
      <c r="F26" s="696">
        <f t="shared" si="1"/>
        <v>0</v>
      </c>
      <c r="G26" s="696">
        <f>VLOOKUP(C26,TONGHOPCONGDOI!C194:AD258,16,0)</f>
        <v>0</v>
      </c>
      <c r="H26" s="696">
        <f>VLOOKUP(C26,TONGHOPCONGDOI!C194:AD258,17,0)</f>
        <v>0</v>
      </c>
      <c r="I26" s="696"/>
      <c r="J26" s="1556" t="e">
        <f t="shared" si="6"/>
        <v>#DIV/0!</v>
      </c>
      <c r="K26" s="683" t="str">
        <f>VLOOKUP(C26,'BTH mủ tạp'!C192:AL253,36,0)</f>
        <v>B</v>
      </c>
      <c r="L26" s="1185" t="e">
        <f t="shared" si="2"/>
        <v>#DIV/0!</v>
      </c>
      <c r="M26" s="696">
        <f>VLOOKUP(C26,TONGHOPCONGDOI!$C$185:$AD$248,20,0)</f>
        <v>0</v>
      </c>
      <c r="N26" s="696">
        <f>VLOOKUP(C26,TONGHOPCONGDOI!$C$185:$AD$248,21,0)</f>
        <v>0</v>
      </c>
      <c r="O26" s="696">
        <f>VLOOKUP(C26,TONGHOPCONGDOI!$C$185:$AD$248,22,0)</f>
        <v>0</v>
      </c>
      <c r="P26" s="696">
        <f>VLOOKUP(C26,TONGHOPCONGDOI!$C$185:$AD$248,23,0)</f>
        <v>0</v>
      </c>
      <c r="Q26" s="696">
        <f>VLOOKUP(C26,TONGHOPCONGDOI!$C$185:$AD$248,24,0)</f>
        <v>0</v>
      </c>
      <c r="R26" s="696">
        <f>VLOOKUP(C26,TONGHOPCONGDOI!$C$185:$AD$248,25,0)</f>
        <v>0</v>
      </c>
      <c r="S26" s="696"/>
      <c r="T26" s="685">
        <f t="shared" si="3"/>
        <v>0</v>
      </c>
      <c r="U26" s="685">
        <f t="shared" si="4"/>
        <v>0</v>
      </c>
      <c r="V26" s="685"/>
      <c r="W26" s="1725">
        <f t="shared" si="7"/>
        <v>0</v>
      </c>
      <c r="X26" s="696" t="e">
        <f t="shared" si="0"/>
        <v>#DIV/0!</v>
      </c>
      <c r="Y26" s="696"/>
      <c r="Z26" s="696">
        <f>VLOOKUP(C26,'CNKT '!$C$190:$Z$253,24,0)</f>
        <v>0</v>
      </c>
      <c r="AA26" s="591" t="e">
        <f t="shared" si="5"/>
        <v>#DIV/0!</v>
      </c>
    </row>
    <row r="27" spans="1:27" s="591" customFormat="1" ht="42.75" hidden="1" customHeight="1">
      <c r="A27" s="683">
        <v>11</v>
      </c>
      <c r="B27" s="696" t="str">
        <f>'Chấm công KT'!D102</f>
        <v>03525</v>
      </c>
      <c r="C27" s="696" t="str">
        <f>TONGHOPCONGDOI!C195</f>
        <v>N . Thích</v>
      </c>
      <c r="D27" s="696"/>
      <c r="E27" s="697">
        <f>VLOOKUP(C27,TONGHOPCONGDOI!C195:Q259,15,0)</f>
        <v>0</v>
      </c>
      <c r="F27" s="696">
        <f t="shared" si="1"/>
        <v>0</v>
      </c>
      <c r="G27" s="696">
        <f>VLOOKUP(C27,TONGHOPCONGDOI!C195:AD259,16,0)</f>
        <v>0</v>
      </c>
      <c r="H27" s="696">
        <f>VLOOKUP(C27,TONGHOPCONGDOI!C195:AD259,17,0)</f>
        <v>0</v>
      </c>
      <c r="I27" s="696"/>
      <c r="J27" s="1556" t="e">
        <f t="shared" si="6"/>
        <v>#DIV/0!</v>
      </c>
      <c r="K27" s="683" t="str">
        <f>VLOOKUP(C27,'BTH mủ tạp'!C193:AL254,36,0)</f>
        <v>A</v>
      </c>
      <c r="L27" s="1185" t="e">
        <f t="shared" si="2"/>
        <v>#DIV/0!</v>
      </c>
      <c r="M27" s="696">
        <f>VLOOKUP(C27,TONGHOPCONGDOI!$C$185:$AD$248,20,0)</f>
        <v>0</v>
      </c>
      <c r="N27" s="696">
        <f>VLOOKUP(C27,TONGHOPCONGDOI!$C$185:$AD$248,21,0)</f>
        <v>0</v>
      </c>
      <c r="O27" s="696">
        <f>VLOOKUP(C27,TONGHOPCONGDOI!$C$185:$AD$248,22,0)</f>
        <v>0</v>
      </c>
      <c r="P27" s="696">
        <f>VLOOKUP(C27,TONGHOPCONGDOI!$C$185:$AD$248,23,0)</f>
        <v>0</v>
      </c>
      <c r="Q27" s="696">
        <f>VLOOKUP(C27,TONGHOPCONGDOI!$C$185:$AD$248,24,0)</f>
        <v>0</v>
      </c>
      <c r="R27" s="696">
        <f>VLOOKUP(C27,TONGHOPCONGDOI!$C$185:$AD$248,25,0)</f>
        <v>0</v>
      </c>
      <c r="S27" s="696"/>
      <c r="T27" s="685">
        <f t="shared" si="3"/>
        <v>0</v>
      </c>
      <c r="U27" s="685">
        <f t="shared" si="4"/>
        <v>0</v>
      </c>
      <c r="V27" s="685"/>
      <c r="W27" s="1725">
        <f t="shared" si="7"/>
        <v>0</v>
      </c>
      <c r="X27" s="696" t="e">
        <f t="shared" si="0"/>
        <v>#DIV/0!</v>
      </c>
      <c r="Y27" s="696"/>
      <c r="Z27" s="696">
        <f>VLOOKUP(C27,'CNKT '!$C$190:$Z$253,24,0)</f>
        <v>0</v>
      </c>
      <c r="AA27" s="591" t="e">
        <f t="shared" si="5"/>
        <v>#DIV/0!</v>
      </c>
    </row>
    <row r="28" spans="1:27" s="591" customFormat="1" ht="42.75" hidden="1" customHeight="1">
      <c r="A28" s="683">
        <v>12</v>
      </c>
      <c r="B28" s="696" t="str">
        <f>'Chấm công KT'!D103</f>
        <v>03526</v>
      </c>
      <c r="C28" s="696" t="str">
        <f>TONGHOPCONGDOI!C196</f>
        <v>N. Cong Mi</v>
      </c>
      <c r="D28" s="696"/>
      <c r="E28" s="697">
        <f>VLOOKUP(C28,TONGHOPCONGDOI!C196:Q260,15,0)</f>
        <v>0</v>
      </c>
      <c r="F28" s="696">
        <f t="shared" si="1"/>
        <v>0</v>
      </c>
      <c r="G28" s="696">
        <f>VLOOKUP(C28,TONGHOPCONGDOI!C196:AD260,16,0)</f>
        <v>0</v>
      </c>
      <c r="H28" s="696">
        <f>VLOOKUP(C28,TONGHOPCONGDOI!C196:AD260,17,0)</f>
        <v>0</v>
      </c>
      <c r="I28" s="696"/>
      <c r="J28" s="1556" t="e">
        <f t="shared" si="6"/>
        <v>#DIV/0!</v>
      </c>
      <c r="K28" s="683" t="str">
        <f>VLOOKUP(C28,'BTH mủ tạp'!C194:AL255,36,0)</f>
        <v>A</v>
      </c>
      <c r="L28" s="1185" t="e">
        <f t="shared" si="2"/>
        <v>#DIV/0!</v>
      </c>
      <c r="M28" s="696">
        <f>VLOOKUP(C28,TONGHOPCONGDOI!$C$185:$AD$248,20,0)</f>
        <v>0</v>
      </c>
      <c r="N28" s="696">
        <f>VLOOKUP(C28,TONGHOPCONGDOI!$C$185:$AD$248,21,0)</f>
        <v>0</v>
      </c>
      <c r="O28" s="696">
        <f>VLOOKUP(C28,TONGHOPCONGDOI!$C$185:$AD$248,22,0)</f>
        <v>0</v>
      </c>
      <c r="P28" s="696">
        <f>VLOOKUP(C28,TONGHOPCONGDOI!$C$185:$AD$248,23,0)</f>
        <v>0</v>
      </c>
      <c r="Q28" s="696">
        <f>VLOOKUP(C28,TONGHOPCONGDOI!$C$185:$AD$248,24,0)</f>
        <v>0</v>
      </c>
      <c r="R28" s="696">
        <f>VLOOKUP(C28,TONGHOPCONGDOI!$C$185:$AD$248,25,0)</f>
        <v>0</v>
      </c>
      <c r="S28" s="696"/>
      <c r="T28" s="685">
        <f t="shared" si="3"/>
        <v>0</v>
      </c>
      <c r="U28" s="685">
        <f t="shared" si="4"/>
        <v>0</v>
      </c>
      <c r="V28" s="685"/>
      <c r="W28" s="1725">
        <f t="shared" si="7"/>
        <v>0</v>
      </c>
      <c r="X28" s="696" t="e">
        <f t="shared" si="0"/>
        <v>#DIV/0!</v>
      </c>
      <c r="Y28" s="696"/>
      <c r="Z28" s="696">
        <f>VLOOKUP(C28,'CNKT '!$C$190:$Z$253,24,0)</f>
        <v>0</v>
      </c>
      <c r="AA28" s="591" t="e">
        <f t="shared" si="5"/>
        <v>#DIV/0!</v>
      </c>
    </row>
    <row r="29" spans="1:27" s="591" customFormat="1" ht="42.75" hidden="1" customHeight="1">
      <c r="A29" s="683">
        <v>13</v>
      </c>
      <c r="B29" s="696" t="str">
        <f>'Chấm công KT'!D104</f>
        <v>03527</v>
      </c>
      <c r="C29" s="696" t="str">
        <f>TONGHOPCONGDOI!C197</f>
        <v>T . Vay</v>
      </c>
      <c r="D29" s="696"/>
      <c r="E29" s="697">
        <f>VLOOKUP(C29,TONGHOPCONGDOI!C197:Q261,15,0)</f>
        <v>0</v>
      </c>
      <c r="F29" s="696">
        <f t="shared" si="1"/>
        <v>0</v>
      </c>
      <c r="G29" s="696">
        <f>VLOOKUP(C29,TONGHOPCONGDOI!C197:AD261,16,0)</f>
        <v>0</v>
      </c>
      <c r="H29" s="696">
        <f>VLOOKUP(C29,TONGHOPCONGDOI!C197:AD261,17,0)</f>
        <v>0</v>
      </c>
      <c r="I29" s="696"/>
      <c r="J29" s="1556" t="e">
        <f t="shared" si="6"/>
        <v>#DIV/0!</v>
      </c>
      <c r="K29" s="683" t="str">
        <f>VLOOKUP(C29,'BTH mủ tạp'!C195:AL256,36,0)</f>
        <v>A</v>
      </c>
      <c r="L29" s="1185" t="e">
        <f t="shared" si="2"/>
        <v>#DIV/0!</v>
      </c>
      <c r="M29" s="696">
        <f>VLOOKUP(C29,TONGHOPCONGDOI!$C$185:$AD$248,20,0)</f>
        <v>0</v>
      </c>
      <c r="N29" s="696">
        <f>VLOOKUP(C29,TONGHOPCONGDOI!$C$185:$AD$248,21,0)</f>
        <v>0</v>
      </c>
      <c r="O29" s="696">
        <f>VLOOKUP(C29,TONGHOPCONGDOI!$C$185:$AD$248,22,0)</f>
        <v>0</v>
      </c>
      <c r="P29" s="696">
        <f>VLOOKUP(C29,TONGHOPCONGDOI!$C$185:$AD$248,23,0)</f>
        <v>0</v>
      </c>
      <c r="Q29" s="696">
        <f>VLOOKUP(C29,TONGHOPCONGDOI!$C$185:$AD$248,24,0)</f>
        <v>0</v>
      </c>
      <c r="R29" s="696">
        <f>VLOOKUP(C29,TONGHOPCONGDOI!$C$185:$AD$248,25,0)</f>
        <v>0</v>
      </c>
      <c r="S29" s="696"/>
      <c r="T29" s="685">
        <f t="shared" si="3"/>
        <v>0</v>
      </c>
      <c r="U29" s="685">
        <f t="shared" si="4"/>
        <v>0</v>
      </c>
      <c r="V29" s="685"/>
      <c r="W29" s="1725">
        <f t="shared" si="7"/>
        <v>0</v>
      </c>
      <c r="X29" s="696" t="e">
        <f t="shared" si="0"/>
        <v>#DIV/0!</v>
      </c>
      <c r="Y29" s="696"/>
      <c r="Z29" s="696">
        <f>VLOOKUP(C29,'CNKT '!$C$190:$Z$253,24,0)</f>
        <v>0</v>
      </c>
      <c r="AA29" s="591" t="e">
        <f t="shared" si="5"/>
        <v>#DIV/0!</v>
      </c>
    </row>
    <row r="30" spans="1:27" s="591" customFormat="1" ht="42.75" hidden="1" customHeight="1">
      <c r="A30" s="683">
        <v>14</v>
      </c>
      <c r="B30" s="696" t="str">
        <f>'Chấm công KT'!D105</f>
        <v>03528</v>
      </c>
      <c r="C30" s="696" t="str">
        <f>TONGHOPCONGDOI!C198</f>
        <v>T. Khăm Mặn</v>
      </c>
      <c r="D30" s="696"/>
      <c r="E30" s="697">
        <f>VLOOKUP(C30,TONGHOPCONGDOI!C198:Q262,15,0)</f>
        <v>0</v>
      </c>
      <c r="F30" s="696">
        <f t="shared" si="1"/>
        <v>0</v>
      </c>
      <c r="G30" s="696">
        <f>VLOOKUP(C30,TONGHOPCONGDOI!C198:AD262,16,0)</f>
        <v>0</v>
      </c>
      <c r="H30" s="696">
        <f>VLOOKUP(C30,TONGHOPCONGDOI!C198:AD262,17,0)</f>
        <v>0</v>
      </c>
      <c r="I30" s="696"/>
      <c r="J30" s="1556" t="e">
        <f t="shared" si="6"/>
        <v>#DIV/0!</v>
      </c>
      <c r="K30" s="683" t="str">
        <f>VLOOKUP(C30,'BTH mủ tạp'!C196:AL257,36,0)</f>
        <v>A</v>
      </c>
      <c r="L30" s="1185" t="e">
        <f t="shared" si="2"/>
        <v>#DIV/0!</v>
      </c>
      <c r="M30" s="696">
        <f>VLOOKUP(C30,TONGHOPCONGDOI!$C$185:$AD$248,20,0)</f>
        <v>0</v>
      </c>
      <c r="N30" s="696">
        <f>VLOOKUP(C30,TONGHOPCONGDOI!$C$185:$AD$248,21,0)</f>
        <v>0</v>
      </c>
      <c r="O30" s="696">
        <f>VLOOKUP(C30,TONGHOPCONGDOI!$C$185:$AD$248,22,0)</f>
        <v>0</v>
      </c>
      <c r="P30" s="696">
        <f>VLOOKUP(C30,TONGHOPCONGDOI!$C$185:$AD$248,23,0)</f>
        <v>0</v>
      </c>
      <c r="Q30" s="696">
        <f>VLOOKUP(C30,TONGHOPCONGDOI!$C$185:$AD$248,24,0)</f>
        <v>0</v>
      </c>
      <c r="R30" s="696">
        <f>VLOOKUP(C30,TONGHOPCONGDOI!$C$185:$AD$248,25,0)</f>
        <v>0</v>
      </c>
      <c r="S30" s="696"/>
      <c r="T30" s="685">
        <f t="shared" si="3"/>
        <v>0</v>
      </c>
      <c r="U30" s="685">
        <f t="shared" si="4"/>
        <v>0</v>
      </c>
      <c r="V30" s="685"/>
      <c r="W30" s="1725">
        <f t="shared" si="7"/>
        <v>0</v>
      </c>
      <c r="X30" s="696" t="e">
        <f t="shared" si="0"/>
        <v>#DIV/0!</v>
      </c>
      <c r="Y30" s="696"/>
      <c r="Z30" s="696">
        <f>VLOOKUP(C30,'CNKT '!$C$190:$Z$253,24,0)</f>
        <v>0</v>
      </c>
      <c r="AA30" s="591" t="e">
        <f t="shared" si="5"/>
        <v>#DIV/0!</v>
      </c>
    </row>
    <row r="31" spans="1:27" s="591" customFormat="1" ht="42.75" hidden="1" customHeight="1">
      <c r="A31" s="683">
        <v>15</v>
      </c>
      <c r="B31" s="696" t="str">
        <f>'Chấm công KT'!D106</f>
        <v>03529</v>
      </c>
      <c r="C31" s="696" t="str">
        <f>TONGHOPCONGDOI!C199</f>
        <v>T . In Tong</v>
      </c>
      <c r="D31" s="696"/>
      <c r="E31" s="697">
        <f>VLOOKUP(C31,TONGHOPCONGDOI!C199:Q263,15,0)</f>
        <v>0</v>
      </c>
      <c r="F31" s="696">
        <f t="shared" si="1"/>
        <v>0</v>
      </c>
      <c r="G31" s="696">
        <f>VLOOKUP(C31,TONGHOPCONGDOI!C199:AD263,16,0)</f>
        <v>0</v>
      </c>
      <c r="H31" s="696">
        <f>VLOOKUP(C31,TONGHOPCONGDOI!C199:AD263,17,0)</f>
        <v>0</v>
      </c>
      <c r="I31" s="696"/>
      <c r="J31" s="1556" t="e">
        <f t="shared" si="6"/>
        <v>#DIV/0!</v>
      </c>
      <c r="K31" s="683" t="str">
        <f>VLOOKUP(C31,'BTH mủ tạp'!C197:AL258,36,0)</f>
        <v>A</v>
      </c>
      <c r="L31" s="1185" t="e">
        <f t="shared" si="2"/>
        <v>#DIV/0!</v>
      </c>
      <c r="M31" s="696">
        <f>VLOOKUP(C31,TONGHOPCONGDOI!$C$185:$AD$248,20,0)</f>
        <v>0</v>
      </c>
      <c r="N31" s="696">
        <f>VLOOKUP(C31,TONGHOPCONGDOI!$C$185:$AD$248,21,0)</f>
        <v>0</v>
      </c>
      <c r="O31" s="696">
        <f>VLOOKUP(C31,TONGHOPCONGDOI!$C$185:$AD$248,22,0)</f>
        <v>0</v>
      </c>
      <c r="P31" s="696">
        <f>VLOOKUP(C31,TONGHOPCONGDOI!$C$185:$AD$248,23,0)</f>
        <v>0</v>
      </c>
      <c r="Q31" s="696">
        <f>VLOOKUP(C31,TONGHOPCONGDOI!$C$185:$AD$248,24,0)</f>
        <v>0</v>
      </c>
      <c r="R31" s="696">
        <f>VLOOKUP(C31,TONGHOPCONGDOI!$C$185:$AD$248,25,0)</f>
        <v>0</v>
      </c>
      <c r="S31" s="696"/>
      <c r="T31" s="685">
        <f t="shared" si="3"/>
        <v>0</v>
      </c>
      <c r="U31" s="685">
        <f t="shared" si="4"/>
        <v>0</v>
      </c>
      <c r="V31" s="685"/>
      <c r="W31" s="1725">
        <f t="shared" si="7"/>
        <v>0</v>
      </c>
      <c r="X31" s="696" t="e">
        <f t="shared" si="0"/>
        <v>#DIV/0!</v>
      </c>
      <c r="Y31" s="696"/>
      <c r="Z31" s="696">
        <f>VLOOKUP(C31,'CNKT '!$C$190:$Z$253,24,0)</f>
        <v>0</v>
      </c>
      <c r="AA31" s="591" t="e">
        <f t="shared" si="5"/>
        <v>#DIV/0!</v>
      </c>
    </row>
    <row r="32" spans="1:27" s="591" customFormat="1" ht="42.75" hidden="1" customHeight="1">
      <c r="A32" s="683">
        <v>16</v>
      </c>
      <c r="B32" s="696" t="str">
        <f>'Chấm công KT'!D107</f>
        <v>03530</v>
      </c>
      <c r="C32" s="696" t="str">
        <f>TONGHOPCONGDOI!C200</f>
        <v>T. Sòn</v>
      </c>
      <c r="D32" s="696"/>
      <c r="E32" s="697">
        <f>VLOOKUP(C32,TONGHOPCONGDOI!C200:Q264,15,0)</f>
        <v>0</v>
      </c>
      <c r="F32" s="696">
        <f t="shared" si="1"/>
        <v>0</v>
      </c>
      <c r="G32" s="696">
        <f>VLOOKUP(C32,TONGHOPCONGDOI!C200:AD264,16,0)</f>
        <v>0</v>
      </c>
      <c r="H32" s="696">
        <f>VLOOKUP(C32,TONGHOPCONGDOI!C200:AD264,17,0)</f>
        <v>0</v>
      </c>
      <c r="I32" s="696"/>
      <c r="J32" s="1556" t="e">
        <f t="shared" si="6"/>
        <v>#DIV/0!</v>
      </c>
      <c r="K32" s="683" t="str">
        <f>VLOOKUP(C32,'BTH mủ tạp'!C198:AL259,36,0)</f>
        <v>B</v>
      </c>
      <c r="L32" s="1185" t="e">
        <f t="shared" si="2"/>
        <v>#DIV/0!</v>
      </c>
      <c r="M32" s="696">
        <f>VLOOKUP(C32,TONGHOPCONGDOI!$C$185:$AD$248,20,0)</f>
        <v>0</v>
      </c>
      <c r="N32" s="696">
        <f>VLOOKUP(C32,TONGHOPCONGDOI!$C$185:$AD$248,21,0)</f>
        <v>0</v>
      </c>
      <c r="O32" s="696">
        <f>VLOOKUP(C32,TONGHOPCONGDOI!$C$185:$AD$248,22,0)</f>
        <v>0</v>
      </c>
      <c r="P32" s="696">
        <f>VLOOKUP(C32,TONGHOPCONGDOI!$C$185:$AD$248,23,0)</f>
        <v>0</v>
      </c>
      <c r="Q32" s="696">
        <f>VLOOKUP(C32,TONGHOPCONGDOI!$C$185:$AD$248,24,0)</f>
        <v>0</v>
      </c>
      <c r="R32" s="696">
        <f>VLOOKUP(C32,TONGHOPCONGDOI!$C$185:$AD$248,25,0)</f>
        <v>0</v>
      </c>
      <c r="S32" s="696"/>
      <c r="T32" s="685">
        <f t="shared" si="3"/>
        <v>0</v>
      </c>
      <c r="U32" s="685">
        <f t="shared" si="4"/>
        <v>0</v>
      </c>
      <c r="V32" s="685"/>
      <c r="W32" s="1725">
        <f t="shared" si="7"/>
        <v>0</v>
      </c>
      <c r="X32" s="696" t="e">
        <f t="shared" si="0"/>
        <v>#DIV/0!</v>
      </c>
      <c r="Y32" s="696"/>
      <c r="Z32" s="696">
        <f>VLOOKUP(C32,'CNKT '!$C$190:$Z$253,24,0)</f>
        <v>0</v>
      </c>
      <c r="AA32" s="591" t="e">
        <f t="shared" si="5"/>
        <v>#DIV/0!</v>
      </c>
    </row>
    <row r="33" spans="1:27" s="591" customFormat="1" ht="42.75" hidden="1" customHeight="1">
      <c r="A33" s="683">
        <v>17</v>
      </c>
      <c r="B33" s="696" t="str">
        <f>'Chấm công KT'!D108</f>
        <v>03531</v>
      </c>
      <c r="C33" s="696" t="str">
        <f>TONGHOPCONGDOI!C201</f>
        <v>T. Lăm Phêng</v>
      </c>
      <c r="D33" s="696"/>
      <c r="E33" s="697">
        <f>VLOOKUP(C33,TONGHOPCONGDOI!C201:Q265,15,0)</f>
        <v>0</v>
      </c>
      <c r="F33" s="696">
        <f t="shared" si="1"/>
        <v>0</v>
      </c>
      <c r="G33" s="696">
        <f>VLOOKUP(C33,TONGHOPCONGDOI!C201:AD265,16,0)</f>
        <v>0</v>
      </c>
      <c r="H33" s="696">
        <f>VLOOKUP(C33,TONGHOPCONGDOI!C201:AD265,17,0)</f>
        <v>0</v>
      </c>
      <c r="I33" s="696"/>
      <c r="J33" s="1556" t="e">
        <f t="shared" si="6"/>
        <v>#DIV/0!</v>
      </c>
      <c r="K33" s="683" t="str">
        <f>VLOOKUP(C33,'BTH mủ tạp'!C199:AL260,36,0)</f>
        <v>A</v>
      </c>
      <c r="L33" s="1185" t="e">
        <f t="shared" si="2"/>
        <v>#DIV/0!</v>
      </c>
      <c r="M33" s="696">
        <f>VLOOKUP(C33,TONGHOPCONGDOI!$C$185:$AD$248,20,0)</f>
        <v>0</v>
      </c>
      <c r="N33" s="696">
        <f>VLOOKUP(C33,TONGHOPCONGDOI!$C$185:$AD$248,21,0)</f>
        <v>0</v>
      </c>
      <c r="O33" s="696">
        <f>VLOOKUP(C33,TONGHOPCONGDOI!$C$185:$AD$248,22,0)</f>
        <v>0</v>
      </c>
      <c r="P33" s="696">
        <f>VLOOKUP(C33,TONGHOPCONGDOI!$C$185:$AD$248,23,0)</f>
        <v>0</v>
      </c>
      <c r="Q33" s="696">
        <f>VLOOKUP(C33,TONGHOPCONGDOI!$C$185:$AD$248,24,0)</f>
        <v>0</v>
      </c>
      <c r="R33" s="696">
        <f>VLOOKUP(C33,TONGHOPCONGDOI!$C$185:$AD$248,25,0)</f>
        <v>0</v>
      </c>
      <c r="S33" s="696"/>
      <c r="T33" s="685">
        <f t="shared" si="3"/>
        <v>0</v>
      </c>
      <c r="U33" s="685">
        <f t="shared" si="4"/>
        <v>0</v>
      </c>
      <c r="V33" s="685"/>
      <c r="W33" s="1725">
        <f t="shared" si="7"/>
        <v>0</v>
      </c>
      <c r="X33" s="696" t="e">
        <f t="shared" si="0"/>
        <v>#DIV/0!</v>
      </c>
      <c r="Y33" s="696"/>
      <c r="Z33" s="696">
        <f>VLOOKUP(C33,'CNKT '!$C$190:$Z$253,24,0)</f>
        <v>0</v>
      </c>
      <c r="AA33" s="591" t="e">
        <f t="shared" si="5"/>
        <v>#DIV/0!</v>
      </c>
    </row>
    <row r="34" spans="1:27" s="591" customFormat="1" ht="42.75" hidden="1" customHeight="1">
      <c r="A34" s="683">
        <v>18</v>
      </c>
      <c r="B34" s="696" t="str">
        <f>'Chấm công KT'!D109</f>
        <v>03532</v>
      </c>
      <c r="C34" s="696" t="str">
        <f>TONGHOPCONGDOI!C202</f>
        <v>T Xèng</v>
      </c>
      <c r="D34" s="696"/>
      <c r="E34" s="697">
        <f>VLOOKUP(C34,TONGHOPCONGDOI!C202:Q266,15,0)</f>
        <v>0</v>
      </c>
      <c r="F34" s="696">
        <f t="shared" si="1"/>
        <v>0</v>
      </c>
      <c r="G34" s="696">
        <f>VLOOKUP(C34,TONGHOPCONGDOI!C202:AD266,16,0)</f>
        <v>0</v>
      </c>
      <c r="H34" s="696">
        <f>VLOOKUP(C34,TONGHOPCONGDOI!C202:AD266,17,0)</f>
        <v>0</v>
      </c>
      <c r="I34" s="696"/>
      <c r="J34" s="1556" t="e">
        <f t="shared" si="6"/>
        <v>#DIV/0!</v>
      </c>
      <c r="K34" s="683" t="str">
        <f>VLOOKUP(C34,'BTH mủ tạp'!C200:AL261,36,0)</f>
        <v>A</v>
      </c>
      <c r="L34" s="1185" t="e">
        <f t="shared" si="2"/>
        <v>#DIV/0!</v>
      </c>
      <c r="M34" s="696">
        <f>VLOOKUP(C34,TONGHOPCONGDOI!$C$185:$AD$248,20,0)</f>
        <v>0</v>
      </c>
      <c r="N34" s="696">
        <f>VLOOKUP(C34,TONGHOPCONGDOI!$C$185:$AD$248,21,0)</f>
        <v>0</v>
      </c>
      <c r="O34" s="696">
        <f>VLOOKUP(C34,TONGHOPCONGDOI!$C$185:$AD$248,22,0)</f>
        <v>0</v>
      </c>
      <c r="P34" s="696">
        <f>VLOOKUP(C34,TONGHOPCONGDOI!$C$185:$AD$248,23,0)</f>
        <v>0</v>
      </c>
      <c r="Q34" s="696">
        <f>VLOOKUP(C34,TONGHOPCONGDOI!$C$185:$AD$248,24,0)</f>
        <v>0</v>
      </c>
      <c r="R34" s="696">
        <f>VLOOKUP(C34,TONGHOPCONGDOI!$C$185:$AD$248,25,0)</f>
        <v>0</v>
      </c>
      <c r="S34" s="696"/>
      <c r="T34" s="685">
        <f t="shared" si="3"/>
        <v>0</v>
      </c>
      <c r="U34" s="685">
        <f t="shared" si="4"/>
        <v>0</v>
      </c>
      <c r="V34" s="685"/>
      <c r="W34" s="1725">
        <f t="shared" si="7"/>
        <v>0</v>
      </c>
      <c r="X34" s="696" t="e">
        <f t="shared" si="0"/>
        <v>#DIV/0!</v>
      </c>
      <c r="Y34" s="696"/>
      <c r="Z34" s="696">
        <f>VLOOKUP(C34,'CNKT '!$C$190:$Z$253,24,0)</f>
        <v>0</v>
      </c>
      <c r="AA34" s="591" t="e">
        <f t="shared" si="5"/>
        <v>#DIV/0!</v>
      </c>
    </row>
    <row r="35" spans="1:27" s="591" customFormat="1" ht="42.75" hidden="1" customHeight="1">
      <c r="A35" s="683">
        <v>19</v>
      </c>
      <c r="B35" s="696" t="str">
        <f>'Chấm công KT'!D110</f>
        <v xml:space="preserve">02709 </v>
      </c>
      <c r="C35" s="696" t="str">
        <f>TONGHOPCONGDOI!C203</f>
        <v>N. Phăn</v>
      </c>
      <c r="D35" s="696"/>
      <c r="E35" s="697">
        <f>VLOOKUP(C35,TONGHOPCONGDOI!C203:Q267,15,0)</f>
        <v>0</v>
      </c>
      <c r="F35" s="696">
        <f t="shared" si="1"/>
        <v>0</v>
      </c>
      <c r="G35" s="696">
        <f>VLOOKUP(C35,TONGHOPCONGDOI!C203:AD267,16,0)</f>
        <v>0</v>
      </c>
      <c r="H35" s="696">
        <f>VLOOKUP(C35,TONGHOPCONGDOI!C203:AD267,17,0)</f>
        <v>0</v>
      </c>
      <c r="I35" s="696"/>
      <c r="J35" s="1556" t="e">
        <f t="shared" si="6"/>
        <v>#DIV/0!</v>
      </c>
      <c r="K35" s="683" t="str">
        <f>VLOOKUP(C35,'BTH mủ tạp'!C201:AL262,36,0)</f>
        <v>B</v>
      </c>
      <c r="L35" s="1185" t="e">
        <f t="shared" si="2"/>
        <v>#DIV/0!</v>
      </c>
      <c r="M35" s="696">
        <f>VLOOKUP(C35,TONGHOPCONGDOI!$C$185:$AD$248,20,0)</f>
        <v>0</v>
      </c>
      <c r="N35" s="696">
        <f>VLOOKUP(C35,TONGHOPCONGDOI!$C$185:$AD$248,21,0)</f>
        <v>0</v>
      </c>
      <c r="O35" s="696">
        <f>VLOOKUP(C35,TONGHOPCONGDOI!$C$185:$AD$248,22,0)</f>
        <v>0</v>
      </c>
      <c r="P35" s="696">
        <f>VLOOKUP(C35,TONGHOPCONGDOI!$C$185:$AD$248,23,0)</f>
        <v>0</v>
      </c>
      <c r="Q35" s="696">
        <f>VLOOKUP(C35,TONGHOPCONGDOI!$C$185:$AD$248,24,0)</f>
        <v>0</v>
      </c>
      <c r="R35" s="696">
        <f>VLOOKUP(C35,TONGHOPCONGDOI!$C$185:$AD$248,25,0)</f>
        <v>0</v>
      </c>
      <c r="S35" s="696"/>
      <c r="T35" s="685">
        <f t="shared" si="3"/>
        <v>0</v>
      </c>
      <c r="U35" s="685">
        <f t="shared" si="4"/>
        <v>0</v>
      </c>
      <c r="V35" s="685"/>
      <c r="W35" s="1725">
        <f t="shared" si="7"/>
        <v>0</v>
      </c>
      <c r="X35" s="696" t="e">
        <f t="shared" si="0"/>
        <v>#DIV/0!</v>
      </c>
      <c r="Y35" s="696"/>
      <c r="Z35" s="696">
        <f>VLOOKUP(C35,'CNKT '!$C$190:$Z$253,24,0)</f>
        <v>0</v>
      </c>
      <c r="AA35" s="591" t="e">
        <f t="shared" si="5"/>
        <v>#DIV/0!</v>
      </c>
    </row>
    <row r="36" spans="1:27" s="591" customFormat="1" ht="42.75" hidden="1" customHeight="1">
      <c r="A36" s="683">
        <v>20</v>
      </c>
      <c r="B36" s="696" t="str">
        <f>'Chấm công KT'!D111</f>
        <v>03533</v>
      </c>
      <c r="C36" s="696" t="str">
        <f>TONGHOPCONGDOI!C204</f>
        <v>T. Huôn</v>
      </c>
      <c r="D36" s="696"/>
      <c r="E36" s="697">
        <f>VLOOKUP(C36,TONGHOPCONGDOI!C204:Q268,15,0)</f>
        <v>0</v>
      </c>
      <c r="F36" s="696">
        <f t="shared" si="1"/>
        <v>0</v>
      </c>
      <c r="G36" s="696">
        <f>VLOOKUP(C36,TONGHOPCONGDOI!C204:AD268,16,0)</f>
        <v>0</v>
      </c>
      <c r="H36" s="696">
        <f>VLOOKUP(C36,TONGHOPCONGDOI!C204:AD268,17,0)</f>
        <v>0</v>
      </c>
      <c r="I36" s="696"/>
      <c r="J36" s="1556" t="e">
        <f t="shared" si="6"/>
        <v>#DIV/0!</v>
      </c>
      <c r="K36" s="683" t="str">
        <f>VLOOKUP(C36,'BTH mủ tạp'!C202:AL263,36,0)</f>
        <v>A</v>
      </c>
      <c r="L36" s="1185" t="e">
        <f t="shared" si="2"/>
        <v>#DIV/0!</v>
      </c>
      <c r="M36" s="696">
        <f>VLOOKUP(C36,TONGHOPCONGDOI!$C$185:$AD$248,20,0)</f>
        <v>0</v>
      </c>
      <c r="N36" s="696">
        <f>VLOOKUP(C36,TONGHOPCONGDOI!$C$185:$AD$248,21,0)</f>
        <v>0</v>
      </c>
      <c r="O36" s="696">
        <f>VLOOKUP(C36,TONGHOPCONGDOI!$C$185:$AD$248,22,0)</f>
        <v>0</v>
      </c>
      <c r="P36" s="696">
        <f>VLOOKUP(C36,TONGHOPCONGDOI!$C$185:$AD$248,23,0)</f>
        <v>0</v>
      </c>
      <c r="Q36" s="696">
        <f>VLOOKUP(C36,TONGHOPCONGDOI!$C$185:$AD$248,24,0)</f>
        <v>0</v>
      </c>
      <c r="R36" s="696">
        <f>VLOOKUP(C36,TONGHOPCONGDOI!$C$185:$AD$248,25,0)</f>
        <v>0</v>
      </c>
      <c r="S36" s="696"/>
      <c r="T36" s="685">
        <f t="shared" si="3"/>
        <v>0</v>
      </c>
      <c r="U36" s="685">
        <f t="shared" si="4"/>
        <v>0</v>
      </c>
      <c r="V36" s="685"/>
      <c r="W36" s="1725">
        <f t="shared" si="7"/>
        <v>0</v>
      </c>
      <c r="X36" s="696" t="e">
        <f t="shared" si="0"/>
        <v>#DIV/0!</v>
      </c>
      <c r="Y36" s="696"/>
      <c r="Z36" s="696">
        <f>VLOOKUP(C36,'CNKT '!$C$190:$Z$253,24,0)</f>
        <v>0</v>
      </c>
      <c r="AA36" s="591" t="e">
        <f t="shared" si="5"/>
        <v>#DIV/0!</v>
      </c>
    </row>
    <row r="37" spans="1:27" s="591" customFormat="1" ht="42.75" hidden="1" customHeight="1">
      <c r="A37" s="683">
        <v>21</v>
      </c>
      <c r="B37" s="696" t="str">
        <f>'Chấm công KT'!D112</f>
        <v>03534</v>
      </c>
      <c r="C37" s="696" t="str">
        <f>TONGHOPCONGDOI!C205</f>
        <v>N. Lay</v>
      </c>
      <c r="D37" s="696"/>
      <c r="E37" s="697">
        <f>VLOOKUP(C37,TONGHOPCONGDOI!C205:Q269,15,0)</f>
        <v>0</v>
      </c>
      <c r="F37" s="696">
        <f t="shared" si="1"/>
        <v>0</v>
      </c>
      <c r="G37" s="696">
        <f>VLOOKUP(C37,TONGHOPCONGDOI!C205:AD269,16,0)</f>
        <v>0</v>
      </c>
      <c r="H37" s="696">
        <f>VLOOKUP(C37,TONGHOPCONGDOI!C205:AD269,17,0)</f>
        <v>0</v>
      </c>
      <c r="I37" s="696"/>
      <c r="J37" s="1556" t="e">
        <f t="shared" si="6"/>
        <v>#DIV/0!</v>
      </c>
      <c r="K37" s="683" t="str">
        <f>VLOOKUP(C37,'BTH mủ tạp'!C203:AL264,36,0)</f>
        <v>A</v>
      </c>
      <c r="L37" s="1185" t="e">
        <f t="shared" si="2"/>
        <v>#DIV/0!</v>
      </c>
      <c r="M37" s="696">
        <f>VLOOKUP(C37,TONGHOPCONGDOI!$C$185:$AD$248,20,0)</f>
        <v>0</v>
      </c>
      <c r="N37" s="696">
        <f>VLOOKUP(C37,TONGHOPCONGDOI!$C$185:$AD$248,21,0)</f>
        <v>0</v>
      </c>
      <c r="O37" s="696">
        <f>VLOOKUP(C37,TONGHOPCONGDOI!$C$185:$AD$248,22,0)</f>
        <v>0</v>
      </c>
      <c r="P37" s="696">
        <f>VLOOKUP(C37,TONGHOPCONGDOI!$C$185:$AD$248,23,0)</f>
        <v>0</v>
      </c>
      <c r="Q37" s="696">
        <f>VLOOKUP(C37,TONGHOPCONGDOI!$C$185:$AD$248,24,0)</f>
        <v>0</v>
      </c>
      <c r="R37" s="696">
        <f>VLOOKUP(C37,TONGHOPCONGDOI!$C$185:$AD$248,25,0)</f>
        <v>0</v>
      </c>
      <c r="S37" s="696"/>
      <c r="T37" s="685">
        <f t="shared" si="3"/>
        <v>0</v>
      </c>
      <c r="U37" s="685">
        <f t="shared" si="4"/>
        <v>0</v>
      </c>
      <c r="V37" s="685"/>
      <c r="W37" s="1725">
        <f t="shared" si="7"/>
        <v>0</v>
      </c>
      <c r="X37" s="696" t="e">
        <f t="shared" si="0"/>
        <v>#DIV/0!</v>
      </c>
      <c r="Y37" s="696"/>
      <c r="Z37" s="696">
        <f>VLOOKUP(C37,'CNKT '!$C$190:$Z$253,24,0)</f>
        <v>0</v>
      </c>
      <c r="AA37" s="591" t="e">
        <f t="shared" si="5"/>
        <v>#DIV/0!</v>
      </c>
    </row>
    <row r="38" spans="1:27" s="591" customFormat="1" ht="42.75" hidden="1" customHeight="1">
      <c r="A38" s="683">
        <v>22</v>
      </c>
      <c r="B38" s="696" t="str">
        <f>'Chấm công KT'!D113</f>
        <v>03535</v>
      </c>
      <c r="C38" s="696" t="str">
        <f>TONGHOPCONGDOI!C206</f>
        <v>N. Pon</v>
      </c>
      <c r="D38" s="696"/>
      <c r="E38" s="697">
        <f>VLOOKUP(C38,TONGHOPCONGDOI!C206:Q270,15,0)</f>
        <v>0</v>
      </c>
      <c r="F38" s="696">
        <f t="shared" si="1"/>
        <v>0</v>
      </c>
      <c r="G38" s="696">
        <f>VLOOKUP(C38,TONGHOPCONGDOI!C206:AD270,16,0)</f>
        <v>0</v>
      </c>
      <c r="H38" s="696">
        <f>VLOOKUP(C38,TONGHOPCONGDOI!C206:AD270,17,0)</f>
        <v>0</v>
      </c>
      <c r="I38" s="696"/>
      <c r="J38" s="1556" t="e">
        <f t="shared" si="6"/>
        <v>#DIV/0!</v>
      </c>
      <c r="K38" s="683" t="str">
        <f>VLOOKUP(C38,'BTH mủ tạp'!C204:AL265,36,0)</f>
        <v>A</v>
      </c>
      <c r="L38" s="1185" t="e">
        <f t="shared" si="2"/>
        <v>#DIV/0!</v>
      </c>
      <c r="M38" s="696">
        <f>VLOOKUP(C38,TONGHOPCONGDOI!$C$185:$AD$248,20,0)</f>
        <v>0</v>
      </c>
      <c r="N38" s="696">
        <f>VLOOKUP(C38,TONGHOPCONGDOI!$C$185:$AD$248,21,0)</f>
        <v>0</v>
      </c>
      <c r="O38" s="696">
        <f>VLOOKUP(C38,TONGHOPCONGDOI!$C$185:$AD$248,22,0)</f>
        <v>0</v>
      </c>
      <c r="P38" s="696">
        <f>VLOOKUP(C38,TONGHOPCONGDOI!$C$185:$AD$248,23,0)</f>
        <v>0</v>
      </c>
      <c r="Q38" s="696">
        <f>VLOOKUP(C38,TONGHOPCONGDOI!$C$185:$AD$248,24,0)</f>
        <v>0</v>
      </c>
      <c r="R38" s="696">
        <f>VLOOKUP(C38,TONGHOPCONGDOI!$C$185:$AD$248,25,0)</f>
        <v>0</v>
      </c>
      <c r="S38" s="696"/>
      <c r="T38" s="685">
        <f t="shared" si="3"/>
        <v>0</v>
      </c>
      <c r="U38" s="685">
        <f t="shared" si="4"/>
        <v>0</v>
      </c>
      <c r="V38" s="685"/>
      <c r="W38" s="1725">
        <f t="shared" si="7"/>
        <v>0</v>
      </c>
      <c r="X38" s="696" t="e">
        <f t="shared" si="0"/>
        <v>#DIV/0!</v>
      </c>
      <c r="Y38" s="696"/>
      <c r="Z38" s="696">
        <f>VLOOKUP(C38,'CNKT '!$C$190:$Z$253,24,0)</f>
        <v>0</v>
      </c>
      <c r="AA38" s="591" t="e">
        <f t="shared" si="5"/>
        <v>#DIV/0!</v>
      </c>
    </row>
    <row r="39" spans="1:27" s="591" customFormat="1" ht="42.75" hidden="1" customHeight="1">
      <c r="A39" s="683">
        <v>23</v>
      </c>
      <c r="B39" s="696"/>
      <c r="C39" s="696" t="str">
        <f>TONGHOPCONGDOI!C207</f>
        <v>N. Bun Đi</v>
      </c>
      <c r="D39" s="696"/>
      <c r="E39" s="697">
        <f>VLOOKUP(C39,TONGHOPCONGDOI!C207:Q271,15,0)</f>
        <v>0</v>
      </c>
      <c r="F39" s="696">
        <f t="shared" si="1"/>
        <v>0</v>
      </c>
      <c r="G39" s="696">
        <f>VLOOKUP(C39,TONGHOPCONGDOI!C207:AD271,16,0)</f>
        <v>0</v>
      </c>
      <c r="H39" s="696">
        <f>VLOOKUP(C39,TONGHOPCONGDOI!C207:AD271,17,0)</f>
        <v>0</v>
      </c>
      <c r="I39" s="696"/>
      <c r="J39" s="1556" t="e">
        <f t="shared" si="6"/>
        <v>#DIV/0!</v>
      </c>
      <c r="K39" s="683" t="str">
        <f>VLOOKUP(C39,'BTH mủ tạp'!C205:AL266,36,0)</f>
        <v>A</v>
      </c>
      <c r="L39" s="1185" t="e">
        <f t="shared" si="2"/>
        <v>#DIV/0!</v>
      </c>
      <c r="M39" s="696">
        <f>VLOOKUP(C39,TONGHOPCONGDOI!$C$185:$AD$248,20,0)</f>
        <v>0</v>
      </c>
      <c r="N39" s="696">
        <f>VLOOKUP(C39,TONGHOPCONGDOI!$C$185:$AD$248,21,0)</f>
        <v>0</v>
      </c>
      <c r="O39" s="696">
        <f>VLOOKUP(C39,TONGHOPCONGDOI!$C$185:$AD$248,22,0)</f>
        <v>0</v>
      </c>
      <c r="P39" s="696">
        <f>VLOOKUP(C39,TONGHOPCONGDOI!$C$185:$AD$248,23,0)</f>
        <v>0</v>
      </c>
      <c r="Q39" s="696">
        <f>VLOOKUP(C39,TONGHOPCONGDOI!$C$185:$AD$248,24,0)</f>
        <v>0</v>
      </c>
      <c r="R39" s="696">
        <f>VLOOKUP(C39,TONGHOPCONGDOI!$C$185:$AD$248,25,0)</f>
        <v>0</v>
      </c>
      <c r="S39" s="696"/>
      <c r="T39" s="685">
        <f t="shared" si="3"/>
        <v>0</v>
      </c>
      <c r="U39" s="685">
        <f t="shared" si="4"/>
        <v>0</v>
      </c>
      <c r="V39" s="685"/>
      <c r="W39" s="1725">
        <f t="shared" si="7"/>
        <v>0</v>
      </c>
      <c r="X39" s="696" t="e">
        <f t="shared" si="0"/>
        <v>#DIV/0!</v>
      </c>
      <c r="Y39" s="696"/>
      <c r="Z39" s="696">
        <f>VLOOKUP(C39,'CNKT '!$C$190:$Z$253,24,0)</f>
        <v>0</v>
      </c>
      <c r="AA39" s="591" t="e">
        <f t="shared" si="5"/>
        <v>#DIV/0!</v>
      </c>
    </row>
    <row r="40" spans="1:27" s="591" customFormat="1" ht="42.75" hidden="1" customHeight="1">
      <c r="A40" s="683">
        <v>24</v>
      </c>
      <c r="B40" s="696" t="str">
        <f>'Chấm công KT'!D115</f>
        <v>03537</v>
      </c>
      <c r="C40" s="696" t="str">
        <f>TONGHOPCONGDOI!C208</f>
        <v>N. Phon</v>
      </c>
      <c r="D40" s="696"/>
      <c r="E40" s="697">
        <f>VLOOKUP(C40,TONGHOPCONGDOI!C208:Q272,15,0)</f>
        <v>0</v>
      </c>
      <c r="F40" s="696">
        <f t="shared" si="1"/>
        <v>0</v>
      </c>
      <c r="G40" s="696">
        <f>VLOOKUP(C40,TONGHOPCONGDOI!C208:AD272,16,0)</f>
        <v>0</v>
      </c>
      <c r="H40" s="696">
        <f>VLOOKUP(C40,TONGHOPCONGDOI!C208:AD272,17,0)</f>
        <v>0</v>
      </c>
      <c r="I40" s="696"/>
      <c r="J40" s="1556" t="e">
        <f t="shared" si="6"/>
        <v>#DIV/0!</v>
      </c>
      <c r="K40" s="683" t="str">
        <f>VLOOKUP(C40,'BTH mủ tạp'!C206:AL267,36,0)</f>
        <v>A</v>
      </c>
      <c r="L40" s="1185" t="e">
        <f t="shared" si="2"/>
        <v>#DIV/0!</v>
      </c>
      <c r="M40" s="696">
        <f>VLOOKUP(C40,TONGHOPCONGDOI!$C$185:$AD$248,20,0)</f>
        <v>0</v>
      </c>
      <c r="N40" s="696">
        <f>VLOOKUP(C40,TONGHOPCONGDOI!$C$185:$AD$248,21,0)</f>
        <v>0</v>
      </c>
      <c r="O40" s="696">
        <f>VLOOKUP(C40,TONGHOPCONGDOI!$C$185:$AD$248,22,0)</f>
        <v>0</v>
      </c>
      <c r="P40" s="696">
        <f>VLOOKUP(C40,TONGHOPCONGDOI!$C$185:$AD$248,23,0)</f>
        <v>0</v>
      </c>
      <c r="Q40" s="696">
        <f>VLOOKUP(C40,TONGHOPCONGDOI!$C$185:$AD$248,24,0)</f>
        <v>0</v>
      </c>
      <c r="R40" s="696">
        <f>VLOOKUP(C40,TONGHOPCONGDOI!$C$185:$AD$248,25,0)</f>
        <v>0</v>
      </c>
      <c r="S40" s="696"/>
      <c r="T40" s="685">
        <f t="shared" si="3"/>
        <v>0</v>
      </c>
      <c r="U40" s="685">
        <f t="shared" si="4"/>
        <v>0</v>
      </c>
      <c r="V40" s="685"/>
      <c r="W40" s="1725">
        <f t="shared" si="7"/>
        <v>0</v>
      </c>
      <c r="X40" s="696" t="e">
        <f t="shared" si="0"/>
        <v>#DIV/0!</v>
      </c>
      <c r="Y40" s="696"/>
      <c r="Z40" s="696">
        <f>VLOOKUP(C40,'CNKT '!$C$190:$Z$253,24,0)</f>
        <v>0</v>
      </c>
      <c r="AA40" s="591" t="e">
        <f t="shared" si="5"/>
        <v>#DIV/0!</v>
      </c>
    </row>
    <row r="41" spans="1:27" s="591" customFormat="1" ht="42.75" hidden="1" customHeight="1">
      <c r="A41" s="683">
        <v>25</v>
      </c>
      <c r="B41" s="696" t="str">
        <f>'Chấm công KT'!D116</f>
        <v>03538</v>
      </c>
      <c r="C41" s="696" t="str">
        <f>TONGHOPCONGDOI!C209</f>
        <v>T. Cỏ</v>
      </c>
      <c r="D41" s="696"/>
      <c r="E41" s="697">
        <f>VLOOKUP(C41,TONGHOPCONGDOI!C209:Q273,15,0)</f>
        <v>0</v>
      </c>
      <c r="F41" s="696">
        <f t="shared" si="1"/>
        <v>0</v>
      </c>
      <c r="G41" s="696">
        <f>VLOOKUP(C41,TONGHOPCONGDOI!C209:AD273,16,0)</f>
        <v>0</v>
      </c>
      <c r="H41" s="696">
        <f>VLOOKUP(C41,TONGHOPCONGDOI!C209:AD273,17,0)</f>
        <v>0</v>
      </c>
      <c r="I41" s="696"/>
      <c r="J41" s="1556" t="e">
        <f t="shared" si="6"/>
        <v>#DIV/0!</v>
      </c>
      <c r="K41" s="683" t="str">
        <f>VLOOKUP(C41,'BTH mủ tạp'!C207:AL268,36,0)</f>
        <v>A</v>
      </c>
      <c r="L41" s="1185" t="e">
        <f t="shared" si="2"/>
        <v>#DIV/0!</v>
      </c>
      <c r="M41" s="696">
        <f>VLOOKUP(C41,TONGHOPCONGDOI!$C$185:$AD$248,20,0)</f>
        <v>0</v>
      </c>
      <c r="N41" s="696">
        <f>VLOOKUP(C41,TONGHOPCONGDOI!$C$185:$AD$248,21,0)</f>
        <v>0</v>
      </c>
      <c r="O41" s="696">
        <f>VLOOKUP(C41,TONGHOPCONGDOI!$C$185:$AD$248,22,0)</f>
        <v>0</v>
      </c>
      <c r="P41" s="696">
        <f>VLOOKUP(C41,TONGHOPCONGDOI!$C$185:$AD$248,23,0)</f>
        <v>0</v>
      </c>
      <c r="Q41" s="696">
        <f>VLOOKUP(C41,TONGHOPCONGDOI!$C$185:$AD$248,24,0)</f>
        <v>0</v>
      </c>
      <c r="R41" s="696">
        <f>VLOOKUP(C41,TONGHOPCONGDOI!$C$185:$AD$248,25,0)</f>
        <v>0</v>
      </c>
      <c r="S41" s="696"/>
      <c r="T41" s="685">
        <f t="shared" si="3"/>
        <v>0</v>
      </c>
      <c r="U41" s="685">
        <f t="shared" si="4"/>
        <v>0</v>
      </c>
      <c r="V41" s="685"/>
      <c r="W41" s="1725">
        <f t="shared" si="7"/>
        <v>0</v>
      </c>
      <c r="X41" s="696" t="e">
        <f t="shared" si="0"/>
        <v>#DIV/0!</v>
      </c>
      <c r="Y41" s="696"/>
      <c r="Z41" s="696">
        <f>VLOOKUP(C41,'CNKT '!$C$190:$Z$253,24,0)</f>
        <v>0</v>
      </c>
      <c r="AA41" s="591" t="e">
        <f t="shared" si="5"/>
        <v>#DIV/0!</v>
      </c>
    </row>
    <row r="42" spans="1:27" s="591" customFormat="1" ht="42.75" hidden="1" customHeight="1">
      <c r="A42" s="683">
        <v>26</v>
      </c>
      <c r="B42" s="696"/>
      <c r="C42" s="696" t="str">
        <f>TONGHOPCONGDOI!C210</f>
        <v>N. Phu Văn</v>
      </c>
      <c r="D42" s="696"/>
      <c r="E42" s="697">
        <f>VLOOKUP(C42,TONGHOPCONGDOI!C210:Q274,15,0)</f>
        <v>0</v>
      </c>
      <c r="F42" s="696">
        <f t="shared" si="1"/>
        <v>0</v>
      </c>
      <c r="G42" s="696">
        <f>VLOOKUP(C42,TONGHOPCONGDOI!C210:AD274,16,0)</f>
        <v>0</v>
      </c>
      <c r="H42" s="696">
        <f>VLOOKUP(C42,TONGHOPCONGDOI!C210:AD274,17,0)</f>
        <v>0</v>
      </c>
      <c r="I42" s="696"/>
      <c r="J42" s="1556" t="e">
        <f t="shared" si="6"/>
        <v>#DIV/0!</v>
      </c>
      <c r="K42" s="683" t="str">
        <f>VLOOKUP(C42,'BTH mủ tạp'!C208:AL269,36,0)</f>
        <v>A</v>
      </c>
      <c r="L42" s="1185" t="e">
        <f t="shared" si="2"/>
        <v>#DIV/0!</v>
      </c>
      <c r="M42" s="696">
        <f>VLOOKUP(C42,TONGHOPCONGDOI!$C$185:$AD$248,20,0)</f>
        <v>0</v>
      </c>
      <c r="N42" s="696">
        <f>VLOOKUP(C42,TONGHOPCONGDOI!$C$185:$AD$248,21,0)</f>
        <v>0</v>
      </c>
      <c r="O42" s="696">
        <f>VLOOKUP(C42,TONGHOPCONGDOI!$C$185:$AD$248,22,0)</f>
        <v>0</v>
      </c>
      <c r="P42" s="696">
        <f>VLOOKUP(C42,TONGHOPCONGDOI!$C$185:$AD$248,23,0)</f>
        <v>0</v>
      </c>
      <c r="Q42" s="696">
        <f>VLOOKUP(C42,TONGHOPCONGDOI!$C$185:$AD$248,24,0)</f>
        <v>0</v>
      </c>
      <c r="R42" s="696">
        <f>VLOOKUP(C42,TONGHOPCONGDOI!$C$185:$AD$248,25,0)</f>
        <v>0</v>
      </c>
      <c r="S42" s="696"/>
      <c r="T42" s="685">
        <f t="shared" si="3"/>
        <v>0</v>
      </c>
      <c r="U42" s="685">
        <f t="shared" si="4"/>
        <v>0</v>
      </c>
      <c r="V42" s="685"/>
      <c r="W42" s="1725">
        <f t="shared" si="7"/>
        <v>0</v>
      </c>
      <c r="X42" s="696" t="e">
        <f t="shared" si="0"/>
        <v>#DIV/0!</v>
      </c>
      <c r="Y42" s="696"/>
      <c r="Z42" s="696">
        <f>VLOOKUP(C42,'CNKT '!$C$190:$Z$253,24,0)</f>
        <v>0</v>
      </c>
      <c r="AA42" s="591" t="e">
        <f t="shared" si="5"/>
        <v>#DIV/0!</v>
      </c>
    </row>
    <row r="43" spans="1:27" s="591" customFormat="1" ht="42.75" hidden="1" customHeight="1">
      <c r="A43" s="683">
        <v>27</v>
      </c>
      <c r="B43" s="696" t="str">
        <f>'Chấm công KT'!D118</f>
        <v>03540</v>
      </c>
      <c r="C43" s="696" t="str">
        <f>TONGHOPCONGDOI!C211</f>
        <v>N. Lỷ</v>
      </c>
      <c r="D43" s="696"/>
      <c r="E43" s="697">
        <f>VLOOKUP(C43,TONGHOPCONGDOI!C211:Q275,15,0)</f>
        <v>0</v>
      </c>
      <c r="F43" s="696">
        <f t="shared" si="1"/>
        <v>0</v>
      </c>
      <c r="G43" s="696">
        <f>VLOOKUP(C43,TONGHOPCONGDOI!C211:AD275,16,0)</f>
        <v>0</v>
      </c>
      <c r="H43" s="696">
        <f>VLOOKUP(C43,TONGHOPCONGDOI!C211:AD275,17,0)</f>
        <v>0</v>
      </c>
      <c r="I43" s="696"/>
      <c r="J43" s="1556" t="e">
        <f t="shared" si="6"/>
        <v>#DIV/0!</v>
      </c>
      <c r="K43" s="683" t="str">
        <f>VLOOKUP(C43,'BTH mủ tạp'!C209:AL270,36,0)</f>
        <v>A</v>
      </c>
      <c r="L43" s="1185" t="e">
        <f t="shared" si="2"/>
        <v>#DIV/0!</v>
      </c>
      <c r="M43" s="696">
        <f>VLOOKUP(C43,TONGHOPCONGDOI!$C$185:$AD$248,20,0)</f>
        <v>0</v>
      </c>
      <c r="N43" s="696">
        <f>VLOOKUP(C43,TONGHOPCONGDOI!$C$185:$AD$248,21,0)</f>
        <v>0</v>
      </c>
      <c r="O43" s="696">
        <f>VLOOKUP(C43,TONGHOPCONGDOI!$C$185:$AD$248,22,0)</f>
        <v>0</v>
      </c>
      <c r="P43" s="696">
        <f>VLOOKUP(C43,TONGHOPCONGDOI!$C$185:$AD$248,23,0)</f>
        <v>0</v>
      </c>
      <c r="Q43" s="696">
        <f>VLOOKUP(C43,TONGHOPCONGDOI!$C$185:$AD$248,24,0)</f>
        <v>0</v>
      </c>
      <c r="R43" s="696">
        <f>VLOOKUP(C43,TONGHOPCONGDOI!$C$185:$AD$248,25,0)</f>
        <v>0</v>
      </c>
      <c r="S43" s="696"/>
      <c r="T43" s="685">
        <f t="shared" si="3"/>
        <v>0</v>
      </c>
      <c r="U43" s="685">
        <f t="shared" si="4"/>
        <v>0</v>
      </c>
      <c r="V43" s="685"/>
      <c r="W43" s="1725">
        <f t="shared" si="7"/>
        <v>0</v>
      </c>
      <c r="X43" s="696" t="e">
        <f t="shared" si="0"/>
        <v>#DIV/0!</v>
      </c>
      <c r="Y43" s="696"/>
      <c r="Z43" s="696">
        <f>VLOOKUP(C43,'CNKT '!$C$190:$Z$253,24,0)</f>
        <v>0</v>
      </c>
      <c r="AA43" s="591" t="e">
        <f t="shared" si="5"/>
        <v>#DIV/0!</v>
      </c>
    </row>
    <row r="44" spans="1:27" s="591" customFormat="1" ht="42.75" hidden="1" customHeight="1">
      <c r="A44" s="683">
        <v>28</v>
      </c>
      <c r="B44" s="696" t="str">
        <f>'Chấm công KT'!D119</f>
        <v>03541</v>
      </c>
      <c r="C44" s="696" t="str">
        <f>TONGHOPCONGDOI!C212</f>
        <v>T. Vy</v>
      </c>
      <c r="D44" s="696"/>
      <c r="E44" s="697">
        <f>VLOOKUP(C44,TONGHOPCONGDOI!C212:Q276,15,0)</f>
        <v>0</v>
      </c>
      <c r="F44" s="696">
        <f t="shared" si="1"/>
        <v>0</v>
      </c>
      <c r="G44" s="696">
        <f>VLOOKUP(C44,TONGHOPCONGDOI!C212:AD276,16,0)</f>
        <v>0</v>
      </c>
      <c r="H44" s="696">
        <f>VLOOKUP(C44,TONGHOPCONGDOI!C212:AD276,17,0)</f>
        <v>0</v>
      </c>
      <c r="I44" s="696"/>
      <c r="J44" s="1556" t="e">
        <f t="shared" si="6"/>
        <v>#DIV/0!</v>
      </c>
      <c r="K44" s="683" t="str">
        <f>VLOOKUP(C44,'BTH mủ tạp'!C210:AL271,36,0)</f>
        <v>A</v>
      </c>
      <c r="L44" s="1185" t="e">
        <f t="shared" si="2"/>
        <v>#DIV/0!</v>
      </c>
      <c r="M44" s="696">
        <f>VLOOKUP(C44,TONGHOPCONGDOI!$C$185:$AD$248,20,0)</f>
        <v>0</v>
      </c>
      <c r="N44" s="696">
        <f>VLOOKUP(C44,TONGHOPCONGDOI!$C$185:$AD$248,21,0)</f>
        <v>0</v>
      </c>
      <c r="O44" s="696">
        <f>VLOOKUP(C44,TONGHOPCONGDOI!$C$185:$AD$248,22,0)</f>
        <v>0</v>
      </c>
      <c r="P44" s="696">
        <f>VLOOKUP(C44,TONGHOPCONGDOI!$C$185:$AD$248,23,0)</f>
        <v>0</v>
      </c>
      <c r="Q44" s="696">
        <f>VLOOKUP(C44,TONGHOPCONGDOI!$C$185:$AD$248,24,0)</f>
        <v>0</v>
      </c>
      <c r="R44" s="696">
        <f>VLOOKUP(C44,TONGHOPCONGDOI!$C$185:$AD$248,25,0)</f>
        <v>0</v>
      </c>
      <c r="S44" s="696"/>
      <c r="T44" s="685">
        <f t="shared" si="3"/>
        <v>0</v>
      </c>
      <c r="U44" s="685">
        <f t="shared" si="4"/>
        <v>0</v>
      </c>
      <c r="V44" s="685"/>
      <c r="W44" s="1725">
        <f t="shared" si="7"/>
        <v>0</v>
      </c>
      <c r="X44" s="696" t="e">
        <f t="shared" si="0"/>
        <v>#DIV/0!</v>
      </c>
      <c r="Y44" s="696"/>
      <c r="Z44" s="696">
        <f>VLOOKUP(C44,'CNKT '!$C$190:$Z$253,24,0)</f>
        <v>0</v>
      </c>
      <c r="AA44" s="591" t="e">
        <f t="shared" si="5"/>
        <v>#DIV/0!</v>
      </c>
    </row>
    <row r="45" spans="1:27" s="591" customFormat="1" ht="42.75" hidden="1" customHeight="1">
      <c r="A45" s="683">
        <v>29</v>
      </c>
      <c r="B45" s="696" t="str">
        <f>'Chấm công KT'!D120</f>
        <v>03542</v>
      </c>
      <c r="C45" s="696" t="str">
        <f>TONGHOPCONGDOI!C213</f>
        <v>T. Xi Nuôn</v>
      </c>
      <c r="D45" s="696"/>
      <c r="E45" s="697">
        <f>VLOOKUP(C45,TONGHOPCONGDOI!C213:Q277,15,0)</f>
        <v>0</v>
      </c>
      <c r="F45" s="696">
        <f t="shared" si="1"/>
        <v>0</v>
      </c>
      <c r="G45" s="696">
        <f>VLOOKUP(C45,TONGHOPCONGDOI!C213:AD277,16,0)</f>
        <v>0</v>
      </c>
      <c r="H45" s="696">
        <f>VLOOKUP(C45,TONGHOPCONGDOI!C213:AD277,17,0)</f>
        <v>0</v>
      </c>
      <c r="I45" s="696"/>
      <c r="J45" s="1556" t="e">
        <f t="shared" si="6"/>
        <v>#DIV/0!</v>
      </c>
      <c r="K45" s="683" t="str">
        <f>VLOOKUP(C45,'BTH mủ tạp'!C211:AL272,36,0)</f>
        <v>B</v>
      </c>
      <c r="L45" s="1185" t="e">
        <f t="shared" si="2"/>
        <v>#DIV/0!</v>
      </c>
      <c r="M45" s="696">
        <f>VLOOKUP(C45,TONGHOPCONGDOI!$C$185:$AD$248,20,0)</f>
        <v>0</v>
      </c>
      <c r="N45" s="696">
        <f>VLOOKUP(C45,TONGHOPCONGDOI!$C$185:$AD$248,21,0)</f>
        <v>0</v>
      </c>
      <c r="O45" s="696">
        <f>VLOOKUP(C45,TONGHOPCONGDOI!$C$185:$AD$248,22,0)</f>
        <v>0</v>
      </c>
      <c r="P45" s="696">
        <f>VLOOKUP(C45,TONGHOPCONGDOI!$C$185:$AD$248,23,0)</f>
        <v>0</v>
      </c>
      <c r="Q45" s="696">
        <f>VLOOKUP(C45,TONGHOPCONGDOI!$C$185:$AD$248,24,0)</f>
        <v>0</v>
      </c>
      <c r="R45" s="696">
        <f>VLOOKUP(C45,TONGHOPCONGDOI!$C$185:$AD$248,25,0)</f>
        <v>0</v>
      </c>
      <c r="S45" s="696"/>
      <c r="T45" s="685">
        <f t="shared" si="3"/>
        <v>0</v>
      </c>
      <c r="U45" s="685">
        <f t="shared" si="4"/>
        <v>0</v>
      </c>
      <c r="V45" s="685"/>
      <c r="W45" s="1725">
        <f t="shared" si="7"/>
        <v>0</v>
      </c>
      <c r="X45" s="696" t="e">
        <f t="shared" si="0"/>
        <v>#DIV/0!</v>
      </c>
      <c r="Y45" s="696"/>
      <c r="Z45" s="696">
        <f>VLOOKUP(C45,'CNKT '!$C$190:$Z$253,24,0)</f>
        <v>0</v>
      </c>
      <c r="AA45" s="591" t="e">
        <f t="shared" si="5"/>
        <v>#DIV/0!</v>
      </c>
    </row>
    <row r="46" spans="1:27" s="591" customFormat="1" ht="42.75" hidden="1" customHeight="1">
      <c r="A46" s="683">
        <v>30</v>
      </c>
      <c r="B46" s="696" t="str">
        <f>'Chấm công KT'!D121</f>
        <v>03543</v>
      </c>
      <c r="C46" s="696" t="str">
        <f>TONGHOPCONGDOI!C214</f>
        <v>N. Ốc</v>
      </c>
      <c r="D46" s="696"/>
      <c r="E46" s="697">
        <f>VLOOKUP(C46,TONGHOPCONGDOI!C214:Q278,15,0)</f>
        <v>0</v>
      </c>
      <c r="F46" s="696">
        <f t="shared" si="1"/>
        <v>0</v>
      </c>
      <c r="G46" s="696">
        <f>VLOOKUP(C46,TONGHOPCONGDOI!C214:AD278,16,0)</f>
        <v>0</v>
      </c>
      <c r="H46" s="696">
        <f>VLOOKUP(C46,TONGHOPCONGDOI!C214:AD278,17,0)</f>
        <v>0</v>
      </c>
      <c r="I46" s="696"/>
      <c r="J46" s="1556" t="e">
        <f t="shared" si="6"/>
        <v>#DIV/0!</v>
      </c>
      <c r="K46" s="683" t="str">
        <f>VLOOKUP(C46,'BTH mủ tạp'!C212:AL273,36,0)</f>
        <v>A</v>
      </c>
      <c r="L46" s="1185" t="e">
        <f t="shared" si="2"/>
        <v>#DIV/0!</v>
      </c>
      <c r="M46" s="696">
        <f>VLOOKUP(C46,TONGHOPCONGDOI!$C$185:$AD$248,20,0)</f>
        <v>0</v>
      </c>
      <c r="N46" s="696">
        <f>VLOOKUP(C46,TONGHOPCONGDOI!$C$185:$AD$248,21,0)</f>
        <v>0</v>
      </c>
      <c r="O46" s="696">
        <f>VLOOKUP(C46,TONGHOPCONGDOI!$C$185:$AD$248,22,0)</f>
        <v>0</v>
      </c>
      <c r="P46" s="696">
        <f>VLOOKUP(C46,TONGHOPCONGDOI!$C$185:$AD$248,23,0)</f>
        <v>0</v>
      </c>
      <c r="Q46" s="696">
        <f>VLOOKUP(C46,TONGHOPCONGDOI!$C$185:$AD$248,24,0)</f>
        <v>0</v>
      </c>
      <c r="R46" s="696">
        <f>VLOOKUP(C46,TONGHOPCONGDOI!$C$185:$AD$248,25,0)</f>
        <v>0</v>
      </c>
      <c r="S46" s="696"/>
      <c r="T46" s="685">
        <f t="shared" si="3"/>
        <v>0</v>
      </c>
      <c r="U46" s="685">
        <f t="shared" si="4"/>
        <v>0</v>
      </c>
      <c r="V46" s="685"/>
      <c r="W46" s="1725">
        <f t="shared" si="7"/>
        <v>0</v>
      </c>
      <c r="X46" s="696" t="e">
        <f t="shared" si="0"/>
        <v>#DIV/0!</v>
      </c>
      <c r="Y46" s="696"/>
      <c r="Z46" s="696">
        <f>VLOOKUP(C46,'CNKT '!$C$190:$Z$253,24,0)</f>
        <v>0</v>
      </c>
      <c r="AA46" s="591" t="e">
        <f t="shared" si="5"/>
        <v>#DIV/0!</v>
      </c>
    </row>
    <row r="47" spans="1:27" s="591" customFormat="1" ht="42.75" hidden="1" customHeight="1">
      <c r="A47" s="683">
        <v>31</v>
      </c>
      <c r="B47" s="696" t="str">
        <f>'Chấm công KT'!D122</f>
        <v>03544</v>
      </c>
      <c r="C47" s="696" t="str">
        <f>TONGHOPCONGDOI!C215</f>
        <v>T. Văn Nô</v>
      </c>
      <c r="D47" s="696"/>
      <c r="E47" s="697">
        <f>VLOOKUP(C47,TONGHOPCONGDOI!C215:Q279,15,0)</f>
        <v>0</v>
      </c>
      <c r="F47" s="696">
        <f t="shared" si="1"/>
        <v>0</v>
      </c>
      <c r="G47" s="696">
        <f>VLOOKUP(C47,TONGHOPCONGDOI!C215:AD279,16,0)</f>
        <v>0</v>
      </c>
      <c r="H47" s="696">
        <f>VLOOKUP(C47,TONGHOPCONGDOI!C215:AD279,17,0)</f>
        <v>0</v>
      </c>
      <c r="I47" s="696"/>
      <c r="J47" s="1556" t="e">
        <f t="shared" si="6"/>
        <v>#DIV/0!</v>
      </c>
      <c r="K47" s="683" t="str">
        <f>VLOOKUP(C47,'BTH mủ tạp'!C213:AL274,36,0)</f>
        <v>A</v>
      </c>
      <c r="L47" s="1185" t="e">
        <f t="shared" si="2"/>
        <v>#DIV/0!</v>
      </c>
      <c r="M47" s="696">
        <f>VLOOKUP(C47,TONGHOPCONGDOI!$C$185:$AD$248,20,0)</f>
        <v>0</v>
      </c>
      <c r="N47" s="696">
        <f>VLOOKUP(C47,TONGHOPCONGDOI!$C$185:$AD$248,21,0)</f>
        <v>0</v>
      </c>
      <c r="O47" s="696">
        <f>VLOOKUP(C47,TONGHOPCONGDOI!$C$185:$AD$248,22,0)</f>
        <v>0</v>
      </c>
      <c r="P47" s="696">
        <f>VLOOKUP(C47,TONGHOPCONGDOI!$C$185:$AD$248,23,0)</f>
        <v>0</v>
      </c>
      <c r="Q47" s="696">
        <f>VLOOKUP(C47,TONGHOPCONGDOI!$C$185:$AD$248,24,0)</f>
        <v>0</v>
      </c>
      <c r="R47" s="696">
        <f>VLOOKUP(C47,TONGHOPCONGDOI!$C$185:$AD$248,25,0)</f>
        <v>0</v>
      </c>
      <c r="S47" s="696"/>
      <c r="T47" s="685">
        <f t="shared" si="3"/>
        <v>0</v>
      </c>
      <c r="U47" s="685">
        <f t="shared" si="4"/>
        <v>0</v>
      </c>
      <c r="V47" s="685"/>
      <c r="W47" s="1725">
        <f t="shared" si="7"/>
        <v>0</v>
      </c>
      <c r="X47" s="696" t="e">
        <f t="shared" si="0"/>
        <v>#DIV/0!</v>
      </c>
      <c r="Y47" s="696"/>
      <c r="Z47" s="696">
        <f>VLOOKUP(C47,'CNKT '!$C$190:$Z$253,24,0)</f>
        <v>0</v>
      </c>
      <c r="AA47" s="591" t="e">
        <f t="shared" si="5"/>
        <v>#DIV/0!</v>
      </c>
    </row>
    <row r="48" spans="1:27" s="591" customFormat="1" ht="42.75" hidden="1" customHeight="1">
      <c r="A48" s="683">
        <v>32</v>
      </c>
      <c r="B48" s="696" t="str">
        <f>'Chấm công KT'!D123</f>
        <v>03545</v>
      </c>
      <c r="C48" s="696" t="str">
        <f>TONGHOPCONGDOI!C216</f>
        <v>N. Văn Ta</v>
      </c>
      <c r="D48" s="696"/>
      <c r="E48" s="697">
        <f>VLOOKUP(C48,TONGHOPCONGDOI!C216:Q280,15,0)</f>
        <v>0</v>
      </c>
      <c r="F48" s="696">
        <f t="shared" si="1"/>
        <v>0</v>
      </c>
      <c r="G48" s="696">
        <f>VLOOKUP(C48,TONGHOPCONGDOI!C216:AD280,16,0)</f>
        <v>0</v>
      </c>
      <c r="H48" s="696">
        <f>VLOOKUP(C48,TONGHOPCONGDOI!C216:AD280,17,0)</f>
        <v>0</v>
      </c>
      <c r="I48" s="696"/>
      <c r="J48" s="1556" t="e">
        <f t="shared" si="6"/>
        <v>#DIV/0!</v>
      </c>
      <c r="K48" s="683" t="str">
        <f>VLOOKUP(C48,'BTH mủ tạp'!C214:AL275,36,0)</f>
        <v>B</v>
      </c>
      <c r="L48" s="1185" t="e">
        <f t="shared" si="2"/>
        <v>#DIV/0!</v>
      </c>
      <c r="M48" s="696">
        <f>VLOOKUP(C48,TONGHOPCONGDOI!$C$185:$AD$248,20,0)</f>
        <v>0</v>
      </c>
      <c r="N48" s="696">
        <f>VLOOKUP(C48,TONGHOPCONGDOI!$C$185:$AD$248,21,0)</f>
        <v>0</v>
      </c>
      <c r="O48" s="696">
        <f>VLOOKUP(C48,TONGHOPCONGDOI!$C$185:$AD$248,22,0)</f>
        <v>0</v>
      </c>
      <c r="P48" s="696">
        <f>VLOOKUP(C48,TONGHOPCONGDOI!$C$185:$AD$248,23,0)</f>
        <v>0</v>
      </c>
      <c r="Q48" s="696">
        <f>VLOOKUP(C48,TONGHOPCONGDOI!$C$185:$AD$248,24,0)</f>
        <v>0</v>
      </c>
      <c r="R48" s="696">
        <f>VLOOKUP(C48,TONGHOPCONGDOI!$C$185:$AD$248,25,0)</f>
        <v>0</v>
      </c>
      <c r="S48" s="696"/>
      <c r="T48" s="685">
        <f t="shared" si="3"/>
        <v>0</v>
      </c>
      <c r="U48" s="685">
        <f t="shared" si="4"/>
        <v>0</v>
      </c>
      <c r="V48" s="685"/>
      <c r="W48" s="1725">
        <f t="shared" si="7"/>
        <v>0</v>
      </c>
      <c r="X48" s="696" t="e">
        <f t="shared" si="0"/>
        <v>#DIV/0!</v>
      </c>
      <c r="Y48" s="696"/>
      <c r="Z48" s="696">
        <f>VLOOKUP(C48,'CNKT '!$C$190:$Z$253,24,0)</f>
        <v>0</v>
      </c>
      <c r="AA48" s="591" t="e">
        <f t="shared" si="5"/>
        <v>#DIV/0!</v>
      </c>
    </row>
    <row r="49" spans="1:27" s="591" customFormat="1" ht="42.75" hidden="1" customHeight="1">
      <c r="A49" s="683">
        <v>33</v>
      </c>
      <c r="B49" s="696" t="str">
        <f>'Chấm công KT'!D124</f>
        <v>03546</v>
      </c>
      <c r="C49" s="696" t="str">
        <f>TONGHOPCONGDOI!C217</f>
        <v>T. Thon</v>
      </c>
      <c r="D49" s="696"/>
      <c r="E49" s="697">
        <f>VLOOKUP(C49,TONGHOPCONGDOI!C217:Q281,15,0)</f>
        <v>0</v>
      </c>
      <c r="F49" s="696">
        <f t="shared" si="1"/>
        <v>0</v>
      </c>
      <c r="G49" s="696">
        <f>VLOOKUP(C49,TONGHOPCONGDOI!C217:AD281,16,0)</f>
        <v>0</v>
      </c>
      <c r="H49" s="696">
        <f>VLOOKUP(C49,TONGHOPCONGDOI!C217:AD281,17,0)</f>
        <v>0</v>
      </c>
      <c r="I49" s="696"/>
      <c r="J49" s="1556" t="e">
        <f t="shared" si="6"/>
        <v>#DIV/0!</v>
      </c>
      <c r="K49" s="683" t="str">
        <f>VLOOKUP(C49,'BTH mủ tạp'!C215:AL276,36,0)</f>
        <v>A</v>
      </c>
      <c r="L49" s="1185" t="e">
        <f t="shared" si="2"/>
        <v>#DIV/0!</v>
      </c>
      <c r="M49" s="696">
        <f>VLOOKUP(C49,TONGHOPCONGDOI!$C$185:$AD$248,20,0)</f>
        <v>0</v>
      </c>
      <c r="N49" s="696">
        <f>VLOOKUP(C49,TONGHOPCONGDOI!$C$185:$AD$248,21,0)</f>
        <v>0</v>
      </c>
      <c r="O49" s="696">
        <f>VLOOKUP(C49,TONGHOPCONGDOI!$C$185:$AD$248,22,0)</f>
        <v>0</v>
      </c>
      <c r="P49" s="696">
        <f>VLOOKUP(C49,TONGHOPCONGDOI!$C$185:$AD$248,23,0)</f>
        <v>0</v>
      </c>
      <c r="Q49" s="696">
        <f>VLOOKUP(C49,TONGHOPCONGDOI!$C$185:$AD$248,24,0)</f>
        <v>0</v>
      </c>
      <c r="R49" s="696">
        <f>VLOOKUP(C49,TONGHOPCONGDOI!$C$185:$AD$248,25,0)</f>
        <v>0</v>
      </c>
      <c r="S49" s="696"/>
      <c r="T49" s="685">
        <f t="shared" si="3"/>
        <v>0</v>
      </c>
      <c r="U49" s="685">
        <f t="shared" si="4"/>
        <v>0</v>
      </c>
      <c r="V49" s="685"/>
      <c r="W49" s="1725">
        <f t="shared" si="7"/>
        <v>0</v>
      </c>
      <c r="X49" s="696" t="e">
        <f t="shared" ref="X49:X80" si="8">F49+L49+W49</f>
        <v>#DIV/0!</v>
      </c>
      <c r="Y49" s="696"/>
      <c r="Z49" s="696">
        <f>VLOOKUP(C49,'CNKT '!$C$190:$Z$253,24,0)</f>
        <v>0</v>
      </c>
      <c r="AA49" s="591" t="e">
        <f t="shared" si="5"/>
        <v>#DIV/0!</v>
      </c>
    </row>
    <row r="50" spans="1:27" s="591" customFormat="1" ht="42.75" hidden="1" customHeight="1">
      <c r="A50" s="683">
        <v>34</v>
      </c>
      <c r="B50" s="696" t="str">
        <f>'Chấm công KT'!D125</f>
        <v>03547</v>
      </c>
      <c r="C50" s="696" t="str">
        <f>TONGHOPCONGDOI!C218</f>
        <v>Bun Thon</v>
      </c>
      <c r="D50" s="696"/>
      <c r="E50" s="697">
        <f>VLOOKUP(C50,TONGHOPCONGDOI!C218:Q282,15,0)</f>
        <v>0</v>
      </c>
      <c r="F50" s="696">
        <f t="shared" si="1"/>
        <v>0</v>
      </c>
      <c r="G50" s="696">
        <f>VLOOKUP(C50,TONGHOPCONGDOI!C218:AD282,16,0)</f>
        <v>0</v>
      </c>
      <c r="H50" s="696">
        <f>VLOOKUP(C50,TONGHOPCONGDOI!C218:AD282,17,0)</f>
        <v>0</v>
      </c>
      <c r="I50" s="696"/>
      <c r="J50" s="1556" t="e">
        <f t="shared" si="6"/>
        <v>#DIV/0!</v>
      </c>
      <c r="K50" s="683" t="str">
        <f>VLOOKUP(C50,'BTH mủ tạp'!C216:AL277,36,0)</f>
        <v>A</v>
      </c>
      <c r="L50" s="1185" t="e">
        <f t="shared" si="2"/>
        <v>#DIV/0!</v>
      </c>
      <c r="M50" s="696">
        <f>VLOOKUP(C50,TONGHOPCONGDOI!$C$185:$AD$248,20,0)</f>
        <v>0</v>
      </c>
      <c r="N50" s="696">
        <f>VLOOKUP(C50,TONGHOPCONGDOI!$C$185:$AD$248,21,0)</f>
        <v>0</v>
      </c>
      <c r="O50" s="696">
        <f>VLOOKUP(C50,TONGHOPCONGDOI!$C$185:$AD$248,22,0)</f>
        <v>0</v>
      </c>
      <c r="P50" s="696">
        <f>VLOOKUP(C50,TONGHOPCONGDOI!$C$185:$AD$248,23,0)</f>
        <v>0</v>
      </c>
      <c r="Q50" s="696">
        <f>VLOOKUP(C50,TONGHOPCONGDOI!$C$185:$AD$248,24,0)</f>
        <v>0</v>
      </c>
      <c r="R50" s="696">
        <f>VLOOKUP(C50,TONGHOPCONGDOI!$C$185:$AD$248,25,0)</f>
        <v>0</v>
      </c>
      <c r="S50" s="696"/>
      <c r="T50" s="685">
        <f t="shared" si="3"/>
        <v>0</v>
      </c>
      <c r="U50" s="685">
        <f t="shared" si="4"/>
        <v>0</v>
      </c>
      <c r="V50" s="685"/>
      <c r="W50" s="1725">
        <f t="shared" si="7"/>
        <v>0</v>
      </c>
      <c r="X50" s="696" t="e">
        <f t="shared" si="8"/>
        <v>#DIV/0!</v>
      </c>
      <c r="Y50" s="696"/>
      <c r="Z50" s="696">
        <f>VLOOKUP(C50,'CNKT '!$C$190:$Z$253,24,0)</f>
        <v>0</v>
      </c>
      <c r="AA50" s="591" t="e">
        <f t="shared" si="5"/>
        <v>#DIV/0!</v>
      </c>
    </row>
    <row r="51" spans="1:27" s="591" customFormat="1" ht="42.75" hidden="1" customHeight="1">
      <c r="A51" s="683">
        <v>35</v>
      </c>
      <c r="B51" s="696"/>
      <c r="C51" s="696" t="str">
        <f>TONGHOPCONGDOI!C219</f>
        <v>N. Túc</v>
      </c>
      <c r="D51" s="696"/>
      <c r="E51" s="697">
        <f>VLOOKUP(C51,TONGHOPCONGDOI!C219:Q283,15,0)</f>
        <v>0</v>
      </c>
      <c r="F51" s="696">
        <f t="shared" si="1"/>
        <v>0</v>
      </c>
      <c r="G51" s="696">
        <f>VLOOKUP(C51,TONGHOPCONGDOI!C219:AD283,16,0)</f>
        <v>0</v>
      </c>
      <c r="H51" s="696">
        <f>VLOOKUP(C51,TONGHOPCONGDOI!C219:AD283,17,0)</f>
        <v>0</v>
      </c>
      <c r="I51" s="696"/>
      <c r="J51" s="1556" t="e">
        <f t="shared" si="6"/>
        <v>#DIV/0!</v>
      </c>
      <c r="K51" s="683" t="str">
        <f>VLOOKUP(C51,'BTH mủ tạp'!C217:AL278,36,0)</f>
        <v>A</v>
      </c>
      <c r="L51" s="1185" t="e">
        <f t="shared" si="2"/>
        <v>#DIV/0!</v>
      </c>
      <c r="M51" s="696">
        <f>VLOOKUP(C51,TONGHOPCONGDOI!$C$185:$AD$248,20,0)</f>
        <v>0</v>
      </c>
      <c r="N51" s="696">
        <f>VLOOKUP(C51,TONGHOPCONGDOI!$C$185:$AD$248,21,0)</f>
        <v>0</v>
      </c>
      <c r="O51" s="696">
        <f>VLOOKUP(C51,TONGHOPCONGDOI!$C$185:$AD$248,22,0)</f>
        <v>0</v>
      </c>
      <c r="P51" s="696">
        <f>VLOOKUP(C51,TONGHOPCONGDOI!$C$185:$AD$248,23,0)</f>
        <v>0</v>
      </c>
      <c r="Q51" s="696">
        <f>VLOOKUP(C51,TONGHOPCONGDOI!$C$185:$AD$248,24,0)</f>
        <v>0</v>
      </c>
      <c r="R51" s="696">
        <f>VLOOKUP(C51,TONGHOPCONGDOI!$C$185:$AD$248,25,0)</f>
        <v>0</v>
      </c>
      <c r="S51" s="696"/>
      <c r="T51" s="685">
        <f t="shared" si="3"/>
        <v>0</v>
      </c>
      <c r="U51" s="685">
        <f t="shared" si="4"/>
        <v>0</v>
      </c>
      <c r="V51" s="685"/>
      <c r="W51" s="1725">
        <f t="shared" si="7"/>
        <v>0</v>
      </c>
      <c r="X51" s="696" t="e">
        <f t="shared" si="8"/>
        <v>#DIV/0!</v>
      </c>
      <c r="Y51" s="696"/>
      <c r="Z51" s="696">
        <f>VLOOKUP(C51,'CNKT '!$C$190:$Z$253,24,0)</f>
        <v>0</v>
      </c>
      <c r="AA51" s="591" t="e">
        <f t="shared" si="5"/>
        <v>#DIV/0!</v>
      </c>
    </row>
    <row r="52" spans="1:27" s="591" customFormat="1" ht="42.75" hidden="1" customHeight="1">
      <c r="A52" s="683">
        <v>36</v>
      </c>
      <c r="B52" s="696" t="str">
        <f>'Chấm công KT'!D127</f>
        <v>03549</v>
      </c>
      <c r="C52" s="696" t="str">
        <f>TONGHOPCONGDOI!C220</f>
        <v>N. Xeo Khăm</v>
      </c>
      <c r="D52" s="696"/>
      <c r="E52" s="697">
        <f>VLOOKUP(C52,TONGHOPCONGDOI!C220:Q284,15,0)</f>
        <v>0</v>
      </c>
      <c r="F52" s="696">
        <f t="shared" si="1"/>
        <v>0</v>
      </c>
      <c r="G52" s="696">
        <f>VLOOKUP(C52,TONGHOPCONGDOI!C220:AD284,16,0)</f>
        <v>0</v>
      </c>
      <c r="H52" s="696">
        <f>VLOOKUP(C52,TONGHOPCONGDOI!C220:AD284,17,0)</f>
        <v>0</v>
      </c>
      <c r="I52" s="696"/>
      <c r="J52" s="1556" t="e">
        <f t="shared" si="6"/>
        <v>#DIV/0!</v>
      </c>
      <c r="K52" s="683" t="str">
        <f>VLOOKUP(C52,'BTH mủ tạp'!C218:AL279,36,0)</f>
        <v>B</v>
      </c>
      <c r="L52" s="1185" t="e">
        <f t="shared" si="2"/>
        <v>#DIV/0!</v>
      </c>
      <c r="M52" s="696">
        <f>VLOOKUP(C52,TONGHOPCONGDOI!$C$185:$AD$248,20,0)</f>
        <v>0</v>
      </c>
      <c r="N52" s="696">
        <f>VLOOKUP(C52,TONGHOPCONGDOI!$C$185:$AD$248,21,0)</f>
        <v>0</v>
      </c>
      <c r="O52" s="696">
        <f>VLOOKUP(C52,TONGHOPCONGDOI!$C$185:$AD$248,22,0)</f>
        <v>0</v>
      </c>
      <c r="P52" s="696">
        <f>VLOOKUP(C52,TONGHOPCONGDOI!$C$185:$AD$248,23,0)</f>
        <v>0</v>
      </c>
      <c r="Q52" s="696">
        <f>VLOOKUP(C52,TONGHOPCONGDOI!$C$185:$AD$248,24,0)</f>
        <v>0</v>
      </c>
      <c r="R52" s="696">
        <f>VLOOKUP(C52,TONGHOPCONGDOI!$C$185:$AD$248,25,0)</f>
        <v>0</v>
      </c>
      <c r="S52" s="696"/>
      <c r="T52" s="685">
        <f t="shared" si="3"/>
        <v>0</v>
      </c>
      <c r="U52" s="685">
        <f t="shared" si="4"/>
        <v>0</v>
      </c>
      <c r="V52" s="685"/>
      <c r="W52" s="1725">
        <f t="shared" si="7"/>
        <v>0</v>
      </c>
      <c r="X52" s="696" t="e">
        <f t="shared" si="8"/>
        <v>#DIV/0!</v>
      </c>
      <c r="Y52" s="696"/>
      <c r="Z52" s="696">
        <f>VLOOKUP(C52,'CNKT '!$C$190:$Z$253,24,0)</f>
        <v>0</v>
      </c>
      <c r="AA52" s="591" t="e">
        <f t="shared" si="5"/>
        <v>#DIV/0!</v>
      </c>
    </row>
    <row r="53" spans="1:27" s="591" customFormat="1" ht="42.75" hidden="1" customHeight="1">
      <c r="A53" s="683">
        <v>37</v>
      </c>
      <c r="B53" s="696" t="str">
        <f>'Chấm công KT'!D128</f>
        <v>03550</v>
      </c>
      <c r="C53" s="696" t="str">
        <f>TONGHOPCONGDOI!C221</f>
        <v>T. Khăm...</v>
      </c>
      <c r="D53" s="696"/>
      <c r="E53" s="697">
        <f>VLOOKUP(C53,TONGHOPCONGDOI!C221:Q285,15,0)</f>
        <v>0</v>
      </c>
      <c r="F53" s="696">
        <f t="shared" si="1"/>
        <v>0</v>
      </c>
      <c r="G53" s="696">
        <f>VLOOKUP(C53,TONGHOPCONGDOI!C221:AD285,16,0)</f>
        <v>0</v>
      </c>
      <c r="H53" s="696">
        <f>VLOOKUP(C53,TONGHOPCONGDOI!C221:AD285,17,0)</f>
        <v>0</v>
      </c>
      <c r="I53" s="696"/>
      <c r="J53" s="1556" t="e">
        <f t="shared" si="6"/>
        <v>#DIV/0!</v>
      </c>
      <c r="K53" s="683" t="str">
        <f>VLOOKUP(C53,'BTH mủ tạp'!C219:AL280,36,0)</f>
        <v>A</v>
      </c>
      <c r="L53" s="1185" t="e">
        <f t="shared" si="2"/>
        <v>#DIV/0!</v>
      </c>
      <c r="M53" s="696">
        <f>VLOOKUP(C53,TONGHOPCONGDOI!$C$185:$AD$248,20,0)</f>
        <v>0</v>
      </c>
      <c r="N53" s="696">
        <f>VLOOKUP(C53,TONGHOPCONGDOI!$C$185:$AD$248,21,0)</f>
        <v>0</v>
      </c>
      <c r="O53" s="696">
        <f>VLOOKUP(C53,TONGHOPCONGDOI!$C$185:$AD$248,22,0)</f>
        <v>0</v>
      </c>
      <c r="P53" s="696">
        <f>VLOOKUP(C53,TONGHOPCONGDOI!$C$185:$AD$248,23,0)</f>
        <v>0</v>
      </c>
      <c r="Q53" s="696">
        <f>VLOOKUP(C53,TONGHOPCONGDOI!$C$185:$AD$248,24,0)</f>
        <v>0</v>
      </c>
      <c r="R53" s="696">
        <f>VLOOKUP(C53,TONGHOPCONGDOI!$C$185:$AD$248,25,0)</f>
        <v>0</v>
      </c>
      <c r="S53" s="696"/>
      <c r="T53" s="685">
        <f t="shared" si="3"/>
        <v>0</v>
      </c>
      <c r="U53" s="685">
        <f t="shared" si="4"/>
        <v>0</v>
      </c>
      <c r="V53" s="685"/>
      <c r="W53" s="1725">
        <f t="shared" si="7"/>
        <v>0</v>
      </c>
      <c r="X53" s="696" t="e">
        <f t="shared" si="8"/>
        <v>#DIV/0!</v>
      </c>
      <c r="Y53" s="696"/>
      <c r="Z53" s="696">
        <f>VLOOKUP(C53,'CNKT '!$C$190:$Z$253,24,0)</f>
        <v>0</v>
      </c>
      <c r="AA53" s="591" t="e">
        <f t="shared" si="5"/>
        <v>#DIV/0!</v>
      </c>
    </row>
    <row r="54" spans="1:27" s="591" customFormat="1" ht="42.75" hidden="1" customHeight="1">
      <c r="A54" s="683">
        <v>38</v>
      </c>
      <c r="B54" s="696" t="str">
        <f>'Chấm công KT'!D129</f>
        <v>03551</v>
      </c>
      <c r="C54" s="696" t="str">
        <f>TONGHOPCONGDOI!C222</f>
        <v>T. Đôn</v>
      </c>
      <c r="D54" s="696"/>
      <c r="E54" s="697">
        <f>VLOOKUP(C54,TONGHOPCONGDOI!C222:Q286,15,0)</f>
        <v>0</v>
      </c>
      <c r="F54" s="696">
        <f t="shared" si="1"/>
        <v>0</v>
      </c>
      <c r="G54" s="696">
        <f>VLOOKUP(C54,TONGHOPCONGDOI!C222:AD286,16,0)</f>
        <v>0</v>
      </c>
      <c r="H54" s="696">
        <f>VLOOKUP(C54,TONGHOPCONGDOI!C222:AD286,17,0)</f>
        <v>0</v>
      </c>
      <c r="I54" s="696"/>
      <c r="J54" s="1556" t="e">
        <f t="shared" si="6"/>
        <v>#DIV/0!</v>
      </c>
      <c r="K54" s="683" t="str">
        <f>VLOOKUP(C54,'BTH mủ tạp'!C220:AL281,36,0)</f>
        <v>C</v>
      </c>
      <c r="L54" s="1185" t="e">
        <f t="shared" si="2"/>
        <v>#DIV/0!</v>
      </c>
      <c r="M54" s="696">
        <f>VLOOKUP(C54,TONGHOPCONGDOI!$C$185:$AD$248,20,0)</f>
        <v>0</v>
      </c>
      <c r="N54" s="696">
        <f>VLOOKUP(C54,TONGHOPCONGDOI!$C$185:$AD$248,21,0)</f>
        <v>0</v>
      </c>
      <c r="O54" s="696">
        <f>VLOOKUP(C54,TONGHOPCONGDOI!$C$185:$AD$248,22,0)</f>
        <v>0</v>
      </c>
      <c r="P54" s="696">
        <f>VLOOKUP(C54,TONGHOPCONGDOI!$C$185:$AD$248,23,0)</f>
        <v>0</v>
      </c>
      <c r="Q54" s="696">
        <f>VLOOKUP(C54,TONGHOPCONGDOI!$C$185:$AD$248,24,0)</f>
        <v>0</v>
      </c>
      <c r="R54" s="696">
        <f>VLOOKUP(C54,TONGHOPCONGDOI!$C$185:$AD$248,25,0)</f>
        <v>0</v>
      </c>
      <c r="S54" s="696"/>
      <c r="T54" s="685">
        <f t="shared" si="3"/>
        <v>0</v>
      </c>
      <c r="U54" s="685">
        <f t="shared" si="4"/>
        <v>0</v>
      </c>
      <c r="V54" s="685"/>
      <c r="W54" s="1725">
        <f t="shared" si="7"/>
        <v>0</v>
      </c>
      <c r="X54" s="696" t="e">
        <f t="shared" si="8"/>
        <v>#DIV/0!</v>
      </c>
      <c r="Y54" s="696"/>
      <c r="Z54" s="696">
        <f>VLOOKUP(C54,'CNKT '!$C$190:$Z$253,24,0)</f>
        <v>0</v>
      </c>
      <c r="AA54" s="591" t="e">
        <f t="shared" si="5"/>
        <v>#DIV/0!</v>
      </c>
    </row>
    <row r="55" spans="1:27" s="591" customFormat="1" ht="42.75" hidden="1" customHeight="1">
      <c r="A55" s="683">
        <v>39</v>
      </c>
      <c r="B55" s="696"/>
      <c r="C55" s="696" t="str">
        <f>TONGHOPCONGDOI!C223</f>
        <v>N. Pheng</v>
      </c>
      <c r="D55" s="696"/>
      <c r="E55" s="697">
        <f>VLOOKUP(C55,TONGHOPCONGDOI!C223:Q287,15,0)</f>
        <v>0</v>
      </c>
      <c r="F55" s="696">
        <f t="shared" si="1"/>
        <v>0</v>
      </c>
      <c r="G55" s="696">
        <f>VLOOKUP(C55,TONGHOPCONGDOI!C223:AD287,16,0)</f>
        <v>0</v>
      </c>
      <c r="H55" s="696">
        <f>VLOOKUP(C55,TONGHOPCONGDOI!C223:AD287,17,0)</f>
        <v>0</v>
      </c>
      <c r="I55" s="696"/>
      <c r="J55" s="1556" t="e">
        <f t="shared" si="6"/>
        <v>#DIV/0!</v>
      </c>
      <c r="K55" s="683" t="str">
        <f>VLOOKUP(C55,'BTH mủ tạp'!C221:AL282,36,0)</f>
        <v>A</v>
      </c>
      <c r="L55" s="1185" t="e">
        <f t="shared" si="2"/>
        <v>#DIV/0!</v>
      </c>
      <c r="M55" s="696">
        <f>VLOOKUP(C55,TONGHOPCONGDOI!$C$185:$AD$248,20,0)</f>
        <v>0</v>
      </c>
      <c r="N55" s="696">
        <f>VLOOKUP(C55,TONGHOPCONGDOI!$C$185:$AD$248,21,0)</f>
        <v>0</v>
      </c>
      <c r="O55" s="696">
        <f>VLOOKUP(C55,TONGHOPCONGDOI!$C$185:$AD$248,22,0)</f>
        <v>0</v>
      </c>
      <c r="P55" s="696">
        <f>VLOOKUP(C55,TONGHOPCONGDOI!$C$185:$AD$248,23,0)</f>
        <v>0</v>
      </c>
      <c r="Q55" s="696">
        <f>VLOOKUP(C55,TONGHOPCONGDOI!$C$185:$AD$248,24,0)</f>
        <v>0</v>
      </c>
      <c r="R55" s="696">
        <f>VLOOKUP(C55,TONGHOPCONGDOI!$C$185:$AD$248,25,0)</f>
        <v>0</v>
      </c>
      <c r="S55" s="696"/>
      <c r="T55" s="685">
        <f t="shared" si="3"/>
        <v>0</v>
      </c>
      <c r="U55" s="685">
        <f t="shared" si="4"/>
        <v>0</v>
      </c>
      <c r="V55" s="685"/>
      <c r="W55" s="1725">
        <f t="shared" si="7"/>
        <v>0</v>
      </c>
      <c r="X55" s="696" t="e">
        <f t="shared" si="8"/>
        <v>#DIV/0!</v>
      </c>
      <c r="Y55" s="696"/>
      <c r="Z55" s="696">
        <f>VLOOKUP(C55,'CNKT '!$C$190:$Z$253,24,0)</f>
        <v>0</v>
      </c>
      <c r="AA55" s="591" t="e">
        <f t="shared" si="5"/>
        <v>#DIV/0!</v>
      </c>
    </row>
    <row r="56" spans="1:27" s="591" customFormat="1" ht="42.75" hidden="1" customHeight="1">
      <c r="A56" s="683">
        <v>40</v>
      </c>
      <c r="B56" s="696" t="str">
        <f>'Chấm công KT'!D131</f>
        <v>03488</v>
      </c>
      <c r="C56" s="696" t="str">
        <f>TONGHOPCONGDOI!C224</f>
        <v>N. Mom</v>
      </c>
      <c r="D56" s="696"/>
      <c r="E56" s="697">
        <f>VLOOKUP(C56,TONGHOPCONGDOI!C224:Q288,15,0)</f>
        <v>0</v>
      </c>
      <c r="F56" s="696">
        <f t="shared" si="1"/>
        <v>0</v>
      </c>
      <c r="G56" s="696">
        <f>VLOOKUP(C56,TONGHOPCONGDOI!C224:AD288,16,0)</f>
        <v>0</v>
      </c>
      <c r="H56" s="696">
        <f>VLOOKUP(C56,TONGHOPCONGDOI!C224:AD288,17,0)</f>
        <v>0</v>
      </c>
      <c r="I56" s="696"/>
      <c r="J56" s="1556" t="e">
        <f t="shared" si="6"/>
        <v>#DIV/0!</v>
      </c>
      <c r="K56" s="683" t="str">
        <f>VLOOKUP(C56,'BTH mủ tạp'!C222:AL283,36,0)</f>
        <v>A</v>
      </c>
      <c r="L56" s="1185" t="e">
        <f t="shared" si="2"/>
        <v>#DIV/0!</v>
      </c>
      <c r="M56" s="696">
        <f>VLOOKUP(C56,TONGHOPCONGDOI!$C$185:$AD$248,20,0)</f>
        <v>0</v>
      </c>
      <c r="N56" s="696">
        <f>VLOOKUP(C56,TONGHOPCONGDOI!$C$185:$AD$248,21,0)</f>
        <v>0</v>
      </c>
      <c r="O56" s="696">
        <f>VLOOKUP(C56,TONGHOPCONGDOI!$C$185:$AD$248,22,0)</f>
        <v>0</v>
      </c>
      <c r="P56" s="696">
        <f>VLOOKUP(C56,TONGHOPCONGDOI!$C$185:$AD$248,23,0)</f>
        <v>0</v>
      </c>
      <c r="Q56" s="696">
        <f>VLOOKUP(C56,TONGHOPCONGDOI!$C$185:$AD$248,24,0)</f>
        <v>0</v>
      </c>
      <c r="R56" s="696">
        <f>VLOOKUP(C56,TONGHOPCONGDOI!$C$185:$AD$248,25,0)</f>
        <v>0</v>
      </c>
      <c r="S56" s="696"/>
      <c r="T56" s="685">
        <f t="shared" si="3"/>
        <v>0</v>
      </c>
      <c r="U56" s="685">
        <f t="shared" si="4"/>
        <v>0</v>
      </c>
      <c r="V56" s="685"/>
      <c r="W56" s="1725">
        <f t="shared" si="7"/>
        <v>0</v>
      </c>
      <c r="X56" s="696" t="e">
        <f t="shared" si="8"/>
        <v>#DIV/0!</v>
      </c>
      <c r="Y56" s="696"/>
      <c r="Z56" s="696">
        <f>VLOOKUP(C56,'CNKT '!$C$190:$Z$253,24,0)</f>
        <v>0</v>
      </c>
      <c r="AA56" s="591" t="e">
        <f t="shared" si="5"/>
        <v>#DIV/0!</v>
      </c>
    </row>
    <row r="57" spans="1:27" s="591" customFormat="1" ht="42.75" hidden="1" customHeight="1">
      <c r="A57" s="683">
        <v>41</v>
      </c>
      <c r="B57" s="696"/>
      <c r="C57" s="696" t="str">
        <f>TONGHOPCONGDOI!C225</f>
        <v>Phắt Ta Na</v>
      </c>
      <c r="D57" s="696"/>
      <c r="E57" s="697">
        <f>VLOOKUP(C57,TONGHOPCONGDOI!C225:Q289,15,0)</f>
        <v>0</v>
      </c>
      <c r="F57" s="696">
        <f t="shared" si="1"/>
        <v>0</v>
      </c>
      <c r="G57" s="696">
        <f>VLOOKUP(C57,TONGHOPCONGDOI!C225:AD289,16,0)</f>
        <v>0</v>
      </c>
      <c r="H57" s="696">
        <f>VLOOKUP(C57,TONGHOPCONGDOI!C225:AD289,17,0)</f>
        <v>0</v>
      </c>
      <c r="I57" s="696"/>
      <c r="J57" s="1556" t="e">
        <f t="shared" si="6"/>
        <v>#DIV/0!</v>
      </c>
      <c r="K57" s="683" t="str">
        <f>VLOOKUP(C57,'BTH mủ tạp'!C223:AL284,36,0)</f>
        <v>B</v>
      </c>
      <c r="L57" s="1185" t="e">
        <f t="shared" si="2"/>
        <v>#DIV/0!</v>
      </c>
      <c r="M57" s="696">
        <f>VLOOKUP(C57,TONGHOPCONGDOI!$C$185:$AD$248,20,0)</f>
        <v>0</v>
      </c>
      <c r="N57" s="696">
        <f>VLOOKUP(C57,TONGHOPCONGDOI!$C$185:$AD$248,21,0)</f>
        <v>0</v>
      </c>
      <c r="O57" s="696">
        <f>VLOOKUP(C57,TONGHOPCONGDOI!$C$185:$AD$248,22,0)</f>
        <v>0</v>
      </c>
      <c r="P57" s="696">
        <f>VLOOKUP(C57,TONGHOPCONGDOI!$C$185:$AD$248,23,0)</f>
        <v>0</v>
      </c>
      <c r="Q57" s="696">
        <f>VLOOKUP(C57,TONGHOPCONGDOI!$C$185:$AD$248,24,0)</f>
        <v>0</v>
      </c>
      <c r="R57" s="696">
        <f>VLOOKUP(C57,TONGHOPCONGDOI!$C$185:$AD$248,25,0)</f>
        <v>0</v>
      </c>
      <c r="S57" s="696"/>
      <c r="T57" s="685">
        <f t="shared" si="3"/>
        <v>0</v>
      </c>
      <c r="U57" s="685">
        <f t="shared" si="4"/>
        <v>0</v>
      </c>
      <c r="V57" s="685"/>
      <c r="W57" s="1725">
        <f t="shared" si="7"/>
        <v>0</v>
      </c>
      <c r="X57" s="696" t="e">
        <f t="shared" si="8"/>
        <v>#DIV/0!</v>
      </c>
      <c r="Y57" s="696"/>
      <c r="Z57" s="696">
        <f>VLOOKUP(C57,'CNKT '!$C$190:$Z$253,24,0)</f>
        <v>0</v>
      </c>
      <c r="AA57" s="591" t="e">
        <f t="shared" si="5"/>
        <v>#DIV/0!</v>
      </c>
    </row>
    <row r="58" spans="1:27" s="591" customFormat="1" ht="42.75" hidden="1" customHeight="1">
      <c r="A58" s="683">
        <v>42</v>
      </c>
      <c r="B58" s="696" t="str">
        <f>'Chấm công KT'!D133</f>
        <v>03555</v>
      </c>
      <c r="C58" s="696" t="str">
        <f>TONGHOPCONGDOI!C226</f>
        <v>Khăn Hạ</v>
      </c>
      <c r="D58" s="696"/>
      <c r="E58" s="697">
        <f>VLOOKUP(C58,TONGHOPCONGDOI!C226:Q290,15,0)</f>
        <v>0</v>
      </c>
      <c r="F58" s="696">
        <f t="shared" si="1"/>
        <v>0</v>
      </c>
      <c r="G58" s="696">
        <f>VLOOKUP(C58,TONGHOPCONGDOI!C226:AD290,16,0)</f>
        <v>0</v>
      </c>
      <c r="H58" s="696">
        <f>VLOOKUP(C58,TONGHOPCONGDOI!C226:AD290,17,0)</f>
        <v>0</v>
      </c>
      <c r="I58" s="696"/>
      <c r="J58" s="1556" t="e">
        <f t="shared" si="6"/>
        <v>#DIV/0!</v>
      </c>
      <c r="K58" s="683" t="str">
        <f>VLOOKUP(C58,'BTH mủ tạp'!C224:AL285,36,0)</f>
        <v>A</v>
      </c>
      <c r="L58" s="1185" t="e">
        <f t="shared" si="2"/>
        <v>#DIV/0!</v>
      </c>
      <c r="M58" s="696">
        <f>VLOOKUP(C58,TONGHOPCONGDOI!$C$185:$AD$248,20,0)</f>
        <v>0</v>
      </c>
      <c r="N58" s="696">
        <f>VLOOKUP(C58,TONGHOPCONGDOI!$C$185:$AD$248,21,0)</f>
        <v>0</v>
      </c>
      <c r="O58" s="696">
        <f>VLOOKUP(C58,TONGHOPCONGDOI!$C$185:$AD$248,22,0)</f>
        <v>0</v>
      </c>
      <c r="P58" s="696">
        <f>VLOOKUP(C58,TONGHOPCONGDOI!$C$185:$AD$248,23,0)</f>
        <v>0</v>
      </c>
      <c r="Q58" s="696">
        <f>VLOOKUP(C58,TONGHOPCONGDOI!$C$185:$AD$248,24,0)</f>
        <v>0</v>
      </c>
      <c r="R58" s="696">
        <f>VLOOKUP(C58,TONGHOPCONGDOI!$C$185:$AD$248,25,0)</f>
        <v>0</v>
      </c>
      <c r="S58" s="696"/>
      <c r="T58" s="685">
        <f t="shared" si="3"/>
        <v>0</v>
      </c>
      <c r="U58" s="685">
        <f t="shared" si="4"/>
        <v>0</v>
      </c>
      <c r="V58" s="685"/>
      <c r="W58" s="1725">
        <f t="shared" si="7"/>
        <v>0</v>
      </c>
      <c r="X58" s="696" t="e">
        <f t="shared" si="8"/>
        <v>#DIV/0!</v>
      </c>
      <c r="Y58" s="696"/>
      <c r="Z58" s="696">
        <f>VLOOKUP(C58,'CNKT '!$C$190:$Z$253,24,0)</f>
        <v>0</v>
      </c>
      <c r="AA58" s="591" t="e">
        <f t="shared" si="5"/>
        <v>#DIV/0!</v>
      </c>
    </row>
    <row r="59" spans="1:27" s="591" customFormat="1" ht="42.75" hidden="1" customHeight="1">
      <c r="A59" s="683">
        <v>43</v>
      </c>
      <c r="B59" s="696">
        <f>'Chấm công KT'!D134</f>
        <v>0</v>
      </c>
      <c r="C59" s="696" t="str">
        <f>TONGHOPCONGDOI!C227</f>
        <v>T. Chăn La .</v>
      </c>
      <c r="D59" s="696"/>
      <c r="E59" s="697">
        <f>VLOOKUP(C59,TONGHOPCONGDOI!C227:Q291,15,0)</f>
        <v>0</v>
      </c>
      <c r="F59" s="696">
        <f t="shared" si="1"/>
        <v>0</v>
      </c>
      <c r="G59" s="696">
        <f>VLOOKUP(C59,TONGHOPCONGDOI!C227:AD291,16,0)</f>
        <v>0</v>
      </c>
      <c r="H59" s="696">
        <f>VLOOKUP(C59,TONGHOPCONGDOI!C227:AD291,17,0)</f>
        <v>0</v>
      </c>
      <c r="I59" s="696"/>
      <c r="J59" s="1556" t="e">
        <f t="shared" si="6"/>
        <v>#DIV/0!</v>
      </c>
      <c r="K59" s="683" t="str">
        <f>VLOOKUP(C59,'BTH mủ tạp'!C225:AL286,36,0)</f>
        <v>A</v>
      </c>
      <c r="L59" s="1185" t="e">
        <f t="shared" si="2"/>
        <v>#DIV/0!</v>
      </c>
      <c r="M59" s="696">
        <f>VLOOKUP(C59,TONGHOPCONGDOI!$C$185:$AD$248,20,0)</f>
        <v>0</v>
      </c>
      <c r="N59" s="696">
        <f>VLOOKUP(C59,TONGHOPCONGDOI!$C$185:$AD$248,21,0)</f>
        <v>0</v>
      </c>
      <c r="O59" s="696">
        <f>VLOOKUP(C59,TONGHOPCONGDOI!$C$185:$AD$248,22,0)</f>
        <v>0</v>
      </c>
      <c r="P59" s="696">
        <f>VLOOKUP(C59,TONGHOPCONGDOI!$C$185:$AD$248,23,0)</f>
        <v>0</v>
      </c>
      <c r="Q59" s="696">
        <f>VLOOKUP(C59,TONGHOPCONGDOI!$C$185:$AD$248,24,0)</f>
        <v>0</v>
      </c>
      <c r="R59" s="696">
        <f>VLOOKUP(C59,TONGHOPCONGDOI!$C$185:$AD$248,25,0)</f>
        <v>0</v>
      </c>
      <c r="S59" s="696"/>
      <c r="T59" s="685">
        <f t="shared" si="3"/>
        <v>0</v>
      </c>
      <c r="U59" s="685">
        <f t="shared" si="4"/>
        <v>0</v>
      </c>
      <c r="V59" s="685"/>
      <c r="W59" s="1725">
        <f t="shared" si="7"/>
        <v>0</v>
      </c>
      <c r="X59" s="696" t="e">
        <f t="shared" si="8"/>
        <v>#DIV/0!</v>
      </c>
      <c r="Y59" s="696"/>
      <c r="Z59" s="696">
        <f>VLOOKUP(C59,'CNKT '!$C$190:$Z$253,24,0)</f>
        <v>0</v>
      </c>
      <c r="AA59" s="591" t="e">
        <f t="shared" si="5"/>
        <v>#DIV/0!</v>
      </c>
    </row>
    <row r="60" spans="1:27" s="591" customFormat="1" ht="42.75" hidden="1" customHeight="1">
      <c r="A60" s="683">
        <v>44</v>
      </c>
      <c r="B60" s="696"/>
      <c r="C60" s="696" t="str">
        <f>TONGHOPCONGDOI!C228</f>
        <v>T. Nú</v>
      </c>
      <c r="D60" s="696"/>
      <c r="E60" s="697">
        <f>VLOOKUP(C60,TONGHOPCONGDOI!C228:Q292,15,0)</f>
        <v>0</v>
      </c>
      <c r="F60" s="696">
        <f t="shared" si="1"/>
        <v>0</v>
      </c>
      <c r="G60" s="696">
        <f>VLOOKUP(C60,TONGHOPCONGDOI!C228:AD292,16,0)</f>
        <v>0</v>
      </c>
      <c r="H60" s="696">
        <f>VLOOKUP(C60,TONGHOPCONGDOI!C228:AD292,17,0)</f>
        <v>0</v>
      </c>
      <c r="I60" s="696"/>
      <c r="J60" s="1556" t="e">
        <f t="shared" si="6"/>
        <v>#DIV/0!</v>
      </c>
      <c r="K60" s="683" t="str">
        <f>VLOOKUP(C60,'BTH mủ tạp'!C226:AL287,36,0)</f>
        <v>A</v>
      </c>
      <c r="L60" s="1185" t="e">
        <f t="shared" si="2"/>
        <v>#DIV/0!</v>
      </c>
      <c r="M60" s="696">
        <f>VLOOKUP(C60,TONGHOPCONGDOI!$C$185:$AD$248,20,0)</f>
        <v>0</v>
      </c>
      <c r="N60" s="696">
        <f>VLOOKUP(C60,TONGHOPCONGDOI!$C$185:$AD$248,21,0)</f>
        <v>0</v>
      </c>
      <c r="O60" s="696">
        <f>VLOOKUP(C60,TONGHOPCONGDOI!$C$185:$AD$248,22,0)</f>
        <v>0</v>
      </c>
      <c r="P60" s="696">
        <f>VLOOKUP(C60,TONGHOPCONGDOI!$C$185:$AD$248,23,0)</f>
        <v>0</v>
      </c>
      <c r="Q60" s="696">
        <f>VLOOKUP(C60,TONGHOPCONGDOI!$C$185:$AD$248,24,0)</f>
        <v>0</v>
      </c>
      <c r="R60" s="696">
        <f>VLOOKUP(C60,TONGHOPCONGDOI!$C$185:$AD$248,25,0)</f>
        <v>0</v>
      </c>
      <c r="S60" s="696"/>
      <c r="T60" s="685">
        <f t="shared" si="3"/>
        <v>0</v>
      </c>
      <c r="U60" s="685">
        <f t="shared" si="4"/>
        <v>0</v>
      </c>
      <c r="V60" s="685"/>
      <c r="W60" s="1725">
        <f t="shared" si="7"/>
        <v>0</v>
      </c>
      <c r="X60" s="696" t="e">
        <f t="shared" si="8"/>
        <v>#DIV/0!</v>
      </c>
      <c r="Y60" s="696"/>
      <c r="Z60" s="696">
        <f>VLOOKUP(C60,'CNKT '!$C$190:$Z$253,24,0)</f>
        <v>0</v>
      </c>
      <c r="AA60" s="591" t="e">
        <f t="shared" si="5"/>
        <v>#DIV/0!</v>
      </c>
    </row>
    <row r="61" spans="1:27" s="591" customFormat="1" ht="42.75" hidden="1" customHeight="1">
      <c r="A61" s="683">
        <v>45</v>
      </c>
      <c r="B61" s="696"/>
      <c r="C61" s="696" t="str">
        <f>TONGHOPCONGDOI!C229</f>
        <v>T. Xan Nha</v>
      </c>
      <c r="D61" s="696"/>
      <c r="E61" s="697">
        <f>VLOOKUP(C61,TONGHOPCONGDOI!C229:Q293,15,0)</f>
        <v>0</v>
      </c>
      <c r="F61" s="696">
        <f t="shared" si="1"/>
        <v>0</v>
      </c>
      <c r="G61" s="696">
        <f>VLOOKUP(C61,TONGHOPCONGDOI!C229:AD293,16,0)</f>
        <v>0</v>
      </c>
      <c r="H61" s="696">
        <f>VLOOKUP(C61,TONGHOPCONGDOI!C229:AD293,17,0)</f>
        <v>0</v>
      </c>
      <c r="I61" s="696"/>
      <c r="J61" s="1556" t="e">
        <f t="shared" si="6"/>
        <v>#DIV/0!</v>
      </c>
      <c r="K61" s="683" t="str">
        <f>VLOOKUP(C61,'BTH mủ tạp'!C227:AL288,36,0)</f>
        <v>A</v>
      </c>
      <c r="L61" s="1185" t="e">
        <f t="shared" si="2"/>
        <v>#DIV/0!</v>
      </c>
      <c r="M61" s="696">
        <f>VLOOKUP(C61,TONGHOPCONGDOI!$C$185:$AD$248,20,0)</f>
        <v>0</v>
      </c>
      <c r="N61" s="696">
        <f>VLOOKUP(C61,TONGHOPCONGDOI!$C$185:$AD$248,21,0)</f>
        <v>0</v>
      </c>
      <c r="O61" s="696">
        <f>VLOOKUP(C61,TONGHOPCONGDOI!$C$185:$AD$248,22,0)</f>
        <v>0</v>
      </c>
      <c r="P61" s="696">
        <f>VLOOKUP(C61,TONGHOPCONGDOI!$C$185:$AD$248,23,0)</f>
        <v>0</v>
      </c>
      <c r="Q61" s="696">
        <f>VLOOKUP(C61,TONGHOPCONGDOI!$C$185:$AD$248,24,0)</f>
        <v>0</v>
      </c>
      <c r="R61" s="696">
        <f>VLOOKUP(C61,TONGHOPCONGDOI!$C$185:$AD$248,25,0)</f>
        <v>0</v>
      </c>
      <c r="S61" s="696"/>
      <c r="T61" s="685">
        <f t="shared" si="3"/>
        <v>0</v>
      </c>
      <c r="U61" s="685">
        <f t="shared" si="4"/>
        <v>0</v>
      </c>
      <c r="V61" s="685"/>
      <c r="W61" s="1725">
        <f t="shared" si="7"/>
        <v>0</v>
      </c>
      <c r="X61" s="696" t="e">
        <f t="shared" si="8"/>
        <v>#DIV/0!</v>
      </c>
      <c r="Y61" s="696"/>
      <c r="Z61" s="696">
        <f>VLOOKUP(C61,'CNKT '!$C$190:$Z$253,24,0)</f>
        <v>0</v>
      </c>
      <c r="AA61" s="591" t="e">
        <f t="shared" si="5"/>
        <v>#DIV/0!</v>
      </c>
    </row>
    <row r="62" spans="1:27" s="591" customFormat="1" ht="42.75" hidden="1" customHeight="1">
      <c r="A62" s="683">
        <v>46</v>
      </c>
      <c r="B62" s="696" t="str">
        <f>'Chấm công KT'!D137</f>
        <v>03559</v>
      </c>
      <c r="C62" s="696" t="str">
        <f>TONGHOPCONGDOI!C230</f>
        <v>T. A lem</v>
      </c>
      <c r="D62" s="696"/>
      <c r="E62" s="697">
        <f>VLOOKUP(C62,TONGHOPCONGDOI!C230:Q294,15,0)</f>
        <v>0</v>
      </c>
      <c r="F62" s="696">
        <f t="shared" si="1"/>
        <v>0</v>
      </c>
      <c r="G62" s="696">
        <f>VLOOKUP(C62,TONGHOPCONGDOI!C230:AD294,16,0)</f>
        <v>0</v>
      </c>
      <c r="H62" s="696">
        <f>VLOOKUP(C62,TONGHOPCONGDOI!C230:AD294,17,0)</f>
        <v>0</v>
      </c>
      <c r="I62" s="696"/>
      <c r="J62" s="1556" t="e">
        <f t="shared" si="6"/>
        <v>#DIV/0!</v>
      </c>
      <c r="K62" s="683" t="str">
        <f>VLOOKUP(C62,'BTH mủ tạp'!C228:AL289,36,0)</f>
        <v>A</v>
      </c>
      <c r="L62" s="1185" t="e">
        <f t="shared" si="2"/>
        <v>#DIV/0!</v>
      </c>
      <c r="M62" s="696">
        <f>VLOOKUP(C62,TONGHOPCONGDOI!$C$185:$AD$248,20,0)</f>
        <v>0</v>
      </c>
      <c r="N62" s="696">
        <f>VLOOKUP(C62,TONGHOPCONGDOI!$C$185:$AD$248,21,0)</f>
        <v>0</v>
      </c>
      <c r="O62" s="696">
        <f>VLOOKUP(C62,TONGHOPCONGDOI!$C$185:$AD$248,22,0)</f>
        <v>0</v>
      </c>
      <c r="P62" s="696">
        <f>VLOOKUP(C62,TONGHOPCONGDOI!$C$185:$AD$248,23,0)</f>
        <v>0</v>
      </c>
      <c r="Q62" s="696">
        <f>VLOOKUP(C62,TONGHOPCONGDOI!$C$185:$AD$248,24,0)</f>
        <v>0</v>
      </c>
      <c r="R62" s="696">
        <f>VLOOKUP(C62,TONGHOPCONGDOI!$C$185:$AD$248,25,0)</f>
        <v>0</v>
      </c>
      <c r="S62" s="696"/>
      <c r="T62" s="685">
        <f t="shared" si="3"/>
        <v>0</v>
      </c>
      <c r="U62" s="685">
        <f t="shared" si="4"/>
        <v>0</v>
      </c>
      <c r="V62" s="685"/>
      <c r="W62" s="1725">
        <f t="shared" si="7"/>
        <v>0</v>
      </c>
      <c r="X62" s="696" t="e">
        <f t="shared" si="8"/>
        <v>#DIV/0!</v>
      </c>
      <c r="Y62" s="696"/>
      <c r="Z62" s="696">
        <f>VLOOKUP(C62,'CNKT '!$C$190:$Z$253,24,0)</f>
        <v>0</v>
      </c>
      <c r="AA62" s="591" t="e">
        <f t="shared" si="5"/>
        <v>#DIV/0!</v>
      </c>
    </row>
    <row r="63" spans="1:27" s="591" customFormat="1" ht="42.75" hidden="1" customHeight="1">
      <c r="A63" s="683">
        <v>47</v>
      </c>
      <c r="B63" s="696" t="str">
        <f>'Chấm công KT'!D138</f>
        <v>03560</v>
      </c>
      <c r="C63" s="696" t="str">
        <f>TONGHOPCONGDOI!C231</f>
        <v>T. Chăn</v>
      </c>
      <c r="D63" s="696"/>
      <c r="E63" s="697">
        <f>VLOOKUP(C63,TONGHOPCONGDOI!C231:Q295,15,0)</f>
        <v>0</v>
      </c>
      <c r="F63" s="696">
        <f t="shared" si="1"/>
        <v>0</v>
      </c>
      <c r="G63" s="696">
        <f>VLOOKUP(C63,TONGHOPCONGDOI!C231:AD295,16,0)</f>
        <v>0</v>
      </c>
      <c r="H63" s="696">
        <f>VLOOKUP(C63,TONGHOPCONGDOI!C231:AD295,17,0)</f>
        <v>0</v>
      </c>
      <c r="I63" s="696"/>
      <c r="J63" s="1556" t="e">
        <f t="shared" si="6"/>
        <v>#DIV/0!</v>
      </c>
      <c r="K63" s="683" t="str">
        <f>VLOOKUP(C63,'BTH mủ tạp'!C229:AL290,36,0)</f>
        <v>B</v>
      </c>
      <c r="L63" s="1185" t="e">
        <f t="shared" si="2"/>
        <v>#DIV/0!</v>
      </c>
      <c r="M63" s="696">
        <f>VLOOKUP(C63,TONGHOPCONGDOI!$C$185:$AD$248,20,0)</f>
        <v>0</v>
      </c>
      <c r="N63" s="696">
        <f>VLOOKUP(C63,TONGHOPCONGDOI!$C$185:$AD$248,21,0)</f>
        <v>0</v>
      </c>
      <c r="O63" s="696">
        <f>VLOOKUP(C63,TONGHOPCONGDOI!$C$185:$AD$248,22,0)</f>
        <v>0</v>
      </c>
      <c r="P63" s="696">
        <f>VLOOKUP(C63,TONGHOPCONGDOI!$C$185:$AD$248,23,0)</f>
        <v>0</v>
      </c>
      <c r="Q63" s="696">
        <f>VLOOKUP(C63,TONGHOPCONGDOI!$C$185:$AD$248,24,0)</f>
        <v>0</v>
      </c>
      <c r="R63" s="696">
        <f>VLOOKUP(C63,TONGHOPCONGDOI!$C$185:$AD$248,25,0)</f>
        <v>0</v>
      </c>
      <c r="S63" s="696"/>
      <c r="T63" s="685">
        <f t="shared" si="3"/>
        <v>0</v>
      </c>
      <c r="U63" s="685">
        <f t="shared" si="4"/>
        <v>0</v>
      </c>
      <c r="V63" s="685"/>
      <c r="W63" s="1725">
        <f t="shared" si="7"/>
        <v>0</v>
      </c>
      <c r="X63" s="696" t="e">
        <f t="shared" si="8"/>
        <v>#DIV/0!</v>
      </c>
      <c r="Y63" s="696"/>
      <c r="Z63" s="696">
        <f>VLOOKUP(C63,'CNKT '!$C$190:$Z$253,24,0)</f>
        <v>0</v>
      </c>
      <c r="AA63" s="591" t="e">
        <f t="shared" si="5"/>
        <v>#DIV/0!</v>
      </c>
    </row>
    <row r="64" spans="1:27" s="591" customFormat="1" ht="42.75" hidden="1" customHeight="1">
      <c r="A64" s="683">
        <v>48</v>
      </c>
      <c r="B64" s="696" t="str">
        <f>'Chấm công KT'!D139</f>
        <v>03561</v>
      </c>
      <c r="C64" s="696" t="str">
        <f>TONGHOPCONGDOI!C232</f>
        <v>T . Cổ</v>
      </c>
      <c r="D64" s="696"/>
      <c r="E64" s="697">
        <f>VLOOKUP(C64,TONGHOPCONGDOI!C232:Q296,15,0)</f>
        <v>0</v>
      </c>
      <c r="F64" s="696">
        <f t="shared" si="1"/>
        <v>0</v>
      </c>
      <c r="G64" s="696">
        <f>VLOOKUP(C64,TONGHOPCONGDOI!C232:AD296,16,0)</f>
        <v>0</v>
      </c>
      <c r="H64" s="696">
        <f>VLOOKUP(C64,TONGHOPCONGDOI!C232:AD296,17,0)</f>
        <v>0</v>
      </c>
      <c r="I64" s="696"/>
      <c r="J64" s="1556" t="e">
        <f t="shared" si="6"/>
        <v>#DIV/0!</v>
      </c>
      <c r="K64" s="683" t="str">
        <f>VLOOKUP(C64,'BTH mủ tạp'!C230:AL291,36,0)</f>
        <v>B</v>
      </c>
      <c r="L64" s="1185" t="e">
        <f t="shared" si="2"/>
        <v>#DIV/0!</v>
      </c>
      <c r="M64" s="696">
        <f>VLOOKUP(C64,TONGHOPCONGDOI!$C$185:$AD$248,20,0)</f>
        <v>0</v>
      </c>
      <c r="N64" s="696">
        <f>VLOOKUP(C64,TONGHOPCONGDOI!$C$185:$AD$248,21,0)</f>
        <v>0</v>
      </c>
      <c r="O64" s="696">
        <f>VLOOKUP(C64,TONGHOPCONGDOI!$C$185:$AD$248,22,0)</f>
        <v>0</v>
      </c>
      <c r="P64" s="696">
        <f>VLOOKUP(C64,TONGHOPCONGDOI!$C$185:$AD$248,23,0)</f>
        <v>0</v>
      </c>
      <c r="Q64" s="696">
        <f>VLOOKUP(C64,TONGHOPCONGDOI!$C$185:$AD$248,24,0)</f>
        <v>0</v>
      </c>
      <c r="R64" s="696">
        <f>VLOOKUP(C64,TONGHOPCONGDOI!$C$185:$AD$248,25,0)</f>
        <v>0</v>
      </c>
      <c r="S64" s="696"/>
      <c r="T64" s="685">
        <f t="shared" si="3"/>
        <v>0</v>
      </c>
      <c r="U64" s="685">
        <f t="shared" si="4"/>
        <v>0</v>
      </c>
      <c r="V64" s="685"/>
      <c r="W64" s="1725">
        <f t="shared" si="7"/>
        <v>0</v>
      </c>
      <c r="X64" s="696" t="e">
        <f t="shared" si="8"/>
        <v>#DIV/0!</v>
      </c>
      <c r="Y64" s="696"/>
      <c r="Z64" s="696">
        <f>VLOOKUP(C64,'CNKT '!$C$190:$Z$253,24,0)</f>
        <v>0</v>
      </c>
      <c r="AA64" s="591" t="e">
        <f t="shared" si="5"/>
        <v>#DIV/0!</v>
      </c>
    </row>
    <row r="65" spans="1:27" s="591" customFormat="1" ht="42.75" hidden="1" customHeight="1">
      <c r="A65" s="683">
        <v>49</v>
      </c>
      <c r="B65" s="696" t="str">
        <f>'Chấm công KT'!D140</f>
        <v>03562</v>
      </c>
      <c r="C65" s="696" t="str">
        <f>TONGHOPCONGDOI!C233</f>
        <v>N. Phim Pha</v>
      </c>
      <c r="D65" s="696"/>
      <c r="E65" s="697">
        <f>VLOOKUP(C65,TONGHOPCONGDOI!C233:Q297,15,0)</f>
        <v>0</v>
      </c>
      <c r="F65" s="696">
        <f t="shared" si="1"/>
        <v>0</v>
      </c>
      <c r="G65" s="696">
        <f>VLOOKUP(C65,TONGHOPCONGDOI!C233:AD297,16,0)</f>
        <v>0</v>
      </c>
      <c r="H65" s="696">
        <f>VLOOKUP(C65,TONGHOPCONGDOI!C233:AD297,17,0)</f>
        <v>0</v>
      </c>
      <c r="I65" s="696"/>
      <c r="J65" s="1556" t="e">
        <f t="shared" si="6"/>
        <v>#DIV/0!</v>
      </c>
      <c r="K65" s="683" t="str">
        <f>VLOOKUP(C65,'BTH mủ tạp'!C231:AL292,36,0)</f>
        <v>A</v>
      </c>
      <c r="L65" s="1185" t="e">
        <f t="shared" si="2"/>
        <v>#DIV/0!</v>
      </c>
      <c r="M65" s="696">
        <f>VLOOKUP(C65,TONGHOPCONGDOI!$C$185:$AD$248,20,0)</f>
        <v>0</v>
      </c>
      <c r="N65" s="696">
        <f>VLOOKUP(C65,TONGHOPCONGDOI!$C$185:$AD$248,21,0)</f>
        <v>0</v>
      </c>
      <c r="O65" s="696">
        <f>VLOOKUP(C65,TONGHOPCONGDOI!$C$185:$AD$248,22,0)</f>
        <v>0</v>
      </c>
      <c r="P65" s="696">
        <f>VLOOKUP(C65,TONGHOPCONGDOI!$C$185:$AD$248,23,0)</f>
        <v>0</v>
      </c>
      <c r="Q65" s="696">
        <f>VLOOKUP(C65,TONGHOPCONGDOI!$C$185:$AD$248,24,0)</f>
        <v>0</v>
      </c>
      <c r="R65" s="696">
        <f>VLOOKUP(C65,TONGHOPCONGDOI!$C$185:$AD$248,25,0)</f>
        <v>0</v>
      </c>
      <c r="S65" s="696"/>
      <c r="T65" s="685">
        <f t="shared" si="3"/>
        <v>0</v>
      </c>
      <c r="U65" s="685">
        <f t="shared" si="4"/>
        <v>0</v>
      </c>
      <c r="V65" s="685"/>
      <c r="W65" s="1725">
        <f t="shared" si="7"/>
        <v>0</v>
      </c>
      <c r="X65" s="696" t="e">
        <f t="shared" si="8"/>
        <v>#DIV/0!</v>
      </c>
      <c r="Y65" s="696"/>
      <c r="Z65" s="696">
        <f>VLOOKUP(C65,'CNKT '!$C$190:$Z$253,24,0)</f>
        <v>0</v>
      </c>
      <c r="AA65" s="591" t="e">
        <f t="shared" si="5"/>
        <v>#DIV/0!</v>
      </c>
    </row>
    <row r="66" spans="1:27" s="591" customFormat="1" ht="42.75" hidden="1" customHeight="1">
      <c r="A66" s="683">
        <v>50</v>
      </c>
      <c r="B66" s="696" t="str">
        <f>'Chấm công KT'!D141</f>
        <v>03563</v>
      </c>
      <c r="C66" s="696" t="str">
        <f>TONGHOPCONGDOI!C234</f>
        <v xml:space="preserve">T. Xeng </v>
      </c>
      <c r="D66" s="696"/>
      <c r="E66" s="697">
        <f>VLOOKUP(C66,TONGHOPCONGDOI!C234:Q298,15,0)</f>
        <v>0</v>
      </c>
      <c r="F66" s="696">
        <f t="shared" si="1"/>
        <v>0</v>
      </c>
      <c r="G66" s="696">
        <f>VLOOKUP(C66,TONGHOPCONGDOI!C234:AD298,16,0)</f>
        <v>0</v>
      </c>
      <c r="H66" s="696">
        <f>VLOOKUP(C66,TONGHOPCONGDOI!C234:AD298,17,0)</f>
        <v>0</v>
      </c>
      <c r="I66" s="696"/>
      <c r="J66" s="1556" t="e">
        <f t="shared" si="6"/>
        <v>#DIV/0!</v>
      </c>
      <c r="K66" s="683" t="str">
        <f>VLOOKUP(C66,'BTH mủ tạp'!C232:AL293,36,0)</f>
        <v>A</v>
      </c>
      <c r="L66" s="1185" t="e">
        <f t="shared" si="2"/>
        <v>#DIV/0!</v>
      </c>
      <c r="M66" s="696">
        <f>VLOOKUP(C66,TONGHOPCONGDOI!$C$185:$AD$248,20,0)</f>
        <v>0</v>
      </c>
      <c r="N66" s="696">
        <f>VLOOKUP(C66,TONGHOPCONGDOI!$C$185:$AD$248,21,0)</f>
        <v>0</v>
      </c>
      <c r="O66" s="696">
        <f>VLOOKUP(C66,TONGHOPCONGDOI!$C$185:$AD$248,22,0)</f>
        <v>0</v>
      </c>
      <c r="P66" s="696">
        <f>VLOOKUP(C66,TONGHOPCONGDOI!$C$185:$AD$248,23,0)</f>
        <v>0</v>
      </c>
      <c r="Q66" s="696">
        <f>VLOOKUP(C66,TONGHOPCONGDOI!$C$185:$AD$248,24,0)</f>
        <v>0</v>
      </c>
      <c r="R66" s="696">
        <f>VLOOKUP(C66,TONGHOPCONGDOI!$C$185:$AD$248,25,0)</f>
        <v>0</v>
      </c>
      <c r="S66" s="696"/>
      <c r="T66" s="685">
        <f t="shared" si="3"/>
        <v>0</v>
      </c>
      <c r="U66" s="685">
        <f t="shared" si="4"/>
        <v>0</v>
      </c>
      <c r="V66" s="685"/>
      <c r="W66" s="1725">
        <f t="shared" si="7"/>
        <v>0</v>
      </c>
      <c r="X66" s="696" t="e">
        <f t="shared" si="8"/>
        <v>#DIV/0!</v>
      </c>
      <c r="Y66" s="696"/>
      <c r="Z66" s="696">
        <f>VLOOKUP(C66,'CNKT '!$C$190:$Z$253,24,0)</f>
        <v>0</v>
      </c>
      <c r="AA66" s="591" t="e">
        <f t="shared" si="5"/>
        <v>#DIV/0!</v>
      </c>
    </row>
    <row r="67" spans="1:27" s="591" customFormat="1" ht="42.75" hidden="1" customHeight="1">
      <c r="A67" s="683">
        <v>51</v>
      </c>
      <c r="B67" s="696" t="str">
        <f>'Chấm công KT'!D142</f>
        <v>03564</v>
      </c>
      <c r="C67" s="696" t="str">
        <f>TONGHOPCONGDOI!C235</f>
        <v>T. Vạt</v>
      </c>
      <c r="D67" s="696"/>
      <c r="E67" s="697">
        <f>VLOOKUP(C67,TONGHOPCONGDOI!C235:Q299,15,0)</f>
        <v>0</v>
      </c>
      <c r="F67" s="696">
        <f t="shared" si="1"/>
        <v>0</v>
      </c>
      <c r="G67" s="696">
        <f>VLOOKUP(C67,TONGHOPCONGDOI!C235:AD299,16,0)</f>
        <v>0</v>
      </c>
      <c r="H67" s="696">
        <f>VLOOKUP(C67,TONGHOPCONGDOI!C235:AD299,17,0)</f>
        <v>0</v>
      </c>
      <c r="I67" s="696"/>
      <c r="J67" s="1556" t="e">
        <f t="shared" si="6"/>
        <v>#DIV/0!</v>
      </c>
      <c r="K67" s="683" t="str">
        <f>VLOOKUP(C67,'BTH mủ tạp'!C233:AL294,36,0)</f>
        <v>A</v>
      </c>
      <c r="L67" s="1185" t="e">
        <f t="shared" si="2"/>
        <v>#DIV/0!</v>
      </c>
      <c r="M67" s="696">
        <f>VLOOKUP(C67,TONGHOPCONGDOI!$C$185:$AD$248,20,0)</f>
        <v>0</v>
      </c>
      <c r="N67" s="696">
        <f>VLOOKUP(C67,TONGHOPCONGDOI!$C$185:$AD$248,21,0)</f>
        <v>0</v>
      </c>
      <c r="O67" s="696">
        <f>VLOOKUP(C67,TONGHOPCONGDOI!$C$185:$AD$248,22,0)</f>
        <v>0</v>
      </c>
      <c r="P67" s="696">
        <f>VLOOKUP(C67,TONGHOPCONGDOI!$C$185:$AD$248,23,0)</f>
        <v>0</v>
      </c>
      <c r="Q67" s="696">
        <f>VLOOKUP(C67,TONGHOPCONGDOI!$C$185:$AD$248,24,0)</f>
        <v>0</v>
      </c>
      <c r="R67" s="696">
        <f>VLOOKUP(C67,TONGHOPCONGDOI!$C$185:$AD$248,25,0)</f>
        <v>0</v>
      </c>
      <c r="S67" s="696"/>
      <c r="T67" s="685">
        <f t="shared" si="3"/>
        <v>0</v>
      </c>
      <c r="U67" s="685">
        <f t="shared" si="4"/>
        <v>0</v>
      </c>
      <c r="V67" s="685"/>
      <c r="W67" s="1725">
        <f t="shared" si="7"/>
        <v>0</v>
      </c>
      <c r="X67" s="696" t="e">
        <f t="shared" si="8"/>
        <v>#DIV/0!</v>
      </c>
      <c r="Y67" s="696"/>
      <c r="Z67" s="696">
        <f>VLOOKUP(C67,'CNKT '!$C$190:$Z$253,24,0)</f>
        <v>0</v>
      </c>
      <c r="AA67" s="591" t="e">
        <f t="shared" si="5"/>
        <v>#DIV/0!</v>
      </c>
    </row>
    <row r="68" spans="1:27" s="591" customFormat="1" ht="42.75" hidden="1" customHeight="1">
      <c r="A68" s="683">
        <v>52</v>
      </c>
      <c r="B68" s="696"/>
      <c r="C68" s="696" t="str">
        <f>TONGHOPCONGDOI!C236</f>
        <v>T. Lay</v>
      </c>
      <c r="D68" s="696"/>
      <c r="E68" s="697">
        <f>VLOOKUP(C68,TONGHOPCONGDOI!C236:Q300,15,0)</f>
        <v>0</v>
      </c>
      <c r="F68" s="696">
        <f t="shared" si="1"/>
        <v>0</v>
      </c>
      <c r="G68" s="696">
        <f>VLOOKUP(C68,TONGHOPCONGDOI!C236:AD300,16,0)</f>
        <v>0</v>
      </c>
      <c r="H68" s="696">
        <f>VLOOKUP(C68,TONGHOPCONGDOI!C236:AD300,17,0)</f>
        <v>0</v>
      </c>
      <c r="I68" s="696"/>
      <c r="J68" s="1556" t="e">
        <f t="shared" si="6"/>
        <v>#DIV/0!</v>
      </c>
      <c r="K68" s="683" t="str">
        <f>VLOOKUP(C68,'BTH mủ tạp'!C234:AL295,36,0)</f>
        <v>A</v>
      </c>
      <c r="L68" s="1185" t="e">
        <f t="shared" si="2"/>
        <v>#DIV/0!</v>
      </c>
      <c r="M68" s="696">
        <f>VLOOKUP(C68,TONGHOPCONGDOI!$C$185:$AD$248,20,0)</f>
        <v>0</v>
      </c>
      <c r="N68" s="696">
        <f>VLOOKUP(C68,TONGHOPCONGDOI!$C$185:$AD$248,21,0)</f>
        <v>0</v>
      </c>
      <c r="O68" s="696">
        <f>VLOOKUP(C68,TONGHOPCONGDOI!$C$185:$AD$248,22,0)</f>
        <v>0</v>
      </c>
      <c r="P68" s="696">
        <f>VLOOKUP(C68,TONGHOPCONGDOI!$C$185:$AD$248,23,0)</f>
        <v>0</v>
      </c>
      <c r="Q68" s="696">
        <f>VLOOKUP(C68,TONGHOPCONGDOI!$C$185:$AD$248,24,0)</f>
        <v>0</v>
      </c>
      <c r="R68" s="696">
        <f>VLOOKUP(C68,TONGHOPCONGDOI!$C$185:$AD$248,25,0)</f>
        <v>0</v>
      </c>
      <c r="S68" s="696"/>
      <c r="T68" s="685">
        <f t="shared" si="3"/>
        <v>0</v>
      </c>
      <c r="U68" s="685">
        <f t="shared" si="4"/>
        <v>0</v>
      </c>
      <c r="V68" s="685"/>
      <c r="W68" s="1725">
        <f t="shared" si="7"/>
        <v>0</v>
      </c>
      <c r="X68" s="696" t="e">
        <f t="shared" si="8"/>
        <v>#DIV/0!</v>
      </c>
      <c r="Y68" s="696"/>
      <c r="Z68" s="696">
        <f>VLOOKUP(C68,'CNKT '!$C$190:$Z$253,24,0)</f>
        <v>0</v>
      </c>
      <c r="AA68" s="591" t="e">
        <f t="shared" si="5"/>
        <v>#DIV/0!</v>
      </c>
    </row>
    <row r="69" spans="1:27" s="591" customFormat="1" ht="42.75" hidden="1" customHeight="1">
      <c r="A69" s="683">
        <v>53</v>
      </c>
      <c r="B69" s="696"/>
      <c r="C69" s="696" t="str">
        <f>TONGHOPCONGDOI!C237</f>
        <v>Lăm Thon</v>
      </c>
      <c r="D69" s="696"/>
      <c r="E69" s="697">
        <f>VLOOKUP(C69,TONGHOPCONGDOI!C237:Q301,15,0)</f>
        <v>0</v>
      </c>
      <c r="F69" s="696">
        <f t="shared" si="1"/>
        <v>0</v>
      </c>
      <c r="G69" s="696">
        <f>VLOOKUP(C69,TONGHOPCONGDOI!C237:AD301,16,0)</f>
        <v>0</v>
      </c>
      <c r="H69" s="696">
        <f>VLOOKUP(C69,TONGHOPCONGDOI!C237:AD301,17,0)</f>
        <v>0</v>
      </c>
      <c r="I69" s="696"/>
      <c r="J69" s="1556" t="e">
        <f t="shared" si="6"/>
        <v>#DIV/0!</v>
      </c>
      <c r="K69" s="683" t="str">
        <f>VLOOKUP(C69,'BTH mủ tạp'!C235:AL296,36,0)</f>
        <v>A</v>
      </c>
      <c r="L69" s="1185" t="e">
        <f t="shared" si="2"/>
        <v>#DIV/0!</v>
      </c>
      <c r="M69" s="696">
        <f>VLOOKUP(C69,TONGHOPCONGDOI!$C$185:$AD$248,20,0)</f>
        <v>0</v>
      </c>
      <c r="N69" s="696">
        <f>VLOOKUP(C69,TONGHOPCONGDOI!$C$185:$AD$248,21,0)</f>
        <v>0</v>
      </c>
      <c r="O69" s="696">
        <f>VLOOKUP(C69,TONGHOPCONGDOI!$C$185:$AD$248,22,0)</f>
        <v>0</v>
      </c>
      <c r="P69" s="696">
        <f>VLOOKUP(C69,TONGHOPCONGDOI!$C$185:$AD$248,23,0)</f>
        <v>0</v>
      </c>
      <c r="Q69" s="696">
        <f>VLOOKUP(C69,TONGHOPCONGDOI!$C$185:$AD$248,24,0)</f>
        <v>0</v>
      </c>
      <c r="R69" s="696">
        <f>VLOOKUP(C69,TONGHOPCONGDOI!$C$185:$AD$248,25,0)</f>
        <v>0</v>
      </c>
      <c r="S69" s="696"/>
      <c r="T69" s="685">
        <f t="shared" si="3"/>
        <v>0</v>
      </c>
      <c r="U69" s="685">
        <f t="shared" si="4"/>
        <v>0</v>
      </c>
      <c r="V69" s="685"/>
      <c r="W69" s="1725">
        <f t="shared" si="7"/>
        <v>0</v>
      </c>
      <c r="X69" s="696" t="e">
        <f t="shared" si="8"/>
        <v>#DIV/0!</v>
      </c>
      <c r="Y69" s="696"/>
      <c r="Z69" s="696">
        <f>VLOOKUP(C69,'CNKT '!$C$190:$Z$253,24,0)</f>
        <v>0</v>
      </c>
      <c r="AA69" s="591" t="e">
        <f t="shared" si="5"/>
        <v>#DIV/0!</v>
      </c>
    </row>
    <row r="70" spans="1:27" s="591" customFormat="1" ht="42.75" hidden="1" customHeight="1">
      <c r="A70" s="683">
        <v>54</v>
      </c>
      <c r="B70" s="696" t="str">
        <f>'Chấm công KT'!D145</f>
        <v>03567</v>
      </c>
      <c r="C70" s="696" t="str">
        <f>TONGHOPCONGDOI!C238</f>
        <v>T Bun Xi</v>
      </c>
      <c r="D70" s="696"/>
      <c r="E70" s="697">
        <f>VLOOKUP(C70,TONGHOPCONGDOI!C238:Q302,15,0)</f>
        <v>0</v>
      </c>
      <c r="F70" s="696">
        <f t="shared" si="1"/>
        <v>0</v>
      </c>
      <c r="G70" s="696">
        <f>VLOOKUP(C70,TONGHOPCONGDOI!C238:AD302,16,0)</f>
        <v>0</v>
      </c>
      <c r="H70" s="696">
        <f>VLOOKUP(C70,TONGHOPCONGDOI!C238:AD302,17,0)</f>
        <v>0</v>
      </c>
      <c r="I70" s="696"/>
      <c r="J70" s="1556" t="e">
        <f t="shared" si="6"/>
        <v>#DIV/0!</v>
      </c>
      <c r="K70" s="683" t="str">
        <f>VLOOKUP(C70,'BTH mủ tạp'!C236:AL297,36,0)</f>
        <v>A</v>
      </c>
      <c r="L70" s="1185" t="e">
        <f t="shared" si="2"/>
        <v>#DIV/0!</v>
      </c>
      <c r="M70" s="696">
        <f>VLOOKUP(C70,TONGHOPCONGDOI!$C$185:$AD$248,20,0)</f>
        <v>0</v>
      </c>
      <c r="N70" s="696">
        <f>VLOOKUP(C70,TONGHOPCONGDOI!$C$185:$AD$248,21,0)</f>
        <v>0</v>
      </c>
      <c r="O70" s="696">
        <f>VLOOKUP(C70,TONGHOPCONGDOI!$C$185:$AD$248,22,0)</f>
        <v>0</v>
      </c>
      <c r="P70" s="696">
        <f>VLOOKUP(C70,TONGHOPCONGDOI!$C$185:$AD$248,23,0)</f>
        <v>0</v>
      </c>
      <c r="Q70" s="696">
        <f>VLOOKUP(C70,TONGHOPCONGDOI!$C$185:$AD$248,24,0)</f>
        <v>0</v>
      </c>
      <c r="R70" s="696">
        <f>VLOOKUP(C70,TONGHOPCONGDOI!$C$185:$AD$248,25,0)</f>
        <v>0</v>
      </c>
      <c r="S70" s="696"/>
      <c r="T70" s="685">
        <f t="shared" si="3"/>
        <v>0</v>
      </c>
      <c r="U70" s="685">
        <f t="shared" si="4"/>
        <v>0</v>
      </c>
      <c r="V70" s="685"/>
      <c r="W70" s="1725">
        <f t="shared" si="7"/>
        <v>0</v>
      </c>
      <c r="X70" s="696" t="e">
        <f t="shared" si="8"/>
        <v>#DIV/0!</v>
      </c>
      <c r="Y70" s="696"/>
      <c r="Z70" s="696">
        <f>VLOOKUP(C70,'CNKT '!$C$190:$Z$253,24,0)</f>
        <v>0</v>
      </c>
      <c r="AA70" s="591" t="e">
        <f t="shared" si="5"/>
        <v>#DIV/0!</v>
      </c>
    </row>
    <row r="71" spans="1:27" s="591" customFormat="1" ht="42.75" hidden="1" customHeight="1">
      <c r="A71" s="683">
        <v>55</v>
      </c>
      <c r="B71" s="696" t="str">
        <f>'Chấm công KT'!D146</f>
        <v>03568</v>
      </c>
      <c r="C71" s="696" t="str">
        <f>TONGHOPCONGDOI!C239</f>
        <v>Xô La</v>
      </c>
      <c r="D71" s="696"/>
      <c r="E71" s="697">
        <f>VLOOKUP(C71,TONGHOPCONGDOI!C239:Q303,15,0)</f>
        <v>0</v>
      </c>
      <c r="F71" s="696">
        <f t="shared" si="1"/>
        <v>0</v>
      </c>
      <c r="G71" s="696">
        <f>VLOOKUP(C71,TONGHOPCONGDOI!C239:AD303,16,0)</f>
        <v>0</v>
      </c>
      <c r="H71" s="696">
        <f>VLOOKUP(C71,TONGHOPCONGDOI!C239:AD303,17,0)</f>
        <v>0</v>
      </c>
      <c r="I71" s="696"/>
      <c r="J71" s="1556" t="e">
        <f t="shared" si="6"/>
        <v>#DIV/0!</v>
      </c>
      <c r="K71" s="683" t="str">
        <f>VLOOKUP(C71,'BTH mủ tạp'!C237:AL298,36,0)</f>
        <v>A</v>
      </c>
      <c r="L71" s="1185" t="e">
        <f t="shared" si="2"/>
        <v>#DIV/0!</v>
      </c>
      <c r="M71" s="696">
        <f>VLOOKUP(C71,TONGHOPCONGDOI!$C$185:$AD$248,20,0)</f>
        <v>0</v>
      </c>
      <c r="N71" s="696">
        <f>VLOOKUP(C71,TONGHOPCONGDOI!$C$185:$AD$248,21,0)</f>
        <v>0</v>
      </c>
      <c r="O71" s="696">
        <f>VLOOKUP(C71,TONGHOPCONGDOI!$C$185:$AD$248,22,0)</f>
        <v>0</v>
      </c>
      <c r="P71" s="696">
        <f>VLOOKUP(C71,TONGHOPCONGDOI!$C$185:$AD$248,23,0)</f>
        <v>0</v>
      </c>
      <c r="Q71" s="696">
        <f>VLOOKUP(C71,TONGHOPCONGDOI!$C$185:$AD$248,24,0)</f>
        <v>0</v>
      </c>
      <c r="R71" s="696">
        <f>VLOOKUP(C71,TONGHOPCONGDOI!$C$185:$AD$248,25,0)</f>
        <v>0</v>
      </c>
      <c r="S71" s="696"/>
      <c r="T71" s="685">
        <f t="shared" si="3"/>
        <v>0</v>
      </c>
      <c r="U71" s="685">
        <f t="shared" si="4"/>
        <v>0</v>
      </c>
      <c r="V71" s="685"/>
      <c r="W71" s="1725">
        <f t="shared" si="7"/>
        <v>0</v>
      </c>
      <c r="X71" s="696" t="e">
        <f t="shared" si="8"/>
        <v>#DIV/0!</v>
      </c>
      <c r="Y71" s="696"/>
      <c r="Z71" s="696">
        <f>VLOOKUP(C71,'CNKT '!$C$190:$Z$253,24,0)</f>
        <v>0</v>
      </c>
      <c r="AA71" s="591" t="e">
        <f t="shared" si="5"/>
        <v>#DIV/0!</v>
      </c>
    </row>
    <row r="72" spans="1:27" s="591" customFormat="1" ht="42.75" hidden="1" customHeight="1">
      <c r="A72" s="683">
        <v>56</v>
      </c>
      <c r="B72" s="696" t="str">
        <f>'Chấm công KT'!D147</f>
        <v>03569</v>
      </c>
      <c r="C72" s="696" t="str">
        <f>TONGHOPCONGDOI!C240</f>
        <v>T. Xơn</v>
      </c>
      <c r="D72" s="696"/>
      <c r="E72" s="697">
        <f>VLOOKUP(C72,TONGHOPCONGDOI!C240:Q304,15,0)</f>
        <v>0</v>
      </c>
      <c r="F72" s="696">
        <f t="shared" si="1"/>
        <v>0</v>
      </c>
      <c r="G72" s="696">
        <f>VLOOKUP(C72,TONGHOPCONGDOI!C240:AD304,16,0)</f>
        <v>0</v>
      </c>
      <c r="H72" s="696">
        <f>VLOOKUP(C72,TONGHOPCONGDOI!C240:AD304,17,0)</f>
        <v>0</v>
      </c>
      <c r="I72" s="696"/>
      <c r="J72" s="1556" t="e">
        <f t="shared" si="6"/>
        <v>#DIV/0!</v>
      </c>
      <c r="K72" s="683" t="str">
        <f>VLOOKUP(C72,'BTH mủ tạp'!C238:AL299,36,0)</f>
        <v>A</v>
      </c>
      <c r="L72" s="1185" t="e">
        <f t="shared" si="2"/>
        <v>#DIV/0!</v>
      </c>
      <c r="M72" s="696">
        <f>VLOOKUP(C72,TONGHOPCONGDOI!$C$185:$AD$248,20,0)</f>
        <v>0</v>
      </c>
      <c r="N72" s="696">
        <f>VLOOKUP(C72,TONGHOPCONGDOI!$C$185:$AD$248,21,0)</f>
        <v>0</v>
      </c>
      <c r="O72" s="696">
        <f>VLOOKUP(C72,TONGHOPCONGDOI!$C$185:$AD$248,22,0)</f>
        <v>0</v>
      </c>
      <c r="P72" s="696">
        <f>VLOOKUP(C72,TONGHOPCONGDOI!$C$185:$AD$248,23,0)</f>
        <v>0</v>
      </c>
      <c r="Q72" s="696">
        <f>VLOOKUP(C72,TONGHOPCONGDOI!$C$185:$AD$248,24,0)</f>
        <v>0</v>
      </c>
      <c r="R72" s="696">
        <f>VLOOKUP(C72,TONGHOPCONGDOI!$C$185:$AD$248,25,0)</f>
        <v>0</v>
      </c>
      <c r="S72" s="696"/>
      <c r="T72" s="685">
        <f t="shared" si="3"/>
        <v>0</v>
      </c>
      <c r="U72" s="685">
        <f t="shared" si="4"/>
        <v>0</v>
      </c>
      <c r="V72" s="685"/>
      <c r="W72" s="1725">
        <f t="shared" si="7"/>
        <v>0</v>
      </c>
      <c r="X72" s="696" t="e">
        <f t="shared" si="8"/>
        <v>#DIV/0!</v>
      </c>
      <c r="Y72" s="696"/>
      <c r="Z72" s="696">
        <f>VLOOKUP(C72,'CNKT '!$C$190:$Z$253,24,0)</f>
        <v>0</v>
      </c>
      <c r="AA72" s="591" t="e">
        <f t="shared" si="5"/>
        <v>#DIV/0!</v>
      </c>
    </row>
    <row r="73" spans="1:27" s="591" customFormat="1" ht="42.75" hidden="1" customHeight="1">
      <c r="A73" s="683">
        <v>57</v>
      </c>
      <c r="B73" s="696" t="str">
        <f>'Chấm công KT'!D148</f>
        <v>03570</v>
      </c>
      <c r="C73" s="696" t="str">
        <f>TONGHOPCONGDOI!C241</f>
        <v>T. K Đăm</v>
      </c>
      <c r="D73" s="696"/>
      <c r="E73" s="697">
        <f>VLOOKUP(C73,TONGHOPCONGDOI!C241:Q305,15,0)</f>
        <v>0</v>
      </c>
      <c r="F73" s="696">
        <f t="shared" si="1"/>
        <v>0</v>
      </c>
      <c r="G73" s="696">
        <f>VLOOKUP(C73,TONGHOPCONGDOI!C241:AD305,16,0)</f>
        <v>0</v>
      </c>
      <c r="H73" s="696">
        <f>VLOOKUP(C73,TONGHOPCONGDOI!C241:AD305,17,0)</f>
        <v>0</v>
      </c>
      <c r="I73" s="696"/>
      <c r="J73" s="1556" t="e">
        <f t="shared" si="6"/>
        <v>#DIV/0!</v>
      </c>
      <c r="K73" s="683" t="str">
        <f>VLOOKUP(C73,'BTH mủ tạp'!C239:AL300,36,0)</f>
        <v>A</v>
      </c>
      <c r="L73" s="1185" t="e">
        <f t="shared" si="2"/>
        <v>#DIV/0!</v>
      </c>
      <c r="M73" s="696">
        <f>VLOOKUP(C73,TONGHOPCONGDOI!$C$185:$AD$248,20,0)</f>
        <v>0</v>
      </c>
      <c r="N73" s="696">
        <f>VLOOKUP(C73,TONGHOPCONGDOI!$C$185:$AD$248,21,0)</f>
        <v>0</v>
      </c>
      <c r="O73" s="696">
        <f>VLOOKUP(C73,TONGHOPCONGDOI!$C$185:$AD$248,22,0)</f>
        <v>0</v>
      </c>
      <c r="P73" s="696">
        <f>VLOOKUP(C73,TONGHOPCONGDOI!$C$185:$AD$248,23,0)</f>
        <v>0</v>
      </c>
      <c r="Q73" s="696">
        <f>VLOOKUP(C73,TONGHOPCONGDOI!$C$185:$AD$248,24,0)</f>
        <v>0</v>
      </c>
      <c r="R73" s="696">
        <f>VLOOKUP(C73,TONGHOPCONGDOI!$C$185:$AD$248,25,0)</f>
        <v>0</v>
      </c>
      <c r="S73" s="696"/>
      <c r="T73" s="685">
        <f t="shared" si="3"/>
        <v>0</v>
      </c>
      <c r="U73" s="685">
        <f t="shared" si="4"/>
        <v>0</v>
      </c>
      <c r="V73" s="685"/>
      <c r="W73" s="1725">
        <f t="shared" si="7"/>
        <v>0</v>
      </c>
      <c r="X73" s="696" t="e">
        <f t="shared" si="8"/>
        <v>#DIV/0!</v>
      </c>
      <c r="Y73" s="696"/>
      <c r="Z73" s="696">
        <f>VLOOKUP(C73,'CNKT '!$C$190:$Z$253,24,0)</f>
        <v>0</v>
      </c>
      <c r="AA73" s="591" t="e">
        <f t="shared" si="5"/>
        <v>#DIV/0!</v>
      </c>
    </row>
    <row r="74" spans="1:27" s="591" customFormat="1" ht="42.75" hidden="1" customHeight="1">
      <c r="A74" s="683">
        <v>58</v>
      </c>
      <c r="B74" s="696" t="str">
        <f>'Chấm công KT'!D149</f>
        <v>03571</v>
      </c>
      <c r="C74" s="696" t="str">
        <f>TONGHOPCONGDOI!C242</f>
        <v>N. Nô La</v>
      </c>
      <c r="D74" s="696"/>
      <c r="E74" s="697">
        <f>VLOOKUP(C74,TONGHOPCONGDOI!C242:Q306,15,0)</f>
        <v>0</v>
      </c>
      <c r="F74" s="696">
        <f t="shared" si="1"/>
        <v>0</v>
      </c>
      <c r="G74" s="696">
        <f>VLOOKUP(C74,TONGHOPCONGDOI!C242:AD306,16,0)</f>
        <v>0</v>
      </c>
      <c r="H74" s="696">
        <f>VLOOKUP(C74,TONGHOPCONGDOI!C242:AD306,17,0)</f>
        <v>0</v>
      </c>
      <c r="I74" s="696"/>
      <c r="J74" s="1556" t="e">
        <f t="shared" si="6"/>
        <v>#DIV/0!</v>
      </c>
      <c r="K74" s="683" t="str">
        <f>VLOOKUP(C74,'BTH mủ tạp'!C240:AL301,36,0)</f>
        <v>A</v>
      </c>
      <c r="L74" s="1185" t="e">
        <f t="shared" si="2"/>
        <v>#DIV/0!</v>
      </c>
      <c r="M74" s="696">
        <f>VLOOKUP(C74,TONGHOPCONGDOI!$C$185:$AD$248,20,0)</f>
        <v>0</v>
      </c>
      <c r="N74" s="696">
        <f>VLOOKUP(C74,TONGHOPCONGDOI!$C$185:$AD$248,21,0)</f>
        <v>0</v>
      </c>
      <c r="O74" s="696">
        <f>VLOOKUP(C74,TONGHOPCONGDOI!$C$185:$AD$248,22,0)</f>
        <v>0</v>
      </c>
      <c r="P74" s="696">
        <f>VLOOKUP(C74,TONGHOPCONGDOI!$C$185:$AD$248,23,0)</f>
        <v>0</v>
      </c>
      <c r="Q74" s="696">
        <f>VLOOKUP(C74,TONGHOPCONGDOI!$C$185:$AD$248,24,0)</f>
        <v>0</v>
      </c>
      <c r="R74" s="696">
        <f>VLOOKUP(C74,TONGHOPCONGDOI!$C$185:$AD$248,25,0)</f>
        <v>0</v>
      </c>
      <c r="S74" s="696"/>
      <c r="T74" s="685">
        <f t="shared" si="3"/>
        <v>0</v>
      </c>
      <c r="U74" s="685">
        <f t="shared" si="4"/>
        <v>0</v>
      </c>
      <c r="V74" s="685"/>
      <c r="W74" s="1725">
        <f t="shared" si="7"/>
        <v>0</v>
      </c>
      <c r="X74" s="696" t="e">
        <f t="shared" si="8"/>
        <v>#DIV/0!</v>
      </c>
      <c r="Y74" s="696"/>
      <c r="Z74" s="696">
        <f>VLOOKUP(C74,'CNKT '!$C$190:$Z$253,24,0)</f>
        <v>0</v>
      </c>
      <c r="AA74" s="591" t="e">
        <f t="shared" si="5"/>
        <v>#DIV/0!</v>
      </c>
    </row>
    <row r="75" spans="1:27" s="591" customFormat="1" ht="42.75" hidden="1" customHeight="1">
      <c r="A75" s="683">
        <v>59</v>
      </c>
      <c r="B75" s="696"/>
      <c r="C75" s="696" t="str">
        <f>TONGHOPCONGDOI!C243</f>
        <v>T. Thong</v>
      </c>
      <c r="D75" s="696"/>
      <c r="E75" s="697">
        <f>VLOOKUP(C75,TONGHOPCONGDOI!C243:Q307,15,0)</f>
        <v>0</v>
      </c>
      <c r="F75" s="696">
        <f t="shared" si="1"/>
        <v>0</v>
      </c>
      <c r="G75" s="696">
        <f>VLOOKUP(C75,TONGHOPCONGDOI!C243:AD307,16,0)</f>
        <v>0</v>
      </c>
      <c r="H75" s="696">
        <f>VLOOKUP(C75,TONGHOPCONGDOI!C243:AD307,17,0)</f>
        <v>0</v>
      </c>
      <c r="I75" s="696"/>
      <c r="J75" s="1556" t="e">
        <f t="shared" si="6"/>
        <v>#DIV/0!</v>
      </c>
      <c r="K75" s="683" t="s">
        <v>889</v>
      </c>
      <c r="L75" s="1185" t="e">
        <f t="shared" si="2"/>
        <v>#DIV/0!</v>
      </c>
      <c r="M75" s="696">
        <f>VLOOKUP(C75,TONGHOPCONGDOI!$C$185:$AD$248,20,0)</f>
        <v>0</v>
      </c>
      <c r="N75" s="696">
        <f>VLOOKUP(C75,TONGHOPCONGDOI!$C$185:$AD$248,21,0)</f>
        <v>0</v>
      </c>
      <c r="O75" s="696">
        <f>VLOOKUP(C75,TONGHOPCONGDOI!$C$185:$AD$248,22,0)</f>
        <v>0</v>
      </c>
      <c r="P75" s="696">
        <f>VLOOKUP(C75,TONGHOPCONGDOI!$C$185:$AD$248,23,0)</f>
        <v>0</v>
      </c>
      <c r="Q75" s="696">
        <f>VLOOKUP(C75,TONGHOPCONGDOI!$C$185:$AD$248,24,0)</f>
        <v>0</v>
      </c>
      <c r="R75" s="696">
        <f>VLOOKUP(C75,TONGHOPCONGDOI!$C$185:$AD$248,25,0)</f>
        <v>0</v>
      </c>
      <c r="S75" s="696"/>
      <c r="T75" s="685">
        <f t="shared" si="3"/>
        <v>0</v>
      </c>
      <c r="U75" s="685">
        <f t="shared" si="4"/>
        <v>0</v>
      </c>
      <c r="V75" s="685"/>
      <c r="W75" s="1725">
        <f t="shared" si="7"/>
        <v>0</v>
      </c>
      <c r="X75" s="696" t="e">
        <f t="shared" si="8"/>
        <v>#DIV/0!</v>
      </c>
      <c r="Y75" s="696"/>
      <c r="Z75" s="696">
        <f>VLOOKUP(C75,'CNKT '!$C$190:$Z$253,24,0)</f>
        <v>0</v>
      </c>
      <c r="AA75" s="591" t="e">
        <f t="shared" si="5"/>
        <v>#DIV/0!</v>
      </c>
    </row>
    <row r="76" spans="1:27" s="591" customFormat="1" ht="42.75" hidden="1" customHeight="1">
      <c r="A76" s="683">
        <v>60</v>
      </c>
      <c r="B76" s="696"/>
      <c r="C76" s="696" t="str">
        <f>TONGHOPCONGDOI!C244</f>
        <v>T. Khách</v>
      </c>
      <c r="D76" s="696"/>
      <c r="E76" s="697">
        <f>VLOOKUP(C76,TONGHOPCONGDOI!C244:Q308,15,0)</f>
        <v>0</v>
      </c>
      <c r="F76" s="696">
        <f t="shared" si="1"/>
        <v>0</v>
      </c>
      <c r="G76" s="696">
        <f>VLOOKUP(C76,TONGHOPCONGDOI!C244:AD307,16,0)</f>
        <v>0</v>
      </c>
      <c r="H76" s="696">
        <f>VLOOKUP(C76,TONGHOPCONGDOI!C244:AD307,17,0)</f>
        <v>0</v>
      </c>
      <c r="I76" s="696"/>
      <c r="J76" s="1556" t="e">
        <f t="shared" si="6"/>
        <v>#DIV/0!</v>
      </c>
      <c r="K76" s="683" t="s">
        <v>889</v>
      </c>
      <c r="L76" s="1185" t="e">
        <f t="shared" si="2"/>
        <v>#DIV/0!</v>
      </c>
      <c r="M76" s="696">
        <f>VLOOKUP(C76,TONGHOPCONGDOI!$C$185:$AD$248,20,0)</f>
        <v>0</v>
      </c>
      <c r="N76" s="696">
        <f>VLOOKUP(C76,TONGHOPCONGDOI!$C$185:$AD$248,21,0)</f>
        <v>0</v>
      </c>
      <c r="O76" s="696">
        <f>VLOOKUP(C76,TONGHOPCONGDOI!$C$185:$AD$248,22,0)</f>
        <v>0</v>
      </c>
      <c r="P76" s="696">
        <f>VLOOKUP(C76,TONGHOPCONGDOI!$C$185:$AD$248,23,0)</f>
        <v>0</v>
      </c>
      <c r="Q76" s="696">
        <f>VLOOKUP(C76,TONGHOPCONGDOI!$C$185:$AD$248,24,0)</f>
        <v>0</v>
      </c>
      <c r="R76" s="696">
        <f>VLOOKUP(C76,TONGHOPCONGDOI!$C$185:$AD$248,25,0)</f>
        <v>0</v>
      </c>
      <c r="S76" s="696"/>
      <c r="T76" s="685">
        <f t="shared" si="3"/>
        <v>0</v>
      </c>
      <c r="U76" s="685">
        <f t="shared" si="4"/>
        <v>0</v>
      </c>
      <c r="V76" s="685"/>
      <c r="W76" s="1725">
        <f t="shared" si="7"/>
        <v>0</v>
      </c>
      <c r="X76" s="696" t="e">
        <f t="shared" si="8"/>
        <v>#DIV/0!</v>
      </c>
      <c r="Y76" s="696"/>
      <c r="Z76" s="696">
        <f>VLOOKUP(C76,'CNKT '!$C$190:$Z$253,24,0)</f>
        <v>0</v>
      </c>
      <c r="AA76" s="591" t="e">
        <f t="shared" si="5"/>
        <v>#DIV/0!</v>
      </c>
    </row>
    <row r="77" spans="1:27" s="591" customFormat="1" ht="42.75" hidden="1" customHeight="1">
      <c r="A77" s="683">
        <v>61</v>
      </c>
      <c r="B77" s="696"/>
      <c r="C77" s="696" t="str">
        <f>TONGHOPCONGDOI!C245</f>
        <v>Nang On Xi</v>
      </c>
      <c r="D77" s="696"/>
      <c r="E77" s="697">
        <f>VLOOKUP(C77,TONGHOPCONGDOI!C245:Q309,15,0)</f>
        <v>0</v>
      </c>
      <c r="F77" s="696">
        <f t="shared" si="1"/>
        <v>0</v>
      </c>
      <c r="G77" s="696">
        <f>VLOOKUP(C77,TONGHOPCONGDOI!C245:AD316,16,0)</f>
        <v>0</v>
      </c>
      <c r="H77" s="696">
        <f>VLOOKUP(C77,TONGHOPCONGDOI!C245:AD316,17,0)</f>
        <v>0</v>
      </c>
      <c r="I77" s="696"/>
      <c r="J77" s="1556" t="e">
        <f t="shared" si="6"/>
        <v>#DIV/0!</v>
      </c>
      <c r="K77" s="683" t="s">
        <v>889</v>
      </c>
      <c r="L77" s="1185" t="e">
        <f t="shared" si="2"/>
        <v>#DIV/0!</v>
      </c>
      <c r="M77" s="696">
        <f>VLOOKUP(C77,TONGHOPCONGDOI!$C$185:$AD$248,20,0)</f>
        <v>0</v>
      </c>
      <c r="N77" s="696">
        <f>VLOOKUP(C77,TONGHOPCONGDOI!$C$185:$AD$248,21,0)</f>
        <v>0</v>
      </c>
      <c r="O77" s="696">
        <f>VLOOKUP(C77,TONGHOPCONGDOI!$C$185:$AD$248,22,0)</f>
        <v>0</v>
      </c>
      <c r="P77" s="696">
        <f>VLOOKUP(C77,TONGHOPCONGDOI!$C$185:$AD$248,23,0)</f>
        <v>0</v>
      </c>
      <c r="Q77" s="696">
        <f>VLOOKUP(C77,TONGHOPCONGDOI!$C$185:$AD$248,24,0)</f>
        <v>0</v>
      </c>
      <c r="R77" s="696">
        <f>VLOOKUP(C77,TONGHOPCONGDOI!$C$185:$AD$248,25,0)</f>
        <v>0</v>
      </c>
      <c r="S77" s="696"/>
      <c r="T77" s="685">
        <f t="shared" si="3"/>
        <v>0</v>
      </c>
      <c r="U77" s="685">
        <f t="shared" si="4"/>
        <v>0</v>
      </c>
      <c r="V77" s="685"/>
      <c r="W77" s="1725">
        <f t="shared" si="7"/>
        <v>0</v>
      </c>
      <c r="X77" s="696" t="e">
        <f t="shared" si="8"/>
        <v>#DIV/0!</v>
      </c>
      <c r="Y77" s="696"/>
      <c r="Z77" s="696">
        <f>VLOOKUP(C77,'CNKT '!$C$190:$Z$253,24,0)</f>
        <v>0</v>
      </c>
      <c r="AA77" s="591" t="e">
        <f t="shared" si="5"/>
        <v>#DIV/0!</v>
      </c>
    </row>
    <row r="78" spans="1:27" s="591" customFormat="1" ht="42.75" hidden="1" customHeight="1">
      <c r="A78" s="683">
        <v>62</v>
      </c>
      <c r="B78" s="1032"/>
      <c r="C78" s="696" t="str">
        <f>TONGHOPCONGDOI!C246</f>
        <v>Thảo Túc</v>
      </c>
      <c r="D78" s="1033"/>
      <c r="E78" s="697">
        <f>VLOOKUP(C78,TONGHOPCONGDOI!C246:Q316,15,0)</f>
        <v>0</v>
      </c>
      <c r="F78" s="696">
        <f t="shared" si="1"/>
        <v>0</v>
      </c>
      <c r="G78" s="696">
        <f>VLOOKUP(C78,TONGHOPCONGDOI!C246:AD318,16,0)</f>
        <v>0</v>
      </c>
      <c r="H78" s="696">
        <f>VLOOKUP(C78,TONGHOPCONGDOI!C246:AD318,17,0)</f>
        <v>0</v>
      </c>
      <c r="I78" s="696"/>
      <c r="J78" s="1556" t="e">
        <f t="shared" ref="J78" si="9">$AB$11/$AB$10*G78+H78*$AB$12+I78*$AB$13</f>
        <v>#DIV/0!</v>
      </c>
      <c r="K78" s="683" t="s">
        <v>889</v>
      </c>
      <c r="L78" s="1185" t="e">
        <f t="shared" si="2"/>
        <v>#DIV/0!</v>
      </c>
      <c r="M78" s="696">
        <f>VLOOKUP(C78,TONGHOPCONGDOI!$C$185:$AD$248,20,0)</f>
        <v>0</v>
      </c>
      <c r="N78" s="696">
        <f>VLOOKUP(C78,TONGHOPCONGDOI!$C$185:$AD$248,21,0)</f>
        <v>0</v>
      </c>
      <c r="O78" s="696">
        <f>VLOOKUP(C78,TONGHOPCONGDOI!$C$185:$AD$248,22,0)</f>
        <v>0</v>
      </c>
      <c r="P78" s="696">
        <f>VLOOKUP(C78,TONGHOPCONGDOI!$C$185:$AD$248,23,0)</f>
        <v>0</v>
      </c>
      <c r="Q78" s="696">
        <f>VLOOKUP(C78,TONGHOPCONGDOI!$C$185:$AD$248,24,0)</f>
        <v>0</v>
      </c>
      <c r="R78" s="696">
        <f>VLOOKUP(C78,TONGHOPCONGDOI!$C$185:$AD$248,25,0)</f>
        <v>0</v>
      </c>
      <c r="S78" s="696"/>
      <c r="T78" s="685">
        <f t="shared" si="3"/>
        <v>0</v>
      </c>
      <c r="U78" s="685">
        <f t="shared" si="4"/>
        <v>0</v>
      </c>
      <c r="V78" s="685"/>
      <c r="W78" s="1725">
        <f>ROUND(((M78*46.1)+(N78*76.9)+(O78*92.2)+(P78*153.8)+(Q78*92.2)+(R78*153.8))*$E$13+(S78*20000)+(T78*10000)+(U78*30000),0)-2</f>
        <v>-2</v>
      </c>
      <c r="X78" s="696" t="e">
        <f t="shared" si="8"/>
        <v>#DIV/0!</v>
      </c>
      <c r="Y78" s="696"/>
      <c r="Z78" s="696">
        <f>VLOOKUP(C78,'CNKT '!$C$190:$Z$253,24,0)</f>
        <v>0</v>
      </c>
      <c r="AA78" s="591" t="e">
        <f t="shared" si="5"/>
        <v>#DIV/0!</v>
      </c>
    </row>
    <row r="79" spans="1:27" s="591" customFormat="1" ht="42.75" hidden="1" customHeight="1">
      <c r="A79" s="683">
        <v>63</v>
      </c>
      <c r="B79" s="1032"/>
      <c r="C79" s="696" t="str">
        <f>TONGHOPCONGDOI!C247</f>
        <v>Mủ Xi Rum</v>
      </c>
      <c r="D79" s="1033"/>
      <c r="E79" s="697"/>
      <c r="F79" s="696"/>
      <c r="G79" s="696"/>
      <c r="H79" s="696"/>
      <c r="I79" s="696">
        <f>'BTH mủ Sỉum'!AH18</f>
        <v>0</v>
      </c>
      <c r="J79" s="1556">
        <f>'BTH mủ Sỉum'!AJ18</f>
        <v>0</v>
      </c>
      <c r="K79" s="683"/>
      <c r="L79" s="1185">
        <f>ROUND((J79*6.1*E13),0)</f>
        <v>0</v>
      </c>
      <c r="M79" s="696"/>
      <c r="N79" s="696"/>
      <c r="O79" s="696"/>
      <c r="P79" s="696"/>
      <c r="Q79" s="696"/>
      <c r="R79" s="696"/>
      <c r="S79" s="696"/>
      <c r="T79" s="685"/>
      <c r="U79" s="685">
        <f t="shared" si="4"/>
        <v>0</v>
      </c>
      <c r="V79" s="685"/>
      <c r="W79" s="1725">
        <f t="shared" si="7"/>
        <v>0</v>
      </c>
      <c r="X79" s="696">
        <f t="shared" si="8"/>
        <v>0</v>
      </c>
      <c r="Y79" s="696"/>
      <c r="Z79" s="696">
        <f>VLOOKUP(C79,'CNKT '!$C$190:$Z$253,24,0)</f>
        <v>0</v>
      </c>
      <c r="AA79" s="591">
        <f t="shared" si="5"/>
        <v>0</v>
      </c>
    </row>
    <row r="80" spans="1:27" s="591" customFormat="1" ht="42.75" customHeight="1">
      <c r="A80" s="683">
        <v>1</v>
      </c>
      <c r="B80" s="1032"/>
      <c r="C80" s="696" t="str">
        <f>TONGHOPCONGDOI!C248</f>
        <v>Mon (3)</v>
      </c>
      <c r="D80" s="1033"/>
      <c r="E80" s="697">
        <f>VLOOKUP(C80,TONGHOPCONGDOI!C248:Q318,15,0)</f>
        <v>3218.16</v>
      </c>
      <c r="F80" s="684">
        <f>ROUND(E80*25000,0)</f>
        <v>80454000</v>
      </c>
      <c r="G80" s="696"/>
      <c r="H80" s="696"/>
      <c r="I80" s="696"/>
      <c r="J80" s="1556"/>
      <c r="K80" s="683"/>
      <c r="L80" s="1185"/>
      <c r="M80" s="696"/>
      <c r="N80" s="696"/>
      <c r="O80" s="696">
        <f>VLOOKUP(C80,TONGHOPCONGDOI!$C$185:$AD$248,22,0)</f>
        <v>0</v>
      </c>
      <c r="P80" s="696"/>
      <c r="Q80" s="696"/>
      <c r="R80" s="696"/>
      <c r="S80" s="696"/>
      <c r="T80" s="685">
        <f t="shared" si="3"/>
        <v>0</v>
      </c>
      <c r="U80" s="685">
        <f t="shared" si="4"/>
        <v>0</v>
      </c>
      <c r="V80" s="685"/>
      <c r="W80" s="1725">
        <f t="shared" si="7"/>
        <v>0</v>
      </c>
      <c r="X80" s="696">
        <f t="shared" si="8"/>
        <v>80454000</v>
      </c>
      <c r="Y80" s="696"/>
      <c r="Z80" s="696">
        <f>VLOOKUP(C80,'CNKT '!$C$190:$Z$253,24,0)</f>
        <v>80454001</v>
      </c>
      <c r="AA80" s="591">
        <f t="shared" si="5"/>
        <v>-1</v>
      </c>
    </row>
    <row r="81" spans="1:28" s="591" customFormat="1" ht="42.75" hidden="1" customHeight="1">
      <c r="A81" s="683">
        <v>65</v>
      </c>
      <c r="B81" s="1032"/>
      <c r="C81" s="696" t="str">
        <f>TONGHOPCONGDOI!C249</f>
        <v>T. Tý</v>
      </c>
      <c r="D81" s="1033"/>
      <c r="E81" s="697">
        <f>VLOOKUP(C81,TONGHOPCONGDOI!C249:Q321,15,0)</f>
        <v>0</v>
      </c>
      <c r="F81" s="696">
        <f t="shared" ref="F81" si="10">E81*25000</f>
        <v>0</v>
      </c>
      <c r="G81" s="696"/>
      <c r="H81" s="696"/>
      <c r="I81" s="696"/>
      <c r="J81" s="1556"/>
      <c r="K81" s="683"/>
      <c r="L81" s="1185"/>
      <c r="M81" s="696"/>
      <c r="N81" s="696"/>
      <c r="O81" s="696"/>
      <c r="P81" s="696"/>
      <c r="Q81" s="696"/>
      <c r="R81" s="696"/>
      <c r="S81" s="696"/>
      <c r="T81" s="685">
        <f t="shared" si="3"/>
        <v>0</v>
      </c>
      <c r="U81" s="685">
        <f t="shared" ref="U81" si="11">SUM(M81:R81)</f>
        <v>0</v>
      </c>
      <c r="V81" s="685">
        <f t="shared" ref="V81" si="12">SUM(M81:R81)</f>
        <v>0</v>
      </c>
      <c r="W81" s="1725">
        <f t="shared" ref="W81" si="13">((M81*46.1)+(N81*76.9)+(O81*92.2)+(P81*153.8)+(Q81*92.2)+(R81*153.8))*$E$13+(S81*20000)+(T81*10000)+(U81*30000)</f>
        <v>0</v>
      </c>
      <c r="X81" s="696">
        <f t="shared" ref="X81" si="14">F81+L81+W81</f>
        <v>0</v>
      </c>
      <c r="Y81" s="696"/>
      <c r="Z81" s="696">
        <f>VLOOKUP(C81,'CNKT '!$C$190:$Z$254,24,0)</f>
        <v>0</v>
      </c>
      <c r="AA81" s="591">
        <f t="shared" si="5"/>
        <v>0</v>
      </c>
    </row>
    <row r="82" spans="1:28" s="591" customFormat="1" ht="37.5" customHeight="1">
      <c r="A82" s="1992" t="s">
        <v>785</v>
      </c>
      <c r="B82" s="1993"/>
      <c r="C82" s="1993"/>
      <c r="D82" s="1994"/>
      <c r="E82" s="686">
        <f>SUM(E17:E81)</f>
        <v>3218.16</v>
      </c>
      <c r="F82" s="686">
        <f t="shared" ref="F82:Z82" si="15">SUM(F17:F81)</f>
        <v>80454000</v>
      </c>
      <c r="G82" s="686"/>
      <c r="H82" s="686"/>
      <c r="I82" s="686"/>
      <c r="J82" s="686"/>
      <c r="K82" s="686"/>
      <c r="L82" s="686"/>
      <c r="M82" s="686"/>
      <c r="N82" s="686"/>
      <c r="O82" s="686"/>
      <c r="P82" s="686"/>
      <c r="Q82" s="686"/>
      <c r="R82" s="686"/>
      <c r="S82" s="686"/>
      <c r="T82" s="686"/>
      <c r="U82" s="686"/>
      <c r="V82" s="686"/>
      <c r="W82" s="686"/>
      <c r="X82" s="686">
        <f>X80</f>
        <v>80454000</v>
      </c>
      <c r="Y82" s="686">
        <f t="shared" si="15"/>
        <v>0</v>
      </c>
      <c r="Z82" s="686">
        <f t="shared" si="15"/>
        <v>80454001</v>
      </c>
      <c r="AA82" s="591">
        <f t="shared" si="5"/>
        <v>-1</v>
      </c>
      <c r="AB82" s="591">
        <v>598630435</v>
      </c>
    </row>
    <row r="83" spans="1:28" ht="37.5" customHeight="1">
      <c r="A83" s="2003" t="s">
        <v>1175</v>
      </c>
      <c r="B83" s="2003"/>
      <c r="C83" s="2003"/>
      <c r="D83" s="2003"/>
      <c r="E83" s="2003"/>
      <c r="F83" s="2003"/>
      <c r="G83" s="2003"/>
      <c r="H83" s="2003"/>
      <c r="I83" s="2003"/>
      <c r="J83" s="2003"/>
      <c r="K83" s="2003"/>
      <c r="L83" s="2003"/>
      <c r="M83" s="2003"/>
      <c r="N83" s="2003"/>
      <c r="O83" s="2003"/>
      <c r="P83" s="2003"/>
      <c r="Q83" s="2003"/>
      <c r="R83" s="2003"/>
      <c r="S83" s="2003"/>
      <c r="T83" s="2003"/>
      <c r="U83" s="2003"/>
      <c r="V83" s="2003"/>
      <c r="W83" s="2003"/>
      <c r="X83" s="2003"/>
      <c r="Y83" s="2003"/>
      <c r="Z83" s="2003"/>
    </row>
    <row r="84" spans="1:28" ht="24.75" customHeight="1">
      <c r="D84" s="593"/>
      <c r="E84" s="594"/>
      <c r="M84" s="599"/>
      <c r="N84" s="599"/>
      <c r="O84" s="599"/>
      <c r="P84" s="599"/>
      <c r="Q84" s="599"/>
      <c r="R84" s="599"/>
      <c r="S84" s="599"/>
      <c r="W84" s="2019" t="s">
        <v>1146</v>
      </c>
      <c r="X84" s="2019"/>
      <c r="Y84" s="2019"/>
      <c r="Z84" s="2019"/>
    </row>
    <row r="85" spans="1:28" s="602" customFormat="1" ht="19.5" customHeight="1">
      <c r="A85" s="591"/>
      <c r="B85" s="1816"/>
      <c r="C85" s="592"/>
      <c r="D85" s="593"/>
      <c r="E85" s="594"/>
      <c r="F85" s="595"/>
      <c r="G85" s="595"/>
      <c r="H85" s="595"/>
      <c r="I85" s="595"/>
      <c r="J85" s="596"/>
      <c r="K85" s="597"/>
      <c r="L85" s="598"/>
      <c r="M85" s="599"/>
      <c r="N85" s="599"/>
      <c r="O85" s="599"/>
      <c r="P85" s="599"/>
      <c r="Q85" s="599"/>
      <c r="R85" s="599"/>
      <c r="S85" s="599"/>
      <c r="T85" s="595"/>
      <c r="U85" s="595"/>
      <c r="V85" s="595"/>
      <c r="W85" s="595"/>
      <c r="X85" s="595"/>
      <c r="Y85" s="600"/>
      <c r="Z85" s="600"/>
      <c r="AB85" s="602">
        <f>Z82-Z81</f>
        <v>80454001</v>
      </c>
    </row>
    <row r="86" spans="1:28" s="602" customFormat="1" ht="29.25" customHeight="1">
      <c r="A86" s="2000" t="s">
        <v>46</v>
      </c>
      <c r="B86" s="2000"/>
      <c r="C86" s="2000"/>
      <c r="D86" s="2000"/>
      <c r="E86" s="2000"/>
      <c r="F86" s="1813"/>
      <c r="G86" s="604" t="s">
        <v>753</v>
      </c>
      <c r="H86" s="604"/>
      <c r="I86" s="604"/>
      <c r="K86" s="604"/>
      <c r="L86" s="2000" t="s">
        <v>101</v>
      </c>
      <c r="M86" s="2000"/>
      <c r="N86" s="2000"/>
      <c r="O86" s="2000"/>
      <c r="P86" s="2000"/>
      <c r="Q86" s="2000"/>
      <c r="R86" s="2000"/>
      <c r="S86" s="2000"/>
      <c r="T86" s="2000"/>
      <c r="U86" s="1813"/>
      <c r="V86" s="1813"/>
      <c r="W86" s="604"/>
      <c r="X86" s="2000" t="s">
        <v>826</v>
      </c>
      <c r="Y86" s="2000"/>
      <c r="Z86" s="2000"/>
    </row>
    <row r="87" spans="1:28" s="602" customFormat="1" ht="19.5" customHeight="1">
      <c r="A87" s="601"/>
      <c r="C87" s="1813"/>
      <c r="D87" s="1813"/>
      <c r="E87" s="1813"/>
      <c r="F87" s="1813"/>
      <c r="G87" s="1813"/>
      <c r="H87" s="1813"/>
      <c r="I87" s="1813"/>
      <c r="J87" s="603"/>
      <c r="K87" s="1813"/>
      <c r="L87" s="604"/>
      <c r="O87" s="604"/>
      <c r="P87" s="604"/>
      <c r="Q87" s="604"/>
      <c r="R87" s="604"/>
      <c r="S87" s="604"/>
      <c r="T87" s="605"/>
      <c r="U87" s="605"/>
      <c r="V87" s="605"/>
      <c r="W87" s="1813"/>
      <c r="X87" s="1813"/>
      <c r="Y87" s="1813"/>
    </row>
    <row r="88" spans="1:28" s="602" customFormat="1" ht="19.5" customHeight="1">
      <c r="A88" s="601"/>
      <c r="C88" s="1813"/>
      <c r="D88" s="1813"/>
      <c r="E88" s="1813"/>
      <c r="F88" s="1813"/>
      <c r="G88" s="1813"/>
      <c r="H88" s="1813"/>
      <c r="I88" s="1813"/>
      <c r="J88" s="603"/>
      <c r="K88" s="1813"/>
      <c r="L88" s="604"/>
      <c r="O88" s="604"/>
      <c r="P88" s="604"/>
      <c r="Q88" s="604"/>
      <c r="R88" s="604"/>
      <c r="S88" s="604"/>
      <c r="T88" s="605"/>
      <c r="U88" s="605"/>
      <c r="V88" s="605"/>
      <c r="W88" s="1813"/>
      <c r="X88" s="1813"/>
      <c r="Y88" s="1813"/>
    </row>
    <row r="89" spans="1:28" s="602" customFormat="1" ht="19.5" customHeight="1">
      <c r="A89" s="601"/>
      <c r="C89" s="1813"/>
      <c r="D89" s="1813"/>
      <c r="E89" s="1813"/>
      <c r="F89" s="1813"/>
      <c r="G89" s="1813"/>
      <c r="H89" s="1813"/>
      <c r="I89" s="1813"/>
      <c r="J89" s="603"/>
      <c r="K89" s="1813"/>
      <c r="L89" s="604"/>
      <c r="O89" s="604"/>
      <c r="P89" s="604"/>
      <c r="Q89" s="604"/>
      <c r="R89" s="604"/>
      <c r="S89" s="604"/>
      <c r="T89" s="605"/>
      <c r="U89" s="605"/>
      <c r="V89" s="605"/>
      <c r="W89" s="1813"/>
      <c r="X89" s="1813"/>
      <c r="Y89" s="1813"/>
    </row>
    <row r="90" spans="1:28" s="602" customFormat="1" ht="19.5" customHeight="1">
      <c r="A90" s="601"/>
      <c r="C90" s="1813"/>
      <c r="D90" s="1813"/>
      <c r="E90" s="1813"/>
      <c r="F90" s="1813"/>
      <c r="G90" s="1813"/>
      <c r="H90" s="1813"/>
      <c r="I90" s="1813"/>
      <c r="J90" s="603"/>
      <c r="K90" s="1813"/>
      <c r="L90" s="604"/>
      <c r="O90" s="604"/>
      <c r="P90" s="604"/>
      <c r="Q90" s="604"/>
      <c r="R90" s="604"/>
      <c r="S90" s="604"/>
      <c r="T90" s="605"/>
      <c r="U90" s="605"/>
      <c r="V90" s="605"/>
      <c r="W90" s="1813"/>
      <c r="X90" s="1813"/>
      <c r="Y90" s="1813"/>
    </row>
    <row r="91" spans="1:28" s="602" customFormat="1" ht="19.5" customHeight="1">
      <c r="A91" s="601"/>
      <c r="C91" s="1813"/>
      <c r="D91" s="1813"/>
      <c r="E91" s="1813"/>
      <c r="F91" s="1813"/>
      <c r="G91" s="1813"/>
      <c r="H91" s="1813"/>
      <c r="I91" s="1813"/>
      <c r="J91" s="603"/>
      <c r="K91" s="1813"/>
      <c r="L91" s="604"/>
      <c r="O91" s="604"/>
      <c r="P91" s="604"/>
      <c r="Q91" s="604"/>
      <c r="R91" s="604"/>
      <c r="S91" s="604"/>
      <c r="T91" s="605"/>
      <c r="U91" s="605"/>
      <c r="V91" s="605"/>
      <c r="W91" s="1813"/>
      <c r="X91" s="1813"/>
      <c r="Y91" s="1813"/>
    </row>
    <row r="92" spans="1:28" s="602" customFormat="1" ht="19.5" customHeight="1">
      <c r="A92" s="601"/>
      <c r="C92" s="1813"/>
      <c r="D92" s="1813"/>
      <c r="E92" s="1813"/>
      <c r="F92" s="1813"/>
      <c r="G92" s="1813"/>
      <c r="H92" s="1813"/>
      <c r="I92" s="1813"/>
      <c r="J92" s="603"/>
      <c r="K92" s="1813"/>
      <c r="L92" s="604"/>
      <c r="O92" s="604"/>
      <c r="P92" s="604"/>
      <c r="Q92" s="604"/>
      <c r="R92" s="604"/>
      <c r="S92" s="604"/>
      <c r="T92" s="605"/>
      <c r="U92" s="605"/>
      <c r="V92" s="605"/>
      <c r="W92" s="1813"/>
      <c r="X92" s="1813"/>
      <c r="Y92" s="1813"/>
    </row>
    <row r="93" spans="1:28" s="602" customFormat="1" ht="19.5" customHeight="1">
      <c r="A93" s="601"/>
      <c r="C93" s="1813"/>
      <c r="D93" s="1813"/>
      <c r="E93" s="1813"/>
      <c r="F93" s="1813"/>
      <c r="G93" s="1813"/>
      <c r="H93" s="1813"/>
      <c r="I93" s="1813"/>
      <c r="J93" s="603"/>
      <c r="K93" s="1813"/>
      <c r="L93" s="606"/>
      <c r="O93" s="604"/>
      <c r="P93" s="604"/>
      <c r="Q93" s="604"/>
      <c r="R93" s="604"/>
      <c r="S93" s="604"/>
      <c r="T93" s="604"/>
      <c r="U93" s="604"/>
      <c r="V93" s="604"/>
      <c r="W93" s="1813"/>
      <c r="X93" s="1813"/>
      <c r="Y93" s="1813"/>
    </row>
    <row r="94" spans="1:28" s="602" customFormat="1" ht="19.5" customHeight="1">
      <c r="A94" s="601"/>
      <c r="C94" s="1813"/>
      <c r="D94" s="1813"/>
      <c r="E94" s="607"/>
      <c r="F94" s="1813"/>
      <c r="G94" s="1813"/>
      <c r="H94" s="1813"/>
      <c r="I94" s="1813"/>
      <c r="J94" s="603"/>
      <c r="K94" s="1813"/>
      <c r="L94" s="604"/>
      <c r="O94" s="604"/>
      <c r="P94" s="604"/>
      <c r="Q94" s="604"/>
      <c r="R94" s="604"/>
      <c r="S94" s="604"/>
      <c r="T94" s="605"/>
      <c r="U94" s="605"/>
      <c r="V94" s="605"/>
      <c r="W94" s="1813"/>
      <c r="X94" s="1813"/>
      <c r="Y94" s="1813"/>
    </row>
    <row r="95" spans="1:28" s="602" customFormat="1" ht="26.25" customHeight="1">
      <c r="A95" s="2001" t="s">
        <v>830</v>
      </c>
      <c r="B95" s="2001"/>
      <c r="C95" s="2001"/>
      <c r="D95" s="2001"/>
      <c r="E95" s="2001"/>
      <c r="G95" s="601" t="s">
        <v>828</v>
      </c>
      <c r="H95" s="601"/>
      <c r="I95" s="601"/>
      <c r="J95" s="604"/>
      <c r="K95" s="604"/>
      <c r="L95" s="2000" t="s">
        <v>419</v>
      </c>
      <c r="M95" s="2000"/>
      <c r="N95" s="2000"/>
      <c r="O95" s="2000"/>
      <c r="P95" s="2000"/>
      <c r="Q95" s="2000"/>
      <c r="R95" s="2000"/>
      <c r="S95" s="2000"/>
      <c r="T95" s="2000"/>
      <c r="U95" s="1813"/>
      <c r="V95" s="1813"/>
      <c r="W95" s="604"/>
      <c r="X95" s="2000" t="s">
        <v>76</v>
      </c>
      <c r="Y95" s="2000"/>
      <c r="Z95" s="2000"/>
    </row>
    <row r="96" spans="1:28" s="602" customFormat="1" ht="19.5" customHeight="1">
      <c r="A96" s="601"/>
      <c r="C96" s="1813"/>
      <c r="D96" s="607"/>
      <c r="E96" s="606"/>
      <c r="F96" s="608"/>
      <c r="G96" s="608"/>
      <c r="H96" s="608"/>
      <c r="I96" s="608"/>
      <c r="J96" s="603"/>
      <c r="K96" s="1813"/>
      <c r="L96" s="606"/>
      <c r="O96" s="604"/>
      <c r="P96" s="604"/>
      <c r="Q96" s="604"/>
      <c r="R96" s="604"/>
      <c r="S96" s="604"/>
      <c r="T96" s="595"/>
      <c r="U96" s="595"/>
      <c r="V96" s="595"/>
      <c r="W96" s="606"/>
      <c r="X96" s="604"/>
      <c r="Y96" s="604"/>
      <c r="Z96" s="604"/>
    </row>
    <row r="97" spans="1:26" s="602" customFormat="1" ht="19.5" customHeight="1">
      <c r="A97" s="601"/>
      <c r="C97" s="1813"/>
      <c r="D97" s="607"/>
      <c r="E97" s="606"/>
      <c r="F97" s="608"/>
      <c r="G97" s="608"/>
      <c r="H97" s="608"/>
      <c r="I97" s="608"/>
      <c r="J97" s="603"/>
      <c r="K97" s="1813"/>
      <c r="L97" s="606"/>
      <c r="O97" s="604"/>
      <c r="P97" s="604"/>
      <c r="Q97" s="604"/>
      <c r="R97" s="604"/>
      <c r="S97" s="604"/>
      <c r="T97" s="604"/>
      <c r="U97" s="604"/>
      <c r="V97" s="604"/>
      <c r="W97" s="595"/>
      <c r="X97" s="606"/>
      <c r="Y97" s="604"/>
      <c r="Z97" s="604"/>
    </row>
    <row r="98" spans="1:26">
      <c r="B98" s="595"/>
      <c r="C98" s="595"/>
      <c r="E98" s="599"/>
      <c r="F98" s="599"/>
      <c r="G98" s="599"/>
      <c r="H98" s="599"/>
      <c r="I98" s="599"/>
      <c r="J98" s="610"/>
      <c r="K98" s="610"/>
      <c r="L98" s="599"/>
    </row>
    <row r="99" spans="1:26">
      <c r="B99" s="595"/>
      <c r="C99" s="595"/>
      <c r="E99" s="599"/>
      <c r="F99" s="688"/>
      <c r="G99" s="688"/>
      <c r="H99" s="688"/>
      <c r="I99" s="688"/>
      <c r="J99" s="610"/>
      <c r="K99" s="610"/>
      <c r="L99" s="689"/>
      <c r="M99" s="2004"/>
      <c r="N99" s="2004"/>
      <c r="O99" s="2004"/>
      <c r="P99" s="1815"/>
      <c r="Q99" s="1815"/>
      <c r="R99" s="1815"/>
      <c r="S99" s="1815"/>
      <c r="W99" s="687"/>
      <c r="X99" s="687"/>
    </row>
    <row r="100" spans="1:26">
      <c r="B100" s="595"/>
      <c r="C100" s="595"/>
      <c r="E100" s="599"/>
      <c r="J100" s="610"/>
      <c r="K100" s="610"/>
      <c r="L100" s="595"/>
      <c r="W100" s="690"/>
    </row>
    <row r="101" spans="1:26" ht="409.6" customHeight="1">
      <c r="B101" s="595"/>
      <c r="C101" s="599"/>
      <c r="E101" s="609"/>
      <c r="J101" s="610"/>
      <c r="K101" s="610"/>
      <c r="L101" s="595"/>
      <c r="M101" s="687"/>
      <c r="N101" s="687"/>
      <c r="O101" s="687"/>
      <c r="P101" s="687"/>
      <c r="Q101" s="687"/>
      <c r="R101" s="687"/>
      <c r="S101" s="687"/>
      <c r="T101" s="687"/>
      <c r="U101" s="687"/>
      <c r="V101" s="687"/>
      <c r="Y101" s="687"/>
      <c r="Z101" s="687"/>
    </row>
    <row r="102" spans="1:26">
      <c r="B102" s="595"/>
      <c r="C102" s="595"/>
      <c r="D102" s="599"/>
      <c r="E102" s="599"/>
      <c r="K102" s="1816"/>
      <c r="L102" s="595"/>
      <c r="Y102" s="687"/>
      <c r="Z102" s="687"/>
    </row>
    <row r="103" spans="1:26">
      <c r="B103" s="595"/>
      <c r="C103" s="599"/>
      <c r="D103" s="691"/>
      <c r="E103" s="2005"/>
      <c r="F103" s="599"/>
      <c r="G103" s="599"/>
      <c r="H103" s="599"/>
      <c r="I103" s="599"/>
      <c r="J103" s="610"/>
      <c r="K103" s="610"/>
      <c r="L103" s="688"/>
    </row>
    <row r="104" spans="1:26">
      <c r="B104" s="595"/>
      <c r="C104" s="595"/>
      <c r="E104" s="2005"/>
      <c r="F104" s="599"/>
      <c r="G104" s="599"/>
      <c r="H104" s="599"/>
      <c r="I104" s="599"/>
      <c r="J104" s="610"/>
      <c r="K104" s="610"/>
      <c r="L104" s="599"/>
    </row>
    <row r="105" spans="1:26">
      <c r="B105" s="595"/>
      <c r="C105" s="595"/>
      <c r="E105" s="2005"/>
      <c r="F105" s="599"/>
      <c r="G105" s="599"/>
      <c r="H105" s="599"/>
      <c r="I105" s="599"/>
      <c r="J105" s="610"/>
      <c r="K105" s="610"/>
      <c r="L105" s="595"/>
      <c r="M105" s="689"/>
      <c r="N105" s="689"/>
      <c r="O105" s="689"/>
      <c r="P105" s="689"/>
      <c r="Q105" s="689"/>
      <c r="R105" s="689"/>
      <c r="S105" s="689"/>
      <c r="T105" s="689"/>
      <c r="U105" s="689"/>
      <c r="V105" s="689"/>
      <c r="W105" s="689"/>
      <c r="Z105" s="599"/>
    </row>
    <row r="106" spans="1:26">
      <c r="B106" s="595"/>
      <c r="C106" s="595"/>
      <c r="E106" s="2005"/>
      <c r="F106" s="599"/>
      <c r="G106" s="599"/>
      <c r="H106" s="599"/>
      <c r="I106" s="599"/>
      <c r="J106" s="610"/>
      <c r="K106" s="610"/>
      <c r="L106" s="595"/>
      <c r="M106" s="1815"/>
      <c r="N106" s="1815"/>
      <c r="O106" s="1815"/>
      <c r="P106" s="1815"/>
      <c r="Q106" s="1815"/>
      <c r="R106" s="1815"/>
      <c r="S106" s="1815"/>
      <c r="T106" s="1815"/>
      <c r="U106" s="1815"/>
      <c r="V106" s="1815"/>
      <c r="W106" s="1815"/>
      <c r="Z106" s="599"/>
    </row>
    <row r="107" spans="1:26">
      <c r="B107" s="595"/>
      <c r="C107" s="595"/>
      <c r="E107" s="599"/>
      <c r="F107" s="599"/>
      <c r="G107" s="599"/>
      <c r="H107" s="599"/>
      <c r="I107" s="599"/>
      <c r="J107" s="610"/>
      <c r="K107" s="610"/>
      <c r="L107" s="595"/>
      <c r="M107" s="1815"/>
      <c r="N107" s="1815"/>
      <c r="O107" s="1815"/>
      <c r="P107" s="1815"/>
      <c r="Q107" s="1815"/>
      <c r="R107" s="1815"/>
      <c r="S107" s="1815"/>
      <c r="T107" s="1815"/>
      <c r="U107" s="1815"/>
      <c r="V107" s="1815"/>
      <c r="W107" s="1815"/>
      <c r="Z107" s="599"/>
    </row>
    <row r="108" spans="1:26">
      <c r="B108" s="595"/>
      <c r="C108" s="595"/>
      <c r="E108" s="599"/>
      <c r="F108" s="599"/>
      <c r="G108" s="599"/>
      <c r="H108" s="599"/>
      <c r="I108" s="599"/>
      <c r="J108" s="610"/>
      <c r="K108" s="610"/>
      <c r="L108" s="595"/>
      <c r="M108" s="1815"/>
      <c r="N108" s="1815"/>
      <c r="O108" s="1815"/>
      <c r="P108" s="1815"/>
      <c r="Q108" s="1815"/>
      <c r="R108" s="1815"/>
      <c r="S108" s="1815"/>
      <c r="T108" s="1815"/>
      <c r="U108" s="1815"/>
      <c r="V108" s="1815"/>
      <c r="W108" s="1815"/>
      <c r="Z108" s="599"/>
    </row>
    <row r="109" spans="1:26">
      <c r="B109" s="595"/>
      <c r="C109" s="595"/>
      <c r="E109" s="599"/>
      <c r="F109" s="599"/>
      <c r="G109" s="599"/>
      <c r="H109" s="599"/>
      <c r="I109" s="599"/>
      <c r="J109" s="610"/>
      <c r="K109" s="610"/>
      <c r="L109" s="595"/>
      <c r="M109" s="1815"/>
      <c r="N109" s="1815"/>
      <c r="O109" s="1815"/>
      <c r="P109" s="1815"/>
      <c r="Q109" s="1815"/>
      <c r="R109" s="1815"/>
      <c r="S109" s="1815"/>
      <c r="T109" s="1815"/>
      <c r="U109" s="1815"/>
      <c r="V109" s="1815"/>
      <c r="W109" s="1815"/>
      <c r="Z109" s="599"/>
    </row>
    <row r="110" spans="1:26">
      <c r="B110" s="595"/>
      <c r="C110" s="595"/>
      <c r="E110" s="599"/>
      <c r="F110" s="599"/>
      <c r="G110" s="599"/>
      <c r="H110" s="599"/>
      <c r="I110" s="599"/>
      <c r="J110" s="610"/>
      <c r="K110" s="610"/>
      <c r="L110" s="595"/>
      <c r="M110" s="1815"/>
      <c r="N110" s="1815"/>
      <c r="O110" s="1815"/>
      <c r="P110" s="1815"/>
      <c r="Q110" s="1815"/>
      <c r="R110" s="1815"/>
      <c r="S110" s="1815"/>
      <c r="T110" s="1815"/>
      <c r="U110" s="1815"/>
      <c r="V110" s="1815"/>
      <c r="W110" s="1815"/>
      <c r="Z110" s="599"/>
    </row>
    <row r="111" spans="1:26">
      <c r="B111" s="595"/>
      <c r="C111" s="595"/>
      <c r="E111" s="599"/>
      <c r="F111" s="599"/>
      <c r="G111" s="599"/>
      <c r="H111" s="599"/>
      <c r="I111" s="599"/>
      <c r="J111" s="610"/>
      <c r="K111" s="610"/>
      <c r="L111" s="595"/>
      <c r="M111" s="1815"/>
      <c r="N111" s="1815"/>
      <c r="O111" s="1815"/>
      <c r="P111" s="1815"/>
      <c r="Q111" s="1815"/>
      <c r="R111" s="1815"/>
      <c r="S111" s="1815"/>
      <c r="T111" s="1815"/>
      <c r="U111" s="1815"/>
      <c r="V111" s="1815"/>
      <c r="W111" s="1815"/>
      <c r="Z111" s="599"/>
    </row>
    <row r="112" spans="1:26">
      <c r="B112" s="595"/>
      <c r="C112" s="595"/>
      <c r="E112" s="599"/>
      <c r="F112" s="599"/>
      <c r="G112" s="599"/>
      <c r="H112" s="599"/>
      <c r="I112" s="599"/>
      <c r="J112" s="610"/>
      <c r="K112" s="610"/>
      <c r="L112" s="595"/>
      <c r="M112" s="1815"/>
      <c r="N112" s="1815"/>
      <c r="O112" s="1815"/>
      <c r="P112" s="1815"/>
      <c r="Q112" s="1815"/>
      <c r="R112" s="1815"/>
      <c r="S112" s="1815"/>
      <c r="T112" s="1815"/>
      <c r="U112" s="1815"/>
      <c r="V112" s="1815"/>
      <c r="W112" s="1815"/>
      <c r="Z112" s="599"/>
    </row>
    <row r="113" spans="1:26">
      <c r="B113" s="595"/>
      <c r="C113" s="595"/>
      <c r="E113" s="595"/>
      <c r="J113" s="610"/>
      <c r="K113" s="610"/>
      <c r="L113" s="595"/>
      <c r="M113" s="2006"/>
      <c r="N113" s="2006"/>
      <c r="O113" s="2006"/>
      <c r="P113" s="1816"/>
      <c r="Q113" s="1816"/>
      <c r="R113" s="1816"/>
      <c r="S113" s="1816"/>
    </row>
    <row r="114" spans="1:26">
      <c r="B114" s="595"/>
      <c r="C114" s="595"/>
      <c r="E114" s="595"/>
      <c r="J114" s="1810"/>
      <c r="K114" s="1810"/>
      <c r="L114" s="595"/>
      <c r="O114" s="687"/>
      <c r="P114" s="687"/>
      <c r="Q114" s="687"/>
      <c r="R114" s="687"/>
      <c r="S114" s="687"/>
      <c r="T114" s="687"/>
      <c r="U114" s="687"/>
      <c r="V114" s="687"/>
      <c r="W114" s="687"/>
    </row>
    <row r="115" spans="1:26">
      <c r="B115" s="595"/>
      <c r="C115" s="595"/>
      <c r="E115" s="599"/>
      <c r="J115" s="610"/>
      <c r="K115" s="610"/>
      <c r="L115" s="595"/>
    </row>
    <row r="116" spans="1:26">
      <c r="B116" s="595"/>
      <c r="C116" s="595"/>
      <c r="E116" s="599"/>
      <c r="J116" s="610"/>
      <c r="K116" s="610"/>
      <c r="L116" s="595"/>
    </row>
    <row r="117" spans="1:26">
      <c r="B117" s="595"/>
      <c r="C117" s="595"/>
      <c r="E117" s="599"/>
      <c r="J117" s="610"/>
      <c r="K117" s="610"/>
      <c r="L117" s="595"/>
    </row>
    <row r="118" spans="1:26">
      <c r="A118" s="595"/>
      <c r="J118" s="610"/>
      <c r="K118" s="610"/>
      <c r="Z118" s="687"/>
    </row>
    <row r="119" spans="1:26">
      <c r="A119" s="595"/>
      <c r="J119" s="610"/>
      <c r="K119" s="610"/>
      <c r="Z119" s="687"/>
    </row>
    <row r="120" spans="1:26">
      <c r="A120" s="595"/>
      <c r="J120" s="610"/>
      <c r="K120" s="610"/>
      <c r="Z120" s="1816"/>
    </row>
    <row r="121" spans="1:26">
      <c r="A121" s="595"/>
      <c r="J121" s="610"/>
      <c r="K121" s="610"/>
      <c r="Z121" s="1816"/>
    </row>
    <row r="122" spans="1:26">
      <c r="A122" s="595"/>
      <c r="J122" s="610"/>
      <c r="K122" s="610"/>
      <c r="Z122" s="1816"/>
    </row>
    <row r="123" spans="1:26" ht="28.5" customHeight="1">
      <c r="A123" s="595"/>
      <c r="B123" s="1821"/>
      <c r="J123" s="1996"/>
      <c r="K123" s="1996"/>
      <c r="T123" s="2006"/>
      <c r="U123" s="2006"/>
      <c r="V123" s="2006"/>
      <c r="W123" s="2006"/>
      <c r="X123" s="687"/>
    </row>
    <row r="124" spans="1:26">
      <c r="A124" s="595"/>
      <c r="B124" s="693"/>
      <c r="F124" s="599"/>
      <c r="G124" s="599"/>
      <c r="H124" s="599"/>
      <c r="I124" s="599"/>
      <c r="J124" s="610"/>
      <c r="K124" s="610"/>
    </row>
    <row r="125" spans="1:26">
      <c r="A125" s="595"/>
      <c r="B125" s="693"/>
      <c r="E125" s="687"/>
      <c r="J125" s="610"/>
      <c r="K125" s="694"/>
    </row>
    <row r="126" spans="1:26">
      <c r="A126" s="595"/>
      <c r="B126" s="693"/>
      <c r="J126" s="610"/>
      <c r="K126" s="694"/>
    </row>
    <row r="127" spans="1:26">
      <c r="A127" s="595"/>
      <c r="J127" s="610"/>
      <c r="K127" s="694"/>
    </row>
    <row r="128" spans="1:26">
      <c r="A128" s="595"/>
      <c r="F128" s="1996"/>
      <c r="G128" s="1996"/>
      <c r="H128" s="1996"/>
      <c r="I128" s="1996"/>
      <c r="J128" s="1996"/>
      <c r="K128" s="694"/>
    </row>
    <row r="130" spans="1:23">
      <c r="A130" s="595"/>
      <c r="J130" s="2002"/>
      <c r="K130" s="2002"/>
    </row>
    <row r="132" spans="1:23">
      <c r="A132" s="595"/>
      <c r="F132" s="599"/>
      <c r="G132" s="599"/>
      <c r="H132" s="599"/>
      <c r="I132" s="599"/>
      <c r="J132" s="610"/>
    </row>
    <row r="133" spans="1:23">
      <c r="A133" s="595"/>
      <c r="M133" s="599"/>
      <c r="N133" s="599"/>
    </row>
    <row r="137" spans="1:23">
      <c r="A137" s="595"/>
      <c r="F137" s="599"/>
      <c r="G137" s="599"/>
      <c r="H137" s="599"/>
      <c r="I137" s="599"/>
    </row>
    <row r="138" spans="1:23">
      <c r="A138" s="595"/>
      <c r="B138" s="595"/>
      <c r="C138" s="595"/>
      <c r="E138" s="595"/>
      <c r="F138" s="599"/>
      <c r="G138" s="599"/>
      <c r="H138" s="599"/>
      <c r="I138" s="599"/>
    </row>
    <row r="144" spans="1:23">
      <c r="A144" s="595"/>
      <c r="B144" s="595"/>
      <c r="C144" s="595"/>
      <c r="E144" s="595"/>
      <c r="K144" s="597">
        <v>1678</v>
      </c>
      <c r="L144" s="598">
        <v>1573</v>
      </c>
      <c r="M144" s="595">
        <v>1187</v>
      </c>
      <c r="O144" s="595">
        <v>1183</v>
      </c>
      <c r="W144" s="595">
        <f>SUM(K144:O144)</f>
        <v>5621</v>
      </c>
    </row>
    <row r="145" spans="1:23">
      <c r="A145" s="595"/>
      <c r="B145" s="595"/>
      <c r="C145" s="595"/>
      <c r="E145" s="595"/>
      <c r="K145" s="597">
        <v>257</v>
      </c>
      <c r="L145" s="598">
        <v>244</v>
      </c>
      <c r="M145" s="595">
        <v>183</v>
      </c>
      <c r="O145" s="595">
        <v>182</v>
      </c>
      <c r="W145" s="595">
        <f>SUM(K145:O145)</f>
        <v>866</v>
      </c>
    </row>
    <row r="146" spans="1:23">
      <c r="A146" s="595"/>
      <c r="B146" s="595"/>
      <c r="C146" s="595"/>
      <c r="E146" s="595"/>
      <c r="K146" s="597">
        <v>1935</v>
      </c>
      <c r="L146" s="598">
        <v>1817</v>
      </c>
      <c r="M146" s="595">
        <v>1370</v>
      </c>
      <c r="O146" s="595">
        <v>1365</v>
      </c>
      <c r="W146" s="595">
        <f>SUM(K146:O146)</f>
        <v>6487</v>
      </c>
    </row>
  </sheetData>
  <mergeCells count="37">
    <mergeCell ref="F128:J128"/>
    <mergeCell ref="J130:K130"/>
    <mergeCell ref="M113:O113"/>
    <mergeCell ref="J123:K123"/>
    <mergeCell ref="T123:W123"/>
    <mergeCell ref="A2:Z2"/>
    <mergeCell ref="A3:Z3"/>
    <mergeCell ref="A6:J6"/>
    <mergeCell ref="A10:Z10"/>
    <mergeCell ref="A4:Z4"/>
    <mergeCell ref="A7:J7"/>
    <mergeCell ref="A11:Z11"/>
    <mergeCell ref="C12:D12"/>
    <mergeCell ref="C13:D13"/>
    <mergeCell ref="A14:A16"/>
    <mergeCell ref="B14:B16"/>
    <mergeCell ref="C14:C16"/>
    <mergeCell ref="D14:D16"/>
    <mergeCell ref="E14:W14"/>
    <mergeCell ref="E15:F15"/>
    <mergeCell ref="G15:L15"/>
    <mergeCell ref="M15:W15"/>
    <mergeCell ref="Y14:Y16"/>
    <mergeCell ref="Z14:Z16"/>
    <mergeCell ref="X14:X16"/>
    <mergeCell ref="X13:Y13"/>
    <mergeCell ref="A82:D82"/>
    <mergeCell ref="E103:E106"/>
    <mergeCell ref="A83:Z83"/>
    <mergeCell ref="A86:E86"/>
    <mergeCell ref="M99:O99"/>
    <mergeCell ref="W84:Z84"/>
    <mergeCell ref="X86:Z86"/>
    <mergeCell ref="X95:Z95"/>
    <mergeCell ref="L86:T86"/>
    <mergeCell ref="L95:T95"/>
    <mergeCell ref="A95:E95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2:AC144"/>
  <sheetViews>
    <sheetView zoomScale="55" zoomScaleNormal="55" zoomScaleSheetLayoutView="55" workbookViewId="0">
      <selection activeCell="A11" sqref="A11:XFD11"/>
    </sheetView>
  </sheetViews>
  <sheetFormatPr defaultColWidth="9.42578125" defaultRowHeight="23.25"/>
  <cols>
    <col min="1" max="1" width="10" style="591" customWidth="1"/>
    <col min="2" max="2" width="14" style="1816" customWidth="1"/>
    <col min="3" max="3" width="22.5703125" style="592" customWidth="1"/>
    <col min="4" max="4" width="24.85546875" style="595" customWidth="1"/>
    <col min="5" max="5" width="15.7109375" style="692" customWidth="1"/>
    <col min="6" max="6" width="22.42578125" style="595" customWidth="1"/>
    <col min="7" max="7" width="20.42578125" style="595" customWidth="1"/>
    <col min="8" max="8" width="20.42578125" style="595" hidden="1" customWidth="1"/>
    <col min="9" max="9" width="13.7109375" style="595" customWidth="1"/>
    <col min="10" max="10" width="16.28515625" style="596" customWidth="1"/>
    <col min="11" max="11" width="8.7109375" style="597" customWidth="1"/>
    <col min="12" max="12" width="21.5703125" style="598" customWidth="1"/>
    <col min="13" max="13" width="16.140625" style="595" customWidth="1"/>
    <col min="14" max="14" width="15.5703125" style="595" customWidth="1"/>
    <col min="15" max="15" width="17.7109375" style="595" hidden="1" customWidth="1"/>
    <col min="16" max="18" width="20" style="595" hidden="1" customWidth="1"/>
    <col min="19" max="19" width="14.5703125" style="595" hidden="1" customWidth="1"/>
    <col min="20" max="21" width="16.28515625" style="595" customWidth="1"/>
    <col min="22" max="22" width="16.28515625" style="595" hidden="1" customWidth="1"/>
    <col min="23" max="23" width="21.28515625" style="595" customWidth="1"/>
    <col min="24" max="24" width="21.5703125" style="595" customWidth="1"/>
    <col min="25" max="25" width="6" style="595" hidden="1" customWidth="1"/>
    <col min="26" max="26" width="22" style="595" customWidth="1"/>
    <col min="27" max="27" width="18.28515625" style="595" hidden="1" customWidth="1"/>
    <col min="28" max="28" width="24.140625" style="595" hidden="1" customWidth="1"/>
    <col min="29" max="29" width="19.85546875" style="595" hidden="1" customWidth="1"/>
    <col min="30" max="33" width="9.42578125" style="595"/>
    <col min="34" max="34" width="9.5703125" style="595" bestFit="1" customWidth="1"/>
    <col min="35" max="16384" width="9.42578125" style="595"/>
  </cols>
  <sheetData>
    <row r="2" spans="1:28">
      <c r="A2" s="2032" t="s">
        <v>90</v>
      </c>
      <c r="B2" s="2032"/>
      <c r="C2" s="2032"/>
      <c r="D2" s="2032"/>
      <c r="E2" s="2032"/>
      <c r="F2" s="2032"/>
      <c r="G2" s="2032"/>
      <c r="H2" s="2032"/>
      <c r="I2" s="2032"/>
      <c r="J2" s="2032"/>
      <c r="K2" s="2032"/>
      <c r="L2" s="2032"/>
      <c r="M2" s="2032"/>
      <c r="N2" s="2032"/>
      <c r="O2" s="2032"/>
      <c r="P2" s="2032"/>
      <c r="Q2" s="2032"/>
      <c r="R2" s="2032"/>
      <c r="S2" s="2032"/>
      <c r="T2" s="2032"/>
      <c r="U2" s="2032"/>
      <c r="V2" s="2032"/>
      <c r="W2" s="2032"/>
      <c r="X2" s="2032"/>
      <c r="Y2" s="2032"/>
      <c r="Z2" s="2032"/>
    </row>
    <row r="3" spans="1:28">
      <c r="A3" s="2032" t="s">
        <v>56</v>
      </c>
      <c r="B3" s="2032"/>
      <c r="C3" s="2032"/>
      <c r="D3" s="2032"/>
      <c r="E3" s="2032"/>
      <c r="F3" s="2032"/>
      <c r="G3" s="2032"/>
      <c r="H3" s="2032"/>
      <c r="I3" s="2032"/>
      <c r="J3" s="2032"/>
      <c r="K3" s="2032"/>
      <c r="L3" s="2032"/>
      <c r="M3" s="2032"/>
      <c r="N3" s="2032"/>
      <c r="O3" s="2032"/>
      <c r="P3" s="2032"/>
      <c r="Q3" s="2032"/>
      <c r="R3" s="2032"/>
      <c r="S3" s="2032"/>
      <c r="T3" s="2032"/>
      <c r="U3" s="2032"/>
      <c r="V3" s="2032"/>
      <c r="W3" s="2032"/>
      <c r="X3" s="2032"/>
      <c r="Y3" s="2032"/>
      <c r="Z3" s="2032"/>
    </row>
    <row r="4" spans="1:28">
      <c r="A4" s="2033" t="s">
        <v>604</v>
      </c>
      <c r="B4" s="2032"/>
      <c r="C4" s="2032"/>
      <c r="D4" s="2032"/>
      <c r="E4" s="2032"/>
      <c r="F4" s="2032"/>
      <c r="G4" s="2032"/>
      <c r="H4" s="2032"/>
      <c r="I4" s="2032"/>
      <c r="J4" s="2032"/>
      <c r="K4" s="2032"/>
      <c r="L4" s="2032"/>
      <c r="M4" s="2032"/>
      <c r="N4" s="2032"/>
      <c r="O4" s="2032"/>
      <c r="P4" s="2032"/>
      <c r="Q4" s="2032"/>
      <c r="R4" s="2032"/>
      <c r="S4" s="2032"/>
      <c r="T4" s="2032"/>
      <c r="U4" s="2032"/>
      <c r="V4" s="2032"/>
      <c r="W4" s="2032"/>
      <c r="X4" s="2032"/>
      <c r="Y4" s="2032"/>
      <c r="Z4" s="2032"/>
    </row>
    <row r="5" spans="1:28">
      <c r="A5" s="1822"/>
      <c r="B5" s="1822"/>
      <c r="C5" s="1822"/>
      <c r="D5" s="1822"/>
      <c r="E5" s="1822"/>
      <c r="F5" s="1822"/>
      <c r="G5" s="1822"/>
      <c r="H5" s="1822"/>
      <c r="I5" s="1822"/>
      <c r="J5" s="1822"/>
      <c r="K5" s="1822"/>
      <c r="L5" s="1822"/>
      <c r="M5" s="1822"/>
      <c r="N5" s="1822"/>
      <c r="O5" s="1822"/>
      <c r="P5" s="1822"/>
      <c r="Q5" s="1822"/>
      <c r="R5" s="1822"/>
      <c r="S5" s="1822"/>
      <c r="T5" s="1822"/>
      <c r="U5" s="1822"/>
      <c r="V5" s="1822"/>
      <c r="W5" s="1822"/>
      <c r="X5" s="1822"/>
      <c r="Y5" s="1822"/>
      <c r="Z5" s="1822"/>
    </row>
    <row r="6" spans="1:28">
      <c r="A6" s="2006" t="s">
        <v>5</v>
      </c>
      <c r="B6" s="2006"/>
      <c r="C6" s="2006"/>
      <c r="D6" s="2006"/>
      <c r="E6" s="2006"/>
      <c r="F6" s="2006"/>
      <c r="G6" s="2006"/>
      <c r="H6" s="2006"/>
      <c r="I6" s="2006"/>
      <c r="J6" s="2006"/>
      <c r="K6" s="672"/>
      <c r="L6" s="672"/>
      <c r="M6" s="672"/>
      <c r="N6" s="672"/>
      <c r="O6" s="672"/>
      <c r="P6" s="672"/>
      <c r="Q6" s="672"/>
      <c r="R6" s="672"/>
      <c r="S6" s="672"/>
      <c r="T6" s="672"/>
      <c r="U6" s="672"/>
      <c r="V6" s="672"/>
      <c r="W6" s="673"/>
      <c r="X6" s="673"/>
      <c r="Y6" s="673"/>
      <c r="Z6" s="673"/>
    </row>
    <row r="7" spans="1:28">
      <c r="A7" s="2000" t="s">
        <v>113</v>
      </c>
      <c r="B7" s="2000"/>
      <c r="C7" s="2000"/>
      <c r="D7" s="2000"/>
      <c r="E7" s="2000"/>
      <c r="F7" s="2000"/>
      <c r="G7" s="2000"/>
      <c r="H7" s="2000"/>
      <c r="I7" s="2000"/>
      <c r="J7" s="2000"/>
      <c r="K7" s="672"/>
      <c r="L7" s="672"/>
      <c r="M7" s="672"/>
      <c r="N7" s="672"/>
      <c r="O7" s="672"/>
      <c r="P7" s="672"/>
      <c r="Q7" s="672"/>
      <c r="R7" s="672"/>
      <c r="S7" s="672"/>
      <c r="T7" s="672"/>
      <c r="U7" s="672"/>
      <c r="V7" s="672"/>
      <c r="W7" s="673"/>
      <c r="X7" s="673"/>
      <c r="Y7" s="673"/>
      <c r="Z7" s="673"/>
    </row>
    <row r="8" spans="1:28">
      <c r="A8" s="1813"/>
      <c r="B8" s="1813"/>
      <c r="C8" s="1813"/>
      <c r="D8" s="1813"/>
      <c r="E8" s="1813"/>
      <c r="F8" s="695"/>
      <c r="G8" s="695"/>
      <c r="H8" s="695"/>
      <c r="I8" s="695"/>
      <c r="J8" s="672"/>
      <c r="K8" s="672"/>
      <c r="L8" s="672"/>
      <c r="M8" s="672"/>
      <c r="N8" s="672"/>
      <c r="O8" s="672"/>
      <c r="P8" s="672"/>
      <c r="Q8" s="672"/>
      <c r="R8" s="672"/>
      <c r="S8" s="672"/>
      <c r="T8" s="672"/>
      <c r="U8" s="672"/>
      <c r="V8" s="672"/>
      <c r="W8" s="673"/>
      <c r="X8" s="673"/>
      <c r="Y8" s="673"/>
      <c r="Z8" s="673"/>
      <c r="AA8" s="1721" t="s">
        <v>50</v>
      </c>
      <c r="AB8" s="1722">
        <f>'BTH mủ tạp'!$AI$246</f>
        <v>0</v>
      </c>
    </row>
    <row r="9" spans="1:28" ht="30">
      <c r="A9" s="2010" t="s">
        <v>1147</v>
      </c>
      <c r="B9" s="2010"/>
      <c r="C9" s="2010"/>
      <c r="D9" s="2010"/>
      <c r="E9" s="2010"/>
      <c r="F9" s="2010"/>
      <c r="G9" s="2010"/>
      <c r="H9" s="2010"/>
      <c r="I9" s="2010"/>
      <c r="J9" s="2010"/>
      <c r="K9" s="2010"/>
      <c r="L9" s="2010"/>
      <c r="M9" s="2010"/>
      <c r="N9" s="2010"/>
      <c r="O9" s="2010"/>
      <c r="P9" s="2010"/>
      <c r="Q9" s="2010"/>
      <c r="R9" s="2010"/>
      <c r="S9" s="2010"/>
      <c r="T9" s="2010"/>
      <c r="U9" s="2010"/>
      <c r="V9" s="2010"/>
      <c r="W9" s="2010"/>
      <c r="X9" s="2010"/>
      <c r="Y9" s="2010"/>
      <c r="Z9" s="2010"/>
      <c r="AA9" s="1721" t="s">
        <v>844</v>
      </c>
      <c r="AB9" s="1722">
        <f>'BTH mủ tạp'!$AK$246</f>
        <v>0</v>
      </c>
    </row>
    <row r="10" spans="1:28" ht="16.5" customHeight="1">
      <c r="A10" s="604"/>
      <c r="B10" s="604"/>
      <c r="C10" s="604"/>
      <c r="D10" s="604"/>
      <c r="E10" s="604"/>
      <c r="F10" s="604"/>
      <c r="G10" s="604"/>
      <c r="H10" s="604"/>
      <c r="I10" s="604"/>
      <c r="J10" s="604"/>
      <c r="K10" s="604"/>
      <c r="L10" s="604"/>
      <c r="M10" s="604"/>
      <c r="N10" s="604"/>
      <c r="O10" s="604"/>
      <c r="P10" s="604"/>
      <c r="Q10" s="604"/>
      <c r="R10" s="604"/>
      <c r="S10" s="604"/>
      <c r="T10" s="604"/>
      <c r="U10" s="604"/>
      <c r="V10" s="604"/>
      <c r="W10" s="604"/>
      <c r="X10" s="604"/>
      <c r="Y10" s="604"/>
      <c r="Z10" s="604"/>
      <c r="AA10" s="1723" t="s">
        <v>845</v>
      </c>
      <c r="AB10" s="1724">
        <v>0.5</v>
      </c>
    </row>
    <row r="11" spans="1:28" ht="28.5" hidden="1" customHeight="1">
      <c r="A11" s="676"/>
      <c r="B11" s="1817"/>
      <c r="C11" s="2017" t="s">
        <v>613</v>
      </c>
      <c r="D11" s="2017"/>
      <c r="E11" s="1727">
        <f>'CNKT '!E11</f>
        <v>656</v>
      </c>
      <c r="F11" s="677"/>
      <c r="G11" s="677"/>
      <c r="H11" s="677"/>
      <c r="I11" s="677"/>
      <c r="J11" s="678"/>
      <c r="K11" s="679"/>
      <c r="L11" s="680"/>
      <c r="M11" s="681"/>
      <c r="N11" s="681"/>
      <c r="O11" s="681"/>
      <c r="P11" s="681"/>
      <c r="Q11" s="681"/>
      <c r="R11" s="681"/>
      <c r="S11" s="681"/>
      <c r="T11" s="681"/>
      <c r="U11" s="681"/>
      <c r="V11" s="681"/>
      <c r="W11" s="681"/>
      <c r="X11" s="2031" t="s">
        <v>840</v>
      </c>
      <c r="Y11" s="2031"/>
      <c r="Z11" s="1877" t="e">
        <f>AB9/AB8</f>
        <v>#DIV/0!</v>
      </c>
      <c r="AA11" s="1723" t="s">
        <v>846</v>
      </c>
      <c r="AB11" s="1724">
        <v>0.2</v>
      </c>
    </row>
    <row r="12" spans="1:28" s="1813" customFormat="1" ht="26.25" customHeight="1">
      <c r="A12" s="1998" t="s">
        <v>11</v>
      </c>
      <c r="B12" s="1998" t="s">
        <v>145</v>
      </c>
      <c r="C12" s="1999" t="s">
        <v>29</v>
      </c>
      <c r="D12" s="1998" t="s">
        <v>417</v>
      </c>
      <c r="E12" s="1995" t="s">
        <v>34</v>
      </c>
      <c r="F12" s="1995"/>
      <c r="G12" s="1995"/>
      <c r="H12" s="1995"/>
      <c r="I12" s="1995"/>
      <c r="J12" s="1995"/>
      <c r="K12" s="1995"/>
      <c r="L12" s="1995"/>
      <c r="M12" s="1995"/>
      <c r="N12" s="1995"/>
      <c r="O12" s="1995"/>
      <c r="P12" s="1995"/>
      <c r="Q12" s="1995"/>
      <c r="R12" s="1995"/>
      <c r="S12" s="1995"/>
      <c r="T12" s="1995"/>
      <c r="U12" s="1995"/>
      <c r="V12" s="1995"/>
      <c r="W12" s="1995"/>
      <c r="X12" s="2026" t="s">
        <v>754</v>
      </c>
      <c r="Y12" s="1997" t="s">
        <v>275</v>
      </c>
      <c r="Z12" s="1997" t="s">
        <v>752</v>
      </c>
    </row>
    <row r="13" spans="1:28" s="1813" customFormat="1" ht="57.75" customHeight="1">
      <c r="A13" s="1998"/>
      <c r="B13" s="1998"/>
      <c r="C13" s="1999"/>
      <c r="D13" s="1998"/>
      <c r="E13" s="2011" t="s">
        <v>751</v>
      </c>
      <c r="F13" s="2012"/>
      <c r="G13" s="2023" t="s">
        <v>37</v>
      </c>
      <c r="H13" s="2024"/>
      <c r="I13" s="2024"/>
      <c r="J13" s="2024"/>
      <c r="K13" s="2024"/>
      <c r="L13" s="2025"/>
      <c r="M13" s="1997" t="s">
        <v>38</v>
      </c>
      <c r="N13" s="1997"/>
      <c r="O13" s="1997"/>
      <c r="P13" s="1997"/>
      <c r="Q13" s="1997"/>
      <c r="R13" s="1997"/>
      <c r="S13" s="1997"/>
      <c r="T13" s="1997"/>
      <c r="U13" s="1997"/>
      <c r="V13" s="1997"/>
      <c r="W13" s="1997"/>
      <c r="X13" s="2027"/>
      <c r="Y13" s="1997"/>
      <c r="Z13" s="1997"/>
    </row>
    <row r="14" spans="1:28" s="1814" customFormat="1" ht="118.5" customHeight="1">
      <c r="A14" s="1998"/>
      <c r="B14" s="1998"/>
      <c r="C14" s="1999"/>
      <c r="D14" s="1998"/>
      <c r="E14" s="698" t="s">
        <v>115</v>
      </c>
      <c r="F14" s="1812" t="s">
        <v>40</v>
      </c>
      <c r="G14" s="1812" t="s">
        <v>749</v>
      </c>
      <c r="H14" s="1812" t="s">
        <v>837</v>
      </c>
      <c r="I14" s="1183" t="s">
        <v>847</v>
      </c>
      <c r="J14" s="884" t="s">
        <v>838</v>
      </c>
      <c r="K14" s="1811" t="s">
        <v>41</v>
      </c>
      <c r="L14" s="1811" t="s">
        <v>42</v>
      </c>
      <c r="M14" s="1150" t="s">
        <v>880</v>
      </c>
      <c r="N14" s="1149" t="s">
        <v>927</v>
      </c>
      <c r="O14" s="1149" t="s">
        <v>928</v>
      </c>
      <c r="P14" s="1149" t="s">
        <v>929</v>
      </c>
      <c r="Q14" s="1149" t="s">
        <v>930</v>
      </c>
      <c r="R14" s="1149" t="s">
        <v>931</v>
      </c>
      <c r="S14" s="1811" t="s">
        <v>488</v>
      </c>
      <c r="T14" s="1493" t="s">
        <v>1015</v>
      </c>
      <c r="U14" s="1493" t="s">
        <v>1168</v>
      </c>
      <c r="V14" s="1493"/>
      <c r="W14" s="1811" t="s">
        <v>32</v>
      </c>
      <c r="X14" s="2028"/>
      <c r="Y14" s="1997"/>
      <c r="Z14" s="1997"/>
    </row>
    <row r="15" spans="1:28" s="591" customFormat="1" ht="50.25" hidden="1" customHeight="1">
      <c r="A15" s="684">
        <v>1</v>
      </c>
      <c r="B15" s="696" t="str">
        <f>'Chấm công KT'!D177</f>
        <v>03588</v>
      </c>
      <c r="C15" s="696" t="str">
        <f>TONGHOPCONGDOI!C251</f>
        <v>N. Teo</v>
      </c>
      <c r="D15" s="696"/>
      <c r="E15" s="697">
        <f>VLOOKUP(C15,TONGHOPCONGDOI!C251:Q319,15,0)</f>
        <v>0</v>
      </c>
      <c r="F15" s="696">
        <f>E15*25000</f>
        <v>0</v>
      </c>
      <c r="G15" s="696">
        <f>VLOOKUP(C15,TONGHOPCONGDOI!C251:AD319,16,0)</f>
        <v>0</v>
      </c>
      <c r="H15" s="696"/>
      <c r="I15" s="696">
        <f>VLOOKUP(C15,TONGHOPCONGDOI!$C$251:$S$319,17,0)</f>
        <v>0</v>
      </c>
      <c r="J15" s="1556" t="e">
        <f>$AB$9/$AB$8*G15+H15*$AB$10+I15*$AB$11</f>
        <v>#DIV/0!</v>
      </c>
      <c r="K15" s="683" t="str">
        <f>VLOOKUP(C15,'BTH mủ tạp'!C247:AL305,36,0)</f>
        <v>C</v>
      </c>
      <c r="L15" s="1185" t="e">
        <f>ROUND((IF(K15="A",(G15*$Z$11*6.1),IF(K15="B",(G15*$Z$11*5.8),IF(K15="C",(G15*$Z$11*5.5),IF(K15="D",(G15*$Z$11*5.2),0))))*$E$11+(H15*$AB$10*$E$11*6.1)+I15*$E$11*$AB$11*6.1),0)</f>
        <v>#DIV/0!</v>
      </c>
      <c r="M15" s="696">
        <f>VLOOKUP(C15,TONGHOPCONGDOI!$C$251:$AD$319,20,0)</f>
        <v>0</v>
      </c>
      <c r="N15" s="696">
        <f>VLOOKUP(C15,TONGHOPCONGDOI!$C$251:$AD$319,21,0)</f>
        <v>0</v>
      </c>
      <c r="O15" s="696">
        <f>VLOOKUP(C15,TONGHOPCONGDOI!$C$251:$AD$319,22,0)</f>
        <v>0</v>
      </c>
      <c r="P15" s="696">
        <f>VLOOKUP(C15,TONGHOPCONGDOI!$C$251:$AD$319,23,0)</f>
        <v>0</v>
      </c>
      <c r="Q15" s="696">
        <f>VLOOKUP(C15,TONGHOPCONGDOI!$C$251:$AD$319,24,0)</f>
        <v>0</v>
      </c>
      <c r="R15" s="696">
        <f>VLOOKUP(C15,TONGHOPCONGDOI!$C$251:$AD$319,25,0)</f>
        <v>0</v>
      </c>
      <c r="S15" s="696"/>
      <c r="T15" s="685">
        <f t="shared" ref="T15:T46" si="0">SUM(M15:S15)</f>
        <v>0</v>
      </c>
      <c r="U15" s="685">
        <f>SUM(M15:R15)</f>
        <v>0</v>
      </c>
      <c r="V15" s="685"/>
      <c r="W15" s="1725">
        <f>ROUND(((M15*46.1)+(N15*76.9)+(O15*92.2)+(P15*153.8)+(Q15*92.2)+(R15*153.8))*$E$11+(S15*20000)+(T15*10000)+(U15*30000),0)</f>
        <v>0</v>
      </c>
      <c r="X15" s="696" t="e">
        <f t="shared" ref="X15:X46" si="1">F15+L15+W15</f>
        <v>#DIV/0!</v>
      </c>
      <c r="Y15" s="696" t="e">
        <f>#REF!</f>
        <v>#REF!</v>
      </c>
      <c r="Z15" s="696">
        <f>VLOOKUP(C15,'CNKT '!$C$256:$Z$315,24,0)</f>
        <v>0</v>
      </c>
      <c r="AA15" s="591" t="e">
        <f t="shared" ref="AA15:AA78" si="2">Z15-X15</f>
        <v>#DIV/0!</v>
      </c>
      <c r="AB15" s="591">
        <f>49*AB11</f>
        <v>9.8000000000000007</v>
      </c>
    </row>
    <row r="16" spans="1:28" s="591" customFormat="1" ht="50.25" hidden="1" customHeight="1">
      <c r="A16" s="684">
        <v>2</v>
      </c>
      <c r="B16" s="696" t="str">
        <f>'Chấm công KT'!D178</f>
        <v>03466</v>
      </c>
      <c r="C16" s="696" t="str">
        <f>TONGHOPCONGDOI!C252</f>
        <v>T . Thau</v>
      </c>
      <c r="D16" s="696"/>
      <c r="E16" s="697">
        <f>VLOOKUP(C16,TONGHOPCONGDOI!C252:Q320,15,0)</f>
        <v>0</v>
      </c>
      <c r="F16" s="696">
        <f t="shared" ref="F16:F79" si="3">E16*25000</f>
        <v>0</v>
      </c>
      <c r="G16" s="696">
        <f>VLOOKUP(C16,TONGHOPCONGDOI!C252:AD320,16,0)</f>
        <v>0</v>
      </c>
      <c r="H16" s="696"/>
      <c r="I16" s="696">
        <f>VLOOKUP(C16,TONGHOPCONGDOI!$C$251:$S$319,17,0)</f>
        <v>0</v>
      </c>
      <c r="J16" s="1556" t="e">
        <f t="shared" ref="J16:J70" si="4">$AB$9/$AB$8*G16+H16*$AB$10+I16*$AB$11</f>
        <v>#DIV/0!</v>
      </c>
      <c r="K16" s="683" t="str">
        <f>VLOOKUP(C16,'BTH mủ tạp'!C248:AL314,36,0)</f>
        <v>B</v>
      </c>
      <c r="L16" s="1185" t="e">
        <f t="shared" ref="L16:L79" si="5">ROUND((IF(K16="A",(G16*$Z$11*6.1),IF(K16="B",(G16*$Z$11*5.8),IF(K16="C",(G16*$Z$11*5.5),IF(K16="D",(G16*$Z$11*5.2),0))))*$E$11+(H16*$AB$10*$E$11*6.1)+I16*$E$11*$AB$11*6.1),0)</f>
        <v>#DIV/0!</v>
      </c>
      <c r="M16" s="696">
        <f>VLOOKUP(C16,TONGHOPCONGDOI!$C$251:$AD$319,20,0)</f>
        <v>0</v>
      </c>
      <c r="N16" s="696">
        <f>VLOOKUP(C16,TONGHOPCONGDOI!$C$251:$AD$319,21,0)</f>
        <v>0</v>
      </c>
      <c r="O16" s="696">
        <f>VLOOKUP(C16,TONGHOPCONGDOI!$C$251:$AD$319,22,0)</f>
        <v>0</v>
      </c>
      <c r="P16" s="696">
        <f>VLOOKUP(C16,TONGHOPCONGDOI!$C$251:$AD$319,23,0)</f>
        <v>0</v>
      </c>
      <c r="Q16" s="696">
        <f>VLOOKUP(C16,TONGHOPCONGDOI!$C$251:$AD$319,24,0)</f>
        <v>0</v>
      </c>
      <c r="R16" s="696">
        <f>VLOOKUP(C16,TONGHOPCONGDOI!$C$251:$AD$319,25,0)</f>
        <v>0</v>
      </c>
      <c r="S16" s="696"/>
      <c r="T16" s="685">
        <f t="shared" si="0"/>
        <v>0</v>
      </c>
      <c r="U16" s="685">
        <f t="shared" ref="U16:U79" si="6">SUM(M16:R16)</f>
        <v>0</v>
      </c>
      <c r="V16" s="685"/>
      <c r="W16" s="1725">
        <f t="shared" ref="W16:W79" si="7">ROUND(((M16*46.1)+(N16*76.9)+(O16*92.2)+(P16*153.8)+(Q16*92.2)+(R16*153.8))*$E$11+(S16*20000)+(T16*10000)+(U16*30000),0)</f>
        <v>0</v>
      </c>
      <c r="X16" s="696" t="e">
        <f t="shared" si="1"/>
        <v>#DIV/0!</v>
      </c>
      <c r="Y16" s="696" t="e">
        <f>#REF!</f>
        <v>#REF!</v>
      </c>
      <c r="Z16" s="696">
        <f>VLOOKUP(C16,'CNKT '!$C$256:$Z$315,24,0)</f>
        <v>0</v>
      </c>
      <c r="AA16" s="591" t="e">
        <f t="shared" si="2"/>
        <v>#DIV/0!</v>
      </c>
    </row>
    <row r="17" spans="1:27" s="591" customFormat="1" ht="50.25" hidden="1" customHeight="1">
      <c r="A17" s="684">
        <v>3</v>
      </c>
      <c r="B17" s="696" t="str">
        <f>'Chấm công KT'!D179</f>
        <v>03590</v>
      </c>
      <c r="C17" s="696" t="str">
        <f>TONGHOPCONGDOI!C253</f>
        <v>T . Vi</v>
      </c>
      <c r="D17" s="696"/>
      <c r="E17" s="697">
        <f>VLOOKUP(C17,TONGHOPCONGDOI!C253:Q321,15,0)</f>
        <v>0</v>
      </c>
      <c r="F17" s="696">
        <f t="shared" si="3"/>
        <v>0</v>
      </c>
      <c r="G17" s="696">
        <f>VLOOKUP(C17,TONGHOPCONGDOI!C253:AD321,16,0)</f>
        <v>0</v>
      </c>
      <c r="H17" s="696"/>
      <c r="I17" s="696">
        <f>VLOOKUP(C17,TONGHOPCONGDOI!$C$251:$S$319,17,0)</f>
        <v>0</v>
      </c>
      <c r="J17" s="1556" t="e">
        <f t="shared" si="4"/>
        <v>#DIV/0!</v>
      </c>
      <c r="K17" s="683" t="str">
        <f>VLOOKUP(C17,'BTH mủ tạp'!C249:AL315,36,0)</f>
        <v>C</v>
      </c>
      <c r="L17" s="1185" t="e">
        <f t="shared" si="5"/>
        <v>#DIV/0!</v>
      </c>
      <c r="M17" s="696">
        <f>VLOOKUP(C17,TONGHOPCONGDOI!$C$251:$AD$319,20,0)</f>
        <v>0</v>
      </c>
      <c r="N17" s="696">
        <f>VLOOKUP(C17,TONGHOPCONGDOI!$C$251:$AD$319,21,0)</f>
        <v>0</v>
      </c>
      <c r="O17" s="696">
        <f>VLOOKUP(C17,TONGHOPCONGDOI!$C$251:$AD$319,22,0)</f>
        <v>0</v>
      </c>
      <c r="P17" s="696">
        <f>VLOOKUP(C17,TONGHOPCONGDOI!$C$251:$AD$319,23,0)</f>
        <v>0</v>
      </c>
      <c r="Q17" s="696">
        <f>VLOOKUP(C17,TONGHOPCONGDOI!$C$251:$AD$319,24,0)</f>
        <v>0</v>
      </c>
      <c r="R17" s="696">
        <f>VLOOKUP(C17,TONGHOPCONGDOI!$C$251:$AD$319,25,0)</f>
        <v>0</v>
      </c>
      <c r="S17" s="696"/>
      <c r="T17" s="685">
        <f t="shared" si="0"/>
        <v>0</v>
      </c>
      <c r="U17" s="685">
        <f t="shared" si="6"/>
        <v>0</v>
      </c>
      <c r="V17" s="685"/>
      <c r="W17" s="1725">
        <f t="shared" si="7"/>
        <v>0</v>
      </c>
      <c r="X17" s="696" t="e">
        <f t="shared" si="1"/>
        <v>#DIV/0!</v>
      </c>
      <c r="Y17" s="696" t="e">
        <f>#REF!</f>
        <v>#REF!</v>
      </c>
      <c r="Z17" s="696">
        <f>VLOOKUP(C17,'CNKT '!$C$256:$Z$315,24,0)</f>
        <v>0</v>
      </c>
      <c r="AA17" s="591" t="e">
        <f t="shared" si="2"/>
        <v>#DIV/0!</v>
      </c>
    </row>
    <row r="18" spans="1:27" s="591" customFormat="1" ht="50.25" hidden="1" customHeight="1">
      <c r="A18" s="684">
        <v>4</v>
      </c>
      <c r="B18" s="696" t="str">
        <f>'Chấm công KT'!D180</f>
        <v>03591</v>
      </c>
      <c r="C18" s="696" t="str">
        <f>TONGHOPCONGDOI!C254</f>
        <v>Khâm Đi</v>
      </c>
      <c r="D18" s="696"/>
      <c r="E18" s="697">
        <f>VLOOKUP(C18,TONGHOPCONGDOI!C254:Q322,15,0)</f>
        <v>0</v>
      </c>
      <c r="F18" s="696">
        <f t="shared" si="3"/>
        <v>0</v>
      </c>
      <c r="G18" s="696">
        <f>VLOOKUP(C18,TONGHOPCONGDOI!C254:AD322,16,0)</f>
        <v>0</v>
      </c>
      <c r="H18" s="696"/>
      <c r="I18" s="696">
        <f>VLOOKUP(C18,TONGHOPCONGDOI!$C$251:$S$319,17,0)</f>
        <v>0</v>
      </c>
      <c r="J18" s="1556" t="e">
        <f t="shared" si="4"/>
        <v>#DIV/0!</v>
      </c>
      <c r="K18" s="683" t="str">
        <f>VLOOKUP(C18,'BTH mủ tạp'!C250:AL316,36,0)</f>
        <v>C</v>
      </c>
      <c r="L18" s="1185" t="e">
        <f t="shared" si="5"/>
        <v>#DIV/0!</v>
      </c>
      <c r="M18" s="696">
        <f>VLOOKUP(C18,TONGHOPCONGDOI!$C$251:$AD$319,20,0)</f>
        <v>0</v>
      </c>
      <c r="N18" s="696">
        <f>VLOOKUP(C18,TONGHOPCONGDOI!$C$251:$AD$319,21,0)</f>
        <v>0</v>
      </c>
      <c r="O18" s="696">
        <f>VLOOKUP(C18,TONGHOPCONGDOI!$C$251:$AD$319,22,0)</f>
        <v>0</v>
      </c>
      <c r="P18" s="696">
        <f>VLOOKUP(C18,TONGHOPCONGDOI!$C$251:$AD$319,23,0)</f>
        <v>0</v>
      </c>
      <c r="Q18" s="696">
        <f>VLOOKUP(C18,TONGHOPCONGDOI!$C$251:$AD$319,24,0)</f>
        <v>0</v>
      </c>
      <c r="R18" s="696">
        <f>VLOOKUP(C18,TONGHOPCONGDOI!$C$251:$AD$319,25,0)</f>
        <v>0</v>
      </c>
      <c r="S18" s="696"/>
      <c r="T18" s="685">
        <f t="shared" si="0"/>
        <v>0</v>
      </c>
      <c r="U18" s="685">
        <f t="shared" si="6"/>
        <v>0</v>
      </c>
      <c r="V18" s="685"/>
      <c r="W18" s="1725">
        <f t="shared" si="7"/>
        <v>0</v>
      </c>
      <c r="X18" s="696" t="e">
        <f t="shared" si="1"/>
        <v>#DIV/0!</v>
      </c>
      <c r="Y18" s="696" t="e">
        <f>#REF!</f>
        <v>#REF!</v>
      </c>
      <c r="Z18" s="696">
        <f>VLOOKUP(C18,'CNKT '!$C$256:$Z$315,24,0)</f>
        <v>0</v>
      </c>
      <c r="AA18" s="591" t="e">
        <f t="shared" si="2"/>
        <v>#DIV/0!</v>
      </c>
    </row>
    <row r="19" spans="1:27" s="591" customFormat="1" ht="50.25" hidden="1" customHeight="1">
      <c r="A19" s="684">
        <v>5</v>
      </c>
      <c r="B19" s="696" t="str">
        <f>'Chấm công KT'!D181</f>
        <v>03592</v>
      </c>
      <c r="C19" s="696" t="str">
        <f>TONGHOPCONGDOI!C255</f>
        <v>T. Ve</v>
      </c>
      <c r="D19" s="696"/>
      <c r="E19" s="697">
        <f>VLOOKUP(C19,TONGHOPCONGDOI!C255:Q323,15,0)</f>
        <v>0</v>
      </c>
      <c r="F19" s="696">
        <f t="shared" si="3"/>
        <v>0</v>
      </c>
      <c r="G19" s="696">
        <f>VLOOKUP(C19,TONGHOPCONGDOI!C255:AD323,16,0)</f>
        <v>0</v>
      </c>
      <c r="H19" s="696"/>
      <c r="I19" s="696">
        <f>VLOOKUP(C19,TONGHOPCONGDOI!$C$251:$S$319,17,0)</f>
        <v>0</v>
      </c>
      <c r="J19" s="1556" t="e">
        <f t="shared" si="4"/>
        <v>#DIV/0!</v>
      </c>
      <c r="K19" s="683" t="str">
        <f>VLOOKUP(C19,'BTH mủ tạp'!C251:AL317,36,0)</f>
        <v>B</v>
      </c>
      <c r="L19" s="1185" t="e">
        <f t="shared" si="5"/>
        <v>#DIV/0!</v>
      </c>
      <c r="M19" s="696">
        <f>VLOOKUP(C19,TONGHOPCONGDOI!$C$251:$AD$319,20,0)</f>
        <v>0</v>
      </c>
      <c r="N19" s="696">
        <f>VLOOKUP(C19,TONGHOPCONGDOI!$C$251:$AD$319,21,0)</f>
        <v>0</v>
      </c>
      <c r="O19" s="696">
        <f>VLOOKUP(C19,TONGHOPCONGDOI!$C$251:$AD$319,22,0)</f>
        <v>0</v>
      </c>
      <c r="P19" s="696">
        <f>VLOOKUP(C19,TONGHOPCONGDOI!$C$251:$AD$319,23,0)</f>
        <v>0</v>
      </c>
      <c r="Q19" s="696">
        <f>VLOOKUP(C19,TONGHOPCONGDOI!$C$251:$AD$319,24,0)</f>
        <v>0</v>
      </c>
      <c r="R19" s="696">
        <f>VLOOKUP(C19,TONGHOPCONGDOI!$C$251:$AD$319,25,0)</f>
        <v>0</v>
      </c>
      <c r="S19" s="696"/>
      <c r="T19" s="685">
        <f t="shared" si="0"/>
        <v>0</v>
      </c>
      <c r="U19" s="685">
        <f t="shared" si="6"/>
        <v>0</v>
      </c>
      <c r="V19" s="685"/>
      <c r="W19" s="1725">
        <f t="shared" si="7"/>
        <v>0</v>
      </c>
      <c r="X19" s="696" t="e">
        <f t="shared" si="1"/>
        <v>#DIV/0!</v>
      </c>
      <c r="Y19" s="696" t="e">
        <f>#REF!</f>
        <v>#REF!</v>
      </c>
      <c r="Z19" s="696">
        <f>VLOOKUP(C19,'CNKT '!$C$256:$Z$315,24,0)</f>
        <v>0</v>
      </c>
      <c r="AA19" s="591" t="e">
        <f t="shared" si="2"/>
        <v>#DIV/0!</v>
      </c>
    </row>
    <row r="20" spans="1:27" s="591" customFormat="1" ht="50.25" hidden="1" customHeight="1">
      <c r="A20" s="684">
        <v>6</v>
      </c>
      <c r="B20" s="696" t="str">
        <f>'Chấm công KT'!D182</f>
        <v>03593</v>
      </c>
      <c r="C20" s="696" t="str">
        <f>TONGHOPCONGDOI!C256</f>
        <v>T. Thèo</v>
      </c>
      <c r="D20" s="696"/>
      <c r="E20" s="697">
        <f>VLOOKUP(C20,TONGHOPCONGDOI!C256:Q324,15,0)</f>
        <v>0</v>
      </c>
      <c r="F20" s="696">
        <f t="shared" si="3"/>
        <v>0</v>
      </c>
      <c r="G20" s="696">
        <f>VLOOKUP(C20,TONGHOPCONGDOI!C256:AD324,16,0)</f>
        <v>0</v>
      </c>
      <c r="H20" s="696"/>
      <c r="I20" s="696">
        <f>VLOOKUP(C20,TONGHOPCONGDOI!$C$251:$S$319,17,0)</f>
        <v>0</v>
      </c>
      <c r="J20" s="1556" t="e">
        <f t="shared" si="4"/>
        <v>#DIV/0!</v>
      </c>
      <c r="K20" s="683" t="str">
        <f>VLOOKUP(C20,'BTH mủ tạp'!C252:AL318,36,0)</f>
        <v>C</v>
      </c>
      <c r="L20" s="1185" t="e">
        <f t="shared" si="5"/>
        <v>#DIV/0!</v>
      </c>
      <c r="M20" s="696">
        <f>VLOOKUP(C20,TONGHOPCONGDOI!$C$251:$AD$319,20,0)</f>
        <v>0</v>
      </c>
      <c r="N20" s="696">
        <f>VLOOKUP(C20,TONGHOPCONGDOI!$C$251:$AD$319,21,0)</f>
        <v>0</v>
      </c>
      <c r="O20" s="696">
        <f>VLOOKUP(C20,TONGHOPCONGDOI!$C$251:$AD$319,22,0)</f>
        <v>0</v>
      </c>
      <c r="P20" s="696">
        <f>VLOOKUP(C20,TONGHOPCONGDOI!$C$251:$AD$319,23,0)</f>
        <v>0</v>
      </c>
      <c r="Q20" s="696">
        <f>VLOOKUP(C20,TONGHOPCONGDOI!$C$251:$AD$319,24,0)</f>
        <v>0</v>
      </c>
      <c r="R20" s="696">
        <f>VLOOKUP(C20,TONGHOPCONGDOI!$C$251:$AD$319,25,0)</f>
        <v>0</v>
      </c>
      <c r="S20" s="696"/>
      <c r="T20" s="685">
        <f t="shared" si="0"/>
        <v>0</v>
      </c>
      <c r="U20" s="685">
        <f t="shared" si="6"/>
        <v>0</v>
      </c>
      <c r="V20" s="685"/>
      <c r="W20" s="1725">
        <f t="shared" si="7"/>
        <v>0</v>
      </c>
      <c r="X20" s="696" t="e">
        <f t="shared" si="1"/>
        <v>#DIV/0!</v>
      </c>
      <c r="Y20" s="696" t="e">
        <f>#REF!</f>
        <v>#REF!</v>
      </c>
      <c r="Z20" s="696">
        <f>VLOOKUP(C20,'CNKT '!$C$256:$Z$315,24,0)</f>
        <v>0</v>
      </c>
      <c r="AA20" s="591" t="e">
        <f t="shared" si="2"/>
        <v>#DIV/0!</v>
      </c>
    </row>
    <row r="21" spans="1:27" s="591" customFormat="1" ht="50.25" hidden="1" customHeight="1">
      <c r="A21" s="684">
        <v>7</v>
      </c>
      <c r="B21" s="696" t="str">
        <f>'Chấm công KT'!D183</f>
        <v>03594</v>
      </c>
      <c r="C21" s="696" t="str">
        <f>TONGHOPCONGDOI!C257</f>
        <v>Kèo Xột</v>
      </c>
      <c r="D21" s="696"/>
      <c r="E21" s="697">
        <f>VLOOKUP(C21,TONGHOPCONGDOI!C257:Q325,15,0)</f>
        <v>0</v>
      </c>
      <c r="F21" s="696">
        <f t="shared" si="3"/>
        <v>0</v>
      </c>
      <c r="G21" s="696">
        <f>VLOOKUP(C21,TONGHOPCONGDOI!C257:AD325,16,0)</f>
        <v>0</v>
      </c>
      <c r="H21" s="696"/>
      <c r="I21" s="696">
        <f>VLOOKUP(C21,TONGHOPCONGDOI!$C$251:$S$319,17,0)</f>
        <v>0</v>
      </c>
      <c r="J21" s="1556" t="e">
        <f t="shared" si="4"/>
        <v>#DIV/0!</v>
      </c>
      <c r="K21" s="683" t="str">
        <f>VLOOKUP(C21,'BTH mủ tạp'!C253:AL319,36,0)</f>
        <v>C</v>
      </c>
      <c r="L21" s="1185" t="e">
        <f t="shared" si="5"/>
        <v>#DIV/0!</v>
      </c>
      <c r="M21" s="696">
        <f>VLOOKUP(C21,TONGHOPCONGDOI!$C$251:$AD$319,20,0)</f>
        <v>0</v>
      </c>
      <c r="N21" s="696">
        <f>VLOOKUP(C21,TONGHOPCONGDOI!$C$251:$AD$319,21,0)</f>
        <v>0</v>
      </c>
      <c r="O21" s="696">
        <f>VLOOKUP(C21,TONGHOPCONGDOI!$C$251:$AD$319,22,0)</f>
        <v>0</v>
      </c>
      <c r="P21" s="696">
        <f>VLOOKUP(C21,TONGHOPCONGDOI!$C$251:$AD$319,23,0)</f>
        <v>0</v>
      </c>
      <c r="Q21" s="696">
        <f>VLOOKUP(C21,TONGHOPCONGDOI!$C$251:$AD$319,24,0)</f>
        <v>0</v>
      </c>
      <c r="R21" s="696">
        <f>VLOOKUP(C21,TONGHOPCONGDOI!$C$251:$AD$319,25,0)</f>
        <v>0</v>
      </c>
      <c r="S21" s="696"/>
      <c r="T21" s="685">
        <f t="shared" si="0"/>
        <v>0</v>
      </c>
      <c r="U21" s="685">
        <f t="shared" si="6"/>
        <v>0</v>
      </c>
      <c r="V21" s="685"/>
      <c r="W21" s="1725">
        <f t="shared" si="7"/>
        <v>0</v>
      </c>
      <c r="X21" s="696" t="e">
        <f t="shared" si="1"/>
        <v>#DIV/0!</v>
      </c>
      <c r="Y21" s="696" t="e">
        <f>#REF!</f>
        <v>#REF!</v>
      </c>
      <c r="Z21" s="696">
        <f>VLOOKUP(C21,'CNKT '!$C$256:$Z$315,24,0)</f>
        <v>0</v>
      </c>
      <c r="AA21" s="591" t="e">
        <f t="shared" si="2"/>
        <v>#DIV/0!</v>
      </c>
    </row>
    <row r="22" spans="1:27" s="591" customFormat="1" ht="50.25" hidden="1" customHeight="1">
      <c r="A22" s="684">
        <v>8</v>
      </c>
      <c r="B22" s="696" t="str">
        <f>'Chấm công KT'!D184</f>
        <v>03595</v>
      </c>
      <c r="C22" s="696" t="str">
        <f>TONGHOPCONGDOI!C258</f>
        <v>N. Chít</v>
      </c>
      <c r="D22" s="696"/>
      <c r="E22" s="697">
        <f>VLOOKUP(C22,TONGHOPCONGDOI!C258:Q326,15,0)</f>
        <v>0</v>
      </c>
      <c r="F22" s="696">
        <f t="shared" si="3"/>
        <v>0</v>
      </c>
      <c r="G22" s="696">
        <f>VLOOKUP(C22,TONGHOPCONGDOI!C258:AD326,16,0)</f>
        <v>0</v>
      </c>
      <c r="H22" s="696"/>
      <c r="I22" s="696">
        <f>VLOOKUP(C22,TONGHOPCONGDOI!$C$251:$S$319,17,0)</f>
        <v>0</v>
      </c>
      <c r="J22" s="1556" t="e">
        <f t="shared" si="4"/>
        <v>#DIV/0!</v>
      </c>
      <c r="K22" s="683" t="str">
        <f>VLOOKUP(C22,'BTH mủ tạp'!C254:AL320,36,0)</f>
        <v>C</v>
      </c>
      <c r="L22" s="1185" t="e">
        <f t="shared" si="5"/>
        <v>#DIV/0!</v>
      </c>
      <c r="M22" s="696">
        <f>VLOOKUP(C22,TONGHOPCONGDOI!$C$251:$AD$319,20,0)</f>
        <v>0</v>
      </c>
      <c r="N22" s="696">
        <f>VLOOKUP(C22,TONGHOPCONGDOI!$C$251:$AD$319,21,0)</f>
        <v>0</v>
      </c>
      <c r="O22" s="696">
        <f>VLOOKUP(C22,TONGHOPCONGDOI!$C$251:$AD$319,22,0)</f>
        <v>0</v>
      </c>
      <c r="P22" s="696">
        <f>VLOOKUP(C22,TONGHOPCONGDOI!$C$251:$AD$319,23,0)</f>
        <v>0</v>
      </c>
      <c r="Q22" s="696">
        <f>VLOOKUP(C22,TONGHOPCONGDOI!$C$251:$AD$319,24,0)</f>
        <v>0</v>
      </c>
      <c r="R22" s="696">
        <f>VLOOKUP(C22,TONGHOPCONGDOI!$C$251:$AD$319,25,0)</f>
        <v>0</v>
      </c>
      <c r="S22" s="696"/>
      <c r="T22" s="685">
        <f t="shared" si="0"/>
        <v>0</v>
      </c>
      <c r="U22" s="685">
        <f t="shared" si="6"/>
        <v>0</v>
      </c>
      <c r="V22" s="685"/>
      <c r="W22" s="1725">
        <f t="shared" si="7"/>
        <v>0</v>
      </c>
      <c r="X22" s="696" t="e">
        <f t="shared" si="1"/>
        <v>#DIV/0!</v>
      </c>
      <c r="Y22" s="696" t="e">
        <f>#REF!</f>
        <v>#REF!</v>
      </c>
      <c r="Z22" s="696">
        <f>VLOOKUP(C22,'CNKT '!$C$256:$Z$315,24,0)</f>
        <v>0</v>
      </c>
      <c r="AA22" s="591" t="e">
        <f t="shared" si="2"/>
        <v>#DIV/0!</v>
      </c>
    </row>
    <row r="23" spans="1:27" s="591" customFormat="1" ht="50.25" hidden="1" customHeight="1">
      <c r="A23" s="684">
        <v>9</v>
      </c>
      <c r="B23" s="696" t="str">
        <f>'Chấm công KT'!D185</f>
        <v>03596</v>
      </c>
      <c r="C23" s="696" t="str">
        <f>TONGHOPCONGDOI!C259</f>
        <v>N. Căn Da</v>
      </c>
      <c r="D23" s="696"/>
      <c r="E23" s="697">
        <f>VLOOKUP(C23,TONGHOPCONGDOI!C259:Q327,15,0)</f>
        <v>0</v>
      </c>
      <c r="F23" s="696">
        <f t="shared" si="3"/>
        <v>0</v>
      </c>
      <c r="G23" s="696">
        <f>VLOOKUP(C23,TONGHOPCONGDOI!C259:AD327,16,0)</f>
        <v>0</v>
      </c>
      <c r="H23" s="696"/>
      <c r="I23" s="696">
        <f>VLOOKUP(C23,TONGHOPCONGDOI!$C$251:$S$319,17,0)</f>
        <v>0</v>
      </c>
      <c r="J23" s="1556" t="e">
        <f t="shared" si="4"/>
        <v>#DIV/0!</v>
      </c>
      <c r="K23" s="683" t="str">
        <f>VLOOKUP(C23,'BTH mủ tạp'!C255:AL321,36,0)</f>
        <v>B</v>
      </c>
      <c r="L23" s="1185" t="e">
        <f t="shared" si="5"/>
        <v>#DIV/0!</v>
      </c>
      <c r="M23" s="696">
        <f>VLOOKUP(C23,TONGHOPCONGDOI!$C$251:$AD$319,20,0)</f>
        <v>0</v>
      </c>
      <c r="N23" s="696">
        <f>VLOOKUP(C23,TONGHOPCONGDOI!$C$251:$AD$319,21,0)</f>
        <v>0</v>
      </c>
      <c r="O23" s="696">
        <f>VLOOKUP(C23,TONGHOPCONGDOI!$C$251:$AD$319,22,0)</f>
        <v>0</v>
      </c>
      <c r="P23" s="696">
        <f>VLOOKUP(C23,TONGHOPCONGDOI!$C$251:$AD$319,23,0)</f>
        <v>0</v>
      </c>
      <c r="Q23" s="696">
        <f>VLOOKUP(C23,TONGHOPCONGDOI!$C$251:$AD$319,24,0)</f>
        <v>0</v>
      </c>
      <c r="R23" s="696">
        <f>VLOOKUP(C23,TONGHOPCONGDOI!$C$251:$AD$319,25,0)</f>
        <v>0</v>
      </c>
      <c r="S23" s="696"/>
      <c r="T23" s="685">
        <f t="shared" si="0"/>
        <v>0</v>
      </c>
      <c r="U23" s="685">
        <f t="shared" si="6"/>
        <v>0</v>
      </c>
      <c r="V23" s="685"/>
      <c r="W23" s="1725">
        <f t="shared" si="7"/>
        <v>0</v>
      </c>
      <c r="X23" s="696" t="e">
        <f t="shared" si="1"/>
        <v>#DIV/0!</v>
      </c>
      <c r="Y23" s="696" t="e">
        <f>#REF!</f>
        <v>#REF!</v>
      </c>
      <c r="Z23" s="696">
        <f>VLOOKUP(C23,'CNKT '!$C$256:$Z$315,24,0)</f>
        <v>0</v>
      </c>
      <c r="AA23" s="591" t="e">
        <f t="shared" si="2"/>
        <v>#DIV/0!</v>
      </c>
    </row>
    <row r="24" spans="1:27" s="591" customFormat="1" ht="50.25" hidden="1" customHeight="1">
      <c r="A24" s="684">
        <v>10</v>
      </c>
      <c r="B24" s="696" t="str">
        <f>'Chấm công KT'!D186</f>
        <v>03597</v>
      </c>
      <c r="C24" s="696" t="str">
        <f>TONGHOPCONGDOI!C260</f>
        <v>T. Phim</v>
      </c>
      <c r="D24" s="696"/>
      <c r="E24" s="697">
        <f>VLOOKUP(C24,TONGHOPCONGDOI!C260:Q328,15,0)</f>
        <v>0</v>
      </c>
      <c r="F24" s="696">
        <f t="shared" si="3"/>
        <v>0</v>
      </c>
      <c r="G24" s="696">
        <f>VLOOKUP(C24,TONGHOPCONGDOI!C260:AD328,16,0)</f>
        <v>0</v>
      </c>
      <c r="H24" s="696"/>
      <c r="I24" s="696">
        <f>VLOOKUP(C24,TONGHOPCONGDOI!$C$251:$S$319,17,0)</f>
        <v>0</v>
      </c>
      <c r="J24" s="1556" t="e">
        <f t="shared" si="4"/>
        <v>#DIV/0!</v>
      </c>
      <c r="K24" s="683" t="str">
        <f>VLOOKUP(C24,'BTH mủ tạp'!C256:AL322,36,0)</f>
        <v>B</v>
      </c>
      <c r="L24" s="1185" t="e">
        <f t="shared" si="5"/>
        <v>#DIV/0!</v>
      </c>
      <c r="M24" s="696">
        <f>VLOOKUP(C24,TONGHOPCONGDOI!$C$251:$AD$319,20,0)</f>
        <v>0</v>
      </c>
      <c r="N24" s="696">
        <f>VLOOKUP(C24,TONGHOPCONGDOI!$C$251:$AD$319,21,0)</f>
        <v>0</v>
      </c>
      <c r="O24" s="696">
        <f>VLOOKUP(C24,TONGHOPCONGDOI!$C$251:$AD$319,22,0)</f>
        <v>0</v>
      </c>
      <c r="P24" s="696">
        <f>VLOOKUP(C24,TONGHOPCONGDOI!$C$251:$AD$319,23,0)</f>
        <v>0</v>
      </c>
      <c r="Q24" s="696">
        <f>VLOOKUP(C24,TONGHOPCONGDOI!$C$251:$AD$319,24,0)</f>
        <v>0</v>
      </c>
      <c r="R24" s="696">
        <f>VLOOKUP(C24,TONGHOPCONGDOI!$C$251:$AD$319,25,0)</f>
        <v>0</v>
      </c>
      <c r="S24" s="696"/>
      <c r="T24" s="685">
        <f t="shared" si="0"/>
        <v>0</v>
      </c>
      <c r="U24" s="685">
        <f t="shared" si="6"/>
        <v>0</v>
      </c>
      <c r="V24" s="685"/>
      <c r="W24" s="1725">
        <f t="shared" si="7"/>
        <v>0</v>
      </c>
      <c r="X24" s="696" t="e">
        <f t="shared" si="1"/>
        <v>#DIV/0!</v>
      </c>
      <c r="Y24" s="696" t="e">
        <f>#REF!</f>
        <v>#REF!</v>
      </c>
      <c r="Z24" s="696">
        <f>VLOOKUP(C24,'CNKT '!$C$256:$Z$315,24,0)</f>
        <v>0</v>
      </c>
      <c r="AA24" s="591" t="e">
        <f t="shared" si="2"/>
        <v>#DIV/0!</v>
      </c>
    </row>
    <row r="25" spans="1:27" s="591" customFormat="1" ht="50.25" hidden="1" customHeight="1">
      <c r="A25" s="684">
        <v>11</v>
      </c>
      <c r="B25" s="696" t="str">
        <f>'Chấm công KT'!D187</f>
        <v>03598</v>
      </c>
      <c r="C25" s="696" t="str">
        <f>TONGHOPCONGDOI!C261</f>
        <v>T Chăn Thi</v>
      </c>
      <c r="D25" s="696"/>
      <c r="E25" s="697">
        <f>VLOOKUP(C25,TONGHOPCONGDOI!C261:Q329,15,0)</f>
        <v>0</v>
      </c>
      <c r="F25" s="696">
        <f t="shared" si="3"/>
        <v>0</v>
      </c>
      <c r="G25" s="696">
        <f>VLOOKUP(C25,TONGHOPCONGDOI!C261:AD329,16,0)</f>
        <v>0</v>
      </c>
      <c r="H25" s="696"/>
      <c r="I25" s="696">
        <f>VLOOKUP(C25,TONGHOPCONGDOI!$C$251:$S$319,17,0)</f>
        <v>0</v>
      </c>
      <c r="J25" s="1556" t="e">
        <f t="shared" si="4"/>
        <v>#DIV/0!</v>
      </c>
      <c r="K25" s="683" t="str">
        <f>VLOOKUP(C25,'BTH mủ tạp'!C257:AL323,36,0)</f>
        <v>C</v>
      </c>
      <c r="L25" s="1185" t="e">
        <f t="shared" si="5"/>
        <v>#DIV/0!</v>
      </c>
      <c r="M25" s="696">
        <f>VLOOKUP(C25,TONGHOPCONGDOI!$C$251:$AD$319,20,0)</f>
        <v>0</v>
      </c>
      <c r="N25" s="696">
        <f>VLOOKUP(C25,TONGHOPCONGDOI!$C$251:$AD$319,21,0)</f>
        <v>0</v>
      </c>
      <c r="O25" s="696">
        <f>VLOOKUP(C25,TONGHOPCONGDOI!$C$251:$AD$319,22,0)</f>
        <v>0</v>
      </c>
      <c r="P25" s="696">
        <f>VLOOKUP(C25,TONGHOPCONGDOI!$C$251:$AD$319,23,0)</f>
        <v>0</v>
      </c>
      <c r="Q25" s="696">
        <f>VLOOKUP(C25,TONGHOPCONGDOI!$C$251:$AD$319,24,0)</f>
        <v>0</v>
      </c>
      <c r="R25" s="696">
        <f>VLOOKUP(C25,TONGHOPCONGDOI!$C$251:$AD$319,25,0)</f>
        <v>0</v>
      </c>
      <c r="S25" s="696"/>
      <c r="T25" s="685">
        <f t="shared" si="0"/>
        <v>0</v>
      </c>
      <c r="U25" s="685">
        <f t="shared" si="6"/>
        <v>0</v>
      </c>
      <c r="V25" s="685"/>
      <c r="W25" s="1725">
        <f t="shared" si="7"/>
        <v>0</v>
      </c>
      <c r="X25" s="696" t="e">
        <f t="shared" si="1"/>
        <v>#DIV/0!</v>
      </c>
      <c r="Y25" s="696" t="e">
        <f>#REF!</f>
        <v>#REF!</v>
      </c>
      <c r="Z25" s="696">
        <f>VLOOKUP(C25,'CNKT '!$C$256:$Z$315,24,0)</f>
        <v>0</v>
      </c>
      <c r="AA25" s="591" t="e">
        <f t="shared" si="2"/>
        <v>#DIV/0!</v>
      </c>
    </row>
    <row r="26" spans="1:27" s="591" customFormat="1" ht="50.25" hidden="1" customHeight="1">
      <c r="A26" s="684">
        <v>12</v>
      </c>
      <c r="B26" s="696" t="str">
        <f>'Chấm công KT'!D188</f>
        <v>03599</v>
      </c>
      <c r="C26" s="696" t="str">
        <f>TONGHOPCONGDOI!C262</f>
        <v>N. Văn Thong</v>
      </c>
      <c r="D26" s="696"/>
      <c r="E26" s="697">
        <f>VLOOKUP(C26,TONGHOPCONGDOI!C262:Q330,15,0)</f>
        <v>0</v>
      </c>
      <c r="F26" s="696">
        <f t="shared" si="3"/>
        <v>0</v>
      </c>
      <c r="G26" s="696">
        <f>VLOOKUP(C26,TONGHOPCONGDOI!C262:AD330,16,0)</f>
        <v>0</v>
      </c>
      <c r="H26" s="696"/>
      <c r="I26" s="696">
        <f>VLOOKUP(C26,TONGHOPCONGDOI!$C$251:$S$319,17,0)</f>
        <v>0</v>
      </c>
      <c r="J26" s="1556" t="e">
        <f t="shared" si="4"/>
        <v>#DIV/0!</v>
      </c>
      <c r="K26" s="683" t="str">
        <f>VLOOKUP(C26,'BTH mủ tạp'!C258:AL324,36,0)</f>
        <v>B</v>
      </c>
      <c r="L26" s="1185" t="e">
        <f t="shared" si="5"/>
        <v>#DIV/0!</v>
      </c>
      <c r="M26" s="696">
        <f>VLOOKUP(C26,TONGHOPCONGDOI!$C$251:$AD$319,20,0)</f>
        <v>0</v>
      </c>
      <c r="N26" s="696">
        <f>VLOOKUP(C26,TONGHOPCONGDOI!$C$251:$AD$319,21,0)</f>
        <v>0</v>
      </c>
      <c r="O26" s="696">
        <f>VLOOKUP(C26,TONGHOPCONGDOI!$C$251:$AD$319,22,0)</f>
        <v>0</v>
      </c>
      <c r="P26" s="696">
        <f>VLOOKUP(C26,TONGHOPCONGDOI!$C$251:$AD$319,23,0)</f>
        <v>0</v>
      </c>
      <c r="Q26" s="696">
        <f>VLOOKUP(C26,TONGHOPCONGDOI!$C$251:$AD$319,24,0)</f>
        <v>0</v>
      </c>
      <c r="R26" s="696">
        <f>VLOOKUP(C26,TONGHOPCONGDOI!$C$251:$AD$319,25,0)</f>
        <v>0</v>
      </c>
      <c r="S26" s="696"/>
      <c r="T26" s="685">
        <f t="shared" si="0"/>
        <v>0</v>
      </c>
      <c r="U26" s="685">
        <f t="shared" si="6"/>
        <v>0</v>
      </c>
      <c r="V26" s="685"/>
      <c r="W26" s="1725">
        <f t="shared" si="7"/>
        <v>0</v>
      </c>
      <c r="X26" s="696" t="e">
        <f t="shared" si="1"/>
        <v>#DIV/0!</v>
      </c>
      <c r="Y26" s="696" t="e">
        <f>#REF!</f>
        <v>#REF!</v>
      </c>
      <c r="Z26" s="696">
        <f>VLOOKUP(C26,'CNKT '!$C$256:$Z$315,24,0)</f>
        <v>0</v>
      </c>
      <c r="AA26" s="591" t="e">
        <f t="shared" si="2"/>
        <v>#DIV/0!</v>
      </c>
    </row>
    <row r="27" spans="1:27" s="591" customFormat="1" ht="50.25" hidden="1" customHeight="1">
      <c r="A27" s="684">
        <v>13</v>
      </c>
      <c r="B27" s="696" t="str">
        <f>'Chấm công KT'!D189</f>
        <v>03600</v>
      </c>
      <c r="C27" s="696" t="str">
        <f>TONGHOPCONGDOI!C263</f>
        <v>Cong Khăm</v>
      </c>
      <c r="D27" s="696"/>
      <c r="E27" s="697">
        <f>VLOOKUP(C27,TONGHOPCONGDOI!C263:Q331,15,0)</f>
        <v>0</v>
      </c>
      <c r="F27" s="696">
        <f t="shared" si="3"/>
        <v>0</v>
      </c>
      <c r="G27" s="696">
        <f>VLOOKUP(C27,TONGHOPCONGDOI!C263:AD331,16,0)</f>
        <v>0</v>
      </c>
      <c r="H27" s="696"/>
      <c r="I27" s="696">
        <f>VLOOKUP(C27,TONGHOPCONGDOI!$C$251:$S$319,17,0)</f>
        <v>0</v>
      </c>
      <c r="J27" s="1556" t="e">
        <f t="shared" si="4"/>
        <v>#DIV/0!</v>
      </c>
      <c r="K27" s="683" t="str">
        <f>VLOOKUP(C27,'BTH mủ tạp'!C259:AL325,36,0)</f>
        <v>A</v>
      </c>
      <c r="L27" s="1185" t="e">
        <f t="shared" si="5"/>
        <v>#DIV/0!</v>
      </c>
      <c r="M27" s="696">
        <f>VLOOKUP(C27,TONGHOPCONGDOI!$C$251:$AD$319,20,0)</f>
        <v>0</v>
      </c>
      <c r="N27" s="696">
        <f>VLOOKUP(C27,TONGHOPCONGDOI!$C$251:$AD$319,21,0)</f>
        <v>0</v>
      </c>
      <c r="O27" s="696">
        <f>VLOOKUP(C27,TONGHOPCONGDOI!$C$251:$AD$319,22,0)</f>
        <v>0</v>
      </c>
      <c r="P27" s="696">
        <f>VLOOKUP(C27,TONGHOPCONGDOI!$C$251:$AD$319,23,0)</f>
        <v>0</v>
      </c>
      <c r="Q27" s="696">
        <f>VLOOKUP(C27,TONGHOPCONGDOI!$C$251:$AD$319,24,0)</f>
        <v>0</v>
      </c>
      <c r="R27" s="696">
        <f>VLOOKUP(C27,TONGHOPCONGDOI!$C$251:$AD$319,25,0)</f>
        <v>0</v>
      </c>
      <c r="S27" s="696"/>
      <c r="T27" s="685">
        <f t="shared" si="0"/>
        <v>0</v>
      </c>
      <c r="U27" s="685">
        <f t="shared" si="6"/>
        <v>0</v>
      </c>
      <c r="V27" s="685"/>
      <c r="W27" s="1725">
        <f t="shared" si="7"/>
        <v>0</v>
      </c>
      <c r="X27" s="696" t="e">
        <f t="shared" si="1"/>
        <v>#DIV/0!</v>
      </c>
      <c r="Y27" s="696" t="e">
        <f>#REF!</f>
        <v>#REF!</v>
      </c>
      <c r="Z27" s="696">
        <f>VLOOKUP(C27,'CNKT '!$C$256:$Z$315,24,0)</f>
        <v>0</v>
      </c>
      <c r="AA27" s="591" t="e">
        <f t="shared" si="2"/>
        <v>#DIV/0!</v>
      </c>
    </row>
    <row r="28" spans="1:27" s="591" customFormat="1" ht="50.25" hidden="1" customHeight="1">
      <c r="A28" s="684">
        <v>14</v>
      </c>
      <c r="B28" s="696" t="str">
        <f>'Chấm công KT'!D190</f>
        <v>03601</v>
      </c>
      <c r="C28" s="696" t="str">
        <f>TONGHOPCONGDOI!C264</f>
        <v>T. Dở</v>
      </c>
      <c r="D28" s="696"/>
      <c r="E28" s="697">
        <f>VLOOKUP(C28,TONGHOPCONGDOI!C264:Q332,15,0)</f>
        <v>0</v>
      </c>
      <c r="F28" s="696">
        <f t="shared" si="3"/>
        <v>0</v>
      </c>
      <c r="G28" s="696">
        <f>VLOOKUP(C28,TONGHOPCONGDOI!C264:AD332,16,0)</f>
        <v>0</v>
      </c>
      <c r="H28" s="696"/>
      <c r="I28" s="696">
        <f>VLOOKUP(C28,TONGHOPCONGDOI!$C$251:$S$319,17,0)</f>
        <v>0</v>
      </c>
      <c r="J28" s="1556" t="e">
        <f t="shared" si="4"/>
        <v>#DIV/0!</v>
      </c>
      <c r="K28" s="683" t="str">
        <f>VLOOKUP(C28,'BTH mủ tạp'!C260:AL326,36,0)</f>
        <v>B</v>
      </c>
      <c r="L28" s="1185" t="e">
        <f t="shared" si="5"/>
        <v>#DIV/0!</v>
      </c>
      <c r="M28" s="696">
        <f>VLOOKUP(C28,TONGHOPCONGDOI!$C$251:$AD$319,20,0)</f>
        <v>0</v>
      </c>
      <c r="N28" s="696">
        <f>VLOOKUP(C28,TONGHOPCONGDOI!$C$251:$AD$319,21,0)</f>
        <v>0</v>
      </c>
      <c r="O28" s="696">
        <f>VLOOKUP(C28,TONGHOPCONGDOI!$C$251:$AD$319,22,0)</f>
        <v>0</v>
      </c>
      <c r="P28" s="696">
        <f>VLOOKUP(C28,TONGHOPCONGDOI!$C$251:$AD$319,23,0)</f>
        <v>0</v>
      </c>
      <c r="Q28" s="696">
        <f>VLOOKUP(C28,TONGHOPCONGDOI!$C$251:$AD$319,24,0)</f>
        <v>0</v>
      </c>
      <c r="R28" s="696">
        <f>VLOOKUP(C28,TONGHOPCONGDOI!$C$251:$AD$319,25,0)</f>
        <v>0</v>
      </c>
      <c r="S28" s="696"/>
      <c r="T28" s="685">
        <f t="shared" si="0"/>
        <v>0</v>
      </c>
      <c r="U28" s="685">
        <f t="shared" si="6"/>
        <v>0</v>
      </c>
      <c r="V28" s="685"/>
      <c r="W28" s="1725">
        <f t="shared" si="7"/>
        <v>0</v>
      </c>
      <c r="X28" s="696" t="e">
        <f t="shared" si="1"/>
        <v>#DIV/0!</v>
      </c>
      <c r="Y28" s="696" t="e">
        <f>#REF!</f>
        <v>#REF!</v>
      </c>
      <c r="Z28" s="696">
        <f>VLOOKUP(C28,'CNKT '!$C$256:$Z$315,24,0)</f>
        <v>0</v>
      </c>
      <c r="AA28" s="591" t="e">
        <f t="shared" si="2"/>
        <v>#DIV/0!</v>
      </c>
    </row>
    <row r="29" spans="1:27" s="591" customFormat="1" ht="50.25" hidden="1" customHeight="1">
      <c r="A29" s="684">
        <v>15</v>
      </c>
      <c r="B29" s="696" t="str">
        <f>'Chấm công KT'!D191</f>
        <v>03602</v>
      </c>
      <c r="C29" s="696" t="str">
        <f>TONGHOPCONGDOI!C265</f>
        <v>N. Sủm</v>
      </c>
      <c r="D29" s="696"/>
      <c r="E29" s="697">
        <f>VLOOKUP(C29,TONGHOPCONGDOI!C265:Q333,15,0)</f>
        <v>0</v>
      </c>
      <c r="F29" s="696">
        <f t="shared" si="3"/>
        <v>0</v>
      </c>
      <c r="G29" s="696">
        <f>VLOOKUP(C29,TONGHOPCONGDOI!C265:AD333,16,0)</f>
        <v>0</v>
      </c>
      <c r="H29" s="696"/>
      <c r="I29" s="696">
        <f>VLOOKUP(C29,TONGHOPCONGDOI!$C$251:$S$319,17,0)</f>
        <v>0</v>
      </c>
      <c r="J29" s="1556" t="e">
        <f t="shared" si="4"/>
        <v>#DIV/0!</v>
      </c>
      <c r="K29" s="683" t="str">
        <f>VLOOKUP(C29,'BTH mủ tạp'!C261:AL327,36,0)</f>
        <v>C</v>
      </c>
      <c r="L29" s="1185" t="e">
        <f t="shared" si="5"/>
        <v>#DIV/0!</v>
      </c>
      <c r="M29" s="696">
        <f>VLOOKUP(C29,TONGHOPCONGDOI!$C$251:$AD$319,20,0)</f>
        <v>0</v>
      </c>
      <c r="N29" s="696">
        <f>VLOOKUP(C29,TONGHOPCONGDOI!$C$251:$AD$319,21,0)</f>
        <v>0</v>
      </c>
      <c r="O29" s="696">
        <f>VLOOKUP(C29,TONGHOPCONGDOI!$C$251:$AD$319,22,0)</f>
        <v>0</v>
      </c>
      <c r="P29" s="696">
        <f>VLOOKUP(C29,TONGHOPCONGDOI!$C$251:$AD$319,23,0)</f>
        <v>0</v>
      </c>
      <c r="Q29" s="696">
        <f>VLOOKUP(C29,TONGHOPCONGDOI!$C$251:$AD$319,24,0)</f>
        <v>0</v>
      </c>
      <c r="R29" s="696">
        <f>VLOOKUP(C29,TONGHOPCONGDOI!$C$251:$AD$319,25,0)</f>
        <v>0</v>
      </c>
      <c r="S29" s="696"/>
      <c r="T29" s="685">
        <f t="shared" si="0"/>
        <v>0</v>
      </c>
      <c r="U29" s="685">
        <f t="shared" si="6"/>
        <v>0</v>
      </c>
      <c r="V29" s="685"/>
      <c r="W29" s="1725">
        <f t="shared" si="7"/>
        <v>0</v>
      </c>
      <c r="X29" s="696" t="e">
        <f t="shared" si="1"/>
        <v>#DIV/0!</v>
      </c>
      <c r="Y29" s="696" t="e">
        <f>#REF!</f>
        <v>#REF!</v>
      </c>
      <c r="Z29" s="696">
        <f>VLOOKUP(C29,'CNKT '!$C$256:$Z$315,24,0)</f>
        <v>0</v>
      </c>
      <c r="AA29" s="591" t="e">
        <f t="shared" si="2"/>
        <v>#DIV/0!</v>
      </c>
    </row>
    <row r="30" spans="1:27" s="591" customFormat="1" ht="50.25" hidden="1" customHeight="1">
      <c r="A30" s="684">
        <v>16</v>
      </c>
      <c r="B30" s="696" t="str">
        <f>'Chấm công KT'!D192</f>
        <v>03603</v>
      </c>
      <c r="C30" s="696" t="str">
        <f>TONGHOPCONGDOI!C266</f>
        <v>T. Tắt</v>
      </c>
      <c r="D30" s="696"/>
      <c r="E30" s="697">
        <f>VLOOKUP(C30,TONGHOPCONGDOI!C266:Q334,15,0)</f>
        <v>0</v>
      </c>
      <c r="F30" s="696">
        <f t="shared" si="3"/>
        <v>0</v>
      </c>
      <c r="G30" s="696">
        <f>VLOOKUP(C30,TONGHOPCONGDOI!C266:AD334,16,0)</f>
        <v>0</v>
      </c>
      <c r="H30" s="696"/>
      <c r="I30" s="696">
        <f>VLOOKUP(C30,TONGHOPCONGDOI!$C$251:$S$319,17,0)</f>
        <v>0</v>
      </c>
      <c r="J30" s="1556" t="e">
        <f t="shared" si="4"/>
        <v>#DIV/0!</v>
      </c>
      <c r="K30" s="683" t="str">
        <f>VLOOKUP(C30,'BTH mủ tạp'!C262:AL328,36,0)</f>
        <v>B</v>
      </c>
      <c r="L30" s="1185" t="e">
        <f t="shared" si="5"/>
        <v>#DIV/0!</v>
      </c>
      <c r="M30" s="696">
        <f>VLOOKUP(C30,TONGHOPCONGDOI!$C$251:$AD$319,20,0)</f>
        <v>0</v>
      </c>
      <c r="N30" s="696">
        <f>VLOOKUP(C30,TONGHOPCONGDOI!$C$251:$AD$319,21,0)</f>
        <v>0</v>
      </c>
      <c r="O30" s="696">
        <f>VLOOKUP(C30,TONGHOPCONGDOI!$C$251:$AD$319,22,0)</f>
        <v>0</v>
      </c>
      <c r="P30" s="696">
        <f>VLOOKUP(C30,TONGHOPCONGDOI!$C$251:$AD$319,23,0)</f>
        <v>0</v>
      </c>
      <c r="Q30" s="696">
        <f>VLOOKUP(C30,TONGHOPCONGDOI!$C$251:$AD$319,24,0)</f>
        <v>0</v>
      </c>
      <c r="R30" s="696">
        <f>VLOOKUP(C30,TONGHOPCONGDOI!$C$251:$AD$319,25,0)</f>
        <v>0</v>
      </c>
      <c r="S30" s="696"/>
      <c r="T30" s="685">
        <f t="shared" si="0"/>
        <v>0</v>
      </c>
      <c r="U30" s="685">
        <f t="shared" si="6"/>
        <v>0</v>
      </c>
      <c r="V30" s="685"/>
      <c r="W30" s="1725">
        <f t="shared" si="7"/>
        <v>0</v>
      </c>
      <c r="X30" s="696" t="e">
        <f t="shared" si="1"/>
        <v>#DIV/0!</v>
      </c>
      <c r="Y30" s="696" t="e">
        <f>#REF!</f>
        <v>#REF!</v>
      </c>
      <c r="Z30" s="696">
        <f>VLOOKUP(C30,'CNKT '!$C$256:$Z$315,24,0)</f>
        <v>0</v>
      </c>
      <c r="AA30" s="591" t="e">
        <f t="shared" si="2"/>
        <v>#DIV/0!</v>
      </c>
    </row>
    <row r="31" spans="1:27" s="591" customFormat="1" ht="50.25" hidden="1" customHeight="1">
      <c r="A31" s="684">
        <v>17</v>
      </c>
      <c r="B31" s="696" t="str">
        <f>'Chấm công KT'!D193</f>
        <v>03604</v>
      </c>
      <c r="C31" s="696" t="str">
        <f>TONGHOPCONGDOI!C267</f>
        <v>T Viêng</v>
      </c>
      <c r="D31" s="696"/>
      <c r="E31" s="697">
        <f>VLOOKUP(C31,TONGHOPCONGDOI!C267:Q335,15,0)</f>
        <v>0</v>
      </c>
      <c r="F31" s="696">
        <f t="shared" si="3"/>
        <v>0</v>
      </c>
      <c r="G31" s="696">
        <f>VLOOKUP(C31,TONGHOPCONGDOI!C267:AD335,16,0)</f>
        <v>0</v>
      </c>
      <c r="H31" s="696"/>
      <c r="I31" s="696">
        <f>VLOOKUP(C31,TONGHOPCONGDOI!$C$251:$S$319,17,0)</f>
        <v>0</v>
      </c>
      <c r="J31" s="1556" t="e">
        <f t="shared" si="4"/>
        <v>#DIV/0!</v>
      </c>
      <c r="K31" s="683" t="str">
        <f>VLOOKUP(C31,'BTH mủ tạp'!C263:AL329,36,0)</f>
        <v>B</v>
      </c>
      <c r="L31" s="1185" t="e">
        <f t="shared" si="5"/>
        <v>#DIV/0!</v>
      </c>
      <c r="M31" s="696">
        <f>VLOOKUP(C31,TONGHOPCONGDOI!$C$251:$AD$319,20,0)</f>
        <v>0</v>
      </c>
      <c r="N31" s="696">
        <f>VLOOKUP(C31,TONGHOPCONGDOI!$C$251:$AD$319,21,0)</f>
        <v>0</v>
      </c>
      <c r="O31" s="696">
        <f>VLOOKUP(C31,TONGHOPCONGDOI!$C$251:$AD$319,22,0)</f>
        <v>0</v>
      </c>
      <c r="P31" s="696">
        <f>VLOOKUP(C31,TONGHOPCONGDOI!$C$251:$AD$319,23,0)</f>
        <v>0</v>
      </c>
      <c r="Q31" s="696">
        <f>VLOOKUP(C31,TONGHOPCONGDOI!$C$251:$AD$319,24,0)</f>
        <v>0</v>
      </c>
      <c r="R31" s="696">
        <f>VLOOKUP(C31,TONGHOPCONGDOI!$C$251:$AD$319,25,0)</f>
        <v>0</v>
      </c>
      <c r="S31" s="696"/>
      <c r="T31" s="685">
        <f t="shared" si="0"/>
        <v>0</v>
      </c>
      <c r="U31" s="685">
        <f t="shared" si="6"/>
        <v>0</v>
      </c>
      <c r="V31" s="685"/>
      <c r="W31" s="1725">
        <f t="shared" si="7"/>
        <v>0</v>
      </c>
      <c r="X31" s="696" t="e">
        <f t="shared" si="1"/>
        <v>#DIV/0!</v>
      </c>
      <c r="Y31" s="696" t="e">
        <f>#REF!</f>
        <v>#REF!</v>
      </c>
      <c r="Z31" s="696">
        <f>VLOOKUP(C31,'CNKT '!$C$256:$Z$315,24,0)</f>
        <v>0</v>
      </c>
      <c r="AA31" s="591" t="e">
        <f t="shared" si="2"/>
        <v>#DIV/0!</v>
      </c>
    </row>
    <row r="32" spans="1:27" s="591" customFormat="1" ht="50.25" hidden="1" customHeight="1">
      <c r="A32" s="684">
        <v>18</v>
      </c>
      <c r="B32" s="696"/>
      <c r="C32" s="696" t="str">
        <f>TONGHOPCONGDOI!C268</f>
        <v>T.Xê</v>
      </c>
      <c r="D32" s="696"/>
      <c r="E32" s="697">
        <f>VLOOKUP(C32,TONGHOPCONGDOI!C268:Q336,15,0)</f>
        <v>0</v>
      </c>
      <c r="F32" s="696">
        <f t="shared" si="3"/>
        <v>0</v>
      </c>
      <c r="G32" s="696">
        <f>VLOOKUP(C32,TONGHOPCONGDOI!C268:AD336,16,0)</f>
        <v>0</v>
      </c>
      <c r="H32" s="696"/>
      <c r="I32" s="696">
        <f>VLOOKUP(C32,TONGHOPCONGDOI!$C$251:$S$319,17,0)</f>
        <v>0</v>
      </c>
      <c r="J32" s="1556" t="e">
        <f t="shared" si="4"/>
        <v>#DIV/0!</v>
      </c>
      <c r="K32" s="683" t="str">
        <f>VLOOKUP(C32,'BTH mủ tạp'!C264:AL330,36,0)</f>
        <v>B</v>
      </c>
      <c r="L32" s="1185" t="e">
        <f t="shared" si="5"/>
        <v>#DIV/0!</v>
      </c>
      <c r="M32" s="696">
        <f>VLOOKUP(C32,TONGHOPCONGDOI!$C$251:$AD$319,20,0)</f>
        <v>0</v>
      </c>
      <c r="N32" s="696">
        <f>VLOOKUP(C32,TONGHOPCONGDOI!$C$251:$AD$319,21,0)</f>
        <v>0</v>
      </c>
      <c r="O32" s="696">
        <f>VLOOKUP(C32,TONGHOPCONGDOI!$C$251:$AD$319,22,0)</f>
        <v>0</v>
      </c>
      <c r="P32" s="696">
        <f>VLOOKUP(C32,TONGHOPCONGDOI!$C$251:$AD$319,23,0)</f>
        <v>0</v>
      </c>
      <c r="Q32" s="696">
        <f>VLOOKUP(C32,TONGHOPCONGDOI!$C$251:$AD$319,24,0)</f>
        <v>0</v>
      </c>
      <c r="R32" s="696">
        <f>VLOOKUP(C32,TONGHOPCONGDOI!$C$251:$AD$319,25,0)</f>
        <v>0</v>
      </c>
      <c r="S32" s="696"/>
      <c r="T32" s="685">
        <f t="shared" si="0"/>
        <v>0</v>
      </c>
      <c r="U32" s="685">
        <f t="shared" si="6"/>
        <v>0</v>
      </c>
      <c r="V32" s="685"/>
      <c r="W32" s="1725">
        <f t="shared" si="7"/>
        <v>0</v>
      </c>
      <c r="X32" s="696" t="e">
        <f t="shared" si="1"/>
        <v>#DIV/0!</v>
      </c>
      <c r="Y32" s="696" t="e">
        <f>#REF!</f>
        <v>#REF!</v>
      </c>
      <c r="Z32" s="696">
        <f>VLOOKUP(C32,'CNKT '!$C$256:$Z$315,24,0)</f>
        <v>0</v>
      </c>
      <c r="AA32" s="591" t="e">
        <f t="shared" si="2"/>
        <v>#DIV/0!</v>
      </c>
    </row>
    <row r="33" spans="1:27" s="591" customFormat="1" ht="50.25" hidden="1" customHeight="1">
      <c r="A33" s="684">
        <v>19</v>
      </c>
      <c r="B33" s="696" t="str">
        <f>'Chấm công KT'!D195</f>
        <v>03606</v>
      </c>
      <c r="C33" s="696" t="str">
        <f>TONGHOPCONGDOI!C269</f>
        <v>T. Hách</v>
      </c>
      <c r="D33" s="696"/>
      <c r="E33" s="697">
        <f>VLOOKUP(C33,TONGHOPCONGDOI!C269:Q337,15,0)</f>
        <v>0</v>
      </c>
      <c r="F33" s="696">
        <f t="shared" si="3"/>
        <v>0</v>
      </c>
      <c r="G33" s="696">
        <f>VLOOKUP(C33,TONGHOPCONGDOI!C269:AD337,16,0)</f>
        <v>0</v>
      </c>
      <c r="H33" s="696"/>
      <c r="I33" s="696">
        <f>VLOOKUP(C33,TONGHOPCONGDOI!$C$251:$S$319,17,0)</f>
        <v>0</v>
      </c>
      <c r="J33" s="1556" t="e">
        <f t="shared" si="4"/>
        <v>#DIV/0!</v>
      </c>
      <c r="K33" s="683" t="str">
        <f>VLOOKUP(C33,'BTH mủ tạp'!C265:AL331,36,0)</f>
        <v>B</v>
      </c>
      <c r="L33" s="1185" t="e">
        <f t="shared" si="5"/>
        <v>#DIV/0!</v>
      </c>
      <c r="M33" s="696">
        <f>VLOOKUP(C33,TONGHOPCONGDOI!$C$251:$AD$319,20,0)</f>
        <v>0</v>
      </c>
      <c r="N33" s="696">
        <f>VLOOKUP(C33,TONGHOPCONGDOI!$C$251:$AD$319,21,0)</f>
        <v>0</v>
      </c>
      <c r="O33" s="696">
        <f>VLOOKUP(C33,TONGHOPCONGDOI!$C$251:$AD$319,22,0)</f>
        <v>0</v>
      </c>
      <c r="P33" s="696">
        <f>VLOOKUP(C33,TONGHOPCONGDOI!$C$251:$AD$319,23,0)</f>
        <v>0</v>
      </c>
      <c r="Q33" s="696">
        <f>VLOOKUP(C33,TONGHOPCONGDOI!$C$251:$AD$319,24,0)</f>
        <v>0</v>
      </c>
      <c r="R33" s="696">
        <f>VLOOKUP(C33,TONGHOPCONGDOI!$C$251:$AD$319,25,0)</f>
        <v>0</v>
      </c>
      <c r="S33" s="696"/>
      <c r="T33" s="685">
        <f t="shared" si="0"/>
        <v>0</v>
      </c>
      <c r="U33" s="685">
        <f t="shared" si="6"/>
        <v>0</v>
      </c>
      <c r="V33" s="685"/>
      <c r="W33" s="1725">
        <f t="shared" si="7"/>
        <v>0</v>
      </c>
      <c r="X33" s="696" t="e">
        <f t="shared" si="1"/>
        <v>#DIV/0!</v>
      </c>
      <c r="Y33" s="696" t="e">
        <f>#REF!</f>
        <v>#REF!</v>
      </c>
      <c r="Z33" s="696">
        <f>VLOOKUP(C33,'CNKT '!$C$256:$Z$315,24,0)</f>
        <v>0</v>
      </c>
      <c r="AA33" s="591" t="e">
        <f t="shared" si="2"/>
        <v>#DIV/0!</v>
      </c>
    </row>
    <row r="34" spans="1:27" s="591" customFormat="1" ht="50.25" hidden="1" customHeight="1">
      <c r="A34" s="684">
        <v>20</v>
      </c>
      <c r="B34" s="696" t="str">
        <f>'Chấm công KT'!D196</f>
        <v>03607</v>
      </c>
      <c r="C34" s="696" t="str">
        <f>TONGHOPCONGDOI!C270</f>
        <v>Khay Khăm</v>
      </c>
      <c r="D34" s="696"/>
      <c r="E34" s="697">
        <f>VLOOKUP(C34,TONGHOPCONGDOI!C270:Q338,15,0)</f>
        <v>0</v>
      </c>
      <c r="F34" s="696">
        <f t="shared" si="3"/>
        <v>0</v>
      </c>
      <c r="G34" s="696">
        <f>VLOOKUP(C34,TONGHOPCONGDOI!C270:AD338,16,0)</f>
        <v>0</v>
      </c>
      <c r="H34" s="696"/>
      <c r="I34" s="696">
        <f>VLOOKUP(C34,TONGHOPCONGDOI!$C$251:$S$319,17,0)</f>
        <v>0</v>
      </c>
      <c r="J34" s="1556" t="e">
        <f t="shared" si="4"/>
        <v>#DIV/0!</v>
      </c>
      <c r="K34" s="683" t="str">
        <f>VLOOKUP(C34,'BTH mủ tạp'!C266:AL332,36,0)</f>
        <v>C</v>
      </c>
      <c r="L34" s="1185" t="e">
        <f t="shared" si="5"/>
        <v>#DIV/0!</v>
      </c>
      <c r="M34" s="696">
        <f>VLOOKUP(C34,TONGHOPCONGDOI!$C$251:$AD$319,20,0)</f>
        <v>0</v>
      </c>
      <c r="N34" s="696">
        <f>VLOOKUP(C34,TONGHOPCONGDOI!$C$251:$AD$319,21,0)</f>
        <v>0</v>
      </c>
      <c r="O34" s="696">
        <f>VLOOKUP(C34,TONGHOPCONGDOI!$C$251:$AD$319,22,0)</f>
        <v>0</v>
      </c>
      <c r="P34" s="696">
        <f>VLOOKUP(C34,TONGHOPCONGDOI!$C$251:$AD$319,23,0)</f>
        <v>0</v>
      </c>
      <c r="Q34" s="696">
        <f>VLOOKUP(C34,TONGHOPCONGDOI!$C$251:$AD$319,24,0)</f>
        <v>0</v>
      </c>
      <c r="R34" s="696">
        <f>VLOOKUP(C34,TONGHOPCONGDOI!$C$251:$AD$319,25,0)</f>
        <v>0</v>
      </c>
      <c r="S34" s="696"/>
      <c r="T34" s="685">
        <f t="shared" si="0"/>
        <v>0</v>
      </c>
      <c r="U34" s="685">
        <f t="shared" si="6"/>
        <v>0</v>
      </c>
      <c r="V34" s="685"/>
      <c r="W34" s="1725">
        <f t="shared" si="7"/>
        <v>0</v>
      </c>
      <c r="X34" s="696" t="e">
        <f t="shared" si="1"/>
        <v>#DIV/0!</v>
      </c>
      <c r="Y34" s="696" t="e">
        <f>#REF!</f>
        <v>#REF!</v>
      </c>
      <c r="Z34" s="696">
        <f>VLOOKUP(C34,'CNKT '!$C$256:$Z$315,24,0)</f>
        <v>0</v>
      </c>
      <c r="AA34" s="591" t="e">
        <f t="shared" si="2"/>
        <v>#DIV/0!</v>
      </c>
    </row>
    <row r="35" spans="1:27" s="591" customFormat="1" ht="50.25" hidden="1" customHeight="1">
      <c r="A35" s="684">
        <v>21</v>
      </c>
      <c r="B35" s="696" t="str">
        <f>'Chấm công KT'!D197</f>
        <v>02729</v>
      </c>
      <c r="C35" s="696" t="str">
        <f>TONGHOPCONGDOI!C271</f>
        <v>N. Kẻ</v>
      </c>
      <c r="D35" s="696"/>
      <c r="E35" s="697">
        <f>VLOOKUP(C35,TONGHOPCONGDOI!C271:Q339,15,0)</f>
        <v>0</v>
      </c>
      <c r="F35" s="696">
        <f t="shared" si="3"/>
        <v>0</v>
      </c>
      <c r="G35" s="696">
        <f>VLOOKUP(C35,TONGHOPCONGDOI!C271:AD339,16,0)</f>
        <v>0</v>
      </c>
      <c r="H35" s="696"/>
      <c r="I35" s="696">
        <f>VLOOKUP(C35,TONGHOPCONGDOI!$C$251:$S$319,17,0)</f>
        <v>0</v>
      </c>
      <c r="J35" s="1556" t="e">
        <f t="shared" si="4"/>
        <v>#DIV/0!</v>
      </c>
      <c r="K35" s="683" t="str">
        <f>VLOOKUP(C35,'BTH mủ tạp'!C267:AL333,36,0)</f>
        <v>C</v>
      </c>
      <c r="L35" s="1185" t="e">
        <f t="shared" si="5"/>
        <v>#DIV/0!</v>
      </c>
      <c r="M35" s="696">
        <f>VLOOKUP(C35,TONGHOPCONGDOI!$C$251:$AD$319,20,0)</f>
        <v>0</v>
      </c>
      <c r="N35" s="696">
        <f>VLOOKUP(C35,TONGHOPCONGDOI!$C$251:$AD$319,21,0)</f>
        <v>0</v>
      </c>
      <c r="O35" s="696">
        <f>VLOOKUP(C35,TONGHOPCONGDOI!$C$251:$AD$319,22,0)</f>
        <v>0</v>
      </c>
      <c r="P35" s="696">
        <f>VLOOKUP(C35,TONGHOPCONGDOI!$C$251:$AD$319,23,0)</f>
        <v>0</v>
      </c>
      <c r="Q35" s="696">
        <f>VLOOKUP(C35,TONGHOPCONGDOI!$C$251:$AD$319,24,0)</f>
        <v>0</v>
      </c>
      <c r="R35" s="696">
        <f>VLOOKUP(C35,TONGHOPCONGDOI!$C$251:$AD$319,25,0)</f>
        <v>0</v>
      </c>
      <c r="S35" s="696"/>
      <c r="T35" s="685">
        <f t="shared" si="0"/>
        <v>0</v>
      </c>
      <c r="U35" s="685">
        <f t="shared" si="6"/>
        <v>0</v>
      </c>
      <c r="V35" s="685"/>
      <c r="W35" s="1725">
        <f t="shared" si="7"/>
        <v>0</v>
      </c>
      <c r="X35" s="696" t="e">
        <f t="shared" si="1"/>
        <v>#DIV/0!</v>
      </c>
      <c r="Y35" s="696" t="e">
        <f>#REF!</f>
        <v>#REF!</v>
      </c>
      <c r="Z35" s="696">
        <f>VLOOKUP(C35,'CNKT '!$C$256:$Z$315,24,0)</f>
        <v>0</v>
      </c>
      <c r="AA35" s="591" t="e">
        <f t="shared" si="2"/>
        <v>#DIV/0!</v>
      </c>
    </row>
    <row r="36" spans="1:27" s="591" customFormat="1" ht="50.25" hidden="1" customHeight="1">
      <c r="A36" s="684">
        <v>22</v>
      </c>
      <c r="B36" s="696" t="str">
        <f>'Chấm công KT'!D198</f>
        <v>03608</v>
      </c>
      <c r="C36" s="696" t="str">
        <f>TONGHOPCONGDOI!C272</f>
        <v>T. Chăn (4)</v>
      </c>
      <c r="D36" s="696"/>
      <c r="E36" s="697">
        <f>VLOOKUP(C36,TONGHOPCONGDOI!C272:Q340,15,0)</f>
        <v>0</v>
      </c>
      <c r="F36" s="696">
        <f t="shared" si="3"/>
        <v>0</v>
      </c>
      <c r="G36" s="696">
        <f>VLOOKUP(C36,TONGHOPCONGDOI!C272:AD340,16,0)</f>
        <v>0</v>
      </c>
      <c r="H36" s="696"/>
      <c r="I36" s="696">
        <f>VLOOKUP(C36,TONGHOPCONGDOI!$C$251:$S$319,17,0)</f>
        <v>0</v>
      </c>
      <c r="J36" s="1556" t="e">
        <f t="shared" si="4"/>
        <v>#DIV/0!</v>
      </c>
      <c r="K36" s="683" t="str">
        <f>VLOOKUP(C36,'BTH mủ tạp'!C268:AL334,36,0)</f>
        <v>B</v>
      </c>
      <c r="L36" s="1185" t="e">
        <f t="shared" si="5"/>
        <v>#DIV/0!</v>
      </c>
      <c r="M36" s="696">
        <f>VLOOKUP(C36,TONGHOPCONGDOI!$C$251:$AD$319,20,0)</f>
        <v>0</v>
      </c>
      <c r="N36" s="696">
        <f>VLOOKUP(C36,TONGHOPCONGDOI!$C$251:$AD$319,21,0)</f>
        <v>0</v>
      </c>
      <c r="O36" s="696">
        <f>VLOOKUP(C36,TONGHOPCONGDOI!$C$251:$AD$319,22,0)</f>
        <v>0</v>
      </c>
      <c r="P36" s="696">
        <f>VLOOKUP(C36,TONGHOPCONGDOI!$C$251:$AD$319,23,0)</f>
        <v>0</v>
      </c>
      <c r="Q36" s="696">
        <f>VLOOKUP(C36,TONGHOPCONGDOI!$C$251:$AD$319,24,0)</f>
        <v>0</v>
      </c>
      <c r="R36" s="696">
        <f>VLOOKUP(C36,TONGHOPCONGDOI!$C$251:$AD$319,25,0)</f>
        <v>0</v>
      </c>
      <c r="S36" s="696"/>
      <c r="T36" s="685">
        <f t="shared" si="0"/>
        <v>0</v>
      </c>
      <c r="U36" s="685">
        <f t="shared" si="6"/>
        <v>0</v>
      </c>
      <c r="V36" s="685"/>
      <c r="W36" s="1725">
        <f t="shared" si="7"/>
        <v>0</v>
      </c>
      <c r="X36" s="696" t="e">
        <f t="shared" si="1"/>
        <v>#DIV/0!</v>
      </c>
      <c r="Y36" s="696" t="e">
        <f>#REF!</f>
        <v>#REF!</v>
      </c>
      <c r="Z36" s="696">
        <f>VLOOKUP(C36,'CNKT '!$C$256:$Z$315,24,0)</f>
        <v>0</v>
      </c>
      <c r="AA36" s="591" t="e">
        <f t="shared" si="2"/>
        <v>#DIV/0!</v>
      </c>
    </row>
    <row r="37" spans="1:27" s="591" customFormat="1" ht="50.25" hidden="1" customHeight="1">
      <c r="A37" s="684">
        <v>23</v>
      </c>
      <c r="B37" s="696" t="str">
        <f>'Chấm công KT'!D199</f>
        <v>03609</v>
      </c>
      <c r="C37" s="696" t="str">
        <f>TONGHOPCONGDOI!C273</f>
        <v>T.Mon</v>
      </c>
      <c r="D37" s="696"/>
      <c r="E37" s="697">
        <f>VLOOKUP(C37,TONGHOPCONGDOI!C273:Q341,15,0)</f>
        <v>0</v>
      </c>
      <c r="F37" s="696">
        <f t="shared" si="3"/>
        <v>0</v>
      </c>
      <c r="G37" s="696">
        <f>VLOOKUP(C37,TONGHOPCONGDOI!C273:AD341,16,0)</f>
        <v>0</v>
      </c>
      <c r="H37" s="696"/>
      <c r="I37" s="696">
        <f>VLOOKUP(C37,TONGHOPCONGDOI!$C$251:$S$319,17,0)</f>
        <v>0</v>
      </c>
      <c r="J37" s="1556" t="e">
        <f t="shared" si="4"/>
        <v>#DIV/0!</v>
      </c>
      <c r="K37" s="683" t="str">
        <f>VLOOKUP(C37,'BTH mủ tạp'!C269:AL335,36,0)</f>
        <v>B</v>
      </c>
      <c r="L37" s="1185" t="e">
        <f t="shared" si="5"/>
        <v>#DIV/0!</v>
      </c>
      <c r="M37" s="696">
        <f>VLOOKUP(C37,TONGHOPCONGDOI!$C$251:$AD$319,20,0)</f>
        <v>0</v>
      </c>
      <c r="N37" s="696">
        <f>VLOOKUP(C37,TONGHOPCONGDOI!$C$251:$AD$319,21,0)</f>
        <v>0</v>
      </c>
      <c r="O37" s="696">
        <f>VLOOKUP(C37,TONGHOPCONGDOI!$C$251:$AD$319,22,0)</f>
        <v>0</v>
      </c>
      <c r="P37" s="696">
        <f>VLOOKUP(C37,TONGHOPCONGDOI!$C$251:$AD$319,23,0)</f>
        <v>0</v>
      </c>
      <c r="Q37" s="696">
        <f>VLOOKUP(C37,TONGHOPCONGDOI!$C$251:$AD$319,24,0)</f>
        <v>0</v>
      </c>
      <c r="R37" s="696">
        <f>VLOOKUP(C37,TONGHOPCONGDOI!$C$251:$AD$319,25,0)</f>
        <v>0</v>
      </c>
      <c r="S37" s="696"/>
      <c r="T37" s="685">
        <f t="shared" si="0"/>
        <v>0</v>
      </c>
      <c r="U37" s="685">
        <f t="shared" si="6"/>
        <v>0</v>
      </c>
      <c r="V37" s="685"/>
      <c r="W37" s="1725">
        <f t="shared" si="7"/>
        <v>0</v>
      </c>
      <c r="X37" s="696" t="e">
        <f t="shared" si="1"/>
        <v>#DIV/0!</v>
      </c>
      <c r="Y37" s="696" t="e">
        <f>#REF!</f>
        <v>#REF!</v>
      </c>
      <c r="Z37" s="696">
        <f>VLOOKUP(C37,'CNKT '!$C$256:$Z$315,24,0)</f>
        <v>0</v>
      </c>
      <c r="AA37" s="591" t="e">
        <f t="shared" si="2"/>
        <v>#DIV/0!</v>
      </c>
    </row>
    <row r="38" spans="1:27" s="591" customFormat="1" ht="50.25" hidden="1" customHeight="1">
      <c r="A38" s="684">
        <v>24</v>
      </c>
      <c r="B38" s="696" t="str">
        <f>'Chấm công KT'!D200</f>
        <v>03610</v>
      </c>
      <c r="C38" s="696" t="str">
        <f>TONGHOPCONGDOI!C274</f>
        <v>N.. Đeng</v>
      </c>
      <c r="D38" s="696"/>
      <c r="E38" s="697">
        <f>VLOOKUP(C38,TONGHOPCONGDOI!C274:Q342,15,0)</f>
        <v>0</v>
      </c>
      <c r="F38" s="696">
        <f t="shared" si="3"/>
        <v>0</v>
      </c>
      <c r="G38" s="696">
        <f>VLOOKUP(C38,TONGHOPCONGDOI!C274:AD342,16,0)</f>
        <v>0</v>
      </c>
      <c r="H38" s="696"/>
      <c r="I38" s="696">
        <f>VLOOKUP(C38,TONGHOPCONGDOI!$C$251:$S$319,17,0)</f>
        <v>0</v>
      </c>
      <c r="J38" s="1556" t="e">
        <f t="shared" si="4"/>
        <v>#DIV/0!</v>
      </c>
      <c r="K38" s="683" t="str">
        <f>VLOOKUP(C38,'BTH mủ tạp'!C270:AL336,36,0)</f>
        <v>B</v>
      </c>
      <c r="L38" s="1185" t="e">
        <f t="shared" si="5"/>
        <v>#DIV/0!</v>
      </c>
      <c r="M38" s="696">
        <f>VLOOKUP(C38,TONGHOPCONGDOI!$C$251:$AD$319,20,0)</f>
        <v>0</v>
      </c>
      <c r="N38" s="696">
        <f>VLOOKUP(C38,TONGHOPCONGDOI!$C$251:$AD$319,21,0)</f>
        <v>0</v>
      </c>
      <c r="O38" s="696">
        <f>VLOOKUP(C38,TONGHOPCONGDOI!$C$251:$AD$319,22,0)</f>
        <v>0</v>
      </c>
      <c r="P38" s="696">
        <f>VLOOKUP(C38,TONGHOPCONGDOI!$C$251:$AD$319,23,0)</f>
        <v>0</v>
      </c>
      <c r="Q38" s="696">
        <f>VLOOKUP(C38,TONGHOPCONGDOI!$C$251:$AD$319,24,0)</f>
        <v>0</v>
      </c>
      <c r="R38" s="696">
        <f>VLOOKUP(C38,TONGHOPCONGDOI!$C$251:$AD$319,25,0)</f>
        <v>0</v>
      </c>
      <c r="S38" s="696"/>
      <c r="T38" s="685">
        <f t="shared" si="0"/>
        <v>0</v>
      </c>
      <c r="U38" s="685">
        <f t="shared" si="6"/>
        <v>0</v>
      </c>
      <c r="V38" s="685"/>
      <c r="W38" s="1725">
        <f t="shared" si="7"/>
        <v>0</v>
      </c>
      <c r="X38" s="696" t="e">
        <f t="shared" si="1"/>
        <v>#DIV/0!</v>
      </c>
      <c r="Y38" s="696" t="e">
        <f>#REF!</f>
        <v>#REF!</v>
      </c>
      <c r="Z38" s="696">
        <f>VLOOKUP(C38,'CNKT '!$C$256:$Z$315,24,0)</f>
        <v>0</v>
      </c>
      <c r="AA38" s="591" t="e">
        <f t="shared" si="2"/>
        <v>#DIV/0!</v>
      </c>
    </row>
    <row r="39" spans="1:27" s="591" customFormat="1" ht="50.25" hidden="1" customHeight="1">
      <c r="A39" s="684">
        <v>25</v>
      </c>
      <c r="B39" s="696" t="str">
        <f>'Chấm công KT'!D201</f>
        <v>03611</v>
      </c>
      <c r="C39" s="696" t="str">
        <f>TONGHOPCONGDOI!C275</f>
        <v>T. Cơ</v>
      </c>
      <c r="D39" s="696"/>
      <c r="E39" s="697">
        <f>VLOOKUP(C39,TONGHOPCONGDOI!C275:Q343,15,0)</f>
        <v>0</v>
      </c>
      <c r="F39" s="696">
        <f t="shared" si="3"/>
        <v>0</v>
      </c>
      <c r="G39" s="696">
        <f>VLOOKUP(C39,TONGHOPCONGDOI!C275:AD343,16,0)</f>
        <v>0</v>
      </c>
      <c r="H39" s="696"/>
      <c r="I39" s="696">
        <f>VLOOKUP(C39,TONGHOPCONGDOI!$C$251:$S$319,17,0)</f>
        <v>0</v>
      </c>
      <c r="J39" s="1556" t="e">
        <f t="shared" si="4"/>
        <v>#DIV/0!</v>
      </c>
      <c r="K39" s="683" t="str">
        <f>VLOOKUP(C39,'BTH mủ tạp'!C271:AL337,36,0)</f>
        <v>C</v>
      </c>
      <c r="L39" s="1185" t="e">
        <f t="shared" si="5"/>
        <v>#DIV/0!</v>
      </c>
      <c r="M39" s="696">
        <f>VLOOKUP(C39,TONGHOPCONGDOI!$C$251:$AD$319,20,0)</f>
        <v>0</v>
      </c>
      <c r="N39" s="696">
        <f>VLOOKUP(C39,TONGHOPCONGDOI!$C$251:$AD$319,21,0)</f>
        <v>0</v>
      </c>
      <c r="O39" s="696">
        <f>VLOOKUP(C39,TONGHOPCONGDOI!$C$251:$AD$319,22,0)</f>
        <v>0</v>
      </c>
      <c r="P39" s="696">
        <f>VLOOKUP(C39,TONGHOPCONGDOI!$C$251:$AD$319,23,0)</f>
        <v>0</v>
      </c>
      <c r="Q39" s="696">
        <f>VLOOKUP(C39,TONGHOPCONGDOI!$C$251:$AD$319,24,0)</f>
        <v>0</v>
      </c>
      <c r="R39" s="696">
        <f>VLOOKUP(C39,TONGHOPCONGDOI!$C$251:$AD$319,25,0)</f>
        <v>0</v>
      </c>
      <c r="S39" s="696"/>
      <c r="T39" s="685">
        <f t="shared" si="0"/>
        <v>0</v>
      </c>
      <c r="U39" s="685">
        <f t="shared" si="6"/>
        <v>0</v>
      </c>
      <c r="V39" s="685"/>
      <c r="W39" s="1725">
        <f t="shared" si="7"/>
        <v>0</v>
      </c>
      <c r="X39" s="696" t="e">
        <f t="shared" si="1"/>
        <v>#DIV/0!</v>
      </c>
      <c r="Y39" s="696" t="e">
        <f>#REF!</f>
        <v>#REF!</v>
      </c>
      <c r="Z39" s="696">
        <f>VLOOKUP(C39,'CNKT '!$C$256:$Z$315,24,0)</f>
        <v>0</v>
      </c>
      <c r="AA39" s="591" t="e">
        <f t="shared" si="2"/>
        <v>#DIV/0!</v>
      </c>
    </row>
    <row r="40" spans="1:27" s="591" customFormat="1" ht="50.25" hidden="1" customHeight="1">
      <c r="A40" s="684">
        <v>26</v>
      </c>
      <c r="B40" s="696" t="str">
        <f>'Chấm công KT'!D202</f>
        <v>03612</v>
      </c>
      <c r="C40" s="696" t="str">
        <f>TONGHOPCONGDOI!C276</f>
        <v>T Phết</v>
      </c>
      <c r="D40" s="696"/>
      <c r="E40" s="697">
        <f>VLOOKUP(C40,TONGHOPCONGDOI!C276:Q344,15,0)</f>
        <v>0</v>
      </c>
      <c r="F40" s="696">
        <f t="shared" si="3"/>
        <v>0</v>
      </c>
      <c r="G40" s="696">
        <f>VLOOKUP(C40,TONGHOPCONGDOI!C276:AD344,16,0)</f>
        <v>0</v>
      </c>
      <c r="H40" s="696"/>
      <c r="I40" s="696">
        <f>VLOOKUP(C40,TONGHOPCONGDOI!$C$251:$S$319,17,0)</f>
        <v>0</v>
      </c>
      <c r="J40" s="1556" t="e">
        <f t="shared" si="4"/>
        <v>#DIV/0!</v>
      </c>
      <c r="K40" s="683" t="str">
        <f>VLOOKUP(C40,'BTH mủ tạp'!C272:AL338,36,0)</f>
        <v>B</v>
      </c>
      <c r="L40" s="1185" t="e">
        <f t="shared" si="5"/>
        <v>#DIV/0!</v>
      </c>
      <c r="M40" s="696">
        <f>VLOOKUP(C40,TONGHOPCONGDOI!$C$251:$AD$319,20,0)</f>
        <v>0</v>
      </c>
      <c r="N40" s="696">
        <f>VLOOKUP(C40,TONGHOPCONGDOI!$C$251:$AD$319,21,0)</f>
        <v>0</v>
      </c>
      <c r="O40" s="696">
        <f>VLOOKUP(C40,TONGHOPCONGDOI!$C$251:$AD$319,22,0)</f>
        <v>0</v>
      </c>
      <c r="P40" s="696">
        <f>VLOOKUP(C40,TONGHOPCONGDOI!$C$251:$AD$319,23,0)</f>
        <v>0</v>
      </c>
      <c r="Q40" s="696">
        <f>VLOOKUP(C40,TONGHOPCONGDOI!$C$251:$AD$319,24,0)</f>
        <v>0</v>
      </c>
      <c r="R40" s="696">
        <f>VLOOKUP(C40,TONGHOPCONGDOI!$C$251:$AD$319,25,0)</f>
        <v>0</v>
      </c>
      <c r="S40" s="696"/>
      <c r="T40" s="685">
        <f t="shared" si="0"/>
        <v>0</v>
      </c>
      <c r="U40" s="685">
        <f t="shared" si="6"/>
        <v>0</v>
      </c>
      <c r="V40" s="685"/>
      <c r="W40" s="1725">
        <f t="shared" si="7"/>
        <v>0</v>
      </c>
      <c r="X40" s="696" t="e">
        <f t="shared" si="1"/>
        <v>#DIV/0!</v>
      </c>
      <c r="Y40" s="696" t="e">
        <f>#REF!</f>
        <v>#REF!</v>
      </c>
      <c r="Z40" s="696">
        <f>VLOOKUP(C40,'CNKT '!$C$256:$Z$315,24,0)</f>
        <v>0</v>
      </c>
      <c r="AA40" s="591" t="e">
        <f t="shared" si="2"/>
        <v>#DIV/0!</v>
      </c>
    </row>
    <row r="41" spans="1:27" s="591" customFormat="1" ht="50.25" hidden="1" customHeight="1">
      <c r="A41" s="684">
        <v>27</v>
      </c>
      <c r="B41" s="696" t="str">
        <f>'Chấm công KT'!D203</f>
        <v>03613</v>
      </c>
      <c r="C41" s="696" t="str">
        <f>TONGHOPCONGDOI!C277</f>
        <v>N. Chay</v>
      </c>
      <c r="D41" s="696"/>
      <c r="E41" s="697">
        <f>VLOOKUP(C41,TONGHOPCONGDOI!C277:Q345,15,0)</f>
        <v>0</v>
      </c>
      <c r="F41" s="696">
        <f t="shared" si="3"/>
        <v>0</v>
      </c>
      <c r="G41" s="696">
        <f>VLOOKUP(C41,TONGHOPCONGDOI!C277:AD345,16,0)</f>
        <v>0</v>
      </c>
      <c r="H41" s="696"/>
      <c r="I41" s="696">
        <f>VLOOKUP(C41,TONGHOPCONGDOI!$C$251:$S$319,17,0)</f>
        <v>0</v>
      </c>
      <c r="J41" s="1556" t="e">
        <f t="shared" si="4"/>
        <v>#DIV/0!</v>
      </c>
      <c r="K41" s="683" t="str">
        <f>VLOOKUP(C41,'BTH mủ tạp'!C273:AL339,36,0)</f>
        <v>B</v>
      </c>
      <c r="L41" s="1185" t="e">
        <f t="shared" si="5"/>
        <v>#DIV/0!</v>
      </c>
      <c r="M41" s="696">
        <f>VLOOKUP(C41,TONGHOPCONGDOI!$C$251:$AD$319,20,0)</f>
        <v>0</v>
      </c>
      <c r="N41" s="696">
        <f>VLOOKUP(C41,TONGHOPCONGDOI!$C$251:$AD$319,21,0)</f>
        <v>0</v>
      </c>
      <c r="O41" s="696">
        <f>VLOOKUP(C41,TONGHOPCONGDOI!$C$251:$AD$319,22,0)</f>
        <v>0</v>
      </c>
      <c r="P41" s="696">
        <f>VLOOKUP(C41,TONGHOPCONGDOI!$C$251:$AD$319,23,0)</f>
        <v>0</v>
      </c>
      <c r="Q41" s="696">
        <f>VLOOKUP(C41,TONGHOPCONGDOI!$C$251:$AD$319,24,0)</f>
        <v>0</v>
      </c>
      <c r="R41" s="696">
        <f>VLOOKUP(C41,TONGHOPCONGDOI!$C$251:$AD$319,25,0)</f>
        <v>0</v>
      </c>
      <c r="S41" s="696"/>
      <c r="T41" s="685">
        <f t="shared" si="0"/>
        <v>0</v>
      </c>
      <c r="U41" s="685">
        <f t="shared" si="6"/>
        <v>0</v>
      </c>
      <c r="V41" s="685"/>
      <c r="W41" s="1725">
        <f t="shared" si="7"/>
        <v>0</v>
      </c>
      <c r="X41" s="696" t="e">
        <f t="shared" si="1"/>
        <v>#DIV/0!</v>
      </c>
      <c r="Y41" s="696" t="e">
        <f>#REF!</f>
        <v>#REF!</v>
      </c>
      <c r="Z41" s="696">
        <f>VLOOKUP(C41,'CNKT '!$C$256:$Z$315,24,0)</f>
        <v>0</v>
      </c>
      <c r="AA41" s="591" t="e">
        <f t="shared" si="2"/>
        <v>#DIV/0!</v>
      </c>
    </row>
    <row r="42" spans="1:27" s="591" customFormat="1" ht="50.25" hidden="1" customHeight="1">
      <c r="A42" s="684">
        <v>28</v>
      </c>
      <c r="B42" s="696" t="str">
        <f>'Chấm công KT'!D204</f>
        <v>03614</v>
      </c>
      <c r="C42" s="696" t="str">
        <f>TONGHOPCONGDOI!C278</f>
        <v>T. Sắc</v>
      </c>
      <c r="D42" s="696"/>
      <c r="E42" s="697">
        <f>VLOOKUP(C42,TONGHOPCONGDOI!C278:Q346,15,0)</f>
        <v>0</v>
      </c>
      <c r="F42" s="696">
        <f t="shared" si="3"/>
        <v>0</v>
      </c>
      <c r="G42" s="696">
        <f>VLOOKUP(C42,TONGHOPCONGDOI!C278:AD346,16,0)</f>
        <v>0</v>
      </c>
      <c r="H42" s="696"/>
      <c r="I42" s="696">
        <f>VLOOKUP(C42,TONGHOPCONGDOI!$C$251:$S$319,17,0)</f>
        <v>0</v>
      </c>
      <c r="J42" s="1556" t="e">
        <f t="shared" si="4"/>
        <v>#DIV/0!</v>
      </c>
      <c r="K42" s="683" t="str">
        <f>VLOOKUP(C42,'BTH mủ tạp'!C274:AL340,36,0)</f>
        <v>C</v>
      </c>
      <c r="L42" s="1185" t="e">
        <f t="shared" si="5"/>
        <v>#DIV/0!</v>
      </c>
      <c r="M42" s="696">
        <f>VLOOKUP(C42,TONGHOPCONGDOI!$C$251:$AD$319,20,0)</f>
        <v>0</v>
      </c>
      <c r="N42" s="696">
        <f>VLOOKUP(C42,TONGHOPCONGDOI!$C$251:$AD$319,21,0)</f>
        <v>0</v>
      </c>
      <c r="O42" s="696">
        <f>VLOOKUP(C42,TONGHOPCONGDOI!$C$251:$AD$319,22,0)</f>
        <v>0</v>
      </c>
      <c r="P42" s="696">
        <f>VLOOKUP(C42,TONGHOPCONGDOI!$C$251:$AD$319,23,0)</f>
        <v>0</v>
      </c>
      <c r="Q42" s="696">
        <f>VLOOKUP(C42,TONGHOPCONGDOI!$C$251:$AD$319,24,0)</f>
        <v>0</v>
      </c>
      <c r="R42" s="696">
        <f>VLOOKUP(C42,TONGHOPCONGDOI!$C$251:$AD$319,25,0)</f>
        <v>0</v>
      </c>
      <c r="S42" s="696"/>
      <c r="T42" s="685">
        <f t="shared" si="0"/>
        <v>0</v>
      </c>
      <c r="U42" s="685">
        <f t="shared" si="6"/>
        <v>0</v>
      </c>
      <c r="V42" s="685"/>
      <c r="W42" s="1725">
        <f t="shared" si="7"/>
        <v>0</v>
      </c>
      <c r="X42" s="696" t="e">
        <f t="shared" si="1"/>
        <v>#DIV/0!</v>
      </c>
      <c r="Y42" s="696" t="e">
        <f>#REF!</f>
        <v>#REF!</v>
      </c>
      <c r="Z42" s="696">
        <f>VLOOKUP(C42,'CNKT '!$C$256:$Z$315,24,0)</f>
        <v>0</v>
      </c>
      <c r="AA42" s="591" t="e">
        <f t="shared" si="2"/>
        <v>#DIV/0!</v>
      </c>
    </row>
    <row r="43" spans="1:27" s="591" customFormat="1" ht="50.25" hidden="1" customHeight="1">
      <c r="A43" s="684">
        <v>29</v>
      </c>
      <c r="B43" s="696" t="str">
        <f>'Chấm công KT'!D205</f>
        <v>03615</v>
      </c>
      <c r="C43" s="696" t="str">
        <f>TONGHOPCONGDOI!C279</f>
        <v>T. Đông</v>
      </c>
      <c r="D43" s="696"/>
      <c r="E43" s="697">
        <f>VLOOKUP(C43,TONGHOPCONGDOI!C279:Q347,15,0)</f>
        <v>0</v>
      </c>
      <c r="F43" s="696">
        <f t="shared" si="3"/>
        <v>0</v>
      </c>
      <c r="G43" s="696">
        <f>VLOOKUP(C43,TONGHOPCONGDOI!C279:AD347,16,0)</f>
        <v>0</v>
      </c>
      <c r="H43" s="696"/>
      <c r="I43" s="696">
        <f>VLOOKUP(C43,TONGHOPCONGDOI!$C$251:$S$319,17,0)</f>
        <v>0</v>
      </c>
      <c r="J43" s="1556" t="e">
        <f t="shared" si="4"/>
        <v>#DIV/0!</v>
      </c>
      <c r="K43" s="683" t="str">
        <f>VLOOKUP(C43,'BTH mủ tạp'!C275:AL341,36,0)</f>
        <v>C</v>
      </c>
      <c r="L43" s="1185" t="e">
        <f t="shared" si="5"/>
        <v>#DIV/0!</v>
      </c>
      <c r="M43" s="696">
        <f>VLOOKUP(C43,TONGHOPCONGDOI!$C$251:$AD$319,20,0)</f>
        <v>0</v>
      </c>
      <c r="N43" s="696">
        <f>VLOOKUP(C43,TONGHOPCONGDOI!$C$251:$AD$319,21,0)</f>
        <v>0</v>
      </c>
      <c r="O43" s="696">
        <f>VLOOKUP(C43,TONGHOPCONGDOI!$C$251:$AD$319,22,0)</f>
        <v>0</v>
      </c>
      <c r="P43" s="696">
        <f>VLOOKUP(C43,TONGHOPCONGDOI!$C$251:$AD$319,23,0)</f>
        <v>0</v>
      </c>
      <c r="Q43" s="696">
        <f>VLOOKUP(C43,TONGHOPCONGDOI!$C$251:$AD$319,24,0)</f>
        <v>0</v>
      </c>
      <c r="R43" s="696">
        <f>VLOOKUP(C43,TONGHOPCONGDOI!$C$251:$AD$319,25,0)</f>
        <v>0</v>
      </c>
      <c r="S43" s="696"/>
      <c r="T43" s="685">
        <f t="shared" si="0"/>
        <v>0</v>
      </c>
      <c r="U43" s="685">
        <f t="shared" si="6"/>
        <v>0</v>
      </c>
      <c r="V43" s="685"/>
      <c r="W43" s="1725">
        <f t="shared" si="7"/>
        <v>0</v>
      </c>
      <c r="X43" s="696" t="e">
        <f t="shared" si="1"/>
        <v>#DIV/0!</v>
      </c>
      <c r="Y43" s="696" t="e">
        <f>#REF!</f>
        <v>#REF!</v>
      </c>
      <c r="Z43" s="696">
        <f>VLOOKUP(C43,'CNKT '!$C$256:$Z$315,24,0)</f>
        <v>0</v>
      </c>
      <c r="AA43" s="591" t="e">
        <f t="shared" si="2"/>
        <v>#DIV/0!</v>
      </c>
    </row>
    <row r="44" spans="1:27" s="591" customFormat="1" ht="50.25" hidden="1" customHeight="1">
      <c r="A44" s="684">
        <v>30</v>
      </c>
      <c r="B44" s="696" t="str">
        <f>'Chấm công KT'!D206</f>
        <v>03616</v>
      </c>
      <c r="C44" s="696" t="str">
        <f>TONGHOPCONGDOI!C280</f>
        <v>N. Lao</v>
      </c>
      <c r="D44" s="696"/>
      <c r="E44" s="697">
        <f>VLOOKUP(C44,TONGHOPCONGDOI!C280:Q348,15,0)</f>
        <v>0</v>
      </c>
      <c r="F44" s="696">
        <f t="shared" si="3"/>
        <v>0</v>
      </c>
      <c r="G44" s="696">
        <f>VLOOKUP(C44,TONGHOPCONGDOI!C280:AD348,16,0)</f>
        <v>0</v>
      </c>
      <c r="H44" s="696"/>
      <c r="I44" s="696">
        <f>VLOOKUP(C44,TONGHOPCONGDOI!$C$251:$S$319,17,0)</f>
        <v>0</v>
      </c>
      <c r="J44" s="1556" t="e">
        <f t="shared" si="4"/>
        <v>#DIV/0!</v>
      </c>
      <c r="K44" s="683" t="str">
        <f>VLOOKUP(C44,'BTH mủ tạp'!C276:AL342,36,0)</f>
        <v>B</v>
      </c>
      <c r="L44" s="1185" t="e">
        <f t="shared" si="5"/>
        <v>#DIV/0!</v>
      </c>
      <c r="M44" s="696">
        <f>VLOOKUP(C44,TONGHOPCONGDOI!$C$251:$AD$319,20,0)</f>
        <v>0</v>
      </c>
      <c r="N44" s="696">
        <f>VLOOKUP(C44,TONGHOPCONGDOI!$C$251:$AD$319,21,0)</f>
        <v>0</v>
      </c>
      <c r="O44" s="696">
        <f>VLOOKUP(C44,TONGHOPCONGDOI!$C$251:$AD$319,22,0)</f>
        <v>0</v>
      </c>
      <c r="P44" s="696">
        <f>VLOOKUP(C44,TONGHOPCONGDOI!$C$251:$AD$319,23,0)</f>
        <v>0</v>
      </c>
      <c r="Q44" s="696">
        <f>VLOOKUP(C44,TONGHOPCONGDOI!$C$251:$AD$319,24,0)</f>
        <v>0</v>
      </c>
      <c r="R44" s="696">
        <f>VLOOKUP(C44,TONGHOPCONGDOI!$C$251:$AD$319,25,0)</f>
        <v>0</v>
      </c>
      <c r="S44" s="696"/>
      <c r="T44" s="685">
        <f t="shared" si="0"/>
        <v>0</v>
      </c>
      <c r="U44" s="685">
        <f t="shared" si="6"/>
        <v>0</v>
      </c>
      <c r="V44" s="685"/>
      <c r="W44" s="1725">
        <f t="shared" si="7"/>
        <v>0</v>
      </c>
      <c r="X44" s="696" t="e">
        <f t="shared" si="1"/>
        <v>#DIV/0!</v>
      </c>
      <c r="Y44" s="696" t="e">
        <f>#REF!</f>
        <v>#REF!</v>
      </c>
      <c r="Z44" s="696">
        <f>VLOOKUP(C44,'CNKT '!$C$256:$Z$315,24,0)</f>
        <v>0</v>
      </c>
      <c r="AA44" s="591" t="e">
        <f t="shared" si="2"/>
        <v>#DIV/0!</v>
      </c>
    </row>
    <row r="45" spans="1:27" s="591" customFormat="1" ht="50.25" hidden="1" customHeight="1">
      <c r="A45" s="684">
        <v>31</v>
      </c>
      <c r="B45" s="696" t="str">
        <f>'Chấm công KT'!D207</f>
        <v>03617</v>
      </c>
      <c r="C45" s="696" t="str">
        <f>TONGHOPCONGDOI!C281</f>
        <v>N. Xum Xi</v>
      </c>
      <c r="D45" s="696"/>
      <c r="E45" s="697">
        <f>VLOOKUP(C45,TONGHOPCONGDOI!C281:Q349,15,0)</f>
        <v>0</v>
      </c>
      <c r="F45" s="696">
        <f t="shared" si="3"/>
        <v>0</v>
      </c>
      <c r="G45" s="696">
        <f>VLOOKUP(C45,TONGHOPCONGDOI!C281:AD349,16,0)</f>
        <v>0</v>
      </c>
      <c r="H45" s="696"/>
      <c r="I45" s="696">
        <f>VLOOKUP(C45,TONGHOPCONGDOI!$C$251:$S$319,17,0)</f>
        <v>0</v>
      </c>
      <c r="J45" s="1556" t="e">
        <f t="shared" si="4"/>
        <v>#DIV/0!</v>
      </c>
      <c r="K45" s="683" t="str">
        <f>VLOOKUP(C45,'BTH mủ tạp'!C277:AL343,36,0)</f>
        <v>B</v>
      </c>
      <c r="L45" s="1185" t="e">
        <f t="shared" si="5"/>
        <v>#DIV/0!</v>
      </c>
      <c r="M45" s="696">
        <f>VLOOKUP(C45,TONGHOPCONGDOI!$C$251:$AD$319,20,0)</f>
        <v>0</v>
      </c>
      <c r="N45" s="696">
        <f>VLOOKUP(C45,TONGHOPCONGDOI!$C$251:$AD$319,21,0)</f>
        <v>0</v>
      </c>
      <c r="O45" s="696">
        <f>VLOOKUP(C45,TONGHOPCONGDOI!$C$251:$AD$319,22,0)</f>
        <v>0</v>
      </c>
      <c r="P45" s="696">
        <f>VLOOKUP(C45,TONGHOPCONGDOI!$C$251:$AD$319,23,0)</f>
        <v>0</v>
      </c>
      <c r="Q45" s="696">
        <f>VLOOKUP(C45,TONGHOPCONGDOI!$C$251:$AD$319,24,0)</f>
        <v>0</v>
      </c>
      <c r="R45" s="696">
        <f>VLOOKUP(C45,TONGHOPCONGDOI!$C$251:$AD$319,25,0)</f>
        <v>0</v>
      </c>
      <c r="S45" s="696"/>
      <c r="T45" s="685">
        <f t="shared" si="0"/>
        <v>0</v>
      </c>
      <c r="U45" s="685">
        <f t="shared" si="6"/>
        <v>0</v>
      </c>
      <c r="V45" s="685"/>
      <c r="W45" s="1725">
        <f t="shared" si="7"/>
        <v>0</v>
      </c>
      <c r="X45" s="696" t="e">
        <f t="shared" si="1"/>
        <v>#DIV/0!</v>
      </c>
      <c r="Y45" s="696" t="e">
        <f>#REF!</f>
        <v>#REF!</v>
      </c>
      <c r="Z45" s="696">
        <f>VLOOKUP(C45,'CNKT '!$C$256:$Z$315,24,0)</f>
        <v>0</v>
      </c>
      <c r="AA45" s="591" t="e">
        <f t="shared" si="2"/>
        <v>#DIV/0!</v>
      </c>
    </row>
    <row r="46" spans="1:27" s="591" customFormat="1" ht="50.25" hidden="1" customHeight="1">
      <c r="A46" s="684">
        <v>32</v>
      </c>
      <c r="B46" s="696" t="str">
        <f>'Chấm công KT'!D208</f>
        <v>03618</v>
      </c>
      <c r="C46" s="696" t="str">
        <f>TONGHOPCONGDOI!C282</f>
        <v xml:space="preserve">T. Xi </v>
      </c>
      <c r="D46" s="696"/>
      <c r="E46" s="697">
        <f>VLOOKUP(C46,TONGHOPCONGDOI!C282:Q350,15,0)</f>
        <v>0</v>
      </c>
      <c r="F46" s="696">
        <f t="shared" si="3"/>
        <v>0</v>
      </c>
      <c r="G46" s="696">
        <f>VLOOKUP(C46,TONGHOPCONGDOI!C282:AD350,16,0)</f>
        <v>0</v>
      </c>
      <c r="H46" s="696"/>
      <c r="I46" s="696">
        <f>VLOOKUP(C46,TONGHOPCONGDOI!$C$251:$S$319,17,0)</f>
        <v>0</v>
      </c>
      <c r="J46" s="1556" t="e">
        <f t="shared" si="4"/>
        <v>#DIV/0!</v>
      </c>
      <c r="K46" s="683" t="str">
        <f>VLOOKUP(C46,'BTH mủ tạp'!C278:AL344,36,0)</f>
        <v>B</v>
      </c>
      <c r="L46" s="1185" t="e">
        <f t="shared" si="5"/>
        <v>#DIV/0!</v>
      </c>
      <c r="M46" s="696">
        <f>VLOOKUP(C46,TONGHOPCONGDOI!$C$251:$AD$319,20,0)</f>
        <v>0</v>
      </c>
      <c r="N46" s="696">
        <f>VLOOKUP(C46,TONGHOPCONGDOI!$C$251:$AD$319,21,0)</f>
        <v>0</v>
      </c>
      <c r="O46" s="696">
        <f>VLOOKUP(C46,TONGHOPCONGDOI!$C$251:$AD$319,22,0)</f>
        <v>0</v>
      </c>
      <c r="P46" s="696">
        <f>VLOOKUP(C46,TONGHOPCONGDOI!$C$251:$AD$319,23,0)</f>
        <v>0</v>
      </c>
      <c r="Q46" s="696">
        <f>VLOOKUP(C46,TONGHOPCONGDOI!$C$251:$AD$319,24,0)</f>
        <v>0</v>
      </c>
      <c r="R46" s="696">
        <f>VLOOKUP(C46,TONGHOPCONGDOI!$C$251:$AD$319,25,0)</f>
        <v>0</v>
      </c>
      <c r="S46" s="696"/>
      <c r="T46" s="685">
        <f t="shared" si="0"/>
        <v>0</v>
      </c>
      <c r="U46" s="685">
        <f t="shared" si="6"/>
        <v>0</v>
      </c>
      <c r="V46" s="685"/>
      <c r="W46" s="1725">
        <f t="shared" si="7"/>
        <v>0</v>
      </c>
      <c r="X46" s="696" t="e">
        <f t="shared" si="1"/>
        <v>#DIV/0!</v>
      </c>
      <c r="Y46" s="696" t="e">
        <f>#REF!</f>
        <v>#REF!</v>
      </c>
      <c r="Z46" s="696">
        <f>VLOOKUP(C46,'CNKT '!$C$256:$Z$315,24,0)</f>
        <v>0</v>
      </c>
      <c r="AA46" s="591" t="e">
        <f t="shared" si="2"/>
        <v>#DIV/0!</v>
      </c>
    </row>
    <row r="47" spans="1:27" s="591" customFormat="1" ht="50.25" hidden="1" customHeight="1">
      <c r="A47" s="684">
        <v>33</v>
      </c>
      <c r="B47" s="696" t="str">
        <f>'Chấm công KT'!D209</f>
        <v>03619</v>
      </c>
      <c r="C47" s="696" t="str">
        <f>TONGHOPCONGDOI!C283</f>
        <v>T Pết</v>
      </c>
      <c r="D47" s="696"/>
      <c r="E47" s="697">
        <f>VLOOKUP(C47,TONGHOPCONGDOI!C283:Q351,15,0)</f>
        <v>0</v>
      </c>
      <c r="F47" s="696">
        <f t="shared" si="3"/>
        <v>0</v>
      </c>
      <c r="G47" s="696">
        <f>VLOOKUP(C47,TONGHOPCONGDOI!C283:AD351,16,0)</f>
        <v>0</v>
      </c>
      <c r="H47" s="696"/>
      <c r="I47" s="696">
        <f>VLOOKUP(C47,TONGHOPCONGDOI!$C$251:$S$319,17,0)</f>
        <v>0</v>
      </c>
      <c r="J47" s="1556" t="e">
        <f t="shared" si="4"/>
        <v>#DIV/0!</v>
      </c>
      <c r="K47" s="683" t="str">
        <f>VLOOKUP(C47,'BTH mủ tạp'!C279:AL345,36,0)</f>
        <v>B</v>
      </c>
      <c r="L47" s="1185" t="e">
        <f t="shared" si="5"/>
        <v>#DIV/0!</v>
      </c>
      <c r="M47" s="696">
        <f>VLOOKUP(C47,TONGHOPCONGDOI!$C$251:$AD$319,20,0)</f>
        <v>0</v>
      </c>
      <c r="N47" s="696">
        <f>VLOOKUP(C47,TONGHOPCONGDOI!$C$251:$AD$319,21,0)</f>
        <v>0</v>
      </c>
      <c r="O47" s="696">
        <f>VLOOKUP(C47,TONGHOPCONGDOI!$C$251:$AD$319,22,0)</f>
        <v>0</v>
      </c>
      <c r="P47" s="696">
        <f>VLOOKUP(C47,TONGHOPCONGDOI!$C$251:$AD$319,23,0)</f>
        <v>0</v>
      </c>
      <c r="Q47" s="696">
        <f>VLOOKUP(C47,TONGHOPCONGDOI!$C$251:$AD$319,24,0)</f>
        <v>0</v>
      </c>
      <c r="R47" s="696">
        <f>VLOOKUP(C47,TONGHOPCONGDOI!$C$251:$AD$319,25,0)</f>
        <v>0</v>
      </c>
      <c r="S47" s="696"/>
      <c r="T47" s="685">
        <f t="shared" ref="T47:T78" si="8">SUM(M47:S47)</f>
        <v>0</v>
      </c>
      <c r="U47" s="685">
        <f t="shared" si="6"/>
        <v>0</v>
      </c>
      <c r="V47" s="685"/>
      <c r="W47" s="1725">
        <f t="shared" si="7"/>
        <v>0</v>
      </c>
      <c r="X47" s="696" t="e">
        <f t="shared" ref="X47:X78" si="9">F47+L47+W47</f>
        <v>#DIV/0!</v>
      </c>
      <c r="Y47" s="696" t="e">
        <f>#REF!</f>
        <v>#REF!</v>
      </c>
      <c r="Z47" s="696">
        <f>VLOOKUP(C47,'CNKT '!$C$256:$Z$315,24,0)</f>
        <v>0</v>
      </c>
      <c r="AA47" s="591" t="e">
        <f t="shared" si="2"/>
        <v>#DIV/0!</v>
      </c>
    </row>
    <row r="48" spans="1:27" s="591" customFormat="1" ht="50.25" hidden="1" customHeight="1">
      <c r="A48" s="684">
        <v>34</v>
      </c>
      <c r="B48" s="696" t="str">
        <f>'Chấm công KT'!D210</f>
        <v>03620</v>
      </c>
      <c r="C48" s="696" t="str">
        <f>TONGHOPCONGDOI!C284</f>
        <v>T. Von</v>
      </c>
      <c r="D48" s="696"/>
      <c r="E48" s="697">
        <f>VLOOKUP(C48,TONGHOPCONGDOI!C284:Q352,15,0)</f>
        <v>0</v>
      </c>
      <c r="F48" s="696">
        <f t="shared" si="3"/>
        <v>0</v>
      </c>
      <c r="G48" s="696">
        <f>VLOOKUP(C48,TONGHOPCONGDOI!C284:AD352,16,0)</f>
        <v>0</v>
      </c>
      <c r="H48" s="696"/>
      <c r="I48" s="696">
        <f>VLOOKUP(C48,TONGHOPCONGDOI!$C$251:$S$319,17,0)</f>
        <v>0</v>
      </c>
      <c r="J48" s="1556" t="e">
        <f t="shared" si="4"/>
        <v>#DIV/0!</v>
      </c>
      <c r="K48" s="683" t="str">
        <f>VLOOKUP(C48,'BTH mủ tạp'!C280:AL346,36,0)</f>
        <v>B</v>
      </c>
      <c r="L48" s="1185" t="e">
        <f t="shared" si="5"/>
        <v>#DIV/0!</v>
      </c>
      <c r="M48" s="696">
        <f>VLOOKUP(C48,TONGHOPCONGDOI!$C$251:$AD$319,20,0)</f>
        <v>0</v>
      </c>
      <c r="N48" s="696">
        <f>VLOOKUP(C48,TONGHOPCONGDOI!$C$251:$AD$319,21,0)</f>
        <v>0</v>
      </c>
      <c r="O48" s="696">
        <f>VLOOKUP(C48,TONGHOPCONGDOI!$C$251:$AD$319,22,0)</f>
        <v>0</v>
      </c>
      <c r="P48" s="696">
        <f>VLOOKUP(C48,TONGHOPCONGDOI!$C$251:$AD$319,23,0)</f>
        <v>0</v>
      </c>
      <c r="Q48" s="696">
        <f>VLOOKUP(C48,TONGHOPCONGDOI!$C$251:$AD$319,24,0)</f>
        <v>0</v>
      </c>
      <c r="R48" s="696">
        <f>VLOOKUP(C48,TONGHOPCONGDOI!$C$251:$AD$319,25,0)</f>
        <v>0</v>
      </c>
      <c r="S48" s="696"/>
      <c r="T48" s="685">
        <f t="shared" si="8"/>
        <v>0</v>
      </c>
      <c r="U48" s="685">
        <f t="shared" si="6"/>
        <v>0</v>
      </c>
      <c r="V48" s="685"/>
      <c r="W48" s="1725">
        <f t="shared" si="7"/>
        <v>0</v>
      </c>
      <c r="X48" s="696" t="e">
        <f t="shared" si="9"/>
        <v>#DIV/0!</v>
      </c>
      <c r="Y48" s="696" t="e">
        <f>#REF!</f>
        <v>#REF!</v>
      </c>
      <c r="Z48" s="696">
        <f>VLOOKUP(C48,'CNKT '!$C$256:$Z$315,24,0)</f>
        <v>0</v>
      </c>
      <c r="AA48" s="591" t="e">
        <f t="shared" si="2"/>
        <v>#DIV/0!</v>
      </c>
    </row>
    <row r="49" spans="1:27" s="591" customFormat="1" ht="50.25" hidden="1" customHeight="1">
      <c r="A49" s="684">
        <v>35</v>
      </c>
      <c r="B49" s="696" t="str">
        <f>'Chấm công KT'!D211</f>
        <v>03532</v>
      </c>
      <c r="C49" s="696" t="str">
        <f>TONGHOPCONGDOI!C285</f>
        <v>Khăm Xúc</v>
      </c>
      <c r="D49" s="696"/>
      <c r="E49" s="697">
        <f>VLOOKUP(C49,TONGHOPCONGDOI!C285:Q353,15,0)</f>
        <v>0</v>
      </c>
      <c r="F49" s="696">
        <f t="shared" si="3"/>
        <v>0</v>
      </c>
      <c r="G49" s="696">
        <f>VLOOKUP(C49,TONGHOPCONGDOI!C285:AD353,16,0)</f>
        <v>0</v>
      </c>
      <c r="H49" s="696"/>
      <c r="I49" s="696">
        <f>VLOOKUP(C49,TONGHOPCONGDOI!$C$251:$S$319,17,0)</f>
        <v>0</v>
      </c>
      <c r="J49" s="1556" t="e">
        <f t="shared" si="4"/>
        <v>#DIV/0!</v>
      </c>
      <c r="K49" s="683" t="str">
        <f>VLOOKUP(C49,'BTH mủ tạp'!C281:AL347,36,0)</f>
        <v>B</v>
      </c>
      <c r="L49" s="1185" t="e">
        <f t="shared" si="5"/>
        <v>#DIV/0!</v>
      </c>
      <c r="M49" s="696">
        <f>VLOOKUP(C49,TONGHOPCONGDOI!$C$251:$AD$319,20,0)</f>
        <v>0</v>
      </c>
      <c r="N49" s="696">
        <f>VLOOKUP(C49,TONGHOPCONGDOI!$C$251:$AD$319,21,0)</f>
        <v>0</v>
      </c>
      <c r="O49" s="696">
        <f>VLOOKUP(C49,TONGHOPCONGDOI!$C$251:$AD$319,22,0)</f>
        <v>0</v>
      </c>
      <c r="P49" s="696">
        <f>VLOOKUP(C49,TONGHOPCONGDOI!$C$251:$AD$319,23,0)</f>
        <v>0</v>
      </c>
      <c r="Q49" s="696">
        <f>VLOOKUP(C49,TONGHOPCONGDOI!$C$251:$AD$319,24,0)</f>
        <v>0</v>
      </c>
      <c r="R49" s="696">
        <f>VLOOKUP(C49,TONGHOPCONGDOI!$C$251:$AD$319,25,0)</f>
        <v>0</v>
      </c>
      <c r="S49" s="696"/>
      <c r="T49" s="685">
        <f t="shared" si="8"/>
        <v>0</v>
      </c>
      <c r="U49" s="685">
        <f t="shared" si="6"/>
        <v>0</v>
      </c>
      <c r="V49" s="685"/>
      <c r="W49" s="1725">
        <f t="shared" si="7"/>
        <v>0</v>
      </c>
      <c r="X49" s="696" t="e">
        <f t="shared" si="9"/>
        <v>#DIV/0!</v>
      </c>
      <c r="Y49" s="696" t="e">
        <f>#REF!</f>
        <v>#REF!</v>
      </c>
      <c r="Z49" s="696">
        <f>VLOOKUP(C49,'CNKT '!$C$256:$Z$315,24,0)</f>
        <v>0</v>
      </c>
      <c r="AA49" s="591" t="e">
        <f t="shared" si="2"/>
        <v>#DIV/0!</v>
      </c>
    </row>
    <row r="50" spans="1:27" s="591" customFormat="1" ht="50.25" hidden="1" customHeight="1">
      <c r="A50" s="684">
        <v>36</v>
      </c>
      <c r="B50" s="696" t="str">
        <f>'Chấm công KT'!D212</f>
        <v>03622</v>
      </c>
      <c r="C50" s="696" t="str">
        <f>TONGHOPCONGDOI!C286</f>
        <v>T. Phút</v>
      </c>
      <c r="D50" s="696"/>
      <c r="E50" s="697">
        <f>VLOOKUP(C50,TONGHOPCONGDOI!C286:Q354,15,0)</f>
        <v>0</v>
      </c>
      <c r="F50" s="696">
        <f t="shared" si="3"/>
        <v>0</v>
      </c>
      <c r="G50" s="696">
        <f>VLOOKUP(C50,TONGHOPCONGDOI!C286:AD354,16,0)</f>
        <v>0</v>
      </c>
      <c r="H50" s="696"/>
      <c r="I50" s="696">
        <f>VLOOKUP(C50,TONGHOPCONGDOI!$C$251:$S$319,17,0)</f>
        <v>0</v>
      </c>
      <c r="J50" s="1556" t="e">
        <f t="shared" si="4"/>
        <v>#DIV/0!</v>
      </c>
      <c r="K50" s="683" t="str">
        <f>VLOOKUP(C50,'BTH mủ tạp'!C282:AL348,36,0)</f>
        <v>B</v>
      </c>
      <c r="L50" s="1185" t="e">
        <f t="shared" si="5"/>
        <v>#DIV/0!</v>
      </c>
      <c r="M50" s="696">
        <f>VLOOKUP(C50,TONGHOPCONGDOI!$C$251:$AD$319,20,0)</f>
        <v>0</v>
      </c>
      <c r="N50" s="696">
        <f>VLOOKUP(C50,TONGHOPCONGDOI!$C$251:$AD$319,21,0)</f>
        <v>0</v>
      </c>
      <c r="O50" s="696">
        <f>VLOOKUP(C50,TONGHOPCONGDOI!$C$251:$AD$319,22,0)</f>
        <v>0</v>
      </c>
      <c r="P50" s="696">
        <f>VLOOKUP(C50,TONGHOPCONGDOI!$C$251:$AD$319,23,0)</f>
        <v>0</v>
      </c>
      <c r="Q50" s="696">
        <f>VLOOKUP(C50,TONGHOPCONGDOI!$C$251:$AD$319,24,0)</f>
        <v>0</v>
      </c>
      <c r="R50" s="696">
        <f>VLOOKUP(C50,TONGHOPCONGDOI!$C$251:$AD$319,25,0)</f>
        <v>0</v>
      </c>
      <c r="S50" s="696"/>
      <c r="T50" s="685">
        <f t="shared" si="8"/>
        <v>0</v>
      </c>
      <c r="U50" s="685">
        <f t="shared" si="6"/>
        <v>0</v>
      </c>
      <c r="V50" s="685"/>
      <c r="W50" s="1725">
        <f t="shared" si="7"/>
        <v>0</v>
      </c>
      <c r="X50" s="696" t="e">
        <f t="shared" si="9"/>
        <v>#DIV/0!</v>
      </c>
      <c r="Y50" s="696" t="e">
        <f>#REF!</f>
        <v>#REF!</v>
      </c>
      <c r="Z50" s="696">
        <f>VLOOKUP(C50,'CNKT '!$C$256:$Z$315,24,0)</f>
        <v>0</v>
      </c>
      <c r="AA50" s="591" t="e">
        <f t="shared" si="2"/>
        <v>#DIV/0!</v>
      </c>
    </row>
    <row r="51" spans="1:27" s="591" customFormat="1" ht="50.25" hidden="1" customHeight="1">
      <c r="A51" s="684">
        <v>37</v>
      </c>
      <c r="B51" s="696" t="str">
        <f>'Chấm công KT'!D213</f>
        <v>03623</v>
      </c>
      <c r="C51" s="696" t="str">
        <f>TONGHOPCONGDOI!C287</f>
        <v>T. Be</v>
      </c>
      <c r="D51" s="696"/>
      <c r="E51" s="697">
        <f>VLOOKUP(C51,TONGHOPCONGDOI!C287:Q355,15,0)</f>
        <v>0</v>
      </c>
      <c r="F51" s="696">
        <f t="shared" si="3"/>
        <v>0</v>
      </c>
      <c r="G51" s="696">
        <f>VLOOKUP(C51,TONGHOPCONGDOI!C287:AD355,16,0)</f>
        <v>0</v>
      </c>
      <c r="H51" s="696"/>
      <c r="I51" s="696">
        <f>VLOOKUP(C51,TONGHOPCONGDOI!$C$251:$S$319,17,0)</f>
        <v>0</v>
      </c>
      <c r="J51" s="1556" t="e">
        <f t="shared" si="4"/>
        <v>#DIV/0!</v>
      </c>
      <c r="K51" s="683" t="str">
        <f>VLOOKUP(C51,'BTH mủ tạp'!C283:AL349,36,0)</f>
        <v>C</v>
      </c>
      <c r="L51" s="1185" t="e">
        <f t="shared" si="5"/>
        <v>#DIV/0!</v>
      </c>
      <c r="M51" s="696">
        <f>VLOOKUP(C51,TONGHOPCONGDOI!$C$251:$AD$319,20,0)</f>
        <v>0</v>
      </c>
      <c r="N51" s="696">
        <f>VLOOKUP(C51,TONGHOPCONGDOI!$C$251:$AD$319,21,0)</f>
        <v>0</v>
      </c>
      <c r="O51" s="696">
        <f>VLOOKUP(C51,TONGHOPCONGDOI!$C$251:$AD$319,22,0)</f>
        <v>0</v>
      </c>
      <c r="P51" s="696">
        <f>VLOOKUP(C51,TONGHOPCONGDOI!$C$251:$AD$319,23,0)</f>
        <v>0</v>
      </c>
      <c r="Q51" s="696">
        <f>VLOOKUP(C51,TONGHOPCONGDOI!$C$251:$AD$319,24,0)</f>
        <v>0</v>
      </c>
      <c r="R51" s="696">
        <f>VLOOKUP(C51,TONGHOPCONGDOI!$C$251:$AD$319,25,0)</f>
        <v>0</v>
      </c>
      <c r="S51" s="696"/>
      <c r="T51" s="685">
        <f t="shared" si="8"/>
        <v>0</v>
      </c>
      <c r="U51" s="685">
        <f t="shared" si="6"/>
        <v>0</v>
      </c>
      <c r="V51" s="685"/>
      <c r="W51" s="1725">
        <f t="shared" si="7"/>
        <v>0</v>
      </c>
      <c r="X51" s="696" t="e">
        <f t="shared" si="9"/>
        <v>#DIV/0!</v>
      </c>
      <c r="Y51" s="696" t="e">
        <f>#REF!</f>
        <v>#REF!</v>
      </c>
      <c r="Z51" s="696">
        <f>VLOOKUP(C51,'CNKT '!$C$256:$Z$315,24,0)</f>
        <v>0</v>
      </c>
      <c r="AA51" s="591" t="e">
        <f t="shared" si="2"/>
        <v>#DIV/0!</v>
      </c>
    </row>
    <row r="52" spans="1:27" s="591" customFormat="1" ht="50.25" hidden="1" customHeight="1">
      <c r="A52" s="684">
        <v>38</v>
      </c>
      <c r="B52" s="696"/>
      <c r="C52" s="696" t="str">
        <f>TONGHOPCONGDOI!C288</f>
        <v>T . Mưn</v>
      </c>
      <c r="D52" s="696"/>
      <c r="E52" s="697">
        <f>VLOOKUP(C52,TONGHOPCONGDOI!C288:Q356,15,0)</f>
        <v>0</v>
      </c>
      <c r="F52" s="696">
        <f t="shared" si="3"/>
        <v>0</v>
      </c>
      <c r="G52" s="696">
        <f>VLOOKUP(C52,TONGHOPCONGDOI!C288:AD356,16,0)</f>
        <v>0</v>
      </c>
      <c r="H52" s="696"/>
      <c r="I52" s="696">
        <f>VLOOKUP(C52,TONGHOPCONGDOI!$C$251:$S$319,17,0)</f>
        <v>0</v>
      </c>
      <c r="J52" s="1556" t="e">
        <f t="shared" si="4"/>
        <v>#DIV/0!</v>
      </c>
      <c r="K52" s="683" t="str">
        <f>VLOOKUP(C52,'BTH mủ tạp'!C284:AL350,36,0)</f>
        <v>B</v>
      </c>
      <c r="L52" s="1185" t="e">
        <f t="shared" si="5"/>
        <v>#DIV/0!</v>
      </c>
      <c r="M52" s="696">
        <f>VLOOKUP(C52,TONGHOPCONGDOI!$C$251:$AD$319,20,0)</f>
        <v>0</v>
      </c>
      <c r="N52" s="696">
        <f>VLOOKUP(C52,TONGHOPCONGDOI!$C$251:$AD$319,21,0)</f>
        <v>0</v>
      </c>
      <c r="O52" s="696">
        <f>VLOOKUP(C52,TONGHOPCONGDOI!$C$251:$AD$319,22,0)</f>
        <v>0</v>
      </c>
      <c r="P52" s="696">
        <f>VLOOKUP(C52,TONGHOPCONGDOI!$C$251:$AD$319,23,0)</f>
        <v>0</v>
      </c>
      <c r="Q52" s="696">
        <f>VLOOKUP(C52,TONGHOPCONGDOI!$C$251:$AD$319,24,0)</f>
        <v>0</v>
      </c>
      <c r="R52" s="696">
        <f>VLOOKUP(C52,TONGHOPCONGDOI!$C$251:$AD$319,25,0)</f>
        <v>0</v>
      </c>
      <c r="S52" s="696"/>
      <c r="T52" s="685">
        <f t="shared" si="8"/>
        <v>0</v>
      </c>
      <c r="U52" s="685">
        <f t="shared" si="6"/>
        <v>0</v>
      </c>
      <c r="V52" s="685"/>
      <c r="W52" s="1725">
        <f t="shared" si="7"/>
        <v>0</v>
      </c>
      <c r="X52" s="696" t="e">
        <f t="shared" si="9"/>
        <v>#DIV/0!</v>
      </c>
      <c r="Y52" s="696" t="e">
        <f>#REF!</f>
        <v>#REF!</v>
      </c>
      <c r="Z52" s="696">
        <f>VLOOKUP(C52,'CNKT '!$C$256:$Z$315,24,0)</f>
        <v>0</v>
      </c>
      <c r="AA52" s="591" t="e">
        <f t="shared" si="2"/>
        <v>#DIV/0!</v>
      </c>
    </row>
    <row r="53" spans="1:27" s="591" customFormat="1" ht="50.25" hidden="1" customHeight="1">
      <c r="A53" s="684">
        <v>39</v>
      </c>
      <c r="B53" s="696" t="str">
        <f>'Chấm công KT'!D215</f>
        <v>03625</v>
      </c>
      <c r="C53" s="696" t="str">
        <f>TONGHOPCONGDOI!C289</f>
        <v>T. Ô</v>
      </c>
      <c r="D53" s="696"/>
      <c r="E53" s="697">
        <f>VLOOKUP(C53,TONGHOPCONGDOI!C289:Q357,15,0)</f>
        <v>0</v>
      </c>
      <c r="F53" s="696">
        <f t="shared" si="3"/>
        <v>0</v>
      </c>
      <c r="G53" s="696">
        <f>VLOOKUP(C53,TONGHOPCONGDOI!C289:AD357,16,0)</f>
        <v>0</v>
      </c>
      <c r="H53" s="696"/>
      <c r="I53" s="696">
        <f>VLOOKUP(C53,TONGHOPCONGDOI!$C$251:$S$319,17,0)</f>
        <v>0</v>
      </c>
      <c r="J53" s="1556" t="e">
        <f t="shared" si="4"/>
        <v>#DIV/0!</v>
      </c>
      <c r="K53" s="683" t="str">
        <f>VLOOKUP(C53,'BTH mủ tạp'!C285:AL351,36,0)</f>
        <v>B</v>
      </c>
      <c r="L53" s="1185" t="e">
        <f t="shared" si="5"/>
        <v>#DIV/0!</v>
      </c>
      <c r="M53" s="696">
        <f>VLOOKUP(C53,TONGHOPCONGDOI!$C$251:$AD$319,20,0)</f>
        <v>0</v>
      </c>
      <c r="N53" s="696">
        <f>VLOOKUP(C53,TONGHOPCONGDOI!$C$251:$AD$319,21,0)</f>
        <v>0</v>
      </c>
      <c r="O53" s="696">
        <f>VLOOKUP(C53,TONGHOPCONGDOI!$C$251:$AD$319,22,0)</f>
        <v>0</v>
      </c>
      <c r="P53" s="696">
        <f>VLOOKUP(C53,TONGHOPCONGDOI!$C$251:$AD$319,23,0)</f>
        <v>0</v>
      </c>
      <c r="Q53" s="696">
        <f>VLOOKUP(C53,TONGHOPCONGDOI!$C$251:$AD$319,24,0)</f>
        <v>0</v>
      </c>
      <c r="R53" s="696">
        <f>VLOOKUP(C53,TONGHOPCONGDOI!$C$251:$AD$319,25,0)</f>
        <v>0</v>
      </c>
      <c r="S53" s="696"/>
      <c r="T53" s="685">
        <f t="shared" si="8"/>
        <v>0</v>
      </c>
      <c r="U53" s="685">
        <f t="shared" si="6"/>
        <v>0</v>
      </c>
      <c r="V53" s="685"/>
      <c r="W53" s="1725">
        <f t="shared" si="7"/>
        <v>0</v>
      </c>
      <c r="X53" s="696" t="e">
        <f t="shared" si="9"/>
        <v>#DIV/0!</v>
      </c>
      <c r="Y53" s="696" t="e">
        <f>#REF!</f>
        <v>#REF!</v>
      </c>
      <c r="Z53" s="696">
        <f>VLOOKUP(C53,'CNKT '!$C$256:$Z$315,24,0)</f>
        <v>0</v>
      </c>
      <c r="AA53" s="591" t="e">
        <f t="shared" si="2"/>
        <v>#DIV/0!</v>
      </c>
    </row>
    <row r="54" spans="1:27" s="591" customFormat="1" ht="50.25" hidden="1" customHeight="1">
      <c r="A54" s="684">
        <v>40</v>
      </c>
      <c r="B54" s="696" t="str">
        <f>'Chấm công KT'!D216</f>
        <v>03587</v>
      </c>
      <c r="C54" s="696" t="str">
        <f>TONGHOPCONGDOI!C290</f>
        <v>N. Lem</v>
      </c>
      <c r="D54" s="696"/>
      <c r="E54" s="697">
        <f>VLOOKUP(C54,TONGHOPCONGDOI!C290:Q358,15,0)</f>
        <v>0</v>
      </c>
      <c r="F54" s="696">
        <f t="shared" si="3"/>
        <v>0</v>
      </c>
      <c r="G54" s="696">
        <f>VLOOKUP(C54,TONGHOPCONGDOI!C290:AD358,16,0)</f>
        <v>0</v>
      </c>
      <c r="H54" s="696"/>
      <c r="I54" s="696">
        <f>VLOOKUP(C54,TONGHOPCONGDOI!$C$251:$S$319,17,0)</f>
        <v>0</v>
      </c>
      <c r="J54" s="1556" t="e">
        <f t="shared" si="4"/>
        <v>#DIV/0!</v>
      </c>
      <c r="K54" s="683" t="str">
        <f>VLOOKUP(C54,'BTH mủ tạp'!C286:AL352,36,0)</f>
        <v>C</v>
      </c>
      <c r="L54" s="1185" t="e">
        <f t="shared" si="5"/>
        <v>#DIV/0!</v>
      </c>
      <c r="M54" s="696">
        <f>VLOOKUP(C54,TONGHOPCONGDOI!$C$251:$AD$319,20,0)</f>
        <v>0</v>
      </c>
      <c r="N54" s="696">
        <f>VLOOKUP(C54,TONGHOPCONGDOI!$C$251:$AD$319,21,0)</f>
        <v>0</v>
      </c>
      <c r="O54" s="696">
        <f>VLOOKUP(C54,TONGHOPCONGDOI!$C$251:$AD$319,22,0)</f>
        <v>0</v>
      </c>
      <c r="P54" s="696">
        <f>VLOOKUP(C54,TONGHOPCONGDOI!$C$251:$AD$319,23,0)</f>
        <v>0</v>
      </c>
      <c r="Q54" s="696">
        <f>VLOOKUP(C54,TONGHOPCONGDOI!$C$251:$AD$319,24,0)</f>
        <v>0</v>
      </c>
      <c r="R54" s="696">
        <f>VLOOKUP(C54,TONGHOPCONGDOI!$C$251:$AD$319,25,0)</f>
        <v>0</v>
      </c>
      <c r="S54" s="696"/>
      <c r="T54" s="685">
        <f t="shared" si="8"/>
        <v>0</v>
      </c>
      <c r="U54" s="685">
        <f t="shared" si="6"/>
        <v>0</v>
      </c>
      <c r="V54" s="685"/>
      <c r="W54" s="1725">
        <f t="shared" si="7"/>
        <v>0</v>
      </c>
      <c r="X54" s="696" t="e">
        <f t="shared" si="9"/>
        <v>#DIV/0!</v>
      </c>
      <c r="Y54" s="696" t="e">
        <f>#REF!</f>
        <v>#REF!</v>
      </c>
      <c r="Z54" s="696">
        <f>VLOOKUP(C54,'CNKT '!$C$256:$Z$315,24,0)</f>
        <v>0</v>
      </c>
      <c r="AA54" s="591" t="e">
        <f t="shared" si="2"/>
        <v>#DIV/0!</v>
      </c>
    </row>
    <row r="55" spans="1:27" s="591" customFormat="1" ht="50.25" hidden="1" customHeight="1">
      <c r="A55" s="684">
        <v>41</v>
      </c>
      <c r="B55" s="696" t="str">
        <f>'Chấm công KT'!D217</f>
        <v>03627</v>
      </c>
      <c r="C55" s="696" t="str">
        <f>TONGHOPCONGDOI!C291</f>
        <v>T. Nọi (4)</v>
      </c>
      <c r="D55" s="696"/>
      <c r="E55" s="697">
        <f>VLOOKUP(C55,TONGHOPCONGDOI!C291:Q359,15,0)</f>
        <v>0</v>
      </c>
      <c r="F55" s="696">
        <f t="shared" si="3"/>
        <v>0</v>
      </c>
      <c r="G55" s="696">
        <f>VLOOKUP(C55,TONGHOPCONGDOI!C291:AD359,16,0)</f>
        <v>0</v>
      </c>
      <c r="H55" s="696"/>
      <c r="I55" s="696">
        <f>VLOOKUP(C55,TONGHOPCONGDOI!$C$251:$S$319,17,0)</f>
        <v>0</v>
      </c>
      <c r="J55" s="1556" t="e">
        <f t="shared" si="4"/>
        <v>#DIV/0!</v>
      </c>
      <c r="K55" s="683" t="str">
        <f>VLOOKUP(C55,'BTH mủ tạp'!C287:AL353,36,0)</f>
        <v>B</v>
      </c>
      <c r="L55" s="1185" t="e">
        <f t="shared" si="5"/>
        <v>#DIV/0!</v>
      </c>
      <c r="M55" s="696">
        <f>VLOOKUP(C55,TONGHOPCONGDOI!$C$251:$AD$319,20,0)</f>
        <v>0</v>
      </c>
      <c r="N55" s="696">
        <f>VLOOKUP(C55,TONGHOPCONGDOI!$C$251:$AD$319,21,0)</f>
        <v>0</v>
      </c>
      <c r="O55" s="696">
        <f>VLOOKUP(C55,TONGHOPCONGDOI!$C$251:$AD$319,22,0)</f>
        <v>0</v>
      </c>
      <c r="P55" s="696">
        <f>VLOOKUP(C55,TONGHOPCONGDOI!$C$251:$AD$319,23,0)</f>
        <v>0</v>
      </c>
      <c r="Q55" s="696">
        <f>VLOOKUP(C55,TONGHOPCONGDOI!$C$251:$AD$319,24,0)</f>
        <v>0</v>
      </c>
      <c r="R55" s="696">
        <f>VLOOKUP(C55,TONGHOPCONGDOI!$C$251:$AD$319,25,0)</f>
        <v>0</v>
      </c>
      <c r="S55" s="696"/>
      <c r="T55" s="685">
        <f t="shared" si="8"/>
        <v>0</v>
      </c>
      <c r="U55" s="685">
        <f t="shared" si="6"/>
        <v>0</v>
      </c>
      <c r="V55" s="685"/>
      <c r="W55" s="1725">
        <f t="shared" si="7"/>
        <v>0</v>
      </c>
      <c r="X55" s="696" t="e">
        <f t="shared" si="9"/>
        <v>#DIV/0!</v>
      </c>
      <c r="Y55" s="696" t="e">
        <f>#REF!</f>
        <v>#REF!</v>
      </c>
      <c r="Z55" s="696">
        <f>VLOOKUP(C55,'CNKT '!$C$256:$Z$315,24,0)</f>
        <v>0</v>
      </c>
      <c r="AA55" s="591" t="e">
        <f t="shared" si="2"/>
        <v>#DIV/0!</v>
      </c>
    </row>
    <row r="56" spans="1:27" s="591" customFormat="1" ht="50.25" hidden="1" customHeight="1">
      <c r="A56" s="684">
        <v>42</v>
      </c>
      <c r="B56" s="696" t="str">
        <f>'Chấm công KT'!D218</f>
        <v>03628</v>
      </c>
      <c r="C56" s="696" t="str">
        <f>TONGHOPCONGDOI!C292</f>
        <v>T. Mi</v>
      </c>
      <c r="D56" s="696"/>
      <c r="E56" s="697">
        <f>VLOOKUP(C56,TONGHOPCONGDOI!C292:Q360,15,0)</f>
        <v>0</v>
      </c>
      <c r="F56" s="696">
        <f t="shared" si="3"/>
        <v>0</v>
      </c>
      <c r="G56" s="696">
        <f>VLOOKUP(C56,TONGHOPCONGDOI!C292:AD360,16,0)</f>
        <v>0</v>
      </c>
      <c r="H56" s="696"/>
      <c r="I56" s="696">
        <f>VLOOKUP(C56,TONGHOPCONGDOI!$C$251:$S$319,17,0)</f>
        <v>0</v>
      </c>
      <c r="J56" s="1556" t="e">
        <f t="shared" si="4"/>
        <v>#DIV/0!</v>
      </c>
      <c r="K56" s="683" t="str">
        <f>VLOOKUP(C56,'BTH mủ tạp'!C288:AL354,36,0)</f>
        <v>B</v>
      </c>
      <c r="L56" s="1185" t="e">
        <f t="shared" si="5"/>
        <v>#DIV/0!</v>
      </c>
      <c r="M56" s="696">
        <f>VLOOKUP(C56,TONGHOPCONGDOI!$C$251:$AD$319,20,0)</f>
        <v>0</v>
      </c>
      <c r="N56" s="696">
        <f>VLOOKUP(C56,TONGHOPCONGDOI!$C$251:$AD$319,21,0)</f>
        <v>0</v>
      </c>
      <c r="O56" s="696">
        <f>VLOOKUP(C56,TONGHOPCONGDOI!$C$251:$AD$319,22,0)</f>
        <v>0</v>
      </c>
      <c r="P56" s="696">
        <f>VLOOKUP(C56,TONGHOPCONGDOI!$C$251:$AD$319,23,0)</f>
        <v>0</v>
      </c>
      <c r="Q56" s="696">
        <f>VLOOKUP(C56,TONGHOPCONGDOI!$C$251:$AD$319,24,0)</f>
        <v>0</v>
      </c>
      <c r="R56" s="696">
        <f>VLOOKUP(C56,TONGHOPCONGDOI!$C$251:$AD$319,25,0)</f>
        <v>0</v>
      </c>
      <c r="S56" s="696"/>
      <c r="T56" s="685">
        <f t="shared" si="8"/>
        <v>0</v>
      </c>
      <c r="U56" s="685">
        <f t="shared" si="6"/>
        <v>0</v>
      </c>
      <c r="V56" s="685"/>
      <c r="W56" s="1725">
        <f t="shared" si="7"/>
        <v>0</v>
      </c>
      <c r="X56" s="696" t="e">
        <f t="shared" si="9"/>
        <v>#DIV/0!</v>
      </c>
      <c r="Y56" s="696" t="e">
        <f>#REF!</f>
        <v>#REF!</v>
      </c>
      <c r="Z56" s="696">
        <f>VLOOKUP(C56,'CNKT '!$C$256:$Z$315,24,0)</f>
        <v>0</v>
      </c>
      <c r="AA56" s="591" t="e">
        <f t="shared" si="2"/>
        <v>#DIV/0!</v>
      </c>
    </row>
    <row r="57" spans="1:27" s="591" customFormat="1" ht="50.25" hidden="1" customHeight="1">
      <c r="A57" s="684">
        <v>43</v>
      </c>
      <c r="B57" s="696" t="str">
        <f>'Chấm công KT'!D219</f>
        <v>03629</v>
      </c>
      <c r="C57" s="696" t="str">
        <f>TONGHOPCONGDOI!C293</f>
        <v>T. Lẹ</v>
      </c>
      <c r="D57" s="696"/>
      <c r="E57" s="697">
        <f>VLOOKUP(C57,TONGHOPCONGDOI!C293:Q361,15,0)</f>
        <v>0</v>
      </c>
      <c r="F57" s="696">
        <f t="shared" si="3"/>
        <v>0</v>
      </c>
      <c r="G57" s="696">
        <f>VLOOKUP(C57,TONGHOPCONGDOI!C293:AD361,16,0)</f>
        <v>0</v>
      </c>
      <c r="H57" s="696"/>
      <c r="I57" s="696">
        <f>VLOOKUP(C57,TONGHOPCONGDOI!$C$251:$S$319,17,0)</f>
        <v>0</v>
      </c>
      <c r="J57" s="1556" t="e">
        <f t="shared" si="4"/>
        <v>#DIV/0!</v>
      </c>
      <c r="K57" s="683" t="str">
        <f>VLOOKUP(C57,'BTH mủ tạp'!C289:AL355,36,0)</f>
        <v>B</v>
      </c>
      <c r="L57" s="1185" t="e">
        <f t="shared" si="5"/>
        <v>#DIV/0!</v>
      </c>
      <c r="M57" s="696">
        <f>VLOOKUP(C57,TONGHOPCONGDOI!$C$251:$AD$319,20,0)</f>
        <v>0</v>
      </c>
      <c r="N57" s="696">
        <f>VLOOKUP(C57,TONGHOPCONGDOI!$C$251:$AD$319,21,0)</f>
        <v>0</v>
      </c>
      <c r="O57" s="696">
        <f>VLOOKUP(C57,TONGHOPCONGDOI!$C$251:$AD$319,22,0)</f>
        <v>0</v>
      </c>
      <c r="P57" s="696">
        <f>VLOOKUP(C57,TONGHOPCONGDOI!$C$251:$AD$319,23,0)</f>
        <v>0</v>
      </c>
      <c r="Q57" s="696">
        <f>VLOOKUP(C57,TONGHOPCONGDOI!$C$251:$AD$319,24,0)</f>
        <v>0</v>
      </c>
      <c r="R57" s="696">
        <f>VLOOKUP(C57,TONGHOPCONGDOI!$C$251:$AD$319,25,0)</f>
        <v>0</v>
      </c>
      <c r="S57" s="696"/>
      <c r="T57" s="685">
        <f t="shared" si="8"/>
        <v>0</v>
      </c>
      <c r="U57" s="685">
        <f t="shared" si="6"/>
        <v>0</v>
      </c>
      <c r="V57" s="685"/>
      <c r="W57" s="1725">
        <f t="shared" si="7"/>
        <v>0</v>
      </c>
      <c r="X57" s="696" t="e">
        <f t="shared" si="9"/>
        <v>#DIV/0!</v>
      </c>
      <c r="Y57" s="696" t="e">
        <f>#REF!</f>
        <v>#REF!</v>
      </c>
      <c r="Z57" s="696">
        <f>VLOOKUP(C57,'CNKT '!$C$256:$Z$315,24,0)</f>
        <v>0</v>
      </c>
      <c r="AA57" s="591" t="e">
        <f t="shared" si="2"/>
        <v>#DIV/0!</v>
      </c>
    </row>
    <row r="58" spans="1:27" s="591" customFormat="1" ht="50.25" hidden="1" customHeight="1">
      <c r="A58" s="684">
        <v>44</v>
      </c>
      <c r="B58" s="696" t="str">
        <f>'Chấm công KT'!D220</f>
        <v>03630</v>
      </c>
      <c r="C58" s="696" t="str">
        <f>TONGHOPCONGDOI!C294</f>
        <v>N. Sum Kang</v>
      </c>
      <c r="D58" s="696"/>
      <c r="E58" s="697">
        <f>VLOOKUP(C58,TONGHOPCONGDOI!C294:Q362,15,0)</f>
        <v>0</v>
      </c>
      <c r="F58" s="696">
        <f t="shared" si="3"/>
        <v>0</v>
      </c>
      <c r="G58" s="696">
        <f>VLOOKUP(C58,TONGHOPCONGDOI!C294:AD362,16,0)</f>
        <v>0</v>
      </c>
      <c r="H58" s="696"/>
      <c r="I58" s="696">
        <f>VLOOKUP(C58,TONGHOPCONGDOI!$C$251:$S$319,17,0)</f>
        <v>0</v>
      </c>
      <c r="J58" s="1556" t="e">
        <f t="shared" si="4"/>
        <v>#DIV/0!</v>
      </c>
      <c r="K58" s="683" t="str">
        <f>VLOOKUP(C58,'BTH mủ tạp'!C290:AL356,36,0)</f>
        <v>C</v>
      </c>
      <c r="L58" s="1185" t="e">
        <f t="shared" si="5"/>
        <v>#DIV/0!</v>
      </c>
      <c r="M58" s="696">
        <f>VLOOKUP(C58,TONGHOPCONGDOI!$C$251:$AD$319,20,0)</f>
        <v>0</v>
      </c>
      <c r="N58" s="696">
        <f>VLOOKUP(C58,TONGHOPCONGDOI!$C$251:$AD$319,21,0)</f>
        <v>0</v>
      </c>
      <c r="O58" s="696">
        <f>VLOOKUP(C58,TONGHOPCONGDOI!$C$251:$AD$319,22,0)</f>
        <v>0</v>
      </c>
      <c r="P58" s="696">
        <f>VLOOKUP(C58,TONGHOPCONGDOI!$C$251:$AD$319,23,0)</f>
        <v>0</v>
      </c>
      <c r="Q58" s="696">
        <f>VLOOKUP(C58,TONGHOPCONGDOI!$C$251:$AD$319,24,0)</f>
        <v>0</v>
      </c>
      <c r="R58" s="696">
        <f>VLOOKUP(C58,TONGHOPCONGDOI!$C$251:$AD$319,25,0)</f>
        <v>0</v>
      </c>
      <c r="S58" s="696"/>
      <c r="T58" s="685">
        <f t="shared" si="8"/>
        <v>0</v>
      </c>
      <c r="U58" s="685">
        <f t="shared" si="6"/>
        <v>0</v>
      </c>
      <c r="V58" s="685"/>
      <c r="W58" s="1725">
        <f t="shared" si="7"/>
        <v>0</v>
      </c>
      <c r="X58" s="696" t="e">
        <f t="shared" si="9"/>
        <v>#DIV/0!</v>
      </c>
      <c r="Y58" s="696" t="e">
        <f>#REF!</f>
        <v>#REF!</v>
      </c>
      <c r="Z58" s="696">
        <f>VLOOKUP(C58,'CNKT '!$C$256:$Z$315,24,0)</f>
        <v>0</v>
      </c>
      <c r="AA58" s="591" t="e">
        <f t="shared" si="2"/>
        <v>#DIV/0!</v>
      </c>
    </row>
    <row r="59" spans="1:27" s="591" customFormat="1" ht="50.25" hidden="1" customHeight="1">
      <c r="A59" s="684">
        <v>45</v>
      </c>
      <c r="B59" s="696" t="str">
        <f>'Chấm công KT'!D221</f>
        <v>03631</v>
      </c>
      <c r="C59" s="696" t="str">
        <f>TONGHOPCONGDOI!C295</f>
        <v xml:space="preserve">N. Khăm </v>
      </c>
      <c r="D59" s="696"/>
      <c r="E59" s="697">
        <f>VLOOKUP(C59,TONGHOPCONGDOI!C295:Q363,15,0)</f>
        <v>0</v>
      </c>
      <c r="F59" s="696">
        <f t="shared" si="3"/>
        <v>0</v>
      </c>
      <c r="G59" s="696">
        <f>VLOOKUP(C59,TONGHOPCONGDOI!C295:AD363,16,0)</f>
        <v>0</v>
      </c>
      <c r="H59" s="696"/>
      <c r="I59" s="696">
        <f>VLOOKUP(C59,TONGHOPCONGDOI!$C$251:$S$319,17,0)</f>
        <v>0</v>
      </c>
      <c r="J59" s="1556" t="e">
        <f t="shared" si="4"/>
        <v>#DIV/0!</v>
      </c>
      <c r="K59" s="683" t="str">
        <f>VLOOKUP(C59,'BTH mủ tạp'!C291:AL357,36,0)</f>
        <v>B</v>
      </c>
      <c r="L59" s="1185" t="e">
        <f t="shared" si="5"/>
        <v>#DIV/0!</v>
      </c>
      <c r="M59" s="696">
        <f>VLOOKUP(C59,TONGHOPCONGDOI!$C$251:$AD$319,20,0)</f>
        <v>0</v>
      </c>
      <c r="N59" s="696">
        <f>VLOOKUP(C59,TONGHOPCONGDOI!$C$251:$AD$319,21,0)</f>
        <v>0</v>
      </c>
      <c r="O59" s="696">
        <f>VLOOKUP(C59,TONGHOPCONGDOI!$C$251:$AD$319,22,0)</f>
        <v>0</v>
      </c>
      <c r="P59" s="696">
        <f>VLOOKUP(C59,TONGHOPCONGDOI!$C$251:$AD$319,23,0)</f>
        <v>0</v>
      </c>
      <c r="Q59" s="696">
        <f>VLOOKUP(C59,TONGHOPCONGDOI!$C$251:$AD$319,24,0)</f>
        <v>0</v>
      </c>
      <c r="R59" s="696">
        <f>VLOOKUP(C59,TONGHOPCONGDOI!$C$251:$AD$319,25,0)</f>
        <v>0</v>
      </c>
      <c r="S59" s="696"/>
      <c r="T59" s="685">
        <f t="shared" si="8"/>
        <v>0</v>
      </c>
      <c r="U59" s="685">
        <f t="shared" si="6"/>
        <v>0</v>
      </c>
      <c r="V59" s="685"/>
      <c r="W59" s="1725">
        <f t="shared" si="7"/>
        <v>0</v>
      </c>
      <c r="X59" s="696" t="e">
        <f t="shared" si="9"/>
        <v>#DIV/0!</v>
      </c>
      <c r="Y59" s="696" t="e">
        <f>#REF!</f>
        <v>#REF!</v>
      </c>
      <c r="Z59" s="696">
        <f>VLOOKUP(C59,'CNKT '!$C$256:$Z$315,24,0)</f>
        <v>0</v>
      </c>
      <c r="AA59" s="591" t="e">
        <f t="shared" si="2"/>
        <v>#DIV/0!</v>
      </c>
    </row>
    <row r="60" spans="1:27" s="591" customFormat="1" ht="50.25" hidden="1" customHeight="1">
      <c r="A60" s="684">
        <v>46</v>
      </c>
      <c r="B60" s="696" t="str">
        <f>'Chấm công KT'!D222</f>
        <v>03632</v>
      </c>
      <c r="C60" s="696" t="str">
        <f>TONGHOPCONGDOI!C296</f>
        <v>T. Xủm</v>
      </c>
      <c r="D60" s="696"/>
      <c r="E60" s="697">
        <f>VLOOKUP(C60,TONGHOPCONGDOI!C296:Q364,15,0)</f>
        <v>0</v>
      </c>
      <c r="F60" s="696">
        <f t="shared" si="3"/>
        <v>0</v>
      </c>
      <c r="G60" s="696">
        <f>VLOOKUP(C60,TONGHOPCONGDOI!C296:AD364,16,0)</f>
        <v>0</v>
      </c>
      <c r="H60" s="696"/>
      <c r="I60" s="696">
        <f>VLOOKUP(C60,TONGHOPCONGDOI!$C$251:$S$319,17,0)</f>
        <v>0</v>
      </c>
      <c r="J60" s="1556" t="e">
        <f t="shared" si="4"/>
        <v>#DIV/0!</v>
      </c>
      <c r="K60" s="683" t="str">
        <f>VLOOKUP(C60,'BTH mủ tạp'!C292:AL358,36,0)</f>
        <v>B</v>
      </c>
      <c r="L60" s="1185" t="e">
        <f t="shared" si="5"/>
        <v>#DIV/0!</v>
      </c>
      <c r="M60" s="696">
        <f>VLOOKUP(C60,TONGHOPCONGDOI!$C$251:$AD$319,20,0)</f>
        <v>0</v>
      </c>
      <c r="N60" s="696">
        <f>VLOOKUP(C60,TONGHOPCONGDOI!$C$251:$AD$319,21,0)</f>
        <v>0</v>
      </c>
      <c r="O60" s="696">
        <f>VLOOKUP(C60,TONGHOPCONGDOI!$C$251:$AD$319,22,0)</f>
        <v>0</v>
      </c>
      <c r="P60" s="696">
        <f>VLOOKUP(C60,TONGHOPCONGDOI!$C$251:$AD$319,23,0)</f>
        <v>0</v>
      </c>
      <c r="Q60" s="696">
        <f>VLOOKUP(C60,TONGHOPCONGDOI!$C$251:$AD$319,24,0)</f>
        <v>0</v>
      </c>
      <c r="R60" s="696">
        <f>VLOOKUP(C60,TONGHOPCONGDOI!$C$251:$AD$319,25,0)</f>
        <v>0</v>
      </c>
      <c r="S60" s="696"/>
      <c r="T60" s="685">
        <f t="shared" si="8"/>
        <v>0</v>
      </c>
      <c r="U60" s="685">
        <f t="shared" si="6"/>
        <v>0</v>
      </c>
      <c r="V60" s="685"/>
      <c r="W60" s="1725">
        <f t="shared" si="7"/>
        <v>0</v>
      </c>
      <c r="X60" s="696" t="e">
        <f t="shared" si="9"/>
        <v>#DIV/0!</v>
      </c>
      <c r="Y60" s="696" t="e">
        <f>#REF!</f>
        <v>#REF!</v>
      </c>
      <c r="Z60" s="696">
        <f>VLOOKUP(C60,'CNKT '!$C$256:$Z$315,24,0)</f>
        <v>0</v>
      </c>
      <c r="AA60" s="591" t="e">
        <f t="shared" si="2"/>
        <v>#DIV/0!</v>
      </c>
    </row>
    <row r="61" spans="1:27" s="591" customFormat="1" ht="50.25" hidden="1" customHeight="1">
      <c r="A61" s="684">
        <v>47</v>
      </c>
      <c r="B61" s="696" t="str">
        <f>'Chấm công KT'!D223</f>
        <v>03633</v>
      </c>
      <c r="C61" s="696" t="str">
        <f>TONGHOPCONGDOI!C297</f>
        <v>N. Keo Khăm</v>
      </c>
      <c r="D61" s="696"/>
      <c r="E61" s="697">
        <f>VLOOKUP(C61,TONGHOPCONGDOI!C297:Q365,15,0)</f>
        <v>0</v>
      </c>
      <c r="F61" s="696">
        <f t="shared" si="3"/>
        <v>0</v>
      </c>
      <c r="G61" s="696">
        <f>VLOOKUP(C61,TONGHOPCONGDOI!C297:AD365,16,0)</f>
        <v>0</v>
      </c>
      <c r="H61" s="696"/>
      <c r="I61" s="696">
        <f>VLOOKUP(C61,TONGHOPCONGDOI!$C$251:$S$319,17,0)</f>
        <v>0</v>
      </c>
      <c r="J61" s="1556" t="e">
        <f t="shared" si="4"/>
        <v>#DIV/0!</v>
      </c>
      <c r="K61" s="683" t="str">
        <f>VLOOKUP(C61,'BTH mủ tạp'!C293:AL359,36,0)</f>
        <v>B</v>
      </c>
      <c r="L61" s="1185" t="e">
        <f t="shared" si="5"/>
        <v>#DIV/0!</v>
      </c>
      <c r="M61" s="696">
        <f>VLOOKUP(C61,TONGHOPCONGDOI!$C$251:$AD$319,20,0)</f>
        <v>0</v>
      </c>
      <c r="N61" s="696">
        <f>VLOOKUP(C61,TONGHOPCONGDOI!$C$251:$AD$319,21,0)</f>
        <v>0</v>
      </c>
      <c r="O61" s="696">
        <f>VLOOKUP(C61,TONGHOPCONGDOI!$C$251:$AD$319,22,0)</f>
        <v>0</v>
      </c>
      <c r="P61" s="696">
        <f>VLOOKUP(C61,TONGHOPCONGDOI!$C$251:$AD$319,23,0)</f>
        <v>0</v>
      </c>
      <c r="Q61" s="696">
        <f>VLOOKUP(C61,TONGHOPCONGDOI!$C$251:$AD$319,24,0)</f>
        <v>0</v>
      </c>
      <c r="R61" s="696">
        <f>VLOOKUP(C61,TONGHOPCONGDOI!$C$251:$AD$319,25,0)</f>
        <v>0</v>
      </c>
      <c r="S61" s="696"/>
      <c r="T61" s="685">
        <f t="shared" si="8"/>
        <v>0</v>
      </c>
      <c r="U61" s="685">
        <f t="shared" si="6"/>
        <v>0</v>
      </c>
      <c r="V61" s="685"/>
      <c r="W61" s="1725">
        <f t="shared" si="7"/>
        <v>0</v>
      </c>
      <c r="X61" s="696" t="e">
        <f t="shared" si="9"/>
        <v>#DIV/0!</v>
      </c>
      <c r="Y61" s="696" t="e">
        <f>#REF!</f>
        <v>#REF!</v>
      </c>
      <c r="Z61" s="696">
        <f>VLOOKUP(C61,'CNKT '!$C$256:$Z$315,24,0)</f>
        <v>0</v>
      </c>
      <c r="AA61" s="591" t="e">
        <f t="shared" si="2"/>
        <v>#DIV/0!</v>
      </c>
    </row>
    <row r="62" spans="1:27" s="591" customFormat="1" ht="50.25" hidden="1" customHeight="1">
      <c r="A62" s="684">
        <v>48</v>
      </c>
      <c r="B62" s="696" t="str">
        <f>'Chấm công KT'!D224</f>
        <v>03634</v>
      </c>
      <c r="C62" s="696" t="str">
        <f>TONGHOPCONGDOI!C298</f>
        <v>T. Choi</v>
      </c>
      <c r="D62" s="696"/>
      <c r="E62" s="697">
        <f>VLOOKUP(C62,TONGHOPCONGDOI!C298:Q366,15,0)</f>
        <v>0</v>
      </c>
      <c r="F62" s="696">
        <f t="shared" si="3"/>
        <v>0</v>
      </c>
      <c r="G62" s="696">
        <f>VLOOKUP(C62,TONGHOPCONGDOI!C298:AD366,16,0)</f>
        <v>0</v>
      </c>
      <c r="H62" s="696"/>
      <c r="I62" s="696">
        <f>VLOOKUP(C62,TONGHOPCONGDOI!$C$251:$S$319,17,0)</f>
        <v>0</v>
      </c>
      <c r="J62" s="1556" t="e">
        <f t="shared" si="4"/>
        <v>#DIV/0!</v>
      </c>
      <c r="K62" s="683" t="str">
        <f>VLOOKUP(C62,'BTH mủ tạp'!C294:AL360,36,0)</f>
        <v>A</v>
      </c>
      <c r="L62" s="1185" t="e">
        <f t="shared" si="5"/>
        <v>#DIV/0!</v>
      </c>
      <c r="M62" s="696">
        <f>VLOOKUP(C62,TONGHOPCONGDOI!$C$251:$AD$319,20,0)</f>
        <v>0</v>
      </c>
      <c r="N62" s="696">
        <f>VLOOKUP(C62,TONGHOPCONGDOI!$C$251:$AD$319,21,0)</f>
        <v>0</v>
      </c>
      <c r="O62" s="696">
        <f>VLOOKUP(C62,TONGHOPCONGDOI!$C$251:$AD$319,22,0)</f>
        <v>0</v>
      </c>
      <c r="P62" s="696">
        <f>VLOOKUP(C62,TONGHOPCONGDOI!$C$251:$AD$319,23,0)</f>
        <v>0</v>
      </c>
      <c r="Q62" s="696">
        <f>VLOOKUP(C62,TONGHOPCONGDOI!$C$251:$AD$319,24,0)</f>
        <v>0</v>
      </c>
      <c r="R62" s="696">
        <f>VLOOKUP(C62,TONGHOPCONGDOI!$C$251:$AD$319,25,0)</f>
        <v>0</v>
      </c>
      <c r="S62" s="696"/>
      <c r="T62" s="685">
        <f t="shared" si="8"/>
        <v>0</v>
      </c>
      <c r="U62" s="685">
        <f t="shared" si="6"/>
        <v>0</v>
      </c>
      <c r="V62" s="685"/>
      <c r="W62" s="1725">
        <f t="shared" si="7"/>
        <v>0</v>
      </c>
      <c r="X62" s="696" t="e">
        <f t="shared" si="9"/>
        <v>#DIV/0!</v>
      </c>
      <c r="Y62" s="696" t="e">
        <f>#REF!</f>
        <v>#REF!</v>
      </c>
      <c r="Z62" s="696">
        <f>VLOOKUP(C62,'CNKT '!$C$256:$Z$315,24,0)</f>
        <v>0</v>
      </c>
      <c r="AA62" s="591" t="e">
        <f t="shared" si="2"/>
        <v>#DIV/0!</v>
      </c>
    </row>
    <row r="63" spans="1:27" s="591" customFormat="1" ht="50.25" hidden="1" customHeight="1">
      <c r="A63" s="684">
        <v>49</v>
      </c>
      <c r="B63" s="696" t="str">
        <f>'Chấm công KT'!D225</f>
        <v>03635</v>
      </c>
      <c r="C63" s="696" t="str">
        <f>TONGHOPCONGDOI!C299</f>
        <v>N. Phút</v>
      </c>
      <c r="D63" s="696"/>
      <c r="E63" s="697">
        <f>VLOOKUP(C63,TONGHOPCONGDOI!C299:Q367,15,0)</f>
        <v>0</v>
      </c>
      <c r="F63" s="696">
        <f t="shared" si="3"/>
        <v>0</v>
      </c>
      <c r="G63" s="696">
        <f>VLOOKUP(C63,TONGHOPCONGDOI!C299:AD367,16,0)</f>
        <v>0</v>
      </c>
      <c r="H63" s="696"/>
      <c r="I63" s="696">
        <f>VLOOKUP(C63,TONGHOPCONGDOI!$C$251:$S$319,17,0)</f>
        <v>0</v>
      </c>
      <c r="J63" s="1556" t="e">
        <f t="shared" si="4"/>
        <v>#DIV/0!</v>
      </c>
      <c r="K63" s="683" t="str">
        <f>VLOOKUP(C63,'BTH mủ tạp'!C295:AL361,36,0)</f>
        <v>A</v>
      </c>
      <c r="L63" s="1185" t="e">
        <f t="shared" si="5"/>
        <v>#DIV/0!</v>
      </c>
      <c r="M63" s="696">
        <f>VLOOKUP(C63,TONGHOPCONGDOI!$C$251:$AD$319,20,0)</f>
        <v>0</v>
      </c>
      <c r="N63" s="696">
        <f>VLOOKUP(C63,TONGHOPCONGDOI!$C$251:$AD$319,21,0)</f>
        <v>0</v>
      </c>
      <c r="O63" s="696">
        <f>VLOOKUP(C63,TONGHOPCONGDOI!$C$251:$AD$319,22,0)</f>
        <v>0</v>
      </c>
      <c r="P63" s="696">
        <f>VLOOKUP(C63,TONGHOPCONGDOI!$C$251:$AD$319,23,0)</f>
        <v>0</v>
      </c>
      <c r="Q63" s="696">
        <f>VLOOKUP(C63,TONGHOPCONGDOI!$C$251:$AD$319,24,0)</f>
        <v>0</v>
      </c>
      <c r="R63" s="696">
        <f>VLOOKUP(C63,TONGHOPCONGDOI!$C$251:$AD$319,25,0)</f>
        <v>0</v>
      </c>
      <c r="S63" s="696"/>
      <c r="T63" s="685">
        <f t="shared" si="8"/>
        <v>0</v>
      </c>
      <c r="U63" s="685">
        <f t="shared" si="6"/>
        <v>0</v>
      </c>
      <c r="V63" s="685"/>
      <c r="W63" s="1725">
        <f t="shared" si="7"/>
        <v>0</v>
      </c>
      <c r="X63" s="696" t="e">
        <f t="shared" si="9"/>
        <v>#DIV/0!</v>
      </c>
      <c r="Y63" s="696" t="e">
        <f>#REF!</f>
        <v>#REF!</v>
      </c>
      <c r="Z63" s="696">
        <f>VLOOKUP(C63,'CNKT '!$C$256:$Z$315,24,0)</f>
        <v>0</v>
      </c>
      <c r="AA63" s="591" t="e">
        <f t="shared" si="2"/>
        <v>#DIV/0!</v>
      </c>
    </row>
    <row r="64" spans="1:27" s="591" customFormat="1" ht="50.25" hidden="1" customHeight="1">
      <c r="A64" s="684">
        <v>50</v>
      </c>
      <c r="B64" s="696" t="str">
        <f>'Chấm công KT'!D226</f>
        <v>03636</v>
      </c>
      <c r="C64" s="696" t="str">
        <f>TONGHOPCONGDOI!C300</f>
        <v>Vông Chăn</v>
      </c>
      <c r="D64" s="696"/>
      <c r="E64" s="697">
        <f>VLOOKUP(C64,TONGHOPCONGDOI!C300:Q368,15,0)</f>
        <v>0</v>
      </c>
      <c r="F64" s="696">
        <f t="shared" si="3"/>
        <v>0</v>
      </c>
      <c r="G64" s="696">
        <f>VLOOKUP(C64,TONGHOPCONGDOI!C300:AD368,16,0)</f>
        <v>0</v>
      </c>
      <c r="H64" s="696"/>
      <c r="I64" s="696">
        <f>VLOOKUP(C64,TONGHOPCONGDOI!$C$251:$S$319,17,0)</f>
        <v>0</v>
      </c>
      <c r="J64" s="1556" t="e">
        <f t="shared" si="4"/>
        <v>#DIV/0!</v>
      </c>
      <c r="K64" s="683" t="str">
        <f>VLOOKUP(C64,'BTH mủ tạp'!C296:AL362,36,0)</f>
        <v>B</v>
      </c>
      <c r="L64" s="1185" t="e">
        <f t="shared" si="5"/>
        <v>#DIV/0!</v>
      </c>
      <c r="M64" s="696">
        <f>VLOOKUP(C64,TONGHOPCONGDOI!$C$251:$AD$319,20,0)</f>
        <v>0</v>
      </c>
      <c r="N64" s="696">
        <f>VLOOKUP(C64,TONGHOPCONGDOI!$C$251:$AD$319,21,0)</f>
        <v>0</v>
      </c>
      <c r="O64" s="696">
        <f>VLOOKUP(C64,TONGHOPCONGDOI!$C$251:$AD$319,22,0)</f>
        <v>0</v>
      </c>
      <c r="P64" s="696">
        <f>VLOOKUP(C64,TONGHOPCONGDOI!$C$251:$AD$319,23,0)</f>
        <v>0</v>
      </c>
      <c r="Q64" s="696">
        <f>VLOOKUP(C64,TONGHOPCONGDOI!$C$251:$AD$319,24,0)</f>
        <v>0</v>
      </c>
      <c r="R64" s="696">
        <f>VLOOKUP(C64,TONGHOPCONGDOI!$C$251:$AD$319,25,0)</f>
        <v>0</v>
      </c>
      <c r="S64" s="696"/>
      <c r="T64" s="685">
        <f t="shared" si="8"/>
        <v>0</v>
      </c>
      <c r="U64" s="685">
        <f t="shared" si="6"/>
        <v>0</v>
      </c>
      <c r="V64" s="685"/>
      <c r="W64" s="1725">
        <f t="shared" si="7"/>
        <v>0</v>
      </c>
      <c r="X64" s="696" t="e">
        <f t="shared" si="9"/>
        <v>#DIV/0!</v>
      </c>
      <c r="Y64" s="696" t="e">
        <f>#REF!</f>
        <v>#REF!</v>
      </c>
      <c r="Z64" s="696">
        <f>VLOOKUP(C64,'CNKT '!$C$256:$Z$315,24,0)</f>
        <v>0</v>
      </c>
      <c r="AA64" s="591" t="e">
        <f t="shared" si="2"/>
        <v>#DIV/0!</v>
      </c>
    </row>
    <row r="65" spans="1:27" s="591" customFormat="1" ht="50.25" hidden="1" customHeight="1">
      <c r="A65" s="684">
        <v>51</v>
      </c>
      <c r="B65" s="696" t="str">
        <f>'Chấm công KT'!D227</f>
        <v>03637</v>
      </c>
      <c r="C65" s="696" t="str">
        <f>TONGHOPCONGDOI!C301</f>
        <v>T. Mựt</v>
      </c>
      <c r="D65" s="696"/>
      <c r="E65" s="697">
        <f>VLOOKUP(C65,TONGHOPCONGDOI!C301:Q369,15,0)</f>
        <v>0</v>
      </c>
      <c r="F65" s="696">
        <f t="shared" si="3"/>
        <v>0</v>
      </c>
      <c r="G65" s="696">
        <f>VLOOKUP(C65,TONGHOPCONGDOI!C301:AD369,16,0)</f>
        <v>0</v>
      </c>
      <c r="H65" s="696"/>
      <c r="I65" s="696">
        <f>VLOOKUP(C65,TONGHOPCONGDOI!$C$251:$S$319,17,0)</f>
        <v>0</v>
      </c>
      <c r="J65" s="1556" t="e">
        <f t="shared" si="4"/>
        <v>#DIV/0!</v>
      </c>
      <c r="K65" s="683" t="str">
        <f>VLOOKUP(C65,'BTH mủ tạp'!C297:AL363,36,0)</f>
        <v>B</v>
      </c>
      <c r="L65" s="1185" t="e">
        <f t="shared" si="5"/>
        <v>#DIV/0!</v>
      </c>
      <c r="M65" s="696">
        <f>VLOOKUP(C65,TONGHOPCONGDOI!$C$251:$AD$319,20,0)</f>
        <v>0</v>
      </c>
      <c r="N65" s="696">
        <f>VLOOKUP(C65,TONGHOPCONGDOI!$C$251:$AD$319,21,0)</f>
        <v>0</v>
      </c>
      <c r="O65" s="696">
        <f>VLOOKUP(C65,TONGHOPCONGDOI!$C$251:$AD$319,22,0)</f>
        <v>0</v>
      </c>
      <c r="P65" s="696">
        <f>VLOOKUP(C65,TONGHOPCONGDOI!$C$251:$AD$319,23,0)</f>
        <v>0</v>
      </c>
      <c r="Q65" s="696">
        <f>VLOOKUP(C65,TONGHOPCONGDOI!$C$251:$AD$319,24,0)</f>
        <v>0</v>
      </c>
      <c r="R65" s="696">
        <f>VLOOKUP(C65,TONGHOPCONGDOI!$C$251:$AD$319,25,0)</f>
        <v>0</v>
      </c>
      <c r="S65" s="696"/>
      <c r="T65" s="685">
        <f t="shared" si="8"/>
        <v>0</v>
      </c>
      <c r="U65" s="685">
        <f t="shared" si="6"/>
        <v>0</v>
      </c>
      <c r="V65" s="685"/>
      <c r="W65" s="1725">
        <f t="shared" si="7"/>
        <v>0</v>
      </c>
      <c r="X65" s="696" t="e">
        <f t="shared" si="9"/>
        <v>#DIV/0!</v>
      </c>
      <c r="Y65" s="696" t="e">
        <f>#REF!</f>
        <v>#REF!</v>
      </c>
      <c r="Z65" s="696">
        <f>VLOOKUP(C65,'CNKT '!$C$256:$Z$315,24,0)</f>
        <v>0</v>
      </c>
      <c r="AA65" s="591" t="e">
        <f t="shared" si="2"/>
        <v>#DIV/0!</v>
      </c>
    </row>
    <row r="66" spans="1:27" s="591" customFormat="1" ht="50.25" hidden="1" customHeight="1">
      <c r="A66" s="684">
        <v>52</v>
      </c>
      <c r="B66" s="696" t="str">
        <f>'Chấm công KT'!D228</f>
        <v>03638</v>
      </c>
      <c r="C66" s="696" t="str">
        <f>TONGHOPCONGDOI!C302</f>
        <v>Bun Lôm</v>
      </c>
      <c r="D66" s="696"/>
      <c r="E66" s="697">
        <f>VLOOKUP(C66,TONGHOPCONGDOI!C302:Q370,15,0)</f>
        <v>0</v>
      </c>
      <c r="F66" s="696">
        <f t="shared" si="3"/>
        <v>0</v>
      </c>
      <c r="G66" s="696">
        <f>VLOOKUP(C66,TONGHOPCONGDOI!C302:AD370,16,0)</f>
        <v>0</v>
      </c>
      <c r="H66" s="696"/>
      <c r="I66" s="696">
        <f>VLOOKUP(C66,TONGHOPCONGDOI!$C$251:$S$319,17,0)</f>
        <v>0</v>
      </c>
      <c r="J66" s="1556" t="e">
        <f t="shared" si="4"/>
        <v>#DIV/0!</v>
      </c>
      <c r="K66" s="683" t="str">
        <f>VLOOKUP(C66,'BTH mủ tạp'!C298:AL364,36,0)</f>
        <v>C</v>
      </c>
      <c r="L66" s="1185" t="e">
        <f t="shared" si="5"/>
        <v>#DIV/0!</v>
      </c>
      <c r="M66" s="696">
        <f>VLOOKUP(C66,TONGHOPCONGDOI!$C$251:$AD$319,20,0)</f>
        <v>0</v>
      </c>
      <c r="N66" s="696">
        <f>VLOOKUP(C66,TONGHOPCONGDOI!$C$251:$AD$319,21,0)</f>
        <v>0</v>
      </c>
      <c r="O66" s="696">
        <f>VLOOKUP(C66,TONGHOPCONGDOI!$C$251:$AD$319,22,0)</f>
        <v>0</v>
      </c>
      <c r="P66" s="696">
        <f>VLOOKUP(C66,TONGHOPCONGDOI!$C$251:$AD$319,23,0)</f>
        <v>0</v>
      </c>
      <c r="Q66" s="696">
        <f>VLOOKUP(C66,TONGHOPCONGDOI!$C$251:$AD$319,24,0)</f>
        <v>0</v>
      </c>
      <c r="R66" s="696">
        <f>VLOOKUP(C66,TONGHOPCONGDOI!$C$251:$AD$319,25,0)</f>
        <v>0</v>
      </c>
      <c r="S66" s="696"/>
      <c r="T66" s="685">
        <f t="shared" si="8"/>
        <v>0</v>
      </c>
      <c r="U66" s="685">
        <f t="shared" si="6"/>
        <v>0</v>
      </c>
      <c r="V66" s="685"/>
      <c r="W66" s="1725">
        <f t="shared" si="7"/>
        <v>0</v>
      </c>
      <c r="X66" s="696" t="e">
        <f t="shared" si="9"/>
        <v>#DIV/0!</v>
      </c>
      <c r="Y66" s="696" t="e">
        <f>#REF!</f>
        <v>#REF!</v>
      </c>
      <c r="Z66" s="696">
        <f>VLOOKUP(C66,'CNKT '!$C$256:$Z$315,24,0)</f>
        <v>0</v>
      </c>
      <c r="AA66" s="591" t="e">
        <f t="shared" si="2"/>
        <v>#DIV/0!</v>
      </c>
    </row>
    <row r="67" spans="1:27" s="591" customFormat="1" ht="50.25" hidden="1" customHeight="1">
      <c r="A67" s="684">
        <v>53</v>
      </c>
      <c r="B67" s="696" t="str">
        <f>'Chấm công KT'!D229</f>
        <v>03639</v>
      </c>
      <c r="C67" s="696" t="str">
        <f>TONGHOPCONGDOI!C303</f>
        <v>T. Nhã</v>
      </c>
      <c r="D67" s="696"/>
      <c r="E67" s="697">
        <f>VLOOKUP(C67,TONGHOPCONGDOI!C303:Q371,15,0)</f>
        <v>0</v>
      </c>
      <c r="F67" s="696">
        <f t="shared" si="3"/>
        <v>0</v>
      </c>
      <c r="G67" s="696">
        <f>VLOOKUP(C67,TONGHOPCONGDOI!C303:AD371,16,0)</f>
        <v>0</v>
      </c>
      <c r="H67" s="696"/>
      <c r="I67" s="696">
        <f>VLOOKUP(C67,TONGHOPCONGDOI!$C$251:$S$319,17,0)</f>
        <v>0</v>
      </c>
      <c r="J67" s="1556" t="e">
        <f t="shared" si="4"/>
        <v>#DIV/0!</v>
      </c>
      <c r="K67" s="683" t="str">
        <f>VLOOKUP(C67,'BTH mủ tạp'!C299:AL365,36,0)</f>
        <v>C</v>
      </c>
      <c r="L67" s="1185" t="e">
        <f t="shared" si="5"/>
        <v>#DIV/0!</v>
      </c>
      <c r="M67" s="696">
        <f>VLOOKUP(C67,TONGHOPCONGDOI!$C$251:$AD$319,20,0)</f>
        <v>0</v>
      </c>
      <c r="N67" s="696">
        <f>VLOOKUP(C67,TONGHOPCONGDOI!$C$251:$AD$319,21,0)</f>
        <v>0</v>
      </c>
      <c r="O67" s="696">
        <f>VLOOKUP(C67,TONGHOPCONGDOI!$C$251:$AD$319,22,0)</f>
        <v>0</v>
      </c>
      <c r="P67" s="696">
        <f>VLOOKUP(C67,TONGHOPCONGDOI!$C$251:$AD$319,23,0)</f>
        <v>0</v>
      </c>
      <c r="Q67" s="696">
        <f>VLOOKUP(C67,TONGHOPCONGDOI!$C$251:$AD$319,24,0)</f>
        <v>0</v>
      </c>
      <c r="R67" s="696">
        <f>VLOOKUP(C67,TONGHOPCONGDOI!$C$251:$AD$319,25,0)</f>
        <v>0</v>
      </c>
      <c r="S67" s="696"/>
      <c r="T67" s="685">
        <f t="shared" si="8"/>
        <v>0</v>
      </c>
      <c r="U67" s="685">
        <f t="shared" si="6"/>
        <v>0</v>
      </c>
      <c r="V67" s="685"/>
      <c r="W67" s="1725">
        <f t="shared" si="7"/>
        <v>0</v>
      </c>
      <c r="X67" s="696" t="e">
        <f t="shared" si="9"/>
        <v>#DIV/0!</v>
      </c>
      <c r="Y67" s="696" t="e">
        <f>#REF!</f>
        <v>#REF!</v>
      </c>
      <c r="Z67" s="696">
        <f>VLOOKUP(C67,'CNKT '!$C$256:$Z$315,24,0)</f>
        <v>0</v>
      </c>
      <c r="AA67" s="591" t="e">
        <f t="shared" si="2"/>
        <v>#DIV/0!</v>
      </c>
    </row>
    <row r="68" spans="1:27" s="591" customFormat="1" ht="50.25" hidden="1" customHeight="1">
      <c r="A68" s="684">
        <v>54</v>
      </c>
      <c r="B68" s="696"/>
      <c r="C68" s="696" t="str">
        <f>TONGHOPCONGDOI!C304</f>
        <v>Thảo Ỉa</v>
      </c>
      <c r="D68" s="696"/>
      <c r="E68" s="697">
        <f>VLOOKUP(C68,TONGHOPCONGDOI!C304:Q372,15,0)</f>
        <v>0</v>
      </c>
      <c r="F68" s="696">
        <f t="shared" si="3"/>
        <v>0</v>
      </c>
      <c r="G68" s="696">
        <f>VLOOKUP(C68,TONGHOPCONGDOI!C304:AD372,16,0)</f>
        <v>0</v>
      </c>
      <c r="H68" s="696"/>
      <c r="I68" s="696">
        <f>VLOOKUP(C68,TONGHOPCONGDOI!$C$251:$S$319,17,0)</f>
        <v>0</v>
      </c>
      <c r="J68" s="1556" t="e">
        <f t="shared" si="4"/>
        <v>#DIV/0!</v>
      </c>
      <c r="K68" s="683" t="s">
        <v>889</v>
      </c>
      <c r="L68" s="1185" t="e">
        <f t="shared" si="5"/>
        <v>#DIV/0!</v>
      </c>
      <c r="M68" s="696">
        <f>VLOOKUP(C68,TONGHOPCONGDOI!$C$251:$AD$319,20,0)</f>
        <v>0</v>
      </c>
      <c r="N68" s="696">
        <f>VLOOKUP(C68,TONGHOPCONGDOI!$C$251:$AD$319,21,0)</f>
        <v>0</v>
      </c>
      <c r="O68" s="696">
        <f>VLOOKUP(C68,TONGHOPCONGDOI!$C$251:$AD$319,22,0)</f>
        <v>0</v>
      </c>
      <c r="P68" s="696">
        <f>VLOOKUP(C68,TONGHOPCONGDOI!$C$251:$AD$319,23,0)</f>
        <v>0</v>
      </c>
      <c r="Q68" s="696">
        <f>VLOOKUP(C68,TONGHOPCONGDOI!$C$251:$AD$319,24,0)</f>
        <v>0</v>
      </c>
      <c r="R68" s="696">
        <f>VLOOKUP(C68,TONGHOPCONGDOI!$C$251:$AD$319,25,0)</f>
        <v>0</v>
      </c>
      <c r="S68" s="696"/>
      <c r="T68" s="685">
        <f t="shared" si="8"/>
        <v>0</v>
      </c>
      <c r="U68" s="685">
        <f t="shared" si="6"/>
        <v>0</v>
      </c>
      <c r="V68" s="685"/>
      <c r="W68" s="1725">
        <f t="shared" si="7"/>
        <v>0</v>
      </c>
      <c r="X68" s="696" t="e">
        <f t="shared" si="9"/>
        <v>#DIV/0!</v>
      </c>
      <c r="Y68" s="696" t="e">
        <f>#REF!</f>
        <v>#REF!</v>
      </c>
      <c r="Z68" s="696">
        <f>VLOOKUP(C68,'CNKT '!$C$256:$Z$315,24,0)</f>
        <v>0</v>
      </c>
      <c r="AA68" s="591" t="e">
        <f t="shared" si="2"/>
        <v>#DIV/0!</v>
      </c>
    </row>
    <row r="69" spans="1:27" s="591" customFormat="1" ht="50.25" hidden="1" customHeight="1">
      <c r="A69" s="684">
        <v>55</v>
      </c>
      <c r="B69" s="696"/>
      <c r="C69" s="696" t="str">
        <f>TONGHOPCONGDOI!C305</f>
        <v>Thảo Khăm</v>
      </c>
      <c r="D69" s="696"/>
      <c r="E69" s="697">
        <f>VLOOKUP(C69,TONGHOPCONGDOI!C305:Q373,15,0)</f>
        <v>0</v>
      </c>
      <c r="F69" s="696">
        <f t="shared" si="3"/>
        <v>0</v>
      </c>
      <c r="G69" s="696">
        <f>VLOOKUP(C69,TONGHOPCONGDOI!C305:AD373,16,0)</f>
        <v>0</v>
      </c>
      <c r="H69" s="696"/>
      <c r="I69" s="696">
        <f>VLOOKUP(C69,TONGHOPCONGDOI!$C$251:$S$319,17,0)</f>
        <v>0</v>
      </c>
      <c r="J69" s="1556" t="e">
        <f t="shared" si="4"/>
        <v>#DIV/0!</v>
      </c>
      <c r="K69" s="683" t="s">
        <v>889</v>
      </c>
      <c r="L69" s="1185" t="e">
        <f t="shared" si="5"/>
        <v>#DIV/0!</v>
      </c>
      <c r="M69" s="696">
        <f>VLOOKUP(C69,TONGHOPCONGDOI!$C$251:$AD$319,20,0)</f>
        <v>0</v>
      </c>
      <c r="N69" s="696">
        <f>VLOOKUP(C69,TONGHOPCONGDOI!$C$251:$AD$319,21,0)</f>
        <v>0</v>
      </c>
      <c r="O69" s="696">
        <f>VLOOKUP(C69,TONGHOPCONGDOI!$C$251:$AD$319,22,0)</f>
        <v>0</v>
      </c>
      <c r="P69" s="696">
        <f>VLOOKUP(C69,TONGHOPCONGDOI!$C$251:$AD$319,23,0)</f>
        <v>0</v>
      </c>
      <c r="Q69" s="696">
        <f>VLOOKUP(C69,TONGHOPCONGDOI!$C$251:$AD$319,24,0)</f>
        <v>0</v>
      </c>
      <c r="R69" s="696">
        <f>VLOOKUP(C69,TONGHOPCONGDOI!$C$251:$AD$319,25,0)</f>
        <v>0</v>
      </c>
      <c r="S69" s="696"/>
      <c r="T69" s="685">
        <f t="shared" si="8"/>
        <v>0</v>
      </c>
      <c r="U69" s="685">
        <f t="shared" si="6"/>
        <v>0</v>
      </c>
      <c r="V69" s="685"/>
      <c r="W69" s="1725">
        <f t="shared" si="7"/>
        <v>0</v>
      </c>
      <c r="X69" s="696" t="e">
        <f t="shared" si="9"/>
        <v>#DIV/0!</v>
      </c>
      <c r="Y69" s="696" t="e">
        <f>#REF!</f>
        <v>#REF!</v>
      </c>
      <c r="Z69" s="696">
        <f>VLOOKUP(C69,'CNKT '!$C$256:$Z$315,24,0)</f>
        <v>0</v>
      </c>
      <c r="AA69" s="591" t="e">
        <f t="shared" si="2"/>
        <v>#DIV/0!</v>
      </c>
    </row>
    <row r="70" spans="1:27" s="591" customFormat="1" ht="50.25" hidden="1" customHeight="1">
      <c r="A70" s="684">
        <v>56</v>
      </c>
      <c r="B70" s="696"/>
      <c r="C70" s="696" t="str">
        <f>TONGHOPCONGDOI!C306</f>
        <v>Nàng Muôn</v>
      </c>
      <c r="D70" s="696"/>
      <c r="E70" s="697">
        <f>VLOOKUP(C70,TONGHOPCONGDOI!C306:Q374,15,0)</f>
        <v>0</v>
      </c>
      <c r="F70" s="696">
        <f t="shared" si="3"/>
        <v>0</v>
      </c>
      <c r="G70" s="696">
        <f>VLOOKUP(C70,TONGHOPCONGDOI!C306:AD374,16,0)</f>
        <v>0</v>
      </c>
      <c r="H70" s="696"/>
      <c r="I70" s="696">
        <f>VLOOKUP(C70,TONGHOPCONGDOI!$C$251:$S$319,17,0)</f>
        <v>0</v>
      </c>
      <c r="J70" s="1556" t="e">
        <f t="shared" si="4"/>
        <v>#DIV/0!</v>
      </c>
      <c r="K70" s="683" t="s">
        <v>889</v>
      </c>
      <c r="L70" s="1185" t="e">
        <f t="shared" si="5"/>
        <v>#DIV/0!</v>
      </c>
      <c r="M70" s="696">
        <f>VLOOKUP(C70,TONGHOPCONGDOI!$C$251:$AD$319,20,0)</f>
        <v>0</v>
      </c>
      <c r="N70" s="696">
        <f>VLOOKUP(C70,TONGHOPCONGDOI!$C$251:$AD$319,21,0)</f>
        <v>0</v>
      </c>
      <c r="O70" s="696">
        <f>VLOOKUP(C70,TONGHOPCONGDOI!$C$251:$AD$319,22,0)</f>
        <v>0</v>
      </c>
      <c r="P70" s="696">
        <f>VLOOKUP(C70,TONGHOPCONGDOI!$C$251:$AD$319,23,0)</f>
        <v>0</v>
      </c>
      <c r="Q70" s="696">
        <f>VLOOKUP(C70,TONGHOPCONGDOI!$C$251:$AD$319,24,0)</f>
        <v>0</v>
      </c>
      <c r="R70" s="696">
        <f>VLOOKUP(C70,TONGHOPCONGDOI!$C$251:$AD$319,25,0)</f>
        <v>0</v>
      </c>
      <c r="S70" s="696"/>
      <c r="T70" s="685">
        <f t="shared" si="8"/>
        <v>0</v>
      </c>
      <c r="U70" s="685">
        <f t="shared" si="6"/>
        <v>0</v>
      </c>
      <c r="V70" s="685"/>
      <c r="W70" s="1725">
        <f t="shared" si="7"/>
        <v>0</v>
      </c>
      <c r="X70" s="696" t="e">
        <f t="shared" si="9"/>
        <v>#DIV/0!</v>
      </c>
      <c r="Y70" s="696" t="e">
        <f>#REF!</f>
        <v>#REF!</v>
      </c>
      <c r="Z70" s="696">
        <f>VLOOKUP(C70,'CNKT '!$C$256:$Z$315,24,0)</f>
        <v>0</v>
      </c>
      <c r="AA70" s="591" t="e">
        <f t="shared" si="2"/>
        <v>#DIV/0!</v>
      </c>
    </row>
    <row r="71" spans="1:27" s="591" customFormat="1" ht="50.25" hidden="1" customHeight="1">
      <c r="A71" s="684">
        <v>57</v>
      </c>
      <c r="B71" s="696"/>
      <c r="C71" s="696" t="str">
        <f>TONGHOPCONGDOI!C307</f>
        <v>Thảo Phu</v>
      </c>
      <c r="D71" s="696"/>
      <c r="E71" s="697">
        <f>VLOOKUP(C71,TONGHOPCONGDOI!C307:Q375,15,0)</f>
        <v>0</v>
      </c>
      <c r="F71" s="696">
        <f t="shared" si="3"/>
        <v>0</v>
      </c>
      <c r="G71" s="696">
        <f>VLOOKUP(C71,TONGHOPCONGDOI!C307:AD375,16,0)</f>
        <v>0</v>
      </c>
      <c r="H71" s="696"/>
      <c r="I71" s="696">
        <f>VLOOKUP(C71,TONGHOPCONGDOI!$C$251:$S$319,17,0)</f>
        <v>0</v>
      </c>
      <c r="J71" s="1556" t="e">
        <f t="shared" ref="J71:J73" si="10">$AB$9/$AB$8*G71+H71*$AB$10+I71*$AB$11</f>
        <v>#DIV/0!</v>
      </c>
      <c r="K71" s="683" t="s">
        <v>889</v>
      </c>
      <c r="L71" s="1185" t="e">
        <f t="shared" si="5"/>
        <v>#DIV/0!</v>
      </c>
      <c r="M71" s="696">
        <f>VLOOKUP(C71,TONGHOPCONGDOI!$C$251:$AD$319,20,0)</f>
        <v>0</v>
      </c>
      <c r="N71" s="696">
        <f>VLOOKUP(C71,TONGHOPCONGDOI!$C$251:$AD$319,21,0)</f>
        <v>0</v>
      </c>
      <c r="O71" s="696">
        <f>VLOOKUP(C71,TONGHOPCONGDOI!$C$251:$AD$319,22,0)</f>
        <v>0</v>
      </c>
      <c r="P71" s="696">
        <f>VLOOKUP(C71,TONGHOPCONGDOI!$C$251:$AD$319,23,0)</f>
        <v>0</v>
      </c>
      <c r="Q71" s="696">
        <f>VLOOKUP(C71,TONGHOPCONGDOI!$C$251:$AD$319,24,0)</f>
        <v>0</v>
      </c>
      <c r="R71" s="696">
        <f>VLOOKUP(C71,TONGHOPCONGDOI!$C$251:$AD$319,25,0)</f>
        <v>0</v>
      </c>
      <c r="S71" s="696"/>
      <c r="T71" s="685">
        <f t="shared" si="8"/>
        <v>0</v>
      </c>
      <c r="U71" s="685">
        <f t="shared" si="6"/>
        <v>0</v>
      </c>
      <c r="V71" s="685"/>
      <c r="W71" s="1725">
        <f t="shared" si="7"/>
        <v>0</v>
      </c>
      <c r="X71" s="696" t="e">
        <f t="shared" si="9"/>
        <v>#DIV/0!</v>
      </c>
      <c r="Y71" s="696" t="e">
        <f>#REF!</f>
        <v>#REF!</v>
      </c>
      <c r="Z71" s="696">
        <f>VLOOKUP(C71,'CNKT '!$C$256:$Z$315,24,0)</f>
        <v>0</v>
      </c>
      <c r="AA71" s="591" t="e">
        <f t="shared" si="2"/>
        <v>#DIV/0!</v>
      </c>
    </row>
    <row r="72" spans="1:27" s="591" customFormat="1" ht="50.25" hidden="1" customHeight="1">
      <c r="A72" s="684">
        <v>58</v>
      </c>
      <c r="B72" s="696"/>
      <c r="C72" s="696" t="str">
        <f>TONGHOPCONGDOI!C308</f>
        <v>Thảo Xi</v>
      </c>
      <c r="D72" s="696"/>
      <c r="E72" s="697">
        <f>VLOOKUP(C72,TONGHOPCONGDOI!C308:Q376,15,0)</f>
        <v>0</v>
      </c>
      <c r="F72" s="696">
        <f t="shared" si="3"/>
        <v>0</v>
      </c>
      <c r="G72" s="696">
        <f>VLOOKUP(C72,TONGHOPCONGDOI!C308:AD376,16,0)</f>
        <v>0</v>
      </c>
      <c r="H72" s="696"/>
      <c r="I72" s="696">
        <f>VLOOKUP(C72,TONGHOPCONGDOI!$C$251:$S$319,17,0)</f>
        <v>0</v>
      </c>
      <c r="J72" s="1556" t="e">
        <f t="shared" si="10"/>
        <v>#DIV/0!</v>
      </c>
      <c r="K72" s="683" t="s">
        <v>889</v>
      </c>
      <c r="L72" s="1185" t="e">
        <f t="shared" si="5"/>
        <v>#DIV/0!</v>
      </c>
      <c r="M72" s="696">
        <f>VLOOKUP(C72,TONGHOPCONGDOI!$C$251:$AD$319,20,0)</f>
        <v>0</v>
      </c>
      <c r="N72" s="696">
        <f>VLOOKUP(C72,TONGHOPCONGDOI!$C$251:$AD$319,21,0)</f>
        <v>0</v>
      </c>
      <c r="O72" s="696">
        <f>VLOOKUP(C72,TONGHOPCONGDOI!$C$251:$AD$319,22,0)</f>
        <v>0</v>
      </c>
      <c r="P72" s="696">
        <f>VLOOKUP(C72,TONGHOPCONGDOI!$C$251:$AD$319,23,0)</f>
        <v>0</v>
      </c>
      <c r="Q72" s="696">
        <f>VLOOKUP(C72,TONGHOPCONGDOI!$C$251:$AD$319,24,0)</f>
        <v>0</v>
      </c>
      <c r="R72" s="696">
        <f>VLOOKUP(C72,TONGHOPCONGDOI!$C$251:$AD$319,25,0)</f>
        <v>0</v>
      </c>
      <c r="S72" s="696"/>
      <c r="T72" s="685">
        <f t="shared" si="8"/>
        <v>0</v>
      </c>
      <c r="U72" s="685">
        <f t="shared" si="6"/>
        <v>0</v>
      </c>
      <c r="V72" s="685"/>
      <c r="W72" s="1725">
        <f t="shared" si="7"/>
        <v>0</v>
      </c>
      <c r="X72" s="696" t="e">
        <f t="shared" si="9"/>
        <v>#DIV/0!</v>
      </c>
      <c r="Y72" s="696" t="e">
        <f>#REF!</f>
        <v>#REF!</v>
      </c>
      <c r="Z72" s="696">
        <f>VLOOKUP(C72,'CNKT '!$C$256:$Z$315,24,0)</f>
        <v>0</v>
      </c>
      <c r="AA72" s="591" t="e">
        <f>Z72-X72</f>
        <v>#DIV/0!</v>
      </c>
    </row>
    <row r="73" spans="1:27" s="591" customFormat="1" ht="50.25" hidden="1" customHeight="1">
      <c r="A73" s="684">
        <v>59</v>
      </c>
      <c r="B73" s="696"/>
      <c r="C73" s="696" t="str">
        <f>TONGHOPCONGDOI!C309</f>
        <v>Thảo KaLy</v>
      </c>
      <c r="D73" s="696"/>
      <c r="E73" s="697">
        <f>VLOOKUP(C73,TONGHOPCONGDOI!C309:Q377,15,0)</f>
        <v>0</v>
      </c>
      <c r="F73" s="696">
        <f t="shared" si="3"/>
        <v>0</v>
      </c>
      <c r="G73" s="696">
        <f>VLOOKUP(C73,TONGHOPCONGDOI!C309:AD377,16,0)</f>
        <v>0</v>
      </c>
      <c r="H73" s="696"/>
      <c r="I73" s="696">
        <f>VLOOKUP(C73,TONGHOPCONGDOI!$C$251:$S$319,17,0)</f>
        <v>0</v>
      </c>
      <c r="J73" s="1556" t="e">
        <f t="shared" si="10"/>
        <v>#DIV/0!</v>
      </c>
      <c r="K73" s="683" t="s">
        <v>889</v>
      </c>
      <c r="L73" s="1185" t="e">
        <f t="shared" si="5"/>
        <v>#DIV/0!</v>
      </c>
      <c r="M73" s="696">
        <f>VLOOKUP(C73,TONGHOPCONGDOI!$C$251:$AD$319,20,0)</f>
        <v>0</v>
      </c>
      <c r="N73" s="696">
        <f>VLOOKUP(C73,TONGHOPCONGDOI!$C$251:$AD$319,21,0)</f>
        <v>0</v>
      </c>
      <c r="O73" s="696">
        <f>VLOOKUP(C73,TONGHOPCONGDOI!$C$251:$AD$319,22,0)</f>
        <v>0</v>
      </c>
      <c r="P73" s="696">
        <f>VLOOKUP(C73,TONGHOPCONGDOI!$C$251:$AD$319,23,0)</f>
        <v>0</v>
      </c>
      <c r="Q73" s="696">
        <f>VLOOKUP(C73,TONGHOPCONGDOI!$C$251:$AD$319,24,0)</f>
        <v>0</v>
      </c>
      <c r="R73" s="696">
        <f>VLOOKUP(C73,TONGHOPCONGDOI!$C$251:$AD$319,25,0)</f>
        <v>0</v>
      </c>
      <c r="S73" s="696"/>
      <c r="T73" s="685">
        <f t="shared" si="8"/>
        <v>0</v>
      </c>
      <c r="U73" s="685">
        <f t="shared" si="6"/>
        <v>0</v>
      </c>
      <c r="V73" s="685"/>
      <c r="W73" s="1725">
        <f t="shared" si="7"/>
        <v>0</v>
      </c>
      <c r="X73" s="696" t="e">
        <f t="shared" si="9"/>
        <v>#DIV/0!</v>
      </c>
      <c r="Y73" s="696" t="e">
        <f>#REF!</f>
        <v>#REF!</v>
      </c>
      <c r="Z73" s="696">
        <f>VLOOKUP(C73,'CNKT '!$C$256:$Z$315,24,0)</f>
        <v>0</v>
      </c>
      <c r="AA73" s="591" t="e">
        <f t="shared" si="2"/>
        <v>#DIV/0!</v>
      </c>
    </row>
    <row r="74" spans="1:27" s="591" customFormat="1" ht="50.25" hidden="1" customHeight="1">
      <c r="A74" s="684">
        <v>57</v>
      </c>
      <c r="B74" s="696"/>
      <c r="C74" s="696" t="str">
        <f>TONGHOPCONGDOI!C310</f>
        <v>Thảo Lơn</v>
      </c>
      <c r="D74" s="696"/>
      <c r="E74" s="697">
        <f>VLOOKUP(C74,TONGHOPCONGDOI!C310:Q378,15,0)</f>
        <v>0</v>
      </c>
      <c r="F74" s="696">
        <f t="shared" si="3"/>
        <v>0</v>
      </c>
      <c r="G74" s="696">
        <f>VLOOKUP(C74,TONGHOPCONGDOI!C310:AD378,16,0)</f>
        <v>0</v>
      </c>
      <c r="H74" s="696"/>
      <c r="I74" s="696">
        <f>VLOOKUP(C74,TONGHOPCONGDOI!$C$251:$S$319,17,0)</f>
        <v>0</v>
      </c>
      <c r="J74" s="1556" t="e">
        <f t="shared" ref="J74:J81" si="11">$AB$9/$AB$8*G74+H74*$AB$10+I74*$AB$11</f>
        <v>#DIV/0!</v>
      </c>
      <c r="K74" s="683" t="s">
        <v>889</v>
      </c>
      <c r="L74" s="1185" t="e">
        <f t="shared" si="5"/>
        <v>#DIV/0!</v>
      </c>
      <c r="M74" s="696">
        <f>VLOOKUP(C74,TONGHOPCONGDOI!$C$251:$AD$319,20,0)</f>
        <v>0</v>
      </c>
      <c r="N74" s="696">
        <f>VLOOKUP(C74,TONGHOPCONGDOI!$C$251:$AD$319,21,0)</f>
        <v>0</v>
      </c>
      <c r="O74" s="696">
        <f>VLOOKUP(C74,TONGHOPCONGDOI!$C$251:$AD$319,22,0)</f>
        <v>0</v>
      </c>
      <c r="P74" s="696">
        <f>VLOOKUP(C74,TONGHOPCONGDOI!$C$251:$AD$319,23,0)</f>
        <v>0</v>
      </c>
      <c r="Q74" s="696">
        <f>VLOOKUP(C74,TONGHOPCONGDOI!$C$251:$AD$319,24,0)</f>
        <v>0</v>
      </c>
      <c r="R74" s="696">
        <f>VLOOKUP(C74,TONGHOPCONGDOI!$C$251:$AD$319,25,0)</f>
        <v>0</v>
      </c>
      <c r="S74" s="696"/>
      <c r="T74" s="685">
        <f t="shared" si="8"/>
        <v>0</v>
      </c>
      <c r="U74" s="685">
        <f t="shared" si="6"/>
        <v>0</v>
      </c>
      <c r="V74" s="685"/>
      <c r="W74" s="1725">
        <f t="shared" si="7"/>
        <v>0</v>
      </c>
      <c r="X74" s="696" t="e">
        <f t="shared" si="9"/>
        <v>#DIV/0!</v>
      </c>
      <c r="Y74" s="696" t="e">
        <f>#REF!</f>
        <v>#REF!</v>
      </c>
      <c r="Z74" s="696">
        <f>VLOOKUP(C74,'CNKT '!$C$256:$Z$315,24,0)</f>
        <v>0</v>
      </c>
      <c r="AA74" s="591" t="e">
        <f t="shared" si="2"/>
        <v>#DIV/0!</v>
      </c>
    </row>
    <row r="75" spans="1:27" s="591" customFormat="1" ht="50.25" hidden="1" customHeight="1">
      <c r="A75" s="684">
        <v>58</v>
      </c>
      <c r="B75" s="696"/>
      <c r="C75" s="696" t="str">
        <f>TONGHOPCONGDOI!C311</f>
        <v>Thảo Hung</v>
      </c>
      <c r="D75" s="696"/>
      <c r="E75" s="697">
        <f>VLOOKUP(C75,TONGHOPCONGDOI!C311:Q379,15,0)</f>
        <v>0</v>
      </c>
      <c r="F75" s="696">
        <f t="shared" si="3"/>
        <v>0</v>
      </c>
      <c r="G75" s="696">
        <f>VLOOKUP(C75,TONGHOPCONGDOI!C311:AD379,16,0)</f>
        <v>0</v>
      </c>
      <c r="H75" s="696"/>
      <c r="I75" s="696">
        <f>VLOOKUP(C75,TONGHOPCONGDOI!$C$251:$S$319,17,0)</f>
        <v>0</v>
      </c>
      <c r="J75" s="1556" t="e">
        <f t="shared" si="11"/>
        <v>#DIV/0!</v>
      </c>
      <c r="K75" s="683" t="s">
        <v>889</v>
      </c>
      <c r="L75" s="1185" t="e">
        <f t="shared" si="5"/>
        <v>#DIV/0!</v>
      </c>
      <c r="M75" s="696">
        <f>VLOOKUP(C75,TONGHOPCONGDOI!$C$251:$AD$319,20,0)</f>
        <v>0</v>
      </c>
      <c r="N75" s="696">
        <f>VLOOKUP(C75,TONGHOPCONGDOI!$C$251:$AD$319,21,0)</f>
        <v>0</v>
      </c>
      <c r="O75" s="696">
        <f>VLOOKUP(C75,TONGHOPCONGDOI!$C$251:$AD$319,22,0)</f>
        <v>0</v>
      </c>
      <c r="P75" s="696">
        <f>VLOOKUP(C75,TONGHOPCONGDOI!$C$251:$AD$319,23,0)</f>
        <v>0</v>
      </c>
      <c r="Q75" s="696">
        <f>VLOOKUP(C75,TONGHOPCONGDOI!$C$251:$AD$319,24,0)</f>
        <v>0</v>
      </c>
      <c r="R75" s="696">
        <f>VLOOKUP(C75,TONGHOPCONGDOI!$C$251:$AD$319,25,0)</f>
        <v>0</v>
      </c>
      <c r="S75" s="696"/>
      <c r="T75" s="685">
        <f t="shared" si="8"/>
        <v>0</v>
      </c>
      <c r="U75" s="685">
        <f t="shared" si="6"/>
        <v>0</v>
      </c>
      <c r="V75" s="685"/>
      <c r="W75" s="1725">
        <f t="shared" si="7"/>
        <v>0</v>
      </c>
      <c r="X75" s="696" t="e">
        <f t="shared" si="9"/>
        <v>#DIV/0!</v>
      </c>
      <c r="Y75" s="696" t="e">
        <f>#REF!</f>
        <v>#REF!</v>
      </c>
      <c r="Z75" s="696">
        <f>VLOOKUP(C75,'CNKT '!$C$256:$Z$355,24,0)</f>
        <v>0</v>
      </c>
      <c r="AA75" s="591" t="e">
        <f t="shared" si="2"/>
        <v>#DIV/0!</v>
      </c>
    </row>
    <row r="76" spans="1:27" s="591" customFormat="1" ht="50.25" hidden="1" customHeight="1">
      <c r="A76" s="684">
        <v>59</v>
      </c>
      <c r="B76" s="696"/>
      <c r="C76" s="696" t="str">
        <f>TONGHOPCONGDOI!C312</f>
        <v>Thảo Khẹt</v>
      </c>
      <c r="D76" s="696"/>
      <c r="E76" s="697">
        <f>VLOOKUP(C76,TONGHOPCONGDOI!C312:Q380,15,0)</f>
        <v>0</v>
      </c>
      <c r="F76" s="696">
        <f t="shared" si="3"/>
        <v>0</v>
      </c>
      <c r="G76" s="696">
        <f>VLOOKUP(C76,TONGHOPCONGDOI!C312:AD380,16,0)</f>
        <v>0</v>
      </c>
      <c r="H76" s="696"/>
      <c r="I76" s="696">
        <f>VLOOKUP(C76,TONGHOPCONGDOI!$C$251:$S$319,17,0)</f>
        <v>0</v>
      </c>
      <c r="J76" s="1556" t="e">
        <f t="shared" si="11"/>
        <v>#DIV/0!</v>
      </c>
      <c r="K76" s="683" t="s">
        <v>889</v>
      </c>
      <c r="L76" s="1185" t="e">
        <f t="shared" si="5"/>
        <v>#DIV/0!</v>
      </c>
      <c r="M76" s="696">
        <f>VLOOKUP(C76,TONGHOPCONGDOI!$C$251:$AD$319,20,0)</f>
        <v>0</v>
      </c>
      <c r="N76" s="696">
        <f>VLOOKUP(C76,TONGHOPCONGDOI!$C$251:$AD$319,21,0)</f>
        <v>0</v>
      </c>
      <c r="O76" s="696">
        <f>VLOOKUP(C76,TONGHOPCONGDOI!$C$251:$AD$319,22,0)</f>
        <v>0</v>
      </c>
      <c r="P76" s="696">
        <f>VLOOKUP(C76,TONGHOPCONGDOI!$C$251:$AD$319,23,0)</f>
        <v>0</v>
      </c>
      <c r="Q76" s="696">
        <f>VLOOKUP(C76,TONGHOPCONGDOI!$C$251:$AD$319,24,0)</f>
        <v>0</v>
      </c>
      <c r="R76" s="696">
        <f>VLOOKUP(C76,TONGHOPCONGDOI!$C$251:$AD$319,25,0)</f>
        <v>0</v>
      </c>
      <c r="S76" s="696"/>
      <c r="T76" s="685">
        <f t="shared" si="8"/>
        <v>0</v>
      </c>
      <c r="U76" s="685">
        <f t="shared" si="6"/>
        <v>0</v>
      </c>
      <c r="V76" s="685"/>
      <c r="W76" s="1725">
        <f t="shared" si="7"/>
        <v>0</v>
      </c>
      <c r="X76" s="696" t="e">
        <f t="shared" si="9"/>
        <v>#DIV/0!</v>
      </c>
      <c r="Y76" s="696" t="e">
        <f>#REF!</f>
        <v>#REF!</v>
      </c>
      <c r="Z76" s="696">
        <f>VLOOKUP(C76,'CNKT '!$C$256:$Z$355,24,0)</f>
        <v>0</v>
      </c>
      <c r="AA76" s="591" t="e">
        <f t="shared" si="2"/>
        <v>#DIV/0!</v>
      </c>
    </row>
    <row r="77" spans="1:27" s="591" customFormat="1" ht="50.25" hidden="1" customHeight="1">
      <c r="A77" s="684">
        <v>60</v>
      </c>
      <c r="B77" s="696"/>
      <c r="C77" s="696" t="str">
        <f>TONGHOPCONGDOI!C313</f>
        <v>Thảo Dung</v>
      </c>
      <c r="D77" s="696"/>
      <c r="E77" s="697">
        <f>VLOOKUP(C77,TONGHOPCONGDOI!C313:Q381,15,0)</f>
        <v>0</v>
      </c>
      <c r="F77" s="696">
        <f t="shared" si="3"/>
        <v>0</v>
      </c>
      <c r="G77" s="696">
        <f>VLOOKUP(C77,TONGHOPCONGDOI!C313:AD381,16,0)</f>
        <v>0</v>
      </c>
      <c r="H77" s="696"/>
      <c r="I77" s="696">
        <f>VLOOKUP(C77,TONGHOPCONGDOI!$C$251:$S$319,17,0)</f>
        <v>0</v>
      </c>
      <c r="J77" s="1556" t="e">
        <f t="shared" si="11"/>
        <v>#DIV/0!</v>
      </c>
      <c r="K77" s="683" t="s">
        <v>889</v>
      </c>
      <c r="L77" s="1185" t="e">
        <f t="shared" si="5"/>
        <v>#DIV/0!</v>
      </c>
      <c r="M77" s="696">
        <f>VLOOKUP(C77,TONGHOPCONGDOI!$C$251:$AD$319,20,0)</f>
        <v>0</v>
      </c>
      <c r="N77" s="696">
        <f>VLOOKUP(C77,TONGHOPCONGDOI!$C$251:$AD$319,21,0)</f>
        <v>0</v>
      </c>
      <c r="O77" s="696">
        <f>VLOOKUP(C77,TONGHOPCONGDOI!$C$251:$AD$319,22,0)</f>
        <v>0</v>
      </c>
      <c r="P77" s="696">
        <f>VLOOKUP(C77,TONGHOPCONGDOI!$C$251:$AD$319,23,0)</f>
        <v>0</v>
      </c>
      <c r="Q77" s="696">
        <f>VLOOKUP(C77,TONGHOPCONGDOI!$C$251:$AD$319,24,0)</f>
        <v>0</v>
      </c>
      <c r="R77" s="696">
        <f>VLOOKUP(C77,TONGHOPCONGDOI!$C$251:$AD$319,25,0)</f>
        <v>0</v>
      </c>
      <c r="S77" s="696"/>
      <c r="T77" s="685">
        <f t="shared" si="8"/>
        <v>0</v>
      </c>
      <c r="U77" s="685">
        <f t="shared" si="6"/>
        <v>0</v>
      </c>
      <c r="V77" s="685"/>
      <c r="W77" s="1725">
        <f t="shared" si="7"/>
        <v>0</v>
      </c>
      <c r="X77" s="696" t="e">
        <f t="shared" si="9"/>
        <v>#DIV/0!</v>
      </c>
      <c r="Y77" s="696" t="e">
        <f>#REF!</f>
        <v>#REF!</v>
      </c>
      <c r="Z77" s="696">
        <f>VLOOKUP(C77,'CNKT '!$C$256:$Z$355,24,0)</f>
        <v>0</v>
      </c>
      <c r="AA77" s="591" t="e">
        <f t="shared" si="2"/>
        <v>#DIV/0!</v>
      </c>
    </row>
    <row r="78" spans="1:27" s="591" customFormat="1" ht="50.25" hidden="1" customHeight="1">
      <c r="A78" s="684">
        <v>61</v>
      </c>
      <c r="B78" s="696"/>
      <c r="C78" s="696" t="str">
        <f>TONGHOPCONGDOI!C314</f>
        <v>Thảo Kính</v>
      </c>
      <c r="D78" s="696"/>
      <c r="E78" s="697">
        <f>VLOOKUP(C78,TONGHOPCONGDOI!C314:Q382,15,0)</f>
        <v>0</v>
      </c>
      <c r="F78" s="696">
        <f t="shared" si="3"/>
        <v>0</v>
      </c>
      <c r="G78" s="696">
        <f>VLOOKUP(C78,TONGHOPCONGDOI!C314:AD382,16,0)</f>
        <v>0</v>
      </c>
      <c r="H78" s="696"/>
      <c r="I78" s="696">
        <f>VLOOKUP(C78,TONGHOPCONGDOI!$C$251:$S$319,17,0)</f>
        <v>0</v>
      </c>
      <c r="J78" s="1556" t="e">
        <f t="shared" si="11"/>
        <v>#DIV/0!</v>
      </c>
      <c r="K78" s="683" t="s">
        <v>889</v>
      </c>
      <c r="L78" s="1185" t="e">
        <f t="shared" si="5"/>
        <v>#DIV/0!</v>
      </c>
      <c r="M78" s="696">
        <f>VLOOKUP(C78,TONGHOPCONGDOI!$C$251:$AD$319,20,0)</f>
        <v>0</v>
      </c>
      <c r="N78" s="696">
        <f>VLOOKUP(C78,TONGHOPCONGDOI!$C$251:$AD$319,21,0)</f>
        <v>0</v>
      </c>
      <c r="O78" s="696">
        <f>VLOOKUP(C78,TONGHOPCONGDOI!$C$251:$AD$319,22,0)</f>
        <v>0</v>
      </c>
      <c r="P78" s="696">
        <f>VLOOKUP(C78,TONGHOPCONGDOI!$C$251:$AD$319,23,0)</f>
        <v>0</v>
      </c>
      <c r="Q78" s="696">
        <f>VLOOKUP(C78,TONGHOPCONGDOI!$C$251:$AD$319,24,0)</f>
        <v>0</v>
      </c>
      <c r="R78" s="696">
        <f>VLOOKUP(C78,TONGHOPCONGDOI!$C$251:$AD$319,25,0)</f>
        <v>0</v>
      </c>
      <c r="S78" s="696"/>
      <c r="T78" s="685">
        <f t="shared" si="8"/>
        <v>0</v>
      </c>
      <c r="U78" s="685">
        <f t="shared" si="6"/>
        <v>0</v>
      </c>
      <c r="V78" s="685"/>
      <c r="W78" s="1725">
        <f t="shared" si="7"/>
        <v>0</v>
      </c>
      <c r="X78" s="696" t="e">
        <f t="shared" si="9"/>
        <v>#DIV/0!</v>
      </c>
      <c r="Y78" s="696" t="e">
        <f>#REF!</f>
        <v>#REF!</v>
      </c>
      <c r="Z78" s="696">
        <f>VLOOKUP(C78,'CNKT '!$C$256:$Z$355,24,0)</f>
        <v>0</v>
      </c>
      <c r="AA78" s="591" t="e">
        <f t="shared" si="2"/>
        <v>#DIV/0!</v>
      </c>
    </row>
    <row r="79" spans="1:27" s="591" customFormat="1" ht="50.25" hidden="1" customHeight="1">
      <c r="A79" s="684">
        <v>65</v>
      </c>
      <c r="B79" s="696"/>
      <c r="C79" s="696" t="str">
        <f>TONGHOPCONGDOI!C315</f>
        <v>Thảo Ly</v>
      </c>
      <c r="D79" s="696"/>
      <c r="E79" s="697">
        <f>VLOOKUP(C79,TONGHOPCONGDOI!C315:Q383,15,0)</f>
        <v>0</v>
      </c>
      <c r="F79" s="696">
        <f t="shared" si="3"/>
        <v>0</v>
      </c>
      <c r="G79" s="696">
        <f>VLOOKUP(C79,TONGHOPCONGDOI!C315:AD383,16,0)</f>
        <v>0</v>
      </c>
      <c r="H79" s="696"/>
      <c r="I79" s="696">
        <f>VLOOKUP(C79,TONGHOPCONGDOI!$C$251:$S$319,17,0)</f>
        <v>0</v>
      </c>
      <c r="J79" s="1556" t="e">
        <f t="shared" si="11"/>
        <v>#DIV/0!</v>
      </c>
      <c r="K79" s="683" t="s">
        <v>889</v>
      </c>
      <c r="L79" s="1185" t="e">
        <f t="shared" si="5"/>
        <v>#DIV/0!</v>
      </c>
      <c r="M79" s="696">
        <f>VLOOKUP(C79,TONGHOPCONGDOI!$C$251:$AD$319,20,0)</f>
        <v>0</v>
      </c>
      <c r="N79" s="696">
        <f>VLOOKUP(C79,TONGHOPCONGDOI!$C$251:$AD$319,21,0)</f>
        <v>0</v>
      </c>
      <c r="O79" s="696">
        <f>VLOOKUP(C79,TONGHOPCONGDOI!$C$251:$AD$319,22,0)</f>
        <v>0</v>
      </c>
      <c r="P79" s="696">
        <f>VLOOKUP(C79,TONGHOPCONGDOI!$C$251:$AD$319,23,0)</f>
        <v>0</v>
      </c>
      <c r="Q79" s="696">
        <f>VLOOKUP(C79,TONGHOPCONGDOI!$C$251:$AD$319,24,0)</f>
        <v>0</v>
      </c>
      <c r="R79" s="696">
        <f>VLOOKUP(C79,TONGHOPCONGDOI!$C$251:$AD$319,25,0)</f>
        <v>0</v>
      </c>
      <c r="S79" s="696"/>
      <c r="T79" s="685">
        <f t="shared" ref="T79:T84" si="12">SUM(M79:S79)</f>
        <v>0</v>
      </c>
      <c r="U79" s="685">
        <f t="shared" si="6"/>
        <v>0</v>
      </c>
      <c r="V79" s="685"/>
      <c r="W79" s="1725">
        <f t="shared" si="7"/>
        <v>0</v>
      </c>
      <c r="X79" s="696" t="e">
        <f t="shared" ref="X79:X84" si="13">F79+L79+W79</f>
        <v>#DIV/0!</v>
      </c>
      <c r="Y79" s="696" t="e">
        <f>#REF!</f>
        <v>#REF!</v>
      </c>
      <c r="Z79" s="696">
        <f>VLOOKUP(C79,'CNKT '!$C$256:$Z$355,24,0)</f>
        <v>0</v>
      </c>
      <c r="AA79" s="591" t="e">
        <f t="shared" ref="AA79:AA84" si="14">Z79-X79</f>
        <v>#DIV/0!</v>
      </c>
    </row>
    <row r="80" spans="1:27" s="591" customFormat="1" ht="50.25" hidden="1" customHeight="1">
      <c r="A80" s="684">
        <v>66</v>
      </c>
      <c r="B80" s="696"/>
      <c r="C80" s="696" t="str">
        <f>TONGHOPCONGDOI!C316</f>
        <v>Thảo Linh</v>
      </c>
      <c r="D80" s="696"/>
      <c r="E80" s="697">
        <f>VLOOKUP(C80,TONGHOPCONGDOI!C316:Q384,15,0)</f>
        <v>0</v>
      </c>
      <c r="F80" s="696">
        <f t="shared" ref="F80:F84" si="15">E80*25000</f>
        <v>0</v>
      </c>
      <c r="G80" s="696">
        <f>VLOOKUP(C80,TONGHOPCONGDOI!C316:AD384,16,0)</f>
        <v>0</v>
      </c>
      <c r="H80" s="696"/>
      <c r="I80" s="696"/>
      <c r="J80" s="1556" t="e">
        <f t="shared" si="11"/>
        <v>#DIV/0!</v>
      </c>
      <c r="K80" s="683" t="s">
        <v>889</v>
      </c>
      <c r="L80" s="1185" t="e">
        <f t="shared" ref="L80:L81" si="16">ROUND((IF(K80="A",(G80*$Z$11*6.1),IF(K80="B",(G80*$Z$11*5.8),IF(K80="C",(G80*$Z$11*5.5),IF(K80="D",(G80*$Z$11*5.2),0))))*$E$11+(H80*$AB$10*$E$11*6.1)+I80*$E$11*$AB$11*6.1),0)</f>
        <v>#DIV/0!</v>
      </c>
      <c r="M80" s="696">
        <f>VLOOKUP(C80,TONGHOPCONGDOI!$C$251:$AD$319,20,0)</f>
        <v>0</v>
      </c>
      <c r="N80" s="696">
        <f>VLOOKUP(C80,TONGHOPCONGDOI!$C$251:$AD$319,21,0)</f>
        <v>0</v>
      </c>
      <c r="O80" s="696">
        <f>VLOOKUP(C80,TONGHOPCONGDOI!$C$251:$AD$319,22,0)</f>
        <v>0</v>
      </c>
      <c r="P80" s="696">
        <f>VLOOKUP(C80,TONGHOPCONGDOI!$C$251:$AD$319,23,0)</f>
        <v>0</v>
      </c>
      <c r="Q80" s="696">
        <f>VLOOKUP(C80,TONGHOPCONGDOI!$C$251:$AD$319,24,0)</f>
        <v>0</v>
      </c>
      <c r="R80" s="696">
        <f>VLOOKUP(C80,TONGHOPCONGDOI!$C$251:$AD$319,25,0)</f>
        <v>0</v>
      </c>
      <c r="S80" s="696"/>
      <c r="T80" s="685">
        <f t="shared" si="12"/>
        <v>0</v>
      </c>
      <c r="U80" s="685">
        <f t="shared" ref="U80:U84" si="17">SUM(M80:R80)</f>
        <v>0</v>
      </c>
      <c r="V80" s="685"/>
      <c r="W80" s="1725">
        <f t="shared" ref="W80:W81" si="18">ROUND(((M80*46.1)+(N80*76.9)+(O80*92.2)+(P80*153.8)+(Q80*92.2)+(R80*153.8))*$E$11+(S80*20000)+(T80*10000)+(U80*30000),0)</f>
        <v>0</v>
      </c>
      <c r="X80" s="696" t="e">
        <f t="shared" si="13"/>
        <v>#DIV/0!</v>
      </c>
      <c r="Y80" s="696" t="e">
        <f>#REF!</f>
        <v>#REF!</v>
      </c>
      <c r="Z80" s="696">
        <f>VLOOKUP(C80,'CNKT '!$C$256:$Z$355,24,0)</f>
        <v>0</v>
      </c>
      <c r="AA80" s="591" t="e">
        <f t="shared" si="14"/>
        <v>#DIV/0!</v>
      </c>
    </row>
    <row r="81" spans="1:29" s="591" customFormat="1" ht="50.25" hidden="1" customHeight="1">
      <c r="A81" s="684">
        <v>67</v>
      </c>
      <c r="B81" s="696"/>
      <c r="C81" s="696" t="str">
        <f>TONGHOPCONGDOI!C317</f>
        <v>T. Xinh</v>
      </c>
      <c r="D81" s="696"/>
      <c r="E81" s="697"/>
      <c r="F81" s="696"/>
      <c r="G81" s="696">
        <f>VLOOKUP(C81,TONGHOPCONGDOI!C317:AD385,16,0)</f>
        <v>0</v>
      </c>
      <c r="H81" s="696"/>
      <c r="I81" s="696"/>
      <c r="J81" s="1556" t="e">
        <f t="shared" si="11"/>
        <v>#DIV/0!</v>
      </c>
      <c r="K81" s="683" t="s">
        <v>889</v>
      </c>
      <c r="L81" s="1185" t="e">
        <f t="shared" si="16"/>
        <v>#DIV/0!</v>
      </c>
      <c r="M81" s="696">
        <f>VLOOKUP(C81,TONGHOPCONGDOI!$C$251:$AD$319,20,0)</f>
        <v>0</v>
      </c>
      <c r="N81" s="696">
        <f>VLOOKUP(C81,TONGHOPCONGDOI!$C$251:$AD$319,21,0)</f>
        <v>0</v>
      </c>
      <c r="O81" s="696">
        <f>VLOOKUP(C81,TONGHOPCONGDOI!$C$251:$AD$319,22,0)</f>
        <v>0</v>
      </c>
      <c r="P81" s="696">
        <f>VLOOKUP(C81,TONGHOPCONGDOI!$C$251:$AD$319,23,0)</f>
        <v>0</v>
      </c>
      <c r="Q81" s="696">
        <f>VLOOKUP(C81,TONGHOPCONGDOI!$C$251:$AD$319,24,0)</f>
        <v>0</v>
      </c>
      <c r="R81" s="696">
        <f>VLOOKUP(C81,TONGHOPCONGDOI!$C$251:$AD$319,25,0)</f>
        <v>0</v>
      </c>
      <c r="S81" s="696"/>
      <c r="T81" s="685">
        <f t="shared" ref="T81" si="19">SUM(M81:S81)</f>
        <v>0</v>
      </c>
      <c r="U81" s="685">
        <f t="shared" si="17"/>
        <v>0</v>
      </c>
      <c r="V81" s="685"/>
      <c r="W81" s="1725">
        <f t="shared" si="18"/>
        <v>0</v>
      </c>
      <c r="X81" s="696" t="e">
        <f t="shared" ref="X81:X82" si="20">F81+L81+W81</f>
        <v>#DIV/0!</v>
      </c>
      <c r="Y81" s="696" t="e">
        <f>#REF!</f>
        <v>#REF!</v>
      </c>
      <c r="Z81" s="696">
        <f>VLOOKUP(C81,'CNKT '!$C$256:$Z$355,24,0)</f>
        <v>0</v>
      </c>
    </row>
    <row r="82" spans="1:29" s="591" customFormat="1" ht="50.25" hidden="1" customHeight="1">
      <c r="A82" s="684">
        <v>62</v>
      </c>
      <c r="B82" s="696"/>
      <c r="C82" s="1808" t="s">
        <v>843</v>
      </c>
      <c r="D82" s="696"/>
      <c r="E82" s="697"/>
      <c r="F82" s="696"/>
      <c r="G82" s="696"/>
      <c r="H82" s="696"/>
      <c r="I82" s="696">
        <f>'BTH mủ Sỉum'!AH19</f>
        <v>0</v>
      </c>
      <c r="J82" s="1556">
        <f>'BTH mủ Sỉum'!AJ19</f>
        <v>0</v>
      </c>
      <c r="K82" s="683"/>
      <c r="L82" s="1185">
        <f>ROUND((J82*6.1*E11),0)</f>
        <v>0</v>
      </c>
      <c r="M82" s="696"/>
      <c r="N82" s="696"/>
      <c r="O82" s="696"/>
      <c r="P82" s="696"/>
      <c r="Q82" s="696"/>
      <c r="R82" s="696"/>
      <c r="S82" s="696"/>
      <c r="T82" s="685"/>
      <c r="U82" s="685">
        <f t="shared" si="17"/>
        <v>0</v>
      </c>
      <c r="V82" s="685"/>
      <c r="W82" s="1725">
        <f t="shared" ref="W82:W83" si="21">((M82*46.1)+(N82*76.9)+(O82*92.2)+(P82*153.8)+(Q82*92.2)+(R82*153.8))*$E$11+(S82*20000)+(T82*10000)+(U82*30000)</f>
        <v>0</v>
      </c>
      <c r="X82" s="696">
        <f t="shared" si="20"/>
        <v>0</v>
      </c>
      <c r="Y82" s="696"/>
      <c r="Z82" s="696">
        <f>VLOOKUP(C82,'CNKT '!$C$256:$Z$355,24,0)</f>
        <v>0</v>
      </c>
    </row>
    <row r="83" spans="1:29" s="591" customFormat="1" ht="50.25" customHeight="1">
      <c r="A83" s="684">
        <v>1</v>
      </c>
      <c r="B83" s="696"/>
      <c r="C83" s="696" t="str">
        <f>TONGHOPCONGDOI!C318</f>
        <v>T. Tý</v>
      </c>
      <c r="D83" s="696"/>
      <c r="E83" s="697">
        <f>VLOOKUP(C83,TONGHOPCONGDOI!C318:Q385,15,0)</f>
        <v>2841.86</v>
      </c>
      <c r="F83" s="684">
        <f>ROUND(E83*25000,0)</f>
        <v>71046500</v>
      </c>
      <c r="G83" s="696"/>
      <c r="H83" s="696"/>
      <c r="I83" s="696"/>
      <c r="J83" s="1556"/>
      <c r="K83" s="683"/>
      <c r="L83" s="1185"/>
      <c r="M83" s="696">
        <f>VLOOKUP(C83,TONGHOPCONGDOI!$C$251:$AD$319,20,0)</f>
        <v>0</v>
      </c>
      <c r="N83" s="696">
        <f>VLOOKUP(C83,TONGHOPCONGDOI!$C$251:$AD$319,21,0)</f>
        <v>0</v>
      </c>
      <c r="O83" s="696">
        <f>VLOOKUP(C83,TONGHOPCONGDOI!$C$251:$AD$319,22,0)</f>
        <v>0</v>
      </c>
      <c r="P83" s="696">
        <f>VLOOKUP(C83,TONGHOPCONGDOI!$C$251:$AD$319,23,0)</f>
        <v>0</v>
      </c>
      <c r="Q83" s="696">
        <f>VLOOKUP(C83,TONGHOPCONGDOI!$C$251:$AD$319,24,0)</f>
        <v>0</v>
      </c>
      <c r="R83" s="696">
        <f>VLOOKUP(C83,TONGHOPCONGDOI!$C$251:$AD$319,25,0)</f>
        <v>0</v>
      </c>
      <c r="S83" s="696"/>
      <c r="T83" s="685">
        <f t="shared" si="12"/>
        <v>0</v>
      </c>
      <c r="U83" s="685">
        <f t="shared" si="17"/>
        <v>0</v>
      </c>
      <c r="V83" s="685"/>
      <c r="W83" s="1725">
        <f t="shared" si="21"/>
        <v>0</v>
      </c>
      <c r="X83" s="696">
        <f t="shared" si="13"/>
        <v>71046500</v>
      </c>
      <c r="Y83" s="696" t="e">
        <f>#REF!</f>
        <v>#REF!</v>
      </c>
      <c r="Z83" s="696">
        <f>VLOOKUP(C83,'CNKT '!$C$256:$Z$355,24,0)</f>
        <v>71046500</v>
      </c>
      <c r="AA83" s="591">
        <f t="shared" si="14"/>
        <v>0</v>
      </c>
    </row>
    <row r="84" spans="1:29" s="591" customFormat="1" ht="50.25" hidden="1" customHeight="1">
      <c r="A84" s="684">
        <v>70</v>
      </c>
      <c r="B84" s="696"/>
      <c r="C84" s="696" t="str">
        <f>TONGHOPCONGDOI!C319</f>
        <v>T Mon D4 (Tú)</v>
      </c>
      <c r="D84" s="696"/>
      <c r="E84" s="697">
        <f>VLOOKUP(C84,TONGHOPCONGDOI!C319:Q386,15,0)</f>
        <v>0</v>
      </c>
      <c r="F84" s="696">
        <f t="shared" si="15"/>
        <v>0</v>
      </c>
      <c r="G84" s="696"/>
      <c r="H84" s="696"/>
      <c r="I84" s="696"/>
      <c r="J84" s="1556"/>
      <c r="K84" s="683"/>
      <c r="L84" s="1185"/>
      <c r="M84" s="696">
        <f>VLOOKUP(C84,TONGHOPCONGDOI!$C$251:$AD$319,20,0)</f>
        <v>0</v>
      </c>
      <c r="N84" s="696">
        <f>VLOOKUP(C84,TONGHOPCONGDOI!$C$251:$AD$319,21,0)</f>
        <v>0</v>
      </c>
      <c r="O84" s="696">
        <f>VLOOKUP(C84,TONGHOPCONGDOI!$C$251:$AD$319,22,0)</f>
        <v>0</v>
      </c>
      <c r="P84" s="696">
        <f>VLOOKUP(C84,TONGHOPCONGDOI!$C$251:$AD$319,23,0)</f>
        <v>0</v>
      </c>
      <c r="Q84" s="696">
        <f>VLOOKUP(C84,TONGHOPCONGDOI!$C$251:$AD$319,24,0)</f>
        <v>0</v>
      </c>
      <c r="R84" s="696">
        <f>VLOOKUP(C84,TONGHOPCONGDOI!$C$251:$AD$319,25,0)</f>
        <v>0</v>
      </c>
      <c r="S84" s="696"/>
      <c r="T84" s="685">
        <f t="shared" si="12"/>
        <v>0</v>
      </c>
      <c r="U84" s="685">
        <f t="shared" si="17"/>
        <v>0</v>
      </c>
      <c r="V84" s="685"/>
      <c r="W84" s="1725">
        <f t="shared" ref="W84" si="22">((M84*46.1)+(N84*76.9)+(O84*92.2)+(P84*153.8)+(Q84*92.2)+(R84*153.8))*$E$11+(S84*20000)+(T84*10000)+(U84*20000)+(V84*10000)</f>
        <v>0</v>
      </c>
      <c r="X84" s="696">
        <f t="shared" si="13"/>
        <v>0</v>
      </c>
      <c r="Y84" s="696" t="e">
        <f>#REF!</f>
        <v>#REF!</v>
      </c>
      <c r="Z84" s="696">
        <f>VLOOKUP(C84,'CNKT '!$C$256:$Z$355,24,0)</f>
        <v>0</v>
      </c>
      <c r="AA84" s="591">
        <f t="shared" si="14"/>
        <v>0</v>
      </c>
    </row>
    <row r="85" spans="1:29" s="591" customFormat="1" ht="50.25" customHeight="1">
      <c r="A85" s="1992" t="s">
        <v>785</v>
      </c>
      <c r="B85" s="1993"/>
      <c r="C85" s="1993"/>
      <c r="D85" s="1994"/>
      <c r="E85" s="682">
        <f>SUM(E15:E84)</f>
        <v>2841.86</v>
      </c>
      <c r="F85" s="682">
        <f t="shared" ref="F85:Z85" si="23">SUM(F15:F84)</f>
        <v>71046500</v>
      </c>
      <c r="G85" s="682"/>
      <c r="H85" s="682"/>
      <c r="I85" s="682"/>
      <c r="J85" s="682"/>
      <c r="K85" s="682"/>
      <c r="L85" s="682"/>
      <c r="M85" s="682"/>
      <c r="N85" s="682"/>
      <c r="O85" s="682"/>
      <c r="P85" s="682"/>
      <c r="Q85" s="682"/>
      <c r="R85" s="682"/>
      <c r="S85" s="682"/>
      <c r="T85" s="682"/>
      <c r="U85" s="682"/>
      <c r="V85" s="682"/>
      <c r="W85" s="682"/>
      <c r="X85" s="682">
        <f>X83</f>
        <v>71046500</v>
      </c>
      <c r="Y85" s="682" t="e">
        <f t="shared" si="23"/>
        <v>#REF!</v>
      </c>
      <c r="Z85" s="682">
        <f t="shared" si="23"/>
        <v>71046500</v>
      </c>
      <c r="AA85" s="591">
        <f>X85-Z85</f>
        <v>0</v>
      </c>
      <c r="AB85" s="591">
        <v>62290660</v>
      </c>
    </row>
    <row r="86" spans="1:29" ht="35.25" customHeight="1">
      <c r="A86" s="2003" t="s">
        <v>1176</v>
      </c>
      <c r="B86" s="2003"/>
      <c r="C86" s="2003"/>
      <c r="D86" s="2003"/>
      <c r="E86" s="2003"/>
      <c r="F86" s="2003"/>
      <c r="G86" s="2003"/>
      <c r="H86" s="2003"/>
      <c r="I86" s="2003"/>
      <c r="J86" s="2003"/>
      <c r="K86" s="2003"/>
      <c r="L86" s="2003"/>
      <c r="M86" s="2003"/>
      <c r="N86" s="2003"/>
      <c r="O86" s="2003"/>
      <c r="P86" s="2003"/>
      <c r="Q86" s="2003"/>
      <c r="R86" s="2003"/>
      <c r="S86" s="2003"/>
      <c r="T86" s="2003"/>
      <c r="U86" s="2003"/>
      <c r="V86" s="2003"/>
      <c r="W86" s="2003"/>
      <c r="X86" s="2003"/>
      <c r="Y86" s="2003"/>
      <c r="Z86" s="2003"/>
    </row>
    <row r="87" spans="1:29" ht="18.75" customHeight="1">
      <c r="A87" s="1728"/>
      <c r="B87" s="1728"/>
      <c r="C87" s="1728"/>
      <c r="D87" s="1728"/>
      <c r="E87" s="1728"/>
      <c r="F87" s="1728"/>
      <c r="G87" s="1728"/>
      <c r="H87" s="1728"/>
      <c r="I87" s="1728"/>
      <c r="J87" s="1728"/>
      <c r="K87" s="1728"/>
      <c r="L87" s="1728"/>
      <c r="M87" s="1728"/>
      <c r="N87" s="1728"/>
      <c r="O87" s="1728"/>
      <c r="P87" s="1728"/>
      <c r="Q87" s="1728"/>
      <c r="R87" s="1728"/>
      <c r="S87" s="1728"/>
      <c r="T87" s="1728"/>
      <c r="U87" s="1728"/>
      <c r="V87" s="1728"/>
      <c r="W87" s="1728"/>
      <c r="X87" s="1728"/>
      <c r="Y87" s="1728"/>
      <c r="Z87" s="1728"/>
    </row>
    <row r="88" spans="1:29" ht="33" customHeight="1">
      <c r="D88" s="593"/>
      <c r="E88" s="594"/>
      <c r="M88" s="599"/>
      <c r="N88" s="599"/>
      <c r="O88" s="599"/>
      <c r="P88" s="599"/>
      <c r="Q88" s="599"/>
      <c r="R88" s="599"/>
      <c r="S88" s="599"/>
      <c r="T88" s="2007" t="s">
        <v>1146</v>
      </c>
      <c r="U88" s="2007"/>
      <c r="V88" s="2007"/>
      <c r="W88" s="2007"/>
      <c r="X88" s="2007"/>
      <c r="Y88" s="2007"/>
      <c r="Z88" s="2007"/>
    </row>
    <row r="89" spans="1:29" ht="33" customHeight="1">
      <c r="D89" s="593"/>
      <c r="E89" s="594"/>
      <c r="M89" s="599"/>
      <c r="N89" s="599"/>
      <c r="O89" s="599"/>
      <c r="P89" s="599"/>
      <c r="Q89" s="599"/>
      <c r="R89" s="599"/>
      <c r="S89" s="599"/>
      <c r="X89" s="1817"/>
      <c r="Y89" s="1817"/>
      <c r="Z89" s="1817"/>
    </row>
    <row r="90" spans="1:29" s="602" customFormat="1" ht="32.25" customHeight="1">
      <c r="A90" s="2000" t="s">
        <v>46</v>
      </c>
      <c r="B90" s="2000"/>
      <c r="C90" s="2000"/>
      <c r="D90" s="2000"/>
      <c r="E90" s="2000"/>
      <c r="F90" s="1813"/>
      <c r="G90" s="604" t="s">
        <v>753</v>
      </c>
      <c r="H90" s="604"/>
      <c r="I90" s="604"/>
      <c r="K90" s="604"/>
      <c r="L90" s="2000" t="s">
        <v>101</v>
      </c>
      <c r="M90" s="2000"/>
      <c r="N90" s="2000"/>
      <c r="O90" s="2000"/>
      <c r="P90" s="2000"/>
      <c r="Q90" s="2000"/>
      <c r="R90" s="2000"/>
      <c r="S90" s="2000"/>
      <c r="T90" s="2000"/>
      <c r="U90" s="2000"/>
      <c r="V90" s="2000"/>
      <c r="W90" s="2000"/>
      <c r="X90" s="2000" t="s">
        <v>826</v>
      </c>
      <c r="Y90" s="2000"/>
      <c r="Z90" s="2000"/>
      <c r="AA90" s="604"/>
      <c r="AC90" s="602">
        <f>1442+5382</f>
        <v>6824</v>
      </c>
    </row>
    <row r="91" spans="1:29" s="602" customFormat="1" ht="32.25" customHeight="1">
      <c r="A91" s="601"/>
      <c r="C91" s="1813"/>
      <c r="D91" s="1813"/>
      <c r="E91" s="1813"/>
      <c r="F91" s="1813"/>
      <c r="G91" s="1813"/>
      <c r="H91" s="1813"/>
      <c r="I91" s="1813"/>
      <c r="J91" s="603"/>
      <c r="K91" s="1813"/>
      <c r="L91" s="604"/>
      <c r="O91" s="604"/>
      <c r="P91" s="604"/>
      <c r="Q91" s="604"/>
      <c r="R91" s="604"/>
      <c r="S91" s="604"/>
      <c r="T91" s="604"/>
      <c r="U91" s="604"/>
      <c r="V91" s="604"/>
      <c r="W91" s="605"/>
      <c r="X91" s="1813"/>
      <c r="Y91" s="1813"/>
      <c r="Z91" s="1813"/>
    </row>
    <row r="92" spans="1:29" s="602" customFormat="1" ht="32.25" customHeight="1">
      <c r="A92" s="601"/>
      <c r="C92" s="1813"/>
      <c r="D92" s="1813"/>
      <c r="E92" s="1813"/>
      <c r="F92" s="1813"/>
      <c r="G92" s="1813"/>
      <c r="H92" s="1813"/>
      <c r="I92" s="1813"/>
      <c r="J92" s="603"/>
      <c r="K92" s="1813"/>
      <c r="L92" s="604"/>
      <c r="O92" s="604"/>
      <c r="P92" s="604"/>
      <c r="Q92" s="604"/>
      <c r="R92" s="604"/>
      <c r="S92" s="604"/>
      <c r="T92" s="604"/>
      <c r="U92" s="604"/>
      <c r="V92" s="604"/>
      <c r="W92" s="605"/>
      <c r="X92" s="1813"/>
      <c r="Y92" s="1813"/>
      <c r="Z92" s="1813"/>
    </row>
    <row r="93" spans="1:29" s="602" customFormat="1" ht="32.25" customHeight="1">
      <c r="A93" s="601"/>
      <c r="C93" s="1813"/>
      <c r="D93" s="1813"/>
      <c r="E93" s="1813"/>
      <c r="F93" s="1813"/>
      <c r="G93" s="1813"/>
      <c r="H93" s="1813"/>
      <c r="I93" s="1813"/>
      <c r="J93" s="603"/>
      <c r="K93" s="1813"/>
      <c r="L93" s="606"/>
      <c r="O93" s="604"/>
      <c r="P93" s="604"/>
      <c r="Q93" s="604"/>
      <c r="R93" s="604"/>
      <c r="S93" s="604"/>
      <c r="T93" s="604"/>
      <c r="U93" s="604"/>
      <c r="V93" s="604"/>
      <c r="W93" s="604"/>
      <c r="X93" s="1813"/>
      <c r="Y93" s="1813"/>
      <c r="Z93" s="1813"/>
    </row>
    <row r="94" spans="1:29" s="602" customFormat="1" ht="32.25" customHeight="1">
      <c r="A94" s="601"/>
      <c r="C94" s="1813"/>
      <c r="D94" s="1813"/>
      <c r="E94" s="607"/>
      <c r="F94" s="1813"/>
      <c r="G94" s="1813"/>
      <c r="H94" s="1813"/>
      <c r="I94" s="1813"/>
      <c r="J94" s="603"/>
      <c r="K94" s="1813"/>
      <c r="L94" s="604"/>
      <c r="O94" s="604"/>
      <c r="P94" s="604"/>
      <c r="Q94" s="604"/>
      <c r="R94" s="604"/>
      <c r="S94" s="604"/>
      <c r="T94" s="604"/>
      <c r="U94" s="604"/>
      <c r="V94" s="604"/>
      <c r="W94" s="605"/>
      <c r="X94" s="1813"/>
      <c r="Y94" s="1813"/>
      <c r="Z94" s="1813"/>
    </row>
    <row r="95" spans="1:29" s="602" customFormat="1" ht="32.25" customHeight="1">
      <c r="A95" s="601"/>
      <c r="C95" s="1813"/>
      <c r="D95" s="607"/>
      <c r="E95" s="1814"/>
      <c r="F95" s="1813"/>
      <c r="G95" s="1813"/>
      <c r="H95" s="1813"/>
      <c r="I95" s="1813"/>
      <c r="J95" s="603"/>
      <c r="K95" s="1813"/>
      <c r="L95" s="604"/>
      <c r="O95" s="604"/>
      <c r="P95" s="604"/>
      <c r="Q95" s="604"/>
      <c r="R95" s="604"/>
      <c r="S95" s="604"/>
      <c r="T95" s="604"/>
      <c r="U95" s="604"/>
      <c r="V95" s="604"/>
      <c r="W95" s="605"/>
      <c r="X95" s="1813"/>
      <c r="Y95" s="1813"/>
      <c r="Z95" s="1813"/>
    </row>
    <row r="96" spans="1:29">
      <c r="A96" s="2001" t="s">
        <v>830</v>
      </c>
      <c r="B96" s="2001"/>
      <c r="C96" s="2001"/>
      <c r="D96" s="2001"/>
      <c r="E96" s="2001"/>
      <c r="F96" s="602"/>
      <c r="G96" s="601" t="s">
        <v>828</v>
      </c>
      <c r="H96" s="601"/>
      <c r="I96" s="601"/>
      <c r="J96" s="604"/>
      <c r="K96" s="604"/>
      <c r="L96" s="2000" t="s">
        <v>419</v>
      </c>
      <c r="M96" s="2000"/>
      <c r="N96" s="2000"/>
      <c r="O96" s="2000"/>
      <c r="P96" s="2000"/>
      <c r="Q96" s="2000"/>
      <c r="R96" s="2000"/>
      <c r="S96" s="2000"/>
      <c r="T96" s="2000"/>
      <c r="U96" s="2000"/>
      <c r="V96" s="2000"/>
      <c r="W96" s="2000"/>
      <c r="X96" s="2000" t="s">
        <v>76</v>
      </c>
      <c r="Y96" s="2000"/>
      <c r="Z96" s="2000"/>
      <c r="AA96" s="604"/>
    </row>
    <row r="97" spans="1:27">
      <c r="A97" s="601"/>
      <c r="B97" s="602"/>
      <c r="C97" s="1813"/>
      <c r="D97" s="607"/>
      <c r="E97" s="606"/>
      <c r="F97" s="608"/>
      <c r="G97" s="608"/>
      <c r="H97" s="608"/>
      <c r="I97" s="608"/>
      <c r="J97" s="603"/>
      <c r="K97" s="1813"/>
      <c r="L97" s="606"/>
      <c r="M97" s="602"/>
      <c r="N97" s="602"/>
      <c r="O97" s="604"/>
      <c r="P97" s="604"/>
      <c r="Q97" s="604"/>
      <c r="R97" s="604"/>
      <c r="S97" s="604"/>
      <c r="T97" s="604"/>
      <c r="U97" s="604"/>
      <c r="V97" s="604"/>
      <c r="X97" s="606"/>
      <c r="Y97" s="604"/>
      <c r="Z97" s="604"/>
      <c r="AA97" s="604"/>
    </row>
    <row r="98" spans="1:27">
      <c r="B98" s="595"/>
      <c r="C98" s="595"/>
      <c r="E98" s="599"/>
      <c r="J98" s="610"/>
      <c r="K98" s="610"/>
      <c r="L98" s="595"/>
      <c r="W98" s="690"/>
    </row>
    <row r="99" spans="1:27">
      <c r="B99" s="595"/>
      <c r="C99" s="599"/>
      <c r="E99" s="609"/>
      <c r="J99" s="610"/>
      <c r="K99" s="610"/>
      <c r="L99" s="595"/>
      <c r="M99" s="687"/>
      <c r="N99" s="687"/>
      <c r="O99" s="687"/>
      <c r="P99" s="687"/>
      <c r="Q99" s="687"/>
      <c r="R99" s="687"/>
      <c r="S99" s="687"/>
      <c r="T99" s="687"/>
      <c r="U99" s="687"/>
      <c r="V99" s="687"/>
      <c r="Y99" s="687"/>
      <c r="Z99" s="687"/>
    </row>
    <row r="100" spans="1:27">
      <c r="B100" s="595"/>
      <c r="C100" s="595"/>
      <c r="D100" s="599"/>
      <c r="E100" s="599"/>
      <c r="K100" s="1816"/>
      <c r="L100" s="595"/>
      <c r="Y100" s="687"/>
      <c r="Z100" s="687"/>
    </row>
    <row r="101" spans="1:27">
      <c r="B101" s="595"/>
      <c r="C101" s="599"/>
      <c r="D101" s="691"/>
      <c r="E101" s="2005"/>
      <c r="F101" s="599"/>
      <c r="G101" s="599"/>
      <c r="H101" s="599"/>
      <c r="I101" s="599"/>
      <c r="J101" s="610"/>
      <c r="K101" s="610"/>
      <c r="L101" s="688"/>
    </row>
    <row r="102" spans="1:27">
      <c r="B102" s="595"/>
      <c r="C102" s="595"/>
      <c r="E102" s="2005"/>
      <c r="F102" s="599"/>
      <c r="G102" s="599"/>
      <c r="H102" s="599"/>
      <c r="I102" s="599"/>
      <c r="J102" s="610"/>
      <c r="K102" s="610"/>
      <c r="L102" s="599"/>
    </row>
    <row r="103" spans="1:27">
      <c r="B103" s="595"/>
      <c r="C103" s="595"/>
      <c r="E103" s="2005"/>
      <c r="F103" s="599"/>
      <c r="G103" s="599"/>
      <c r="H103" s="599"/>
      <c r="I103" s="599"/>
      <c r="J103" s="610"/>
      <c r="K103" s="610"/>
      <c r="L103" s="595"/>
      <c r="M103" s="689"/>
      <c r="N103" s="689"/>
      <c r="O103" s="689"/>
      <c r="P103" s="689"/>
      <c r="Q103" s="689"/>
      <c r="R103" s="689"/>
      <c r="S103" s="689"/>
      <c r="T103" s="689"/>
      <c r="U103" s="689"/>
      <c r="V103" s="689"/>
      <c r="W103" s="689"/>
      <c r="Z103" s="599"/>
    </row>
    <row r="104" spans="1:27">
      <c r="B104" s="595"/>
      <c r="C104" s="595"/>
      <c r="E104" s="2005"/>
      <c r="F104" s="599"/>
      <c r="G104" s="599"/>
      <c r="H104" s="599"/>
      <c r="I104" s="599"/>
      <c r="J104" s="610"/>
      <c r="K104" s="610"/>
      <c r="L104" s="595"/>
      <c r="M104" s="1815"/>
      <c r="N104" s="1815"/>
      <c r="O104" s="1815"/>
      <c r="P104" s="1815"/>
      <c r="Q104" s="1815"/>
      <c r="R104" s="1815"/>
      <c r="S104" s="1815"/>
      <c r="T104" s="1815"/>
      <c r="U104" s="1815"/>
      <c r="V104" s="1815"/>
      <c r="W104" s="1815"/>
      <c r="Z104" s="599"/>
    </row>
    <row r="105" spans="1:27">
      <c r="B105" s="595"/>
      <c r="C105" s="595"/>
      <c r="E105" s="599"/>
      <c r="F105" s="599"/>
      <c r="G105" s="599"/>
      <c r="H105" s="599"/>
      <c r="I105" s="599"/>
      <c r="J105" s="610"/>
      <c r="K105" s="610"/>
      <c r="L105" s="595"/>
      <c r="M105" s="1815"/>
      <c r="N105" s="1815"/>
      <c r="O105" s="1815"/>
      <c r="P105" s="1815"/>
      <c r="Q105" s="1815"/>
      <c r="R105" s="1815"/>
      <c r="S105" s="1815"/>
      <c r="T105" s="1815"/>
      <c r="U105" s="1815"/>
      <c r="V105" s="1815"/>
      <c r="W105" s="1815"/>
      <c r="Z105" s="599"/>
    </row>
    <row r="106" spans="1:27">
      <c r="B106" s="595"/>
      <c r="C106" s="595"/>
      <c r="E106" s="599"/>
      <c r="F106" s="599"/>
      <c r="G106" s="599"/>
      <c r="H106" s="599"/>
      <c r="I106" s="599"/>
      <c r="J106" s="610"/>
      <c r="K106" s="610"/>
      <c r="L106" s="595"/>
      <c r="M106" s="1815"/>
      <c r="N106" s="1815"/>
      <c r="O106" s="1815"/>
      <c r="P106" s="1815"/>
      <c r="Q106" s="1815"/>
      <c r="R106" s="1815"/>
      <c r="S106" s="1815"/>
      <c r="T106" s="1815"/>
      <c r="U106" s="1815"/>
      <c r="V106" s="1815"/>
      <c r="W106" s="1815"/>
      <c r="Z106" s="599"/>
    </row>
    <row r="107" spans="1:27">
      <c r="B107" s="595"/>
      <c r="C107" s="595"/>
      <c r="E107" s="599"/>
      <c r="F107" s="599"/>
      <c r="G107" s="599"/>
      <c r="H107" s="599"/>
      <c r="I107" s="599"/>
      <c r="J107" s="610"/>
      <c r="K107" s="610"/>
      <c r="L107" s="595"/>
      <c r="M107" s="1815"/>
      <c r="N107" s="1815"/>
      <c r="O107" s="1815"/>
      <c r="P107" s="1815"/>
      <c r="Q107" s="1815"/>
      <c r="R107" s="1815"/>
      <c r="S107" s="1815"/>
      <c r="T107" s="1815"/>
      <c r="U107" s="1815"/>
      <c r="V107" s="1815"/>
      <c r="W107" s="1815"/>
      <c r="Z107" s="599"/>
    </row>
    <row r="108" spans="1:27">
      <c r="B108" s="595"/>
      <c r="C108" s="595"/>
      <c r="E108" s="599"/>
      <c r="F108" s="599"/>
      <c r="G108" s="599"/>
      <c r="H108" s="599"/>
      <c r="I108" s="599"/>
      <c r="J108" s="610"/>
      <c r="K108" s="610"/>
      <c r="L108" s="595"/>
      <c r="M108" s="1815"/>
      <c r="N108" s="1815"/>
      <c r="O108" s="1815"/>
      <c r="P108" s="1815"/>
      <c r="Q108" s="1815"/>
      <c r="R108" s="1815"/>
      <c r="S108" s="1815"/>
      <c r="T108" s="1815"/>
      <c r="U108" s="1815"/>
      <c r="V108" s="1815"/>
      <c r="W108" s="1815"/>
      <c r="Z108" s="599"/>
    </row>
    <row r="109" spans="1:27">
      <c r="B109" s="595"/>
      <c r="C109" s="595"/>
      <c r="E109" s="599"/>
      <c r="F109" s="599"/>
      <c r="G109" s="599"/>
      <c r="H109" s="599"/>
      <c r="I109" s="599"/>
      <c r="J109" s="610"/>
      <c r="K109" s="610"/>
      <c r="L109" s="595"/>
      <c r="M109" s="1815"/>
      <c r="N109" s="1815"/>
      <c r="O109" s="1815"/>
      <c r="P109" s="1815"/>
      <c r="Q109" s="1815"/>
      <c r="R109" s="1815"/>
      <c r="S109" s="1815"/>
      <c r="T109" s="1815"/>
      <c r="U109" s="1815"/>
      <c r="V109" s="1815"/>
      <c r="W109" s="1815"/>
      <c r="Z109" s="599"/>
    </row>
    <row r="110" spans="1:27">
      <c r="B110" s="595"/>
      <c r="C110" s="595"/>
      <c r="E110" s="599"/>
      <c r="F110" s="599"/>
      <c r="G110" s="599"/>
      <c r="H110" s="599"/>
      <c r="I110" s="599"/>
      <c r="J110" s="610"/>
      <c r="K110" s="610"/>
      <c r="L110" s="595"/>
      <c r="M110" s="1815"/>
      <c r="N110" s="1815"/>
      <c r="O110" s="1815"/>
      <c r="P110" s="1815"/>
      <c r="Q110" s="1815"/>
      <c r="R110" s="1815"/>
      <c r="S110" s="1815"/>
      <c r="T110" s="1815"/>
      <c r="U110" s="1815"/>
      <c r="V110" s="1815"/>
      <c r="W110" s="1815"/>
      <c r="Z110" s="599"/>
    </row>
    <row r="111" spans="1:27">
      <c r="B111" s="595"/>
      <c r="C111" s="595"/>
      <c r="E111" s="595"/>
      <c r="J111" s="610"/>
      <c r="K111" s="610"/>
      <c r="L111" s="595"/>
      <c r="M111" s="2006"/>
      <c r="N111" s="2006"/>
      <c r="O111" s="2006"/>
      <c r="P111" s="1816"/>
      <c r="Q111" s="1816"/>
      <c r="R111" s="1816"/>
      <c r="S111" s="1816"/>
    </row>
    <row r="112" spans="1:27">
      <c r="B112" s="595"/>
      <c r="C112" s="595"/>
      <c r="E112" s="595"/>
      <c r="J112" s="1810"/>
      <c r="K112" s="1810"/>
      <c r="L112" s="595"/>
      <c r="O112" s="687"/>
      <c r="P112" s="687"/>
      <c r="Q112" s="687"/>
      <c r="R112" s="687"/>
      <c r="S112" s="687"/>
      <c r="T112" s="687"/>
      <c r="U112" s="687"/>
      <c r="V112" s="687"/>
      <c r="W112" s="687"/>
    </row>
    <row r="113" spans="1:26">
      <c r="B113" s="595"/>
      <c r="C113" s="595"/>
      <c r="E113" s="599"/>
      <c r="J113" s="610"/>
      <c r="K113" s="610"/>
      <c r="L113" s="595"/>
    </row>
    <row r="114" spans="1:26">
      <c r="B114" s="595"/>
      <c r="C114" s="595"/>
      <c r="E114" s="599"/>
      <c r="J114" s="610"/>
      <c r="K114" s="610"/>
      <c r="L114" s="595"/>
    </row>
    <row r="115" spans="1:26">
      <c r="B115" s="595"/>
      <c r="C115" s="595"/>
      <c r="E115" s="599"/>
      <c r="J115" s="610"/>
      <c r="K115" s="610"/>
      <c r="L115" s="595"/>
    </row>
    <row r="116" spans="1:26">
      <c r="A116" s="595"/>
      <c r="J116" s="610"/>
      <c r="K116" s="610"/>
      <c r="Z116" s="687"/>
    </row>
    <row r="117" spans="1:26">
      <c r="A117" s="595"/>
      <c r="J117" s="610"/>
      <c r="K117" s="610"/>
      <c r="Z117" s="687"/>
    </row>
    <row r="118" spans="1:26">
      <c r="A118" s="595"/>
      <c r="J118" s="610"/>
      <c r="K118" s="610"/>
      <c r="Z118" s="1816"/>
    </row>
    <row r="119" spans="1:26">
      <c r="A119" s="595"/>
      <c r="J119" s="610"/>
      <c r="K119" s="610"/>
      <c r="Z119" s="1816"/>
    </row>
    <row r="120" spans="1:26">
      <c r="A120" s="595"/>
      <c r="J120" s="610"/>
      <c r="K120" s="610"/>
      <c r="Z120" s="1816"/>
    </row>
    <row r="121" spans="1:26" ht="28.5" customHeight="1">
      <c r="A121" s="595"/>
      <c r="B121" s="1821"/>
      <c r="J121" s="1996"/>
      <c r="K121" s="1996"/>
      <c r="T121" s="2006"/>
      <c r="U121" s="2006"/>
      <c r="V121" s="2006"/>
      <c r="W121" s="2006"/>
      <c r="X121" s="687"/>
    </row>
    <row r="122" spans="1:26">
      <c r="A122" s="595"/>
      <c r="B122" s="693"/>
      <c r="F122" s="599"/>
      <c r="G122" s="599"/>
      <c r="H122" s="599"/>
      <c r="I122" s="599"/>
      <c r="J122" s="610"/>
      <c r="K122" s="610"/>
    </row>
    <row r="123" spans="1:26">
      <c r="A123" s="595"/>
      <c r="B123" s="693"/>
      <c r="E123" s="687"/>
      <c r="J123" s="610"/>
      <c r="K123" s="694"/>
    </row>
    <row r="124" spans="1:26">
      <c r="A124" s="595"/>
      <c r="B124" s="693"/>
      <c r="J124" s="610"/>
      <c r="K124" s="694"/>
    </row>
    <row r="125" spans="1:26">
      <c r="A125" s="595"/>
      <c r="F125" s="595" t="e">
        <f>#REF!+#REF!+#REF!+#REF!</f>
        <v>#REF!</v>
      </c>
      <c r="J125" s="610" t="e">
        <f>#REF!+#REF!+#REF!+#REF!</f>
        <v>#REF!</v>
      </c>
      <c r="K125" s="694"/>
    </row>
    <row r="126" spans="1:26">
      <c r="A126" s="595"/>
      <c r="F126" s="1996" t="e">
        <f>SUM(J122:K125)</f>
        <v>#REF!</v>
      </c>
      <c r="G126" s="1996"/>
      <c r="H126" s="1996"/>
      <c r="I126" s="1996"/>
      <c r="J126" s="1996"/>
      <c r="K126" s="694"/>
      <c r="L126" s="598" t="e">
        <f>F126-F85</f>
        <v>#REF!</v>
      </c>
    </row>
    <row r="128" spans="1:26">
      <c r="A128" s="595"/>
      <c r="J128" s="2002" t="e">
        <f>+#REF!+#REF!+#REF!+#REF!+1000000</f>
        <v>#REF!</v>
      </c>
      <c r="K128" s="2002"/>
    </row>
    <row r="130" spans="1:23">
      <c r="A130" s="595"/>
      <c r="F130" s="599"/>
      <c r="G130" s="599"/>
      <c r="H130" s="599"/>
      <c r="I130" s="599"/>
      <c r="J130" s="610"/>
    </row>
    <row r="131" spans="1:23">
      <c r="A131" s="595"/>
      <c r="M131" s="599"/>
      <c r="N131" s="599"/>
    </row>
    <row r="135" spans="1:23">
      <c r="A135" s="595"/>
      <c r="F135" s="599">
        <v>2551.8899999999994</v>
      </c>
      <c r="G135" s="599"/>
      <c r="H135" s="599"/>
      <c r="I135" s="599"/>
    </row>
    <row r="136" spans="1:23">
      <c r="A136" s="595"/>
      <c r="B136" s="595"/>
      <c r="C136" s="595"/>
      <c r="E136" s="595"/>
      <c r="F136" s="599">
        <f>+F122-F135</f>
        <v>-2551.8899999999994</v>
      </c>
      <c r="G136" s="599"/>
      <c r="H136" s="599"/>
      <c r="I136" s="599"/>
    </row>
    <row r="142" spans="1:23">
      <c r="A142" s="595"/>
      <c r="B142" s="595"/>
      <c r="C142" s="595"/>
      <c r="E142" s="595"/>
      <c r="K142" s="597">
        <v>1678</v>
      </c>
      <c r="L142" s="598">
        <v>1573</v>
      </c>
      <c r="M142" s="595">
        <v>1187</v>
      </c>
      <c r="O142" s="595">
        <v>1183</v>
      </c>
      <c r="W142" s="595">
        <f>SUM(K142:O142)</f>
        <v>5621</v>
      </c>
    </row>
    <row r="143" spans="1:23">
      <c r="A143" s="595"/>
      <c r="B143" s="595"/>
      <c r="C143" s="595"/>
      <c r="E143" s="595"/>
      <c r="K143" s="597">
        <v>257</v>
      </c>
      <c r="L143" s="598">
        <v>244</v>
      </c>
      <c r="M143" s="595">
        <v>183</v>
      </c>
      <c r="O143" s="595">
        <v>182</v>
      </c>
      <c r="W143" s="595">
        <f>SUM(K143:O143)</f>
        <v>866</v>
      </c>
    </row>
    <row r="144" spans="1:23">
      <c r="A144" s="595"/>
      <c r="B144" s="595"/>
      <c r="C144" s="595"/>
      <c r="E144" s="595"/>
      <c r="K144" s="597">
        <v>1935</v>
      </c>
      <c r="L144" s="598">
        <v>1817</v>
      </c>
      <c r="M144" s="595">
        <v>1370</v>
      </c>
      <c r="O144" s="595">
        <v>1365</v>
      </c>
      <c r="W144" s="595">
        <f>SUM(K144:O144)</f>
        <v>6487</v>
      </c>
    </row>
  </sheetData>
  <mergeCells count="34">
    <mergeCell ref="M13:W13"/>
    <mergeCell ref="C12:C14"/>
    <mergeCell ref="J128:K128"/>
    <mergeCell ref="E101:E104"/>
    <mergeCell ref="M111:O111"/>
    <mergeCell ref="J121:K121"/>
    <mergeCell ref="T121:W121"/>
    <mergeCell ref="F126:J126"/>
    <mergeCell ref="T88:Z88"/>
    <mergeCell ref="A96:E96"/>
    <mergeCell ref="D12:D14"/>
    <mergeCell ref="E12:W12"/>
    <mergeCell ref="A2:Z2"/>
    <mergeCell ref="A3:Z3"/>
    <mergeCell ref="A6:J6"/>
    <mergeCell ref="A9:Z9"/>
    <mergeCell ref="A4:Z4"/>
    <mergeCell ref="A7:J7"/>
    <mergeCell ref="X11:Y11"/>
    <mergeCell ref="C11:D11"/>
    <mergeCell ref="L96:W96"/>
    <mergeCell ref="A90:E90"/>
    <mergeCell ref="L90:W90"/>
    <mergeCell ref="E13:F13"/>
    <mergeCell ref="X12:X14"/>
    <mergeCell ref="G13:L13"/>
    <mergeCell ref="Y12:Y14"/>
    <mergeCell ref="A86:Z86"/>
    <mergeCell ref="Z12:Z14"/>
    <mergeCell ref="A12:A14"/>
    <mergeCell ref="X90:Z90"/>
    <mergeCell ref="X96:Z96"/>
    <mergeCell ref="B12:B14"/>
    <mergeCell ref="A85:D85"/>
  </mergeCells>
  <printOptions horizontalCentered="1"/>
  <pageMargins left="0.196850393700787" right="0.15748031496063" top="0.23622047244094499" bottom="0.196850393700787" header="0.15748031496063" footer="0.196850393700787"/>
  <pageSetup paperSize="9" scale="45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77"/>
  <sheetViews>
    <sheetView topLeftCell="A97" zoomScale="70" zoomScaleNormal="70" zoomScaleSheetLayoutView="70" workbookViewId="0">
      <selection activeCell="X339" sqref="X339:AC339"/>
    </sheetView>
  </sheetViews>
  <sheetFormatPr defaultColWidth="9.42578125" defaultRowHeight="48" customHeight="1"/>
  <cols>
    <col min="1" max="1" width="6" style="1285" customWidth="1"/>
    <col min="2" max="2" width="10.5703125" style="1826" customWidth="1"/>
    <col min="3" max="3" width="15.7109375" style="1286" customWidth="1"/>
    <col min="4" max="4" width="10.140625" style="1287" customWidth="1"/>
    <col min="5" max="5" width="14.7109375" style="1288" customWidth="1"/>
    <col min="6" max="6" width="15.140625" style="1287" customWidth="1"/>
    <col min="7" max="7" width="14" style="1287" customWidth="1"/>
    <col min="8" max="8" width="11.140625" style="1287" hidden="1" customWidth="1"/>
    <col min="9" max="9" width="12.42578125" style="1287" customWidth="1"/>
    <col min="10" max="10" width="16.42578125" style="1289" customWidth="1"/>
    <col min="11" max="11" width="9.140625" style="1833" customWidth="1"/>
    <col min="12" max="12" width="17.7109375" style="1290" customWidth="1"/>
    <col min="13" max="14" width="13" style="1287" customWidth="1"/>
    <col min="15" max="16" width="12.85546875" style="1287" hidden="1" customWidth="1"/>
    <col min="17" max="17" width="12.85546875" style="1287" customWidth="1"/>
    <col min="18" max="18" width="12.85546875" style="1287" hidden="1" customWidth="1"/>
    <col min="19" max="19" width="11" style="1287" hidden="1" customWidth="1"/>
    <col min="20" max="20" width="12.28515625" style="1287" customWidth="1"/>
    <col min="21" max="21" width="11.5703125" style="1287" customWidth="1"/>
    <col min="22" max="22" width="11.5703125" style="1287" hidden="1" customWidth="1"/>
    <col min="23" max="23" width="17.42578125" style="1287" customWidth="1"/>
    <col min="24" max="24" width="18.42578125" style="1287" customWidth="1"/>
    <col min="25" max="25" width="15.85546875" style="1287" hidden="1" customWidth="1"/>
    <col min="26" max="26" width="19" style="1287" customWidth="1"/>
    <col min="27" max="27" width="16.7109375" style="1287" hidden="1" customWidth="1"/>
    <col min="28" max="28" width="16.7109375" style="1287" customWidth="1"/>
    <col min="29" max="30" width="14.5703125" style="1287" customWidth="1"/>
    <col min="31" max="31" width="27.42578125" style="1059" customWidth="1"/>
    <col min="32" max="32" width="16.28515625" style="1059" customWidth="1"/>
    <col min="33" max="33" width="16" style="1059" customWidth="1"/>
    <col min="34" max="34" width="14.5703125" style="1059" customWidth="1"/>
    <col min="35" max="35" width="11.5703125" style="1059" bestFit="1" customWidth="1"/>
    <col min="36" max="36" width="16.140625" style="1059" customWidth="1"/>
    <col min="37" max="37" width="9.42578125" style="1059"/>
    <col min="38" max="38" width="16" style="1059" customWidth="1"/>
    <col min="39" max="16384" width="9.42578125" style="1287"/>
  </cols>
  <sheetData>
    <row r="1" spans="1:38" ht="10.5" customHeight="1"/>
    <row r="2" spans="1:38" ht="17.25" customHeight="1">
      <c r="AE2" s="2045" t="s">
        <v>875</v>
      </c>
      <c r="AF2" s="2045"/>
    </row>
    <row r="3" spans="1:38" ht="25.5" customHeight="1">
      <c r="A3" s="2046" t="s">
        <v>90</v>
      </c>
      <c r="B3" s="2046"/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  <c r="O3" s="2046"/>
      <c r="P3" s="2046"/>
      <c r="Q3" s="2046"/>
      <c r="R3" s="2046"/>
      <c r="S3" s="2046"/>
      <c r="T3" s="2046"/>
      <c r="U3" s="2046"/>
      <c r="V3" s="2046"/>
      <c r="W3" s="2046"/>
      <c r="X3" s="2046"/>
      <c r="Y3" s="2046"/>
      <c r="Z3" s="2046"/>
      <c r="AA3" s="2046"/>
      <c r="AB3" s="2046"/>
      <c r="AC3" s="2046"/>
      <c r="AD3" s="1825"/>
      <c r="AE3" s="1553" t="s">
        <v>50</v>
      </c>
      <c r="AF3" s="1291">
        <v>368.4</v>
      </c>
    </row>
    <row r="4" spans="1:38" ht="25.5" customHeight="1">
      <c r="A4" s="2046" t="s">
        <v>56</v>
      </c>
      <c r="B4" s="2046"/>
      <c r="C4" s="2046"/>
      <c r="D4" s="2046"/>
      <c r="E4" s="2046"/>
      <c r="F4" s="2046"/>
      <c r="G4" s="2046"/>
      <c r="H4" s="2046"/>
      <c r="I4" s="2046"/>
      <c r="J4" s="2046"/>
      <c r="K4" s="2046"/>
      <c r="L4" s="2046"/>
      <c r="M4" s="2046"/>
      <c r="N4" s="2046"/>
      <c r="O4" s="2046"/>
      <c r="P4" s="2046"/>
      <c r="Q4" s="2046"/>
      <c r="R4" s="2046"/>
      <c r="S4" s="2046"/>
      <c r="T4" s="2046"/>
      <c r="U4" s="2046"/>
      <c r="V4" s="2046"/>
      <c r="W4" s="2046"/>
      <c r="X4" s="2046"/>
      <c r="Y4" s="2046"/>
      <c r="Z4" s="2046"/>
      <c r="AA4" s="2046"/>
      <c r="AB4" s="2046"/>
      <c r="AC4" s="2046"/>
      <c r="AD4" s="1825"/>
      <c r="AE4" s="1553" t="s">
        <v>844</v>
      </c>
      <c r="AF4" s="1292">
        <v>146.995</v>
      </c>
    </row>
    <row r="5" spans="1:38" ht="25.5" customHeight="1">
      <c r="A5" s="2000" t="s">
        <v>604</v>
      </c>
      <c r="B5" s="2000"/>
      <c r="C5" s="2000"/>
      <c r="D5" s="2000"/>
      <c r="E5" s="2000"/>
      <c r="F5" s="2000"/>
      <c r="G5" s="2000"/>
      <c r="H5" s="2000"/>
      <c r="I5" s="2000"/>
      <c r="J5" s="2000"/>
      <c r="K5" s="2000"/>
      <c r="L5" s="2000"/>
      <c r="M5" s="2000"/>
      <c r="N5" s="2000"/>
      <c r="O5" s="2000"/>
      <c r="P5" s="2000"/>
      <c r="Q5" s="2000"/>
      <c r="R5" s="2000"/>
      <c r="S5" s="2000"/>
      <c r="T5" s="2000"/>
      <c r="U5" s="2000"/>
      <c r="V5" s="2000"/>
      <c r="W5" s="2000"/>
      <c r="X5" s="2000"/>
      <c r="Y5" s="2000"/>
      <c r="Z5" s="2000"/>
      <c r="AA5" s="2000"/>
      <c r="AB5" s="2000"/>
      <c r="AC5" s="2000"/>
      <c r="AD5" s="1813"/>
      <c r="AE5" s="1729" t="s">
        <v>845</v>
      </c>
    </row>
    <row r="6" spans="1:38" ht="25.5" customHeight="1">
      <c r="A6" s="2047" t="s">
        <v>5</v>
      </c>
      <c r="B6" s="2047"/>
      <c r="C6" s="2047"/>
      <c r="D6" s="2047"/>
      <c r="E6" s="2047"/>
      <c r="F6" s="2047"/>
      <c r="G6" s="2047"/>
      <c r="H6" s="1827"/>
      <c r="I6" s="1827"/>
      <c r="J6" s="1293"/>
      <c r="K6" s="1293"/>
      <c r="L6" s="1293"/>
      <c r="M6" s="1293"/>
      <c r="N6" s="1293"/>
      <c r="O6" s="1293"/>
      <c r="P6" s="1293"/>
      <c r="Q6" s="1293"/>
      <c r="R6" s="1293"/>
      <c r="S6" s="1293"/>
      <c r="T6" s="1293"/>
      <c r="U6" s="1293"/>
      <c r="V6" s="1293"/>
      <c r="W6" s="1294"/>
      <c r="X6" s="1294"/>
      <c r="Y6" s="1294"/>
      <c r="Z6" s="1294"/>
      <c r="AA6" s="1294"/>
      <c r="AB6" s="1294"/>
      <c r="AE6" s="2048" t="s">
        <v>219</v>
      </c>
      <c r="AF6" s="2048"/>
      <c r="AG6" s="2048" t="s">
        <v>175</v>
      </c>
      <c r="AH6" s="2048"/>
      <c r="AI6" s="2048" t="s">
        <v>220</v>
      </c>
      <c r="AJ6" s="2048"/>
      <c r="AK6" s="2048" t="s">
        <v>176</v>
      </c>
      <c r="AL6" s="2048"/>
    </row>
    <row r="7" spans="1:38" ht="25.5" customHeight="1">
      <c r="A7" s="2049" t="s">
        <v>101</v>
      </c>
      <c r="B7" s="2049"/>
      <c r="C7" s="2049"/>
      <c r="D7" s="2049"/>
      <c r="E7" s="2049"/>
      <c r="F7" s="2049"/>
      <c r="G7" s="2049"/>
      <c r="H7" s="1827"/>
      <c r="I7" s="1827"/>
      <c r="J7" s="1293"/>
      <c r="K7" s="1293"/>
      <c r="L7" s="1293"/>
      <c r="M7" s="1293"/>
      <c r="N7" s="1293"/>
      <c r="O7" s="1293"/>
      <c r="P7" s="1293"/>
      <c r="Q7" s="1293"/>
      <c r="R7" s="1293"/>
      <c r="S7" s="1293"/>
      <c r="T7" s="1293"/>
      <c r="U7" s="1293"/>
      <c r="V7" s="1293"/>
      <c r="W7" s="1294"/>
      <c r="X7" s="1294"/>
      <c r="Y7" s="1294"/>
      <c r="Z7" s="1294"/>
      <c r="AA7" s="1294"/>
      <c r="AB7" s="1294"/>
      <c r="AE7" s="1730" t="s">
        <v>50</v>
      </c>
      <c r="AF7" s="1722">
        <f>'BTH mủ tạp'!$AI$14</f>
        <v>0</v>
      </c>
      <c r="AG7" s="1730" t="s">
        <v>50</v>
      </c>
      <c r="AH7" s="1722">
        <f>'BTH mủ tạp'!$AI$96</f>
        <v>0</v>
      </c>
      <c r="AI7" s="1730" t="s">
        <v>50</v>
      </c>
      <c r="AJ7" s="1722">
        <f>'BTH mủ tạp'!AI182</f>
        <v>0</v>
      </c>
      <c r="AK7" s="1730" t="s">
        <v>50</v>
      </c>
      <c r="AL7" s="1722">
        <f>'BTH mủ tạp'!AI246</f>
        <v>0</v>
      </c>
    </row>
    <row r="8" spans="1:38" ht="22.5" customHeight="1">
      <c r="A8" s="1827"/>
      <c r="B8" s="1827"/>
      <c r="C8" s="1827"/>
      <c r="D8" s="1827"/>
      <c r="E8" s="1827"/>
      <c r="F8" s="1295"/>
      <c r="G8" s="1295"/>
      <c r="H8" s="1295"/>
      <c r="I8" s="1295"/>
      <c r="J8" s="1293"/>
      <c r="K8" s="1293"/>
      <c r="L8" s="1293"/>
      <c r="M8" s="1293"/>
      <c r="N8" s="1293"/>
      <c r="O8" s="1293"/>
      <c r="P8" s="1293"/>
      <c r="Q8" s="1293"/>
      <c r="R8" s="1293"/>
      <c r="S8" s="1293"/>
      <c r="T8" s="1293"/>
      <c r="U8" s="1293"/>
      <c r="V8" s="1293"/>
      <c r="W8" s="1294"/>
      <c r="X8" s="1731">
        <f>AF4/AF3</f>
        <v>0.39900922909880571</v>
      </c>
      <c r="Y8" s="1294"/>
      <c r="Z8" s="1294"/>
      <c r="AA8" s="1294"/>
      <c r="AB8" s="1294"/>
      <c r="AE8" s="1730" t="s">
        <v>844</v>
      </c>
      <c r="AF8" s="1722">
        <f>'BTH mủ tạp'!$AK$14</f>
        <v>0</v>
      </c>
      <c r="AG8" s="1730" t="s">
        <v>844</v>
      </c>
      <c r="AH8" s="1722">
        <f>'BTH mủ tạp'!$AK$96</f>
        <v>0</v>
      </c>
      <c r="AI8" s="1730" t="s">
        <v>844</v>
      </c>
      <c r="AJ8" s="1722">
        <f>'BTH mủ tạp'!AK182</f>
        <v>0</v>
      </c>
      <c r="AK8" s="1730" t="s">
        <v>844</v>
      </c>
      <c r="AL8" s="1722">
        <f>'BTH mủ tạp'!AK246</f>
        <v>0</v>
      </c>
    </row>
    <row r="9" spans="1:38" s="1296" customFormat="1" ht="32.25" customHeight="1">
      <c r="A9" s="2010" t="s">
        <v>1145</v>
      </c>
      <c r="B9" s="2010"/>
      <c r="C9" s="2010"/>
      <c r="D9" s="2010"/>
      <c r="E9" s="2010"/>
      <c r="F9" s="2010"/>
      <c r="G9" s="2010"/>
      <c r="H9" s="2010"/>
      <c r="I9" s="2010"/>
      <c r="J9" s="2010"/>
      <c r="K9" s="2010"/>
      <c r="L9" s="2010"/>
      <c r="M9" s="2010"/>
      <c r="N9" s="2010"/>
      <c r="O9" s="2010"/>
      <c r="P9" s="2010"/>
      <c r="Q9" s="2010"/>
      <c r="R9" s="2010"/>
      <c r="S9" s="2010"/>
      <c r="T9" s="2010"/>
      <c r="U9" s="2010"/>
      <c r="V9" s="2010"/>
      <c r="W9" s="2010"/>
      <c r="X9" s="2010"/>
      <c r="Y9" s="2010"/>
      <c r="Z9" s="2010"/>
      <c r="AA9" s="2010"/>
      <c r="AB9" s="2010"/>
      <c r="AC9" s="2010"/>
      <c r="AD9" s="1820"/>
      <c r="AE9" s="1729" t="s">
        <v>845</v>
      </c>
      <c r="AF9" s="1732">
        <v>0.5</v>
      </c>
      <c r="AG9" s="1733" t="s">
        <v>845</v>
      </c>
      <c r="AH9" s="1732">
        <v>0.5</v>
      </c>
      <c r="AI9" s="1733" t="s">
        <v>845</v>
      </c>
      <c r="AJ9" s="1732">
        <v>0.5</v>
      </c>
      <c r="AK9" s="1733" t="s">
        <v>845</v>
      </c>
      <c r="AL9" s="1732">
        <v>0.5</v>
      </c>
    </row>
    <row r="10" spans="1:38" s="1296" customFormat="1" ht="18.75" customHeight="1">
      <c r="A10" s="1297"/>
      <c r="B10" s="1298"/>
      <c r="F10" s="1299"/>
      <c r="K10" s="1298"/>
      <c r="L10" s="1298"/>
      <c r="M10" s="1298"/>
      <c r="N10" s="1298"/>
      <c r="O10" s="1298"/>
      <c r="P10" s="1298"/>
      <c r="Q10" s="1298"/>
      <c r="R10" s="1298"/>
      <c r="S10" s="1298"/>
      <c r="T10" s="1298"/>
      <c r="U10" s="1298"/>
      <c r="V10" s="1298"/>
      <c r="W10" s="1880" t="s">
        <v>876</v>
      </c>
      <c r="X10" s="1880" t="s">
        <v>877</v>
      </c>
      <c r="Y10" s="1880" t="s">
        <v>876</v>
      </c>
      <c r="Z10" s="1880" t="s">
        <v>878</v>
      </c>
      <c r="AA10" s="1880" t="s">
        <v>876</v>
      </c>
      <c r="AB10" s="1880"/>
      <c r="AC10" s="1880" t="s">
        <v>879</v>
      </c>
      <c r="AD10" s="1734"/>
      <c r="AE10" s="1729" t="s">
        <v>846</v>
      </c>
      <c r="AF10" s="1732">
        <v>0.2</v>
      </c>
      <c r="AG10" s="1733" t="s">
        <v>846</v>
      </c>
      <c r="AH10" s="1732">
        <v>0.2</v>
      </c>
      <c r="AI10" s="1733" t="s">
        <v>846</v>
      </c>
      <c r="AJ10" s="1732">
        <v>0.2</v>
      </c>
      <c r="AK10" s="1733" t="s">
        <v>846</v>
      </c>
      <c r="AL10" s="1732">
        <v>0.2</v>
      </c>
    </row>
    <row r="11" spans="1:38" ht="24" customHeight="1">
      <c r="A11" s="1300"/>
      <c r="B11" s="1301"/>
      <c r="C11" s="2043" t="s">
        <v>613</v>
      </c>
      <c r="D11" s="2043"/>
      <c r="E11" s="1699">
        <v>656</v>
      </c>
      <c r="F11" s="1302"/>
      <c r="G11" s="1302"/>
      <c r="H11" s="1302"/>
      <c r="I11" s="1302"/>
      <c r="J11" s="1303"/>
      <c r="K11" s="1304"/>
      <c r="L11" s="1305"/>
      <c r="M11" s="1306"/>
      <c r="N11" s="1306"/>
      <c r="O11" s="1306"/>
      <c r="P11" s="1306"/>
      <c r="Q11" s="1306"/>
      <c r="R11" s="1306"/>
      <c r="S11" s="1306"/>
      <c r="T11" s="1306"/>
      <c r="U11" s="1306"/>
      <c r="V11" s="1306"/>
      <c r="W11" s="1881" t="e">
        <f>AF8/AF7</f>
        <v>#DIV/0!</v>
      </c>
      <c r="X11" s="2044" t="e">
        <f>AH8/AH7</f>
        <v>#DIV/0!</v>
      </c>
      <c r="Y11" s="2044"/>
      <c r="Z11" s="1882" t="e">
        <f>AJ8/AJ7</f>
        <v>#DIV/0!</v>
      </c>
      <c r="AA11" s="1883"/>
      <c r="AB11" s="1883"/>
      <c r="AC11" s="1884" t="e">
        <f>AL8/AL7</f>
        <v>#DIV/0!</v>
      </c>
      <c r="AD11" s="1735"/>
    </row>
    <row r="12" spans="1:38" s="1827" customFormat="1" ht="24.75" customHeight="1">
      <c r="A12" s="2037" t="s">
        <v>11</v>
      </c>
      <c r="B12" s="2037" t="s">
        <v>145</v>
      </c>
      <c r="C12" s="2041" t="s">
        <v>29</v>
      </c>
      <c r="D12" s="2037" t="s">
        <v>33</v>
      </c>
      <c r="E12" s="2042" t="s">
        <v>34</v>
      </c>
      <c r="F12" s="2042"/>
      <c r="G12" s="2042"/>
      <c r="H12" s="2042"/>
      <c r="I12" s="2042"/>
      <c r="J12" s="2042"/>
      <c r="K12" s="2042"/>
      <c r="L12" s="2042"/>
      <c r="M12" s="2042"/>
      <c r="N12" s="2042"/>
      <c r="O12" s="2042"/>
      <c r="P12" s="2042"/>
      <c r="Q12" s="2042"/>
      <c r="R12" s="2042"/>
      <c r="S12" s="2042"/>
      <c r="T12" s="2042"/>
      <c r="U12" s="2042"/>
      <c r="V12" s="2042"/>
      <c r="W12" s="2042"/>
      <c r="X12" s="2036" t="s">
        <v>750</v>
      </c>
      <c r="Y12" s="2036" t="s">
        <v>275</v>
      </c>
      <c r="Z12" s="2036" t="s">
        <v>752</v>
      </c>
      <c r="AA12" s="1307" t="s">
        <v>35</v>
      </c>
      <c r="AB12" s="2038" t="s">
        <v>417</v>
      </c>
      <c r="AC12" s="2035" t="s">
        <v>106</v>
      </c>
      <c r="AD12" s="1455"/>
      <c r="AE12" s="1308"/>
      <c r="AF12" s="1308"/>
      <c r="AG12" s="1308"/>
      <c r="AH12" s="1308"/>
      <c r="AI12" s="1308"/>
      <c r="AJ12" s="1308"/>
      <c r="AK12" s="1308"/>
      <c r="AL12" s="1308"/>
    </row>
    <row r="13" spans="1:38" s="1827" customFormat="1" ht="39" customHeight="1">
      <c r="A13" s="2037"/>
      <c r="B13" s="2037"/>
      <c r="C13" s="2041"/>
      <c r="D13" s="2037"/>
      <c r="E13" s="2037" t="s">
        <v>751</v>
      </c>
      <c r="F13" s="2037"/>
      <c r="G13" s="2036" t="s">
        <v>37</v>
      </c>
      <c r="H13" s="2036"/>
      <c r="I13" s="2036"/>
      <c r="J13" s="2036"/>
      <c r="K13" s="2036"/>
      <c r="L13" s="2036"/>
      <c r="M13" s="2036" t="s">
        <v>38</v>
      </c>
      <c r="N13" s="2036"/>
      <c r="O13" s="2036"/>
      <c r="P13" s="2036"/>
      <c r="Q13" s="2036"/>
      <c r="R13" s="2036"/>
      <c r="S13" s="2036"/>
      <c r="T13" s="2036"/>
      <c r="U13" s="2036"/>
      <c r="V13" s="2036"/>
      <c r="W13" s="2036"/>
      <c r="X13" s="2036"/>
      <c r="Y13" s="2036"/>
      <c r="Z13" s="2036"/>
      <c r="AA13" s="1307"/>
      <c r="AB13" s="2039"/>
      <c r="AC13" s="2035"/>
      <c r="AD13" s="1455"/>
      <c r="AE13" s="1308"/>
      <c r="AF13" s="1308"/>
      <c r="AG13" s="1308"/>
      <c r="AH13" s="1308"/>
      <c r="AI13" s="1308"/>
      <c r="AJ13" s="1308"/>
      <c r="AK13" s="1308"/>
      <c r="AL13" s="1308"/>
    </row>
    <row r="14" spans="1:38" s="1317" customFormat="1" ht="94.5" customHeight="1">
      <c r="A14" s="2037"/>
      <c r="B14" s="2037"/>
      <c r="C14" s="2041"/>
      <c r="D14" s="2037"/>
      <c r="E14" s="1309" t="s">
        <v>115</v>
      </c>
      <c r="F14" s="1575" t="s">
        <v>40</v>
      </c>
      <c r="G14" s="1824" t="s">
        <v>749</v>
      </c>
      <c r="H14" s="1824" t="s">
        <v>837</v>
      </c>
      <c r="I14" s="1310" t="s">
        <v>847</v>
      </c>
      <c r="J14" s="884" t="s">
        <v>838</v>
      </c>
      <c r="K14" s="1311" t="s">
        <v>41</v>
      </c>
      <c r="L14" s="1311" t="s">
        <v>42</v>
      </c>
      <c r="M14" s="1312" t="s">
        <v>880</v>
      </c>
      <c r="N14" s="1313" t="s">
        <v>927</v>
      </c>
      <c r="O14" s="1313" t="s">
        <v>928</v>
      </c>
      <c r="P14" s="1313" t="s">
        <v>929</v>
      </c>
      <c r="Q14" s="1313" t="s">
        <v>930</v>
      </c>
      <c r="R14" s="1313" t="s">
        <v>931</v>
      </c>
      <c r="S14" s="1823" t="s">
        <v>488</v>
      </c>
      <c r="T14" s="1314" t="s">
        <v>1015</v>
      </c>
      <c r="U14" s="1314" t="s">
        <v>1168</v>
      </c>
      <c r="V14" s="1314"/>
      <c r="W14" s="1315" t="s">
        <v>32</v>
      </c>
      <c r="X14" s="2036"/>
      <c r="Y14" s="2036"/>
      <c r="Z14" s="2036"/>
      <c r="AA14" s="1307"/>
      <c r="AB14" s="2040"/>
      <c r="AC14" s="2035"/>
      <c r="AD14" s="1455"/>
      <c r="AE14" s="1316"/>
      <c r="AF14" s="1316"/>
      <c r="AG14" s="1316"/>
      <c r="AH14" s="1316"/>
      <c r="AI14" s="1316"/>
      <c r="AJ14" s="1316"/>
      <c r="AK14" s="1316"/>
      <c r="AL14" s="1316"/>
    </row>
    <row r="15" spans="1:38" s="1827" customFormat="1" ht="33.75" customHeight="1">
      <c r="A15" s="1824" t="s">
        <v>114</v>
      </c>
      <c r="B15" s="2035" t="s">
        <v>182</v>
      </c>
      <c r="C15" s="2035"/>
      <c r="D15" s="2035"/>
      <c r="E15" s="1318">
        <f xml:space="preserve"> SUM(E16:E99)</f>
        <v>3813.57</v>
      </c>
      <c r="F15" s="1318">
        <f t="shared" ref="F15:Z15" si="0" xml:space="preserve"> SUM(F16:F99)</f>
        <v>95339251</v>
      </c>
      <c r="G15" s="1318"/>
      <c r="H15" s="1318"/>
      <c r="I15" s="1318"/>
      <c r="J15" s="1318"/>
      <c r="K15" s="1318"/>
      <c r="L15" s="1318"/>
      <c r="M15" s="1318"/>
      <c r="N15" s="1318"/>
      <c r="O15" s="1318"/>
      <c r="P15" s="1318"/>
      <c r="Q15" s="1318"/>
      <c r="R15" s="1318"/>
      <c r="S15" s="1318"/>
      <c r="T15" s="1318"/>
      <c r="U15" s="1318"/>
      <c r="V15" s="1318"/>
      <c r="W15" s="1318"/>
      <c r="X15" s="1318">
        <f t="shared" si="0"/>
        <v>95339251</v>
      </c>
      <c r="Y15" s="1318">
        <f t="shared" si="0"/>
        <v>0</v>
      </c>
      <c r="Z15" s="1318">
        <f t="shared" si="0"/>
        <v>95339251</v>
      </c>
      <c r="AA15" s="1318">
        <f t="shared" ref="AA15" si="1" xml:space="preserve"> SUM(AA16:AA99)</f>
        <v>0</v>
      </c>
      <c r="AB15" s="1318"/>
      <c r="AC15" s="1571"/>
      <c r="AD15" s="1572"/>
      <c r="AE15" s="1308"/>
      <c r="AF15" s="1308"/>
      <c r="AG15" s="1308"/>
      <c r="AH15" s="1308"/>
      <c r="AI15" s="1308"/>
      <c r="AJ15" s="1308"/>
      <c r="AK15" s="1308"/>
      <c r="AL15" s="1308"/>
    </row>
    <row r="16" spans="1:38" s="1317" customFormat="1" ht="33" hidden="1" customHeight="1">
      <c r="A16" s="1319">
        <v>1</v>
      </c>
      <c r="B16" s="1319" t="str">
        <f>'Chấm công KT'!D11</f>
        <v>03456</v>
      </c>
      <c r="C16" s="1320" t="str">
        <f>TONGHOPCONGDOI!C11</f>
        <v>T. Vôn</v>
      </c>
      <c r="D16" s="1319" t="s">
        <v>43</v>
      </c>
      <c r="E16" s="1321"/>
      <c r="F16" s="373"/>
      <c r="G16" s="373"/>
      <c r="H16" s="373"/>
      <c r="I16" s="373"/>
      <c r="J16" s="1322"/>
      <c r="K16" s="1323"/>
      <c r="L16" s="1324"/>
      <c r="M16" s="1325"/>
      <c r="N16" s="1325"/>
      <c r="O16" s="1325"/>
      <c r="P16" s="1325"/>
      <c r="Q16" s="1325"/>
      <c r="R16" s="1325"/>
      <c r="S16" s="1325"/>
      <c r="T16" s="1369"/>
      <c r="U16" s="1369"/>
      <c r="V16" s="1369"/>
      <c r="W16" s="1325"/>
      <c r="X16" s="1325">
        <f t="shared" ref="X16:X47" si="2">F16+L16+W16</f>
        <v>0</v>
      </c>
      <c r="Y16" s="373"/>
      <c r="Z16" s="1326">
        <f>X16-Y16</f>
        <v>0</v>
      </c>
      <c r="AA16" s="373"/>
      <c r="AB16" s="373"/>
      <c r="AC16" s="1326"/>
      <c r="AD16" s="1456"/>
      <c r="AE16" s="1316">
        <v>6103270</v>
      </c>
      <c r="AF16" s="1316"/>
      <c r="AG16" s="1316">
        <f>O16*76.9*$E$11</f>
        <v>0</v>
      </c>
      <c r="AH16" s="1316"/>
      <c r="AI16" s="1316"/>
      <c r="AJ16" s="1316"/>
      <c r="AK16" s="1316"/>
      <c r="AL16" s="1316"/>
    </row>
    <row r="17" spans="1:38" s="1317" customFormat="1" ht="33" hidden="1" customHeight="1">
      <c r="A17" s="1319">
        <v>2</v>
      </c>
      <c r="B17" s="1319"/>
      <c r="C17" s="1320" t="str">
        <f>TONGHOPCONGDOI!C12</f>
        <v>T. Feng</v>
      </c>
      <c r="D17" s="1319" t="s">
        <v>43</v>
      </c>
      <c r="E17" s="1321"/>
      <c r="F17" s="373"/>
      <c r="G17" s="373"/>
      <c r="H17" s="373"/>
      <c r="I17" s="373"/>
      <c r="J17" s="1322"/>
      <c r="K17" s="1323"/>
      <c r="L17" s="1324"/>
      <c r="M17" s="1325"/>
      <c r="N17" s="1325"/>
      <c r="O17" s="1325"/>
      <c r="P17" s="1325"/>
      <c r="Q17" s="1325"/>
      <c r="R17" s="1325"/>
      <c r="S17" s="1325"/>
      <c r="T17" s="1369"/>
      <c r="U17" s="1369"/>
      <c r="V17" s="1369"/>
      <c r="W17" s="1325"/>
      <c r="X17" s="1325">
        <f t="shared" si="2"/>
        <v>0</v>
      </c>
      <c r="Y17" s="373"/>
      <c r="Z17" s="1327">
        <f>X17-Y17</f>
        <v>0</v>
      </c>
      <c r="AA17" s="373"/>
      <c r="AB17" s="373"/>
      <c r="AC17" s="1326"/>
      <c r="AD17" s="1456"/>
      <c r="AE17" s="1316"/>
      <c r="AF17" s="1316"/>
      <c r="AG17" s="1316"/>
      <c r="AH17" s="1316"/>
      <c r="AI17" s="1316"/>
      <c r="AJ17" s="1316"/>
      <c r="AK17" s="1316"/>
      <c r="AL17" s="1316"/>
    </row>
    <row r="18" spans="1:38" s="1317" customFormat="1" ht="33" hidden="1" customHeight="1">
      <c r="A18" s="1319">
        <v>3</v>
      </c>
      <c r="B18" s="1319" t="str">
        <f>'Chấm công KT'!D13</f>
        <v>02725</v>
      </c>
      <c r="C18" s="1320" t="str">
        <f>TONGHOPCONGDOI!C13</f>
        <v>T. Sa Văn</v>
      </c>
      <c r="D18" s="1319" t="s">
        <v>43</v>
      </c>
      <c r="E18" s="1321"/>
      <c r="F18" s="373"/>
      <c r="G18" s="373"/>
      <c r="H18" s="373"/>
      <c r="I18" s="373"/>
      <c r="J18" s="1322"/>
      <c r="K18" s="1323"/>
      <c r="L18" s="1324"/>
      <c r="M18" s="1325"/>
      <c r="N18" s="1325"/>
      <c r="O18" s="1325"/>
      <c r="P18" s="1325"/>
      <c r="Q18" s="1325"/>
      <c r="R18" s="1325"/>
      <c r="S18" s="1325"/>
      <c r="T18" s="1369"/>
      <c r="U18" s="1369"/>
      <c r="V18" s="1369"/>
      <c r="W18" s="1325"/>
      <c r="X18" s="1325">
        <f t="shared" si="2"/>
        <v>0</v>
      </c>
      <c r="Y18" s="373"/>
      <c r="Z18" s="1327">
        <f t="shared" ref="Z18:Z81" si="3">X18-Y18</f>
        <v>0</v>
      </c>
      <c r="AA18" s="373"/>
      <c r="AB18" s="373"/>
      <c r="AC18" s="1326"/>
      <c r="AD18" s="1456"/>
      <c r="AE18" s="1316"/>
      <c r="AF18" s="1316"/>
      <c r="AG18" s="1316"/>
      <c r="AH18" s="1316"/>
      <c r="AI18" s="1316"/>
      <c r="AJ18" s="1316"/>
      <c r="AK18" s="1316"/>
      <c r="AL18" s="1316"/>
    </row>
    <row r="19" spans="1:38" s="1317" customFormat="1" ht="33" hidden="1" customHeight="1">
      <c r="A19" s="1319">
        <v>4</v>
      </c>
      <c r="B19" s="1319" t="str">
        <f>'Chấm công KT'!D14</f>
        <v>03458</v>
      </c>
      <c r="C19" s="1320" t="str">
        <f>TONGHOPCONGDOI!C14</f>
        <v>N. Pheng Mi</v>
      </c>
      <c r="D19" s="1319" t="s">
        <v>43</v>
      </c>
      <c r="E19" s="1321"/>
      <c r="F19" s="373"/>
      <c r="G19" s="373"/>
      <c r="H19" s="373"/>
      <c r="I19" s="373"/>
      <c r="J19" s="1322"/>
      <c r="K19" s="1323"/>
      <c r="L19" s="1324"/>
      <c r="M19" s="1325"/>
      <c r="N19" s="1325"/>
      <c r="O19" s="1325"/>
      <c r="P19" s="1325"/>
      <c r="Q19" s="1325"/>
      <c r="R19" s="1325"/>
      <c r="S19" s="1325"/>
      <c r="T19" s="1369"/>
      <c r="U19" s="1369"/>
      <c r="V19" s="1369"/>
      <c r="W19" s="1325"/>
      <c r="X19" s="1325">
        <f t="shared" si="2"/>
        <v>0</v>
      </c>
      <c r="Y19" s="373"/>
      <c r="Z19" s="1327">
        <f t="shared" si="3"/>
        <v>0</v>
      </c>
      <c r="AA19" s="373"/>
      <c r="AB19" s="373"/>
      <c r="AC19" s="1326"/>
      <c r="AD19" s="1456"/>
      <c r="AE19" s="1316"/>
      <c r="AF19" s="1316"/>
      <c r="AG19" s="1316"/>
      <c r="AH19" s="1316"/>
      <c r="AI19" s="1316"/>
      <c r="AJ19" s="1316"/>
      <c r="AK19" s="1316"/>
      <c r="AL19" s="1316"/>
    </row>
    <row r="20" spans="1:38" s="1317" customFormat="1" ht="33" hidden="1" customHeight="1">
      <c r="A20" s="1319">
        <v>5</v>
      </c>
      <c r="B20" s="1319" t="str">
        <f>'Chấm công KT'!D15</f>
        <v>03459</v>
      </c>
      <c r="C20" s="1320" t="str">
        <f>TONGHOPCONGDOI!C15</f>
        <v>N. Vạt</v>
      </c>
      <c r="D20" s="1319" t="s">
        <v>43</v>
      </c>
      <c r="E20" s="1321"/>
      <c r="F20" s="373"/>
      <c r="G20" s="373"/>
      <c r="H20" s="373"/>
      <c r="I20" s="373"/>
      <c r="J20" s="1322"/>
      <c r="K20" s="1323"/>
      <c r="L20" s="1324"/>
      <c r="M20" s="1325"/>
      <c r="N20" s="1325"/>
      <c r="O20" s="1325"/>
      <c r="P20" s="1325"/>
      <c r="Q20" s="1325"/>
      <c r="R20" s="1325"/>
      <c r="S20" s="1325"/>
      <c r="T20" s="1369"/>
      <c r="U20" s="1369"/>
      <c r="V20" s="1369"/>
      <c r="W20" s="1325"/>
      <c r="X20" s="1325">
        <f t="shared" si="2"/>
        <v>0</v>
      </c>
      <c r="Y20" s="373"/>
      <c r="Z20" s="1327">
        <f t="shared" si="3"/>
        <v>0</v>
      </c>
      <c r="AA20" s="373"/>
      <c r="AB20" s="373"/>
      <c r="AC20" s="1326"/>
      <c r="AD20" s="1456"/>
      <c r="AE20" s="1316"/>
      <c r="AF20" s="1316"/>
      <c r="AG20" s="1316"/>
      <c r="AH20" s="1316"/>
      <c r="AI20" s="1316"/>
      <c r="AJ20" s="1316"/>
      <c r="AK20" s="1316"/>
      <c r="AL20" s="1316"/>
    </row>
    <row r="21" spans="1:38" s="1317" customFormat="1" ht="33" hidden="1" customHeight="1">
      <c r="A21" s="1319">
        <v>6</v>
      </c>
      <c r="B21" s="1319" t="str">
        <f>'Chấm công KT'!D16</f>
        <v>03460</v>
      </c>
      <c r="C21" s="1320" t="str">
        <f>TONGHOPCONGDOI!C16</f>
        <v>T. Tích</v>
      </c>
      <c r="D21" s="1319" t="s">
        <v>43</v>
      </c>
      <c r="E21" s="1321"/>
      <c r="F21" s="373"/>
      <c r="G21" s="373"/>
      <c r="H21" s="373"/>
      <c r="I21" s="373"/>
      <c r="J21" s="1322"/>
      <c r="K21" s="1323"/>
      <c r="L21" s="1324"/>
      <c r="M21" s="1325"/>
      <c r="N21" s="1325"/>
      <c r="O21" s="1325"/>
      <c r="P21" s="1325"/>
      <c r="Q21" s="1325"/>
      <c r="R21" s="1325"/>
      <c r="S21" s="1325"/>
      <c r="T21" s="1369"/>
      <c r="U21" s="1369"/>
      <c r="V21" s="1369"/>
      <c r="W21" s="1325"/>
      <c r="X21" s="1325">
        <f t="shared" si="2"/>
        <v>0</v>
      </c>
      <c r="Y21" s="373"/>
      <c r="Z21" s="1327">
        <f t="shared" si="3"/>
        <v>0</v>
      </c>
      <c r="AA21" s="373"/>
      <c r="AB21" s="373"/>
      <c r="AC21" s="1326"/>
      <c r="AD21" s="1456"/>
      <c r="AE21" s="1316"/>
      <c r="AF21" s="1316"/>
      <c r="AG21" s="1316"/>
      <c r="AH21" s="1316"/>
      <c r="AI21" s="1316"/>
      <c r="AJ21" s="1316"/>
      <c r="AK21" s="1316"/>
      <c r="AL21" s="1316"/>
    </row>
    <row r="22" spans="1:38" s="1317" customFormat="1" ht="33" hidden="1" customHeight="1">
      <c r="A22" s="1319">
        <v>7</v>
      </c>
      <c r="B22" s="1319" t="str">
        <f>'Chấm công KT'!D17</f>
        <v>03461</v>
      </c>
      <c r="C22" s="1320" t="str">
        <f>TONGHOPCONGDOI!C17</f>
        <v>T. Bi Ly</v>
      </c>
      <c r="D22" s="1319" t="s">
        <v>43</v>
      </c>
      <c r="E22" s="1321"/>
      <c r="F22" s="373"/>
      <c r="G22" s="373"/>
      <c r="H22" s="373"/>
      <c r="I22" s="373"/>
      <c r="J22" s="1322"/>
      <c r="K22" s="1323"/>
      <c r="L22" s="1324"/>
      <c r="M22" s="1325"/>
      <c r="N22" s="1325"/>
      <c r="O22" s="1325"/>
      <c r="P22" s="1325"/>
      <c r="Q22" s="1325"/>
      <c r="R22" s="1325"/>
      <c r="S22" s="1325"/>
      <c r="T22" s="1369"/>
      <c r="U22" s="1369"/>
      <c r="V22" s="1369"/>
      <c r="W22" s="1325"/>
      <c r="X22" s="1325">
        <f t="shared" si="2"/>
        <v>0</v>
      </c>
      <c r="Y22" s="373"/>
      <c r="Z22" s="1327">
        <f t="shared" si="3"/>
        <v>0</v>
      </c>
      <c r="AA22" s="373"/>
      <c r="AB22" s="373"/>
      <c r="AC22" s="1326"/>
      <c r="AD22" s="1456"/>
      <c r="AE22" s="1316"/>
      <c r="AF22" s="1316"/>
      <c r="AG22" s="1316"/>
      <c r="AH22" s="1316"/>
      <c r="AI22" s="1316"/>
      <c r="AJ22" s="1316"/>
      <c r="AK22" s="1316"/>
      <c r="AL22" s="1316"/>
    </row>
    <row r="23" spans="1:38" s="1317" customFormat="1" ht="33" hidden="1" customHeight="1">
      <c r="A23" s="1319">
        <v>8</v>
      </c>
      <c r="B23" s="1319" t="str">
        <f>'Chấm công KT'!D18</f>
        <v>03462</v>
      </c>
      <c r="C23" s="1320" t="str">
        <f>TONGHOPCONGDOI!C18</f>
        <v>T . Bua Ngân</v>
      </c>
      <c r="D23" s="1319" t="s">
        <v>43</v>
      </c>
      <c r="E23" s="1321"/>
      <c r="F23" s="373"/>
      <c r="G23" s="373"/>
      <c r="H23" s="373"/>
      <c r="I23" s="373"/>
      <c r="J23" s="1322"/>
      <c r="K23" s="1323"/>
      <c r="L23" s="1324"/>
      <c r="M23" s="1325"/>
      <c r="N23" s="1325"/>
      <c r="O23" s="1325"/>
      <c r="P23" s="1325"/>
      <c r="Q23" s="1325"/>
      <c r="R23" s="1325"/>
      <c r="S23" s="1325"/>
      <c r="T23" s="1369"/>
      <c r="U23" s="1369"/>
      <c r="V23" s="1369"/>
      <c r="W23" s="1325"/>
      <c r="X23" s="1325">
        <f t="shared" si="2"/>
        <v>0</v>
      </c>
      <c r="Y23" s="373"/>
      <c r="Z23" s="1327">
        <f t="shared" si="3"/>
        <v>0</v>
      </c>
      <c r="AA23" s="373"/>
      <c r="AB23" s="373"/>
      <c r="AC23" s="1326"/>
      <c r="AD23" s="1456"/>
      <c r="AE23" s="1316"/>
      <c r="AF23" s="1316"/>
      <c r="AG23" s="1316"/>
      <c r="AH23" s="1316"/>
      <c r="AI23" s="1316"/>
      <c r="AJ23" s="1316"/>
      <c r="AK23" s="1316"/>
      <c r="AL23" s="1316"/>
    </row>
    <row r="24" spans="1:38" s="1317" customFormat="1" ht="33" hidden="1" customHeight="1">
      <c r="A24" s="1319">
        <v>9</v>
      </c>
      <c r="B24" s="1319" t="str">
        <f>'Chấm công KT'!D19</f>
        <v>03463</v>
      </c>
      <c r="C24" s="1320" t="str">
        <f>TONGHOPCONGDOI!C19</f>
        <v>T Căng</v>
      </c>
      <c r="D24" s="1319" t="s">
        <v>43</v>
      </c>
      <c r="E24" s="1321"/>
      <c r="F24" s="373"/>
      <c r="G24" s="373"/>
      <c r="H24" s="373"/>
      <c r="I24" s="373"/>
      <c r="J24" s="1322"/>
      <c r="K24" s="1323"/>
      <c r="L24" s="1324"/>
      <c r="M24" s="1325"/>
      <c r="N24" s="1325"/>
      <c r="O24" s="1325"/>
      <c r="P24" s="1325"/>
      <c r="Q24" s="1325"/>
      <c r="R24" s="1325"/>
      <c r="S24" s="1325"/>
      <c r="T24" s="1369"/>
      <c r="U24" s="1369"/>
      <c r="V24" s="1369"/>
      <c r="W24" s="1325"/>
      <c r="X24" s="1325">
        <f t="shared" si="2"/>
        <v>0</v>
      </c>
      <c r="Y24" s="373"/>
      <c r="Z24" s="1327">
        <f t="shared" si="3"/>
        <v>0</v>
      </c>
      <c r="AA24" s="373"/>
      <c r="AB24" s="373"/>
      <c r="AC24" s="1326"/>
      <c r="AD24" s="1456"/>
      <c r="AE24" s="1316"/>
      <c r="AF24" s="1316"/>
      <c r="AG24" s="1316"/>
      <c r="AH24" s="1316"/>
      <c r="AI24" s="1316">
        <f>6.1*653.23</f>
        <v>3984.703</v>
      </c>
      <c r="AJ24" s="1316"/>
      <c r="AK24" s="1316"/>
      <c r="AL24" s="1316"/>
    </row>
    <row r="25" spans="1:38" s="1317" customFormat="1" ht="33" hidden="1" customHeight="1">
      <c r="A25" s="1319">
        <v>10</v>
      </c>
      <c r="B25" s="1319" t="str">
        <f>'Chấm công KT'!D20</f>
        <v>03464</v>
      </c>
      <c r="C25" s="1320" t="str">
        <f>TONGHOPCONGDOI!C20</f>
        <v>N. Phôn 1</v>
      </c>
      <c r="D25" s="1319" t="s">
        <v>43</v>
      </c>
      <c r="E25" s="1321"/>
      <c r="F25" s="373"/>
      <c r="G25" s="373"/>
      <c r="H25" s="373"/>
      <c r="I25" s="373"/>
      <c r="J25" s="1322"/>
      <c r="K25" s="1323"/>
      <c r="L25" s="1324"/>
      <c r="M25" s="1325"/>
      <c r="N25" s="1325"/>
      <c r="O25" s="1325"/>
      <c r="P25" s="1325"/>
      <c r="Q25" s="1325"/>
      <c r="R25" s="1325"/>
      <c r="S25" s="1325"/>
      <c r="T25" s="1369"/>
      <c r="U25" s="1369"/>
      <c r="V25" s="1369"/>
      <c r="W25" s="1325"/>
      <c r="X25" s="1325">
        <f t="shared" si="2"/>
        <v>0</v>
      </c>
      <c r="Y25" s="373"/>
      <c r="Z25" s="1327">
        <f t="shared" si="3"/>
        <v>0</v>
      </c>
      <c r="AA25" s="373"/>
      <c r="AB25" s="373"/>
      <c r="AC25" s="1326"/>
      <c r="AD25" s="1456"/>
      <c r="AE25" s="1316"/>
      <c r="AF25" s="1316"/>
      <c r="AG25" s="1316"/>
      <c r="AH25" s="1316"/>
      <c r="AI25" s="1316"/>
      <c r="AJ25" s="1316"/>
      <c r="AK25" s="1316"/>
      <c r="AL25" s="1316"/>
    </row>
    <row r="26" spans="1:38" s="1317" customFormat="1" ht="33" hidden="1" customHeight="1">
      <c r="A26" s="1319">
        <v>11</v>
      </c>
      <c r="B26" s="1319" t="str">
        <f>'Chấm công KT'!D21</f>
        <v>03465</v>
      </c>
      <c r="C26" s="1320" t="str">
        <f>TONGHOPCONGDOI!C21</f>
        <v>T. In Păn</v>
      </c>
      <c r="D26" s="1319" t="s">
        <v>43</v>
      </c>
      <c r="E26" s="1321"/>
      <c r="F26" s="373"/>
      <c r="G26" s="373"/>
      <c r="H26" s="373"/>
      <c r="I26" s="373"/>
      <c r="J26" s="1322"/>
      <c r="K26" s="1323"/>
      <c r="L26" s="1324"/>
      <c r="M26" s="1325"/>
      <c r="N26" s="1325"/>
      <c r="O26" s="1325"/>
      <c r="P26" s="1325"/>
      <c r="Q26" s="1325"/>
      <c r="R26" s="1325"/>
      <c r="S26" s="1325"/>
      <c r="T26" s="1369"/>
      <c r="U26" s="1369"/>
      <c r="V26" s="1369"/>
      <c r="W26" s="1325"/>
      <c r="X26" s="1325">
        <f t="shared" si="2"/>
        <v>0</v>
      </c>
      <c r="Y26" s="373"/>
      <c r="Z26" s="1327">
        <f t="shared" si="3"/>
        <v>0</v>
      </c>
      <c r="AA26" s="373"/>
      <c r="AB26" s="373"/>
      <c r="AC26" s="1326"/>
      <c r="AD26" s="1456"/>
      <c r="AE26" s="1316"/>
      <c r="AF26" s="1316"/>
      <c r="AG26" s="1316"/>
      <c r="AH26" s="1316"/>
      <c r="AI26" s="1316"/>
      <c r="AJ26" s="1316"/>
      <c r="AK26" s="1316"/>
      <c r="AL26" s="1316"/>
    </row>
    <row r="27" spans="1:38" s="1317" customFormat="1" ht="33" hidden="1" customHeight="1">
      <c r="A27" s="1319">
        <v>12</v>
      </c>
      <c r="B27" s="1319" t="str">
        <f>'Chấm công KT'!D22</f>
        <v>03466</v>
      </c>
      <c r="C27" s="1320" t="str">
        <f>TONGHOPCONGDOI!C22</f>
        <v>N. Keo</v>
      </c>
      <c r="D27" s="1319" t="s">
        <v>43</v>
      </c>
      <c r="E27" s="1321"/>
      <c r="F27" s="373"/>
      <c r="G27" s="373"/>
      <c r="H27" s="373"/>
      <c r="I27" s="373"/>
      <c r="J27" s="1322"/>
      <c r="K27" s="1323"/>
      <c r="L27" s="1324"/>
      <c r="M27" s="1325"/>
      <c r="N27" s="1325"/>
      <c r="O27" s="1325"/>
      <c r="P27" s="1325"/>
      <c r="Q27" s="1325"/>
      <c r="R27" s="1325"/>
      <c r="S27" s="1325"/>
      <c r="T27" s="1369"/>
      <c r="U27" s="1369"/>
      <c r="V27" s="1369"/>
      <c r="W27" s="1325"/>
      <c r="X27" s="1325">
        <f t="shared" si="2"/>
        <v>0</v>
      </c>
      <c r="Y27" s="373"/>
      <c r="Z27" s="1327">
        <f t="shared" si="3"/>
        <v>0</v>
      </c>
      <c r="AA27" s="373"/>
      <c r="AB27" s="373"/>
      <c r="AC27" s="1326"/>
      <c r="AD27" s="1456"/>
      <c r="AE27" s="1316"/>
      <c r="AF27" s="1316"/>
      <c r="AG27" s="1316"/>
      <c r="AH27" s="1316"/>
      <c r="AI27" s="1316"/>
      <c r="AJ27" s="1316"/>
      <c r="AK27" s="1316"/>
      <c r="AL27" s="1316"/>
    </row>
    <row r="28" spans="1:38" s="1317" customFormat="1" ht="33" hidden="1" customHeight="1">
      <c r="A28" s="1319">
        <v>13</v>
      </c>
      <c r="B28" s="1319" t="str">
        <f>'Chấm công KT'!D23</f>
        <v>02727</v>
      </c>
      <c r="C28" s="1320" t="str">
        <f>TONGHOPCONGDOI!C23</f>
        <v>T. Thong Đon</v>
      </c>
      <c r="D28" s="1319" t="s">
        <v>43</v>
      </c>
      <c r="E28" s="1321"/>
      <c r="F28" s="373"/>
      <c r="G28" s="373"/>
      <c r="H28" s="373"/>
      <c r="I28" s="373"/>
      <c r="J28" s="1322"/>
      <c r="K28" s="1323"/>
      <c r="L28" s="1324"/>
      <c r="M28" s="1325"/>
      <c r="N28" s="1325"/>
      <c r="O28" s="1325"/>
      <c r="P28" s="1325"/>
      <c r="Q28" s="1325"/>
      <c r="R28" s="1325"/>
      <c r="S28" s="1325"/>
      <c r="T28" s="1369"/>
      <c r="U28" s="1369"/>
      <c r="V28" s="1369"/>
      <c r="W28" s="1325"/>
      <c r="X28" s="1325">
        <f t="shared" si="2"/>
        <v>0</v>
      </c>
      <c r="Y28" s="373"/>
      <c r="Z28" s="1327">
        <f t="shared" si="3"/>
        <v>0</v>
      </c>
      <c r="AA28" s="373"/>
      <c r="AB28" s="373"/>
      <c r="AC28" s="1326"/>
      <c r="AD28" s="1456"/>
      <c r="AE28" s="1316"/>
      <c r="AF28" s="1316"/>
      <c r="AG28" s="1316"/>
      <c r="AH28" s="1316"/>
      <c r="AI28" s="1316"/>
      <c r="AJ28" s="1316"/>
      <c r="AK28" s="1316"/>
      <c r="AL28" s="1316"/>
    </row>
    <row r="29" spans="1:38" s="1317" customFormat="1" ht="33" hidden="1" customHeight="1">
      <c r="A29" s="1319">
        <v>14</v>
      </c>
      <c r="B29" s="1319" t="str">
        <f>'Chấm công KT'!D24</f>
        <v>03467</v>
      </c>
      <c r="C29" s="1320" t="str">
        <f>TONGHOPCONGDOI!C24</f>
        <v>T. Hin</v>
      </c>
      <c r="D29" s="1319" t="s">
        <v>43</v>
      </c>
      <c r="E29" s="1321"/>
      <c r="F29" s="373"/>
      <c r="G29" s="373"/>
      <c r="H29" s="373"/>
      <c r="I29" s="373"/>
      <c r="J29" s="1322"/>
      <c r="K29" s="1323"/>
      <c r="L29" s="1324"/>
      <c r="M29" s="1325"/>
      <c r="N29" s="1325"/>
      <c r="O29" s="1325"/>
      <c r="P29" s="1325"/>
      <c r="Q29" s="1325"/>
      <c r="R29" s="1325"/>
      <c r="S29" s="1325"/>
      <c r="T29" s="1369"/>
      <c r="U29" s="1369"/>
      <c r="V29" s="1369"/>
      <c r="W29" s="1325"/>
      <c r="X29" s="1325">
        <f t="shared" si="2"/>
        <v>0</v>
      </c>
      <c r="Y29" s="373"/>
      <c r="Z29" s="1327">
        <f t="shared" si="3"/>
        <v>0</v>
      </c>
      <c r="AA29" s="373"/>
      <c r="AB29" s="373"/>
      <c r="AC29" s="1326"/>
      <c r="AD29" s="1456"/>
      <c r="AE29" s="1316"/>
      <c r="AF29" s="1316"/>
      <c r="AG29" s="1316"/>
      <c r="AH29" s="1316"/>
      <c r="AI29" s="1316"/>
      <c r="AJ29" s="1316"/>
      <c r="AK29" s="1316"/>
      <c r="AL29" s="1316"/>
    </row>
    <row r="30" spans="1:38" s="1317" customFormat="1" ht="33" hidden="1" customHeight="1">
      <c r="A30" s="1319">
        <v>15</v>
      </c>
      <c r="B30" s="1319" t="str">
        <f>'Chấm công KT'!D25</f>
        <v>03468</v>
      </c>
      <c r="C30" s="1320" t="str">
        <f>TONGHOPCONGDOI!C25</f>
        <v>T. Son</v>
      </c>
      <c r="D30" s="1319" t="s">
        <v>43</v>
      </c>
      <c r="E30" s="1321"/>
      <c r="F30" s="373"/>
      <c r="G30" s="373"/>
      <c r="H30" s="373"/>
      <c r="I30" s="373"/>
      <c r="J30" s="1322"/>
      <c r="K30" s="1323"/>
      <c r="L30" s="1324"/>
      <c r="M30" s="1325"/>
      <c r="N30" s="1325"/>
      <c r="O30" s="1325"/>
      <c r="P30" s="1325"/>
      <c r="Q30" s="1325"/>
      <c r="R30" s="1325"/>
      <c r="S30" s="1325"/>
      <c r="T30" s="1369"/>
      <c r="U30" s="1369"/>
      <c r="V30" s="1369"/>
      <c r="W30" s="1325"/>
      <c r="X30" s="1325">
        <f t="shared" si="2"/>
        <v>0</v>
      </c>
      <c r="Y30" s="373"/>
      <c r="Z30" s="1327">
        <f t="shared" si="3"/>
        <v>0</v>
      </c>
      <c r="AA30" s="373"/>
      <c r="AB30" s="373"/>
      <c r="AC30" s="1326"/>
      <c r="AD30" s="1456"/>
      <c r="AE30" s="1316"/>
      <c r="AF30" s="1316"/>
      <c r="AG30" s="1316"/>
      <c r="AH30" s="1316"/>
      <c r="AI30" s="1316"/>
      <c r="AJ30" s="1316"/>
      <c r="AK30" s="1316"/>
      <c r="AL30" s="1316"/>
    </row>
    <row r="31" spans="1:38" s="1317" customFormat="1" ht="33" hidden="1" customHeight="1">
      <c r="A31" s="1319">
        <v>16</v>
      </c>
      <c r="B31" s="1319" t="str">
        <f>'Chấm công KT'!D26</f>
        <v>03469</v>
      </c>
      <c r="C31" s="1320" t="str">
        <f>TONGHOPCONGDOI!C26</f>
        <v>T. Xôm Va Nít</v>
      </c>
      <c r="D31" s="1319" t="s">
        <v>43</v>
      </c>
      <c r="E31" s="1321"/>
      <c r="F31" s="373"/>
      <c r="G31" s="373"/>
      <c r="H31" s="373"/>
      <c r="I31" s="373"/>
      <c r="J31" s="1322"/>
      <c r="K31" s="1323"/>
      <c r="L31" s="1324"/>
      <c r="M31" s="1325"/>
      <c r="N31" s="1325"/>
      <c r="O31" s="1325"/>
      <c r="P31" s="1325"/>
      <c r="Q31" s="1325"/>
      <c r="R31" s="1325"/>
      <c r="S31" s="1325"/>
      <c r="T31" s="1369"/>
      <c r="U31" s="1369"/>
      <c r="V31" s="1369"/>
      <c r="W31" s="1325"/>
      <c r="X31" s="1325">
        <f t="shared" si="2"/>
        <v>0</v>
      </c>
      <c r="Y31" s="373"/>
      <c r="Z31" s="1327">
        <f t="shared" si="3"/>
        <v>0</v>
      </c>
      <c r="AA31" s="373"/>
      <c r="AB31" s="373"/>
      <c r="AC31" s="1326"/>
      <c r="AD31" s="1456"/>
      <c r="AE31" s="1316"/>
      <c r="AF31" s="1316"/>
      <c r="AG31" s="1316"/>
      <c r="AH31" s="1316"/>
      <c r="AI31" s="1316"/>
      <c r="AJ31" s="1316"/>
      <c r="AK31" s="1316"/>
      <c r="AL31" s="1316"/>
    </row>
    <row r="32" spans="1:38" s="1317" customFormat="1" ht="33" hidden="1" customHeight="1">
      <c r="A32" s="1319">
        <v>17</v>
      </c>
      <c r="B32" s="1319" t="str">
        <f>'Chấm công KT'!D27</f>
        <v>03470</v>
      </c>
      <c r="C32" s="1320" t="str">
        <f>TONGHOPCONGDOI!C27</f>
        <v>T. Lọi</v>
      </c>
      <c r="D32" s="1319" t="s">
        <v>43</v>
      </c>
      <c r="E32" s="1321"/>
      <c r="F32" s="373"/>
      <c r="G32" s="373"/>
      <c r="H32" s="373"/>
      <c r="I32" s="373"/>
      <c r="J32" s="1322"/>
      <c r="K32" s="1323"/>
      <c r="L32" s="1324"/>
      <c r="M32" s="1325"/>
      <c r="N32" s="1325"/>
      <c r="O32" s="1325"/>
      <c r="P32" s="1325"/>
      <c r="Q32" s="1325"/>
      <c r="R32" s="1325"/>
      <c r="S32" s="1325"/>
      <c r="T32" s="1369"/>
      <c r="U32" s="1369"/>
      <c r="V32" s="1369"/>
      <c r="W32" s="1325"/>
      <c r="X32" s="1325">
        <f t="shared" si="2"/>
        <v>0</v>
      </c>
      <c r="Y32" s="373"/>
      <c r="Z32" s="1327">
        <f t="shared" si="3"/>
        <v>0</v>
      </c>
      <c r="AA32" s="373"/>
      <c r="AB32" s="373"/>
      <c r="AC32" s="1326"/>
      <c r="AD32" s="1456"/>
      <c r="AE32" s="1316"/>
      <c r="AF32" s="1316"/>
      <c r="AG32" s="1316"/>
      <c r="AH32" s="1316"/>
      <c r="AI32" s="1316"/>
      <c r="AJ32" s="1316"/>
      <c r="AK32" s="1316"/>
      <c r="AL32" s="1316"/>
    </row>
    <row r="33" spans="1:38" s="1317" customFormat="1" ht="33" hidden="1" customHeight="1">
      <c r="A33" s="1319">
        <v>18</v>
      </c>
      <c r="B33" s="1319" t="str">
        <f>'Chấm công KT'!D28</f>
        <v>03471</v>
      </c>
      <c r="C33" s="1320" t="str">
        <f>TONGHOPCONGDOI!C28</f>
        <v>T. Phô Thong</v>
      </c>
      <c r="D33" s="1319" t="s">
        <v>43</v>
      </c>
      <c r="E33" s="1321"/>
      <c r="F33" s="373"/>
      <c r="G33" s="373"/>
      <c r="H33" s="373"/>
      <c r="I33" s="373"/>
      <c r="J33" s="1322"/>
      <c r="K33" s="1323"/>
      <c r="L33" s="1324"/>
      <c r="M33" s="1325"/>
      <c r="N33" s="1325"/>
      <c r="O33" s="1325"/>
      <c r="P33" s="1325"/>
      <c r="Q33" s="1325"/>
      <c r="R33" s="1325"/>
      <c r="S33" s="1325"/>
      <c r="T33" s="1369"/>
      <c r="U33" s="1369"/>
      <c r="V33" s="1369"/>
      <c r="W33" s="1325"/>
      <c r="X33" s="1325">
        <f t="shared" si="2"/>
        <v>0</v>
      </c>
      <c r="Y33" s="373"/>
      <c r="Z33" s="1327">
        <f t="shared" si="3"/>
        <v>0</v>
      </c>
      <c r="AA33" s="373"/>
      <c r="AB33" s="373"/>
      <c r="AC33" s="1326"/>
      <c r="AD33" s="1456"/>
      <c r="AE33" s="1316"/>
      <c r="AF33" s="1316"/>
      <c r="AG33" s="1316"/>
      <c r="AH33" s="1316"/>
      <c r="AI33" s="1316"/>
      <c r="AJ33" s="1316"/>
      <c r="AK33" s="1316"/>
      <c r="AL33" s="1316"/>
    </row>
    <row r="34" spans="1:38" s="1317" customFormat="1" ht="33" hidden="1" customHeight="1">
      <c r="A34" s="1319">
        <v>19</v>
      </c>
      <c r="B34" s="1319" t="str">
        <f>'Chấm công KT'!D29</f>
        <v>03472</v>
      </c>
      <c r="C34" s="1320" t="str">
        <f>TONGHOPCONGDOI!C29</f>
        <v>N. Soi</v>
      </c>
      <c r="D34" s="1319" t="s">
        <v>43</v>
      </c>
      <c r="E34" s="1321"/>
      <c r="F34" s="373"/>
      <c r="G34" s="373"/>
      <c r="H34" s="373"/>
      <c r="I34" s="373"/>
      <c r="J34" s="1322"/>
      <c r="K34" s="1323"/>
      <c r="L34" s="1324"/>
      <c r="M34" s="1325"/>
      <c r="N34" s="1325"/>
      <c r="O34" s="1325"/>
      <c r="P34" s="1325"/>
      <c r="Q34" s="1325"/>
      <c r="R34" s="1325"/>
      <c r="S34" s="1325"/>
      <c r="T34" s="1369"/>
      <c r="U34" s="1369"/>
      <c r="V34" s="1369"/>
      <c r="W34" s="1325"/>
      <c r="X34" s="1325">
        <f t="shared" si="2"/>
        <v>0</v>
      </c>
      <c r="Y34" s="373"/>
      <c r="Z34" s="1327">
        <f t="shared" si="3"/>
        <v>0</v>
      </c>
      <c r="AA34" s="373"/>
      <c r="AB34" s="373"/>
      <c r="AC34" s="1326"/>
      <c r="AD34" s="1456"/>
      <c r="AE34" s="1316"/>
      <c r="AF34" s="1316"/>
      <c r="AG34" s="1316"/>
      <c r="AH34" s="1316"/>
      <c r="AI34" s="1316"/>
      <c r="AJ34" s="1316"/>
      <c r="AK34" s="1316"/>
      <c r="AL34" s="1316"/>
    </row>
    <row r="35" spans="1:38" s="1317" customFormat="1" ht="33" hidden="1" customHeight="1">
      <c r="A35" s="1319">
        <v>20</v>
      </c>
      <c r="B35" s="1319" t="str">
        <f>'Chấm công KT'!D30</f>
        <v>03473</v>
      </c>
      <c r="C35" s="1320" t="str">
        <f>TONGHOPCONGDOI!C30</f>
        <v>N. Me Kha La</v>
      </c>
      <c r="D35" s="1319" t="s">
        <v>43</v>
      </c>
      <c r="E35" s="1321"/>
      <c r="F35" s="373"/>
      <c r="G35" s="373"/>
      <c r="H35" s="373"/>
      <c r="I35" s="373"/>
      <c r="J35" s="1322"/>
      <c r="K35" s="1323"/>
      <c r="L35" s="1324"/>
      <c r="M35" s="1325"/>
      <c r="N35" s="1325"/>
      <c r="O35" s="1325"/>
      <c r="P35" s="1325"/>
      <c r="Q35" s="1325"/>
      <c r="R35" s="1325"/>
      <c r="S35" s="1325"/>
      <c r="T35" s="1369"/>
      <c r="U35" s="1369"/>
      <c r="V35" s="1369"/>
      <c r="W35" s="1325"/>
      <c r="X35" s="1325">
        <f t="shared" si="2"/>
        <v>0</v>
      </c>
      <c r="Y35" s="373"/>
      <c r="Z35" s="1327">
        <f t="shared" si="3"/>
        <v>0</v>
      </c>
      <c r="AA35" s="373"/>
      <c r="AB35" s="373"/>
      <c r="AC35" s="1326"/>
      <c r="AD35" s="1456"/>
      <c r="AE35" s="1316"/>
      <c r="AF35" s="1316"/>
      <c r="AG35" s="1316"/>
      <c r="AH35" s="1316"/>
      <c r="AI35" s="1316"/>
      <c r="AJ35" s="1316"/>
      <c r="AK35" s="1316"/>
      <c r="AL35" s="1316"/>
    </row>
    <row r="36" spans="1:38" s="1317" customFormat="1" ht="33" hidden="1" customHeight="1">
      <c r="A36" s="1319">
        <v>21</v>
      </c>
      <c r="B36" s="1319" t="str">
        <f>'Chấm công KT'!D31</f>
        <v>03474</v>
      </c>
      <c r="C36" s="1320" t="str">
        <f>TONGHOPCONGDOI!C31</f>
        <v>N. Mon Khăm</v>
      </c>
      <c r="D36" s="1319" t="s">
        <v>43</v>
      </c>
      <c r="E36" s="1321"/>
      <c r="F36" s="373"/>
      <c r="G36" s="373"/>
      <c r="H36" s="373"/>
      <c r="I36" s="373"/>
      <c r="J36" s="1322"/>
      <c r="K36" s="1323"/>
      <c r="L36" s="1324"/>
      <c r="M36" s="1325"/>
      <c r="N36" s="1325"/>
      <c r="O36" s="1325"/>
      <c r="P36" s="1325"/>
      <c r="Q36" s="1325"/>
      <c r="R36" s="1325"/>
      <c r="S36" s="1325"/>
      <c r="T36" s="1369"/>
      <c r="U36" s="1369"/>
      <c r="V36" s="1369"/>
      <c r="W36" s="1325"/>
      <c r="X36" s="1325">
        <f t="shared" si="2"/>
        <v>0</v>
      </c>
      <c r="Y36" s="373"/>
      <c r="Z36" s="1327">
        <f t="shared" si="3"/>
        <v>0</v>
      </c>
      <c r="AA36" s="373"/>
      <c r="AB36" s="373"/>
      <c r="AC36" s="1326"/>
      <c r="AD36" s="1456"/>
      <c r="AE36" s="1316"/>
      <c r="AF36" s="1316"/>
      <c r="AG36" s="1316"/>
      <c r="AH36" s="1316"/>
      <c r="AI36" s="1316"/>
      <c r="AJ36" s="1316"/>
      <c r="AK36" s="1316"/>
      <c r="AL36" s="1316"/>
    </row>
    <row r="37" spans="1:38" s="1317" customFormat="1" ht="33" hidden="1" customHeight="1">
      <c r="A37" s="1319">
        <v>22</v>
      </c>
      <c r="B37" s="1319" t="str">
        <f>'Chấm công KT'!D32</f>
        <v>03475</v>
      </c>
      <c r="C37" s="1320" t="str">
        <f>TONGHOPCONGDOI!C32</f>
        <v>T. In</v>
      </c>
      <c r="D37" s="1319" t="s">
        <v>43</v>
      </c>
      <c r="E37" s="1321"/>
      <c r="F37" s="373"/>
      <c r="G37" s="373"/>
      <c r="H37" s="373"/>
      <c r="I37" s="373"/>
      <c r="J37" s="1322"/>
      <c r="K37" s="1323"/>
      <c r="L37" s="1324"/>
      <c r="M37" s="1325"/>
      <c r="N37" s="1325"/>
      <c r="O37" s="1325"/>
      <c r="P37" s="1325"/>
      <c r="Q37" s="1325"/>
      <c r="R37" s="1325"/>
      <c r="S37" s="1325"/>
      <c r="T37" s="1369"/>
      <c r="U37" s="1369"/>
      <c r="V37" s="1369"/>
      <c r="W37" s="1325"/>
      <c r="X37" s="1325">
        <f t="shared" si="2"/>
        <v>0</v>
      </c>
      <c r="Y37" s="373"/>
      <c r="Z37" s="1327">
        <f t="shared" si="3"/>
        <v>0</v>
      </c>
      <c r="AA37" s="373"/>
      <c r="AB37" s="373"/>
      <c r="AC37" s="1326"/>
      <c r="AD37" s="1456"/>
      <c r="AE37" s="1316"/>
      <c r="AF37" s="1316"/>
      <c r="AG37" s="1316"/>
      <c r="AH37" s="1316"/>
      <c r="AI37" s="1316"/>
      <c r="AJ37" s="1316"/>
      <c r="AK37" s="1316"/>
      <c r="AL37" s="1316"/>
    </row>
    <row r="38" spans="1:38" s="1317" customFormat="1" ht="33" hidden="1" customHeight="1">
      <c r="A38" s="1319">
        <v>23</v>
      </c>
      <c r="B38" s="1319" t="str">
        <f>'Chấm công KT'!D33</f>
        <v>03476</v>
      </c>
      <c r="C38" s="1320" t="str">
        <f>TONGHOPCONGDOI!C33</f>
        <v>T. Bin Ly.</v>
      </c>
      <c r="D38" s="1319" t="s">
        <v>43</v>
      </c>
      <c r="E38" s="1321"/>
      <c r="F38" s="373"/>
      <c r="G38" s="373"/>
      <c r="H38" s="373"/>
      <c r="I38" s="373"/>
      <c r="J38" s="1322"/>
      <c r="K38" s="1323"/>
      <c r="L38" s="1324"/>
      <c r="M38" s="1325"/>
      <c r="N38" s="1325"/>
      <c r="O38" s="1325"/>
      <c r="P38" s="1325"/>
      <c r="Q38" s="1325"/>
      <c r="R38" s="1325"/>
      <c r="S38" s="1325"/>
      <c r="T38" s="1369"/>
      <c r="U38" s="1369"/>
      <c r="V38" s="1369"/>
      <c r="W38" s="1325"/>
      <c r="X38" s="1325">
        <f t="shared" si="2"/>
        <v>0</v>
      </c>
      <c r="Y38" s="373"/>
      <c r="Z38" s="1327">
        <f t="shared" si="3"/>
        <v>0</v>
      </c>
      <c r="AA38" s="373"/>
      <c r="AB38" s="373"/>
      <c r="AC38" s="1326"/>
      <c r="AD38" s="1456"/>
      <c r="AE38" s="1316"/>
      <c r="AF38" s="1316"/>
      <c r="AG38" s="1316"/>
      <c r="AH38" s="1316"/>
      <c r="AI38" s="1316"/>
      <c r="AJ38" s="1316"/>
      <c r="AK38" s="1316"/>
      <c r="AL38" s="1316"/>
    </row>
    <row r="39" spans="1:38" s="1317" customFormat="1" ht="33" hidden="1" customHeight="1">
      <c r="A39" s="1319">
        <v>24</v>
      </c>
      <c r="B39" s="1319" t="str">
        <f>'Chấm công KT'!D34</f>
        <v>03477</v>
      </c>
      <c r="C39" s="1320" t="str">
        <f>TONGHOPCONGDOI!C34</f>
        <v>N. Phim Phon.</v>
      </c>
      <c r="D39" s="1319" t="s">
        <v>43</v>
      </c>
      <c r="E39" s="1321"/>
      <c r="F39" s="373"/>
      <c r="G39" s="373"/>
      <c r="H39" s="373"/>
      <c r="I39" s="373"/>
      <c r="J39" s="1322"/>
      <c r="K39" s="1323"/>
      <c r="L39" s="1324"/>
      <c r="M39" s="1325"/>
      <c r="N39" s="1325"/>
      <c r="O39" s="1325"/>
      <c r="P39" s="1325"/>
      <c r="Q39" s="1325"/>
      <c r="R39" s="1325"/>
      <c r="S39" s="1325"/>
      <c r="T39" s="1369"/>
      <c r="U39" s="1369"/>
      <c r="V39" s="1369"/>
      <c r="W39" s="1325"/>
      <c r="X39" s="1325">
        <f t="shared" si="2"/>
        <v>0</v>
      </c>
      <c r="Y39" s="373"/>
      <c r="Z39" s="1327">
        <f t="shared" si="3"/>
        <v>0</v>
      </c>
      <c r="AA39" s="373"/>
      <c r="AB39" s="373"/>
      <c r="AC39" s="1326"/>
      <c r="AD39" s="1456"/>
      <c r="AE39" s="1316"/>
      <c r="AF39" s="1316"/>
      <c r="AG39" s="1316"/>
      <c r="AH39" s="1316"/>
      <c r="AI39" s="1316"/>
      <c r="AJ39" s="1316"/>
      <c r="AK39" s="1316"/>
      <c r="AL39" s="1316"/>
    </row>
    <row r="40" spans="1:38" s="1317" customFormat="1" ht="33" hidden="1" customHeight="1">
      <c r="A40" s="1319">
        <v>25</v>
      </c>
      <c r="B40" s="1319" t="str">
        <f>'Chấm công KT'!D35</f>
        <v>03478</v>
      </c>
      <c r="C40" s="1320" t="str">
        <f>TONGHOPCONGDOI!C35</f>
        <v>N. Nong</v>
      </c>
      <c r="D40" s="1319" t="s">
        <v>43</v>
      </c>
      <c r="E40" s="1321"/>
      <c r="F40" s="373"/>
      <c r="G40" s="373"/>
      <c r="H40" s="373"/>
      <c r="I40" s="373"/>
      <c r="J40" s="1322"/>
      <c r="K40" s="1323"/>
      <c r="L40" s="1324"/>
      <c r="M40" s="1325"/>
      <c r="N40" s="1325"/>
      <c r="O40" s="1325"/>
      <c r="P40" s="1325"/>
      <c r="Q40" s="1325"/>
      <c r="R40" s="1325"/>
      <c r="S40" s="1325"/>
      <c r="T40" s="1369"/>
      <c r="U40" s="1369"/>
      <c r="V40" s="1369"/>
      <c r="W40" s="1325"/>
      <c r="X40" s="1325">
        <f t="shared" si="2"/>
        <v>0</v>
      </c>
      <c r="Y40" s="373"/>
      <c r="Z40" s="1327">
        <f t="shared" si="3"/>
        <v>0</v>
      </c>
      <c r="AA40" s="373"/>
      <c r="AB40" s="373"/>
      <c r="AC40" s="1326"/>
      <c r="AD40" s="1456"/>
      <c r="AE40" s="1316"/>
      <c r="AF40" s="1316"/>
      <c r="AG40" s="1316"/>
      <c r="AH40" s="1316"/>
      <c r="AI40" s="1316"/>
      <c r="AJ40" s="1316"/>
      <c r="AK40" s="1316"/>
      <c r="AL40" s="1316"/>
    </row>
    <row r="41" spans="1:38" s="1317" customFormat="1" ht="33" hidden="1" customHeight="1">
      <c r="A41" s="1319">
        <v>26</v>
      </c>
      <c r="B41" s="1319" t="str">
        <f>'Chấm công KT'!D36</f>
        <v>03479</v>
      </c>
      <c r="C41" s="1320" t="str">
        <f>TONGHOPCONGDOI!C36</f>
        <v>N. Tun 1</v>
      </c>
      <c r="D41" s="1319" t="s">
        <v>43</v>
      </c>
      <c r="E41" s="1321"/>
      <c r="F41" s="373"/>
      <c r="G41" s="373"/>
      <c r="H41" s="373"/>
      <c r="I41" s="373"/>
      <c r="J41" s="1322"/>
      <c r="K41" s="1323"/>
      <c r="L41" s="1324"/>
      <c r="M41" s="1325"/>
      <c r="N41" s="1325"/>
      <c r="O41" s="1325"/>
      <c r="P41" s="1325"/>
      <c r="Q41" s="1325"/>
      <c r="R41" s="1325"/>
      <c r="S41" s="1325"/>
      <c r="T41" s="1369"/>
      <c r="U41" s="1369"/>
      <c r="V41" s="1369"/>
      <c r="W41" s="1325"/>
      <c r="X41" s="1325">
        <f t="shared" si="2"/>
        <v>0</v>
      </c>
      <c r="Y41" s="373"/>
      <c r="Z41" s="1327">
        <f t="shared" si="3"/>
        <v>0</v>
      </c>
      <c r="AA41" s="373"/>
      <c r="AB41" s="373"/>
      <c r="AC41" s="1326"/>
      <c r="AD41" s="1456"/>
      <c r="AE41" s="1316"/>
      <c r="AF41" s="1316"/>
      <c r="AG41" s="1316"/>
      <c r="AH41" s="1316"/>
      <c r="AI41" s="1316"/>
      <c r="AJ41" s="1316"/>
      <c r="AK41" s="1316"/>
      <c r="AL41" s="1316"/>
    </row>
    <row r="42" spans="1:38" s="1317" customFormat="1" ht="33" hidden="1" customHeight="1">
      <c r="A42" s="1319">
        <v>27</v>
      </c>
      <c r="B42" s="1319" t="str">
        <f>'Chấm công KT'!D37</f>
        <v>03480</v>
      </c>
      <c r="C42" s="1320" t="str">
        <f>TONGHOPCONGDOI!C37</f>
        <v>T . Lốc</v>
      </c>
      <c r="D42" s="1319" t="s">
        <v>43</v>
      </c>
      <c r="E42" s="1321"/>
      <c r="F42" s="373"/>
      <c r="G42" s="373"/>
      <c r="H42" s="373"/>
      <c r="I42" s="373"/>
      <c r="J42" s="1322"/>
      <c r="K42" s="1323"/>
      <c r="L42" s="1324"/>
      <c r="M42" s="1325"/>
      <c r="N42" s="1325"/>
      <c r="O42" s="1325"/>
      <c r="P42" s="1325"/>
      <c r="Q42" s="1325"/>
      <c r="R42" s="1325"/>
      <c r="S42" s="1325"/>
      <c r="T42" s="1369"/>
      <c r="U42" s="1369"/>
      <c r="V42" s="1369"/>
      <c r="W42" s="1325"/>
      <c r="X42" s="1325">
        <f t="shared" si="2"/>
        <v>0</v>
      </c>
      <c r="Y42" s="373"/>
      <c r="Z42" s="1327">
        <f t="shared" si="3"/>
        <v>0</v>
      </c>
      <c r="AA42" s="373"/>
      <c r="AB42" s="373"/>
      <c r="AC42" s="1326"/>
      <c r="AD42" s="1456"/>
      <c r="AE42" s="1316"/>
      <c r="AF42" s="1316"/>
      <c r="AG42" s="1316"/>
      <c r="AH42" s="1316"/>
      <c r="AI42" s="1316"/>
      <c r="AJ42" s="1316"/>
      <c r="AK42" s="1316"/>
      <c r="AL42" s="1316"/>
    </row>
    <row r="43" spans="1:38" s="1317" customFormat="1" ht="33" hidden="1" customHeight="1">
      <c r="A43" s="1319">
        <v>28</v>
      </c>
      <c r="B43" s="1319" t="str">
        <f>'Chấm công KT'!D38</f>
        <v>03481</v>
      </c>
      <c r="C43" s="1320" t="str">
        <f>TONGHOPCONGDOI!C38</f>
        <v>N . Khâm (1)</v>
      </c>
      <c r="D43" s="1319" t="s">
        <v>43</v>
      </c>
      <c r="E43" s="1321"/>
      <c r="F43" s="373"/>
      <c r="G43" s="373"/>
      <c r="H43" s="373"/>
      <c r="I43" s="373"/>
      <c r="J43" s="1322"/>
      <c r="K43" s="1323"/>
      <c r="L43" s="1324"/>
      <c r="M43" s="1325"/>
      <c r="N43" s="1325"/>
      <c r="O43" s="1325"/>
      <c r="P43" s="1325"/>
      <c r="Q43" s="1325"/>
      <c r="R43" s="1325"/>
      <c r="S43" s="1325"/>
      <c r="T43" s="1369"/>
      <c r="U43" s="1369"/>
      <c r="V43" s="1369"/>
      <c r="W43" s="1325"/>
      <c r="X43" s="1325">
        <f t="shared" si="2"/>
        <v>0</v>
      </c>
      <c r="Y43" s="373"/>
      <c r="Z43" s="1327">
        <f t="shared" si="3"/>
        <v>0</v>
      </c>
      <c r="AA43" s="373"/>
      <c r="AB43" s="373"/>
      <c r="AC43" s="1326"/>
      <c r="AD43" s="1456"/>
      <c r="AE43" s="1316"/>
      <c r="AF43" s="1316"/>
      <c r="AG43" s="1316"/>
      <c r="AH43" s="1316"/>
      <c r="AI43" s="1316"/>
      <c r="AJ43" s="1316"/>
      <c r="AK43" s="1316"/>
      <c r="AL43" s="1316"/>
    </row>
    <row r="44" spans="1:38" s="1317" customFormat="1" ht="33" hidden="1" customHeight="1">
      <c r="A44" s="1319">
        <v>29</v>
      </c>
      <c r="B44" s="1319" t="str">
        <f>'Chấm công KT'!D39</f>
        <v>03482</v>
      </c>
      <c r="C44" s="1320" t="str">
        <f>TONGHOPCONGDOI!C39</f>
        <v>T . Phết</v>
      </c>
      <c r="D44" s="1319" t="s">
        <v>43</v>
      </c>
      <c r="E44" s="1321"/>
      <c r="F44" s="373"/>
      <c r="G44" s="373"/>
      <c r="H44" s="373"/>
      <c r="I44" s="373"/>
      <c r="J44" s="1322"/>
      <c r="K44" s="1323"/>
      <c r="L44" s="1324"/>
      <c r="M44" s="1325"/>
      <c r="N44" s="1325"/>
      <c r="O44" s="1325"/>
      <c r="P44" s="1325"/>
      <c r="Q44" s="1325"/>
      <c r="R44" s="1325"/>
      <c r="S44" s="1325"/>
      <c r="T44" s="1369"/>
      <c r="U44" s="1369"/>
      <c r="V44" s="1369"/>
      <c r="W44" s="1325"/>
      <c r="X44" s="1325">
        <f t="shared" si="2"/>
        <v>0</v>
      </c>
      <c r="Y44" s="373"/>
      <c r="Z44" s="1327">
        <f t="shared" si="3"/>
        <v>0</v>
      </c>
      <c r="AA44" s="373"/>
      <c r="AB44" s="373"/>
      <c r="AC44" s="1326"/>
      <c r="AD44" s="1456"/>
      <c r="AE44" s="1316"/>
      <c r="AF44" s="1316"/>
      <c r="AG44" s="1316"/>
      <c r="AH44" s="1316"/>
      <c r="AI44" s="1316"/>
      <c r="AJ44" s="1316"/>
      <c r="AK44" s="1316"/>
      <c r="AL44" s="1316"/>
    </row>
    <row r="45" spans="1:38" s="1317" customFormat="1" ht="33" hidden="1" customHeight="1">
      <c r="A45" s="1319">
        <v>30</v>
      </c>
      <c r="B45" s="1319" t="str">
        <f>'Chấm công KT'!D40</f>
        <v>03483</v>
      </c>
      <c r="C45" s="1320" t="str">
        <f>TONGHOPCONGDOI!C40</f>
        <v>T. Viêng Sa Văn</v>
      </c>
      <c r="D45" s="1319" t="s">
        <v>43</v>
      </c>
      <c r="E45" s="1321"/>
      <c r="F45" s="373"/>
      <c r="G45" s="373"/>
      <c r="H45" s="373"/>
      <c r="I45" s="373"/>
      <c r="J45" s="1322"/>
      <c r="K45" s="1323"/>
      <c r="L45" s="1324"/>
      <c r="M45" s="1325"/>
      <c r="N45" s="1325"/>
      <c r="O45" s="1325"/>
      <c r="P45" s="1325"/>
      <c r="Q45" s="1325"/>
      <c r="R45" s="1325"/>
      <c r="S45" s="1325"/>
      <c r="T45" s="1369"/>
      <c r="U45" s="1369"/>
      <c r="V45" s="1369"/>
      <c r="W45" s="1325"/>
      <c r="X45" s="1325">
        <f t="shared" si="2"/>
        <v>0</v>
      </c>
      <c r="Y45" s="373"/>
      <c r="Z45" s="1327">
        <f t="shared" si="3"/>
        <v>0</v>
      </c>
      <c r="AA45" s="373"/>
      <c r="AB45" s="373"/>
      <c r="AC45" s="1326"/>
      <c r="AD45" s="1456"/>
      <c r="AE45" s="1316"/>
      <c r="AF45" s="1316"/>
      <c r="AG45" s="1316"/>
      <c r="AH45" s="1316"/>
      <c r="AI45" s="1316"/>
      <c r="AJ45" s="1316"/>
      <c r="AK45" s="1316"/>
      <c r="AL45" s="1316"/>
    </row>
    <row r="46" spans="1:38" s="1317" customFormat="1" ht="33" hidden="1" customHeight="1">
      <c r="A46" s="1319">
        <v>31</v>
      </c>
      <c r="B46" s="1319" t="str">
        <f>'Chấm công KT'!D41</f>
        <v>03484</v>
      </c>
      <c r="C46" s="1320" t="str">
        <f>TONGHOPCONGDOI!C41</f>
        <v>T. Ca Te</v>
      </c>
      <c r="D46" s="1319" t="s">
        <v>43</v>
      </c>
      <c r="E46" s="1321"/>
      <c r="F46" s="373"/>
      <c r="G46" s="373"/>
      <c r="H46" s="373"/>
      <c r="I46" s="373"/>
      <c r="J46" s="1322"/>
      <c r="K46" s="1323"/>
      <c r="L46" s="1324"/>
      <c r="M46" s="1325"/>
      <c r="N46" s="1325"/>
      <c r="O46" s="1325"/>
      <c r="P46" s="1325"/>
      <c r="Q46" s="1325"/>
      <c r="R46" s="1325"/>
      <c r="S46" s="1325"/>
      <c r="T46" s="1369"/>
      <c r="U46" s="1369"/>
      <c r="V46" s="1369"/>
      <c r="W46" s="1325"/>
      <c r="X46" s="1325">
        <f t="shared" si="2"/>
        <v>0</v>
      </c>
      <c r="Y46" s="373"/>
      <c r="Z46" s="1327">
        <f t="shared" si="3"/>
        <v>0</v>
      </c>
      <c r="AA46" s="373"/>
      <c r="AB46" s="373"/>
      <c r="AC46" s="1326"/>
      <c r="AD46" s="1456"/>
      <c r="AE46" s="1316"/>
      <c r="AF46" s="1316"/>
      <c r="AG46" s="1316"/>
      <c r="AH46" s="1316"/>
      <c r="AI46" s="1316"/>
      <c r="AJ46" s="1316"/>
      <c r="AK46" s="1316"/>
      <c r="AL46" s="1316"/>
    </row>
    <row r="47" spans="1:38" s="1317" customFormat="1" ht="33" hidden="1" customHeight="1">
      <c r="A47" s="1319">
        <v>32</v>
      </c>
      <c r="B47" s="1319" t="str">
        <f>'Chấm công KT'!D42</f>
        <v>03485</v>
      </c>
      <c r="C47" s="1320" t="str">
        <f>TONGHOPCONGDOI!C42</f>
        <v>T. Lâm Phon</v>
      </c>
      <c r="D47" s="1319" t="s">
        <v>43</v>
      </c>
      <c r="E47" s="1321"/>
      <c r="F47" s="373"/>
      <c r="G47" s="373"/>
      <c r="H47" s="373"/>
      <c r="I47" s="373"/>
      <c r="J47" s="1322"/>
      <c r="K47" s="1323"/>
      <c r="L47" s="1324"/>
      <c r="M47" s="1325"/>
      <c r="N47" s="1325"/>
      <c r="O47" s="1325"/>
      <c r="P47" s="1325"/>
      <c r="Q47" s="1325"/>
      <c r="R47" s="1325"/>
      <c r="S47" s="1325"/>
      <c r="T47" s="1369"/>
      <c r="U47" s="1369"/>
      <c r="V47" s="1369"/>
      <c r="W47" s="1325"/>
      <c r="X47" s="1325">
        <f t="shared" si="2"/>
        <v>0</v>
      </c>
      <c r="Y47" s="373"/>
      <c r="Z47" s="1327">
        <f t="shared" si="3"/>
        <v>0</v>
      </c>
      <c r="AA47" s="373"/>
      <c r="AB47" s="373"/>
      <c r="AC47" s="1326"/>
      <c r="AD47" s="1456"/>
      <c r="AE47" s="1316"/>
      <c r="AF47" s="1316"/>
      <c r="AG47" s="1316"/>
      <c r="AH47" s="1316"/>
      <c r="AI47" s="1316"/>
      <c r="AJ47" s="1316"/>
      <c r="AK47" s="1316"/>
      <c r="AL47" s="1316"/>
    </row>
    <row r="48" spans="1:38" s="1317" customFormat="1" ht="33" hidden="1" customHeight="1">
      <c r="A48" s="1319">
        <v>33</v>
      </c>
      <c r="B48" s="1319" t="str">
        <f>'Chấm công KT'!D43</f>
        <v>02712</v>
      </c>
      <c r="C48" s="1320" t="str">
        <f>TONGHOPCONGDOI!C43</f>
        <v>T. Sô Đa</v>
      </c>
      <c r="D48" s="1319" t="s">
        <v>43</v>
      </c>
      <c r="E48" s="1321"/>
      <c r="F48" s="373"/>
      <c r="G48" s="373"/>
      <c r="H48" s="373"/>
      <c r="I48" s="373"/>
      <c r="J48" s="1322"/>
      <c r="K48" s="1323"/>
      <c r="L48" s="1324"/>
      <c r="M48" s="1325"/>
      <c r="N48" s="1325"/>
      <c r="O48" s="1325"/>
      <c r="P48" s="1325"/>
      <c r="Q48" s="1325"/>
      <c r="R48" s="1325"/>
      <c r="S48" s="1325"/>
      <c r="T48" s="1369"/>
      <c r="U48" s="1369"/>
      <c r="V48" s="1369"/>
      <c r="W48" s="1325"/>
      <c r="X48" s="1325">
        <f t="shared" ref="X48:X79" si="4">F48+L48+W48</f>
        <v>0</v>
      </c>
      <c r="Y48" s="373"/>
      <c r="Z48" s="1327">
        <f t="shared" si="3"/>
        <v>0</v>
      </c>
      <c r="AA48" s="373"/>
      <c r="AB48" s="373"/>
      <c r="AC48" s="1326"/>
      <c r="AD48" s="1456"/>
      <c r="AE48" s="1316"/>
      <c r="AF48" s="1316"/>
      <c r="AG48" s="1316"/>
      <c r="AH48" s="1316"/>
      <c r="AI48" s="1316"/>
      <c r="AJ48" s="1316"/>
      <c r="AK48" s="1316"/>
      <c r="AL48" s="1316"/>
    </row>
    <row r="49" spans="1:38" s="1317" customFormat="1" ht="33" hidden="1" customHeight="1">
      <c r="A49" s="1319">
        <v>34</v>
      </c>
      <c r="B49" s="1319" t="str">
        <f>'Chấm công KT'!D44</f>
        <v>02722</v>
      </c>
      <c r="C49" s="1320" t="str">
        <f>TONGHOPCONGDOI!C44</f>
        <v>T. Phu Ngân</v>
      </c>
      <c r="D49" s="1319" t="s">
        <v>43</v>
      </c>
      <c r="E49" s="1321"/>
      <c r="F49" s="373"/>
      <c r="G49" s="373"/>
      <c r="H49" s="373"/>
      <c r="I49" s="373"/>
      <c r="J49" s="1322"/>
      <c r="K49" s="1323"/>
      <c r="L49" s="1324"/>
      <c r="M49" s="1325"/>
      <c r="N49" s="1325"/>
      <c r="O49" s="1325"/>
      <c r="P49" s="1325"/>
      <c r="Q49" s="1325"/>
      <c r="R49" s="1325"/>
      <c r="S49" s="1325"/>
      <c r="T49" s="1369"/>
      <c r="U49" s="1369"/>
      <c r="V49" s="1369"/>
      <c r="W49" s="1325"/>
      <c r="X49" s="1325">
        <f t="shared" si="4"/>
        <v>0</v>
      </c>
      <c r="Y49" s="373"/>
      <c r="Z49" s="1327">
        <f t="shared" si="3"/>
        <v>0</v>
      </c>
      <c r="AA49" s="373"/>
      <c r="AB49" s="373"/>
      <c r="AC49" s="1326"/>
      <c r="AD49" s="1456"/>
      <c r="AE49" s="1316"/>
      <c r="AF49" s="1316"/>
      <c r="AG49" s="1316"/>
      <c r="AH49" s="1316"/>
      <c r="AI49" s="1316"/>
      <c r="AJ49" s="1316"/>
      <c r="AK49" s="1316"/>
      <c r="AL49" s="1316"/>
    </row>
    <row r="50" spans="1:38" s="1317" customFormat="1" ht="33" hidden="1" customHeight="1">
      <c r="A50" s="1319">
        <v>35</v>
      </c>
      <c r="B50" s="1319" t="str">
        <f>'Chấm công KT'!D45</f>
        <v>02714</v>
      </c>
      <c r="C50" s="1320" t="str">
        <f>TONGHOPCONGDOI!C45</f>
        <v>N. Tủn</v>
      </c>
      <c r="D50" s="1319" t="s">
        <v>43</v>
      </c>
      <c r="E50" s="1321"/>
      <c r="F50" s="373"/>
      <c r="G50" s="373"/>
      <c r="H50" s="373"/>
      <c r="I50" s="373"/>
      <c r="J50" s="1322"/>
      <c r="K50" s="1323"/>
      <c r="L50" s="1324"/>
      <c r="M50" s="1325"/>
      <c r="N50" s="1325"/>
      <c r="O50" s="1325"/>
      <c r="P50" s="1325"/>
      <c r="Q50" s="1325"/>
      <c r="R50" s="1325"/>
      <c r="S50" s="1325"/>
      <c r="T50" s="1369"/>
      <c r="U50" s="1369"/>
      <c r="V50" s="1369"/>
      <c r="W50" s="1325"/>
      <c r="X50" s="1325">
        <f t="shared" si="4"/>
        <v>0</v>
      </c>
      <c r="Y50" s="373"/>
      <c r="Z50" s="1327">
        <f t="shared" si="3"/>
        <v>0</v>
      </c>
      <c r="AA50" s="373"/>
      <c r="AB50" s="373"/>
      <c r="AC50" s="1326"/>
      <c r="AD50" s="1456"/>
      <c r="AE50" s="1316"/>
      <c r="AF50" s="1316"/>
      <c r="AG50" s="1316"/>
      <c r="AH50" s="1316"/>
      <c r="AI50" s="1316"/>
      <c r="AJ50" s="1316"/>
      <c r="AK50" s="1316"/>
      <c r="AL50" s="1316"/>
    </row>
    <row r="51" spans="1:38" s="1317" customFormat="1" ht="33" hidden="1" customHeight="1">
      <c r="A51" s="1319">
        <v>36</v>
      </c>
      <c r="B51" s="1319" t="str">
        <f>'Chấm công KT'!D46</f>
        <v>02713</v>
      </c>
      <c r="C51" s="1320" t="str">
        <f>TONGHOPCONGDOI!C46</f>
        <v>T. Lung</v>
      </c>
      <c r="D51" s="1319" t="s">
        <v>43</v>
      </c>
      <c r="E51" s="1321"/>
      <c r="F51" s="373"/>
      <c r="G51" s="373"/>
      <c r="H51" s="373"/>
      <c r="I51" s="373"/>
      <c r="J51" s="1322"/>
      <c r="K51" s="1323"/>
      <c r="L51" s="1324"/>
      <c r="M51" s="1325"/>
      <c r="N51" s="1325"/>
      <c r="O51" s="1325"/>
      <c r="P51" s="1325"/>
      <c r="Q51" s="1325"/>
      <c r="R51" s="1325"/>
      <c r="S51" s="1325"/>
      <c r="T51" s="1369"/>
      <c r="U51" s="1369"/>
      <c r="V51" s="1369"/>
      <c r="W51" s="1325"/>
      <c r="X51" s="1325">
        <f t="shared" si="4"/>
        <v>0</v>
      </c>
      <c r="Y51" s="373"/>
      <c r="Z51" s="1327">
        <f t="shared" si="3"/>
        <v>0</v>
      </c>
      <c r="AA51" s="373"/>
      <c r="AB51" s="373"/>
      <c r="AC51" s="1326"/>
      <c r="AD51" s="1456"/>
      <c r="AE51" s="1316"/>
      <c r="AF51" s="1316"/>
      <c r="AG51" s="1316"/>
      <c r="AH51" s="1316"/>
      <c r="AI51" s="1316"/>
      <c r="AJ51" s="1316"/>
      <c r="AK51" s="1316"/>
      <c r="AL51" s="1316"/>
    </row>
    <row r="52" spans="1:38" s="1317" customFormat="1" ht="33" hidden="1" customHeight="1">
      <c r="A52" s="1319">
        <v>37</v>
      </c>
      <c r="B52" s="1319" t="str">
        <f>'Chấm công KT'!D47</f>
        <v>03486</v>
      </c>
      <c r="C52" s="1320" t="str">
        <f>TONGHOPCONGDOI!C47</f>
        <v>N. Tinh</v>
      </c>
      <c r="D52" s="1319" t="s">
        <v>43</v>
      </c>
      <c r="E52" s="1321"/>
      <c r="F52" s="373"/>
      <c r="G52" s="373"/>
      <c r="H52" s="373"/>
      <c r="I52" s="373"/>
      <c r="J52" s="1322"/>
      <c r="K52" s="1323"/>
      <c r="L52" s="1324"/>
      <c r="M52" s="1325"/>
      <c r="N52" s="1325"/>
      <c r="O52" s="1325"/>
      <c r="P52" s="1325"/>
      <c r="Q52" s="1325"/>
      <c r="R52" s="1325"/>
      <c r="S52" s="1325"/>
      <c r="T52" s="1369"/>
      <c r="U52" s="1369"/>
      <c r="V52" s="1369"/>
      <c r="W52" s="1325"/>
      <c r="X52" s="1325">
        <f t="shared" si="4"/>
        <v>0</v>
      </c>
      <c r="Y52" s="373"/>
      <c r="Z52" s="1327">
        <f t="shared" si="3"/>
        <v>0</v>
      </c>
      <c r="AA52" s="373"/>
      <c r="AB52" s="373"/>
      <c r="AC52" s="1326"/>
      <c r="AD52" s="1456"/>
      <c r="AE52" s="1316"/>
      <c r="AF52" s="1316"/>
      <c r="AG52" s="1316"/>
      <c r="AH52" s="1316"/>
      <c r="AI52" s="1316"/>
      <c r="AJ52" s="1316"/>
      <c r="AK52" s="1316"/>
      <c r="AL52" s="1316"/>
    </row>
    <row r="53" spans="1:38" s="1317" customFormat="1" ht="33" hidden="1" customHeight="1">
      <c r="A53" s="1319">
        <v>38</v>
      </c>
      <c r="B53" s="1319" t="str">
        <f>'Chấm công KT'!D48</f>
        <v>03487</v>
      </c>
      <c r="C53" s="1320" t="str">
        <f>TONGHOPCONGDOI!C48</f>
        <v>N. Ba Say</v>
      </c>
      <c r="D53" s="1319" t="s">
        <v>43</v>
      </c>
      <c r="E53" s="1321"/>
      <c r="F53" s="373"/>
      <c r="G53" s="373"/>
      <c r="H53" s="373"/>
      <c r="I53" s="373"/>
      <c r="J53" s="1322"/>
      <c r="K53" s="1323"/>
      <c r="L53" s="1324"/>
      <c r="M53" s="1325"/>
      <c r="N53" s="1325"/>
      <c r="O53" s="1325"/>
      <c r="P53" s="1325"/>
      <c r="Q53" s="1325"/>
      <c r="R53" s="1325"/>
      <c r="S53" s="1325"/>
      <c r="T53" s="1369"/>
      <c r="U53" s="1369"/>
      <c r="V53" s="1369"/>
      <c r="W53" s="1325"/>
      <c r="X53" s="1325">
        <f t="shared" si="4"/>
        <v>0</v>
      </c>
      <c r="Y53" s="373"/>
      <c r="Z53" s="1327">
        <f t="shared" si="3"/>
        <v>0</v>
      </c>
      <c r="AA53" s="373"/>
      <c r="AB53" s="373"/>
      <c r="AC53" s="1326"/>
      <c r="AD53" s="1456"/>
      <c r="AE53" s="1316"/>
      <c r="AF53" s="1316"/>
      <c r="AG53" s="1316"/>
      <c r="AH53" s="1316"/>
      <c r="AI53" s="1316"/>
      <c r="AJ53" s="1316"/>
      <c r="AK53" s="1316"/>
      <c r="AL53" s="1316"/>
    </row>
    <row r="54" spans="1:38" s="1317" customFormat="1" ht="33" hidden="1" customHeight="1">
      <c r="A54" s="1319">
        <v>39</v>
      </c>
      <c r="B54" s="1319" t="str">
        <f>'Chấm công KT'!D49</f>
        <v>03488</v>
      </c>
      <c r="C54" s="1320" t="str">
        <f>TONGHOPCONGDOI!C49</f>
        <v>N. Đeng</v>
      </c>
      <c r="D54" s="1319" t="s">
        <v>43</v>
      </c>
      <c r="E54" s="1321"/>
      <c r="F54" s="373"/>
      <c r="G54" s="373"/>
      <c r="H54" s="373"/>
      <c r="I54" s="373"/>
      <c r="J54" s="1322"/>
      <c r="K54" s="1323"/>
      <c r="L54" s="1324"/>
      <c r="M54" s="1325"/>
      <c r="N54" s="1325"/>
      <c r="O54" s="1325"/>
      <c r="P54" s="1325"/>
      <c r="Q54" s="1325"/>
      <c r="R54" s="1325"/>
      <c r="S54" s="1325"/>
      <c r="T54" s="1369"/>
      <c r="U54" s="1369"/>
      <c r="V54" s="1369"/>
      <c r="W54" s="1325"/>
      <c r="X54" s="1325">
        <f t="shared" si="4"/>
        <v>0</v>
      </c>
      <c r="Y54" s="373"/>
      <c r="Z54" s="1327">
        <f t="shared" si="3"/>
        <v>0</v>
      </c>
      <c r="AA54" s="373"/>
      <c r="AB54" s="373"/>
      <c r="AC54" s="1326"/>
      <c r="AD54" s="1456"/>
      <c r="AE54" s="1316"/>
      <c r="AF54" s="1316"/>
      <c r="AG54" s="1316"/>
      <c r="AH54" s="1316"/>
      <c r="AI54" s="1316"/>
      <c r="AJ54" s="1316"/>
      <c r="AK54" s="1316"/>
      <c r="AL54" s="1316"/>
    </row>
    <row r="55" spans="1:38" s="1317" customFormat="1" ht="33" hidden="1" customHeight="1">
      <c r="A55" s="1319">
        <v>40</v>
      </c>
      <c r="B55" s="1319" t="str">
        <f>'Chấm công KT'!D50</f>
        <v>03489</v>
      </c>
      <c r="C55" s="1320" t="str">
        <f>TONGHOPCONGDOI!C50</f>
        <v>T. Tinh</v>
      </c>
      <c r="D55" s="1319" t="s">
        <v>43</v>
      </c>
      <c r="E55" s="1321"/>
      <c r="F55" s="373"/>
      <c r="G55" s="373"/>
      <c r="H55" s="373"/>
      <c r="I55" s="373"/>
      <c r="J55" s="1322"/>
      <c r="K55" s="1323"/>
      <c r="L55" s="1324"/>
      <c r="M55" s="1325"/>
      <c r="N55" s="1325"/>
      <c r="O55" s="1325"/>
      <c r="P55" s="1325"/>
      <c r="Q55" s="1325"/>
      <c r="R55" s="1325"/>
      <c r="S55" s="1325"/>
      <c r="T55" s="1369"/>
      <c r="U55" s="1369"/>
      <c r="V55" s="1369"/>
      <c r="W55" s="1325"/>
      <c r="X55" s="1325">
        <f t="shared" si="4"/>
        <v>0</v>
      </c>
      <c r="Y55" s="373"/>
      <c r="Z55" s="1327">
        <f t="shared" si="3"/>
        <v>0</v>
      </c>
      <c r="AA55" s="373"/>
      <c r="AB55" s="373"/>
      <c r="AC55" s="1326"/>
      <c r="AD55" s="1456"/>
      <c r="AE55" s="1316"/>
      <c r="AF55" s="1316"/>
      <c r="AG55" s="1316"/>
      <c r="AH55" s="1316"/>
      <c r="AI55" s="1316"/>
      <c r="AJ55" s="1316"/>
      <c r="AK55" s="1316"/>
      <c r="AL55" s="1316"/>
    </row>
    <row r="56" spans="1:38" s="1317" customFormat="1" ht="33" hidden="1" customHeight="1">
      <c r="A56" s="1319">
        <v>41</v>
      </c>
      <c r="B56" s="1319">
        <f>'Chấm công KT'!D51</f>
        <v>0</v>
      </c>
      <c r="C56" s="1320" t="str">
        <f>TONGHOPCONGDOI!C51</f>
        <v>T. Khăm Pỏi</v>
      </c>
      <c r="D56" s="1319" t="s">
        <v>43</v>
      </c>
      <c r="E56" s="1321"/>
      <c r="F56" s="373"/>
      <c r="G56" s="373"/>
      <c r="H56" s="373"/>
      <c r="I56" s="373"/>
      <c r="J56" s="1322"/>
      <c r="K56" s="1323"/>
      <c r="L56" s="1324"/>
      <c r="M56" s="1325"/>
      <c r="N56" s="1325"/>
      <c r="O56" s="1325"/>
      <c r="P56" s="1325"/>
      <c r="Q56" s="1325"/>
      <c r="R56" s="1325"/>
      <c r="S56" s="1325"/>
      <c r="T56" s="1369"/>
      <c r="U56" s="1369"/>
      <c r="V56" s="1369"/>
      <c r="W56" s="1325"/>
      <c r="X56" s="1325">
        <f t="shared" si="4"/>
        <v>0</v>
      </c>
      <c r="Y56" s="373"/>
      <c r="Z56" s="1327">
        <f t="shared" si="3"/>
        <v>0</v>
      </c>
      <c r="AA56" s="373"/>
      <c r="AB56" s="373"/>
      <c r="AC56" s="1326"/>
      <c r="AD56" s="1456"/>
      <c r="AE56" s="1316"/>
      <c r="AF56" s="1316"/>
      <c r="AG56" s="1316"/>
      <c r="AH56" s="1316"/>
      <c r="AI56" s="1316"/>
      <c r="AJ56" s="1316"/>
      <c r="AK56" s="1316"/>
      <c r="AL56" s="1316"/>
    </row>
    <row r="57" spans="1:38" s="1317" customFormat="1" ht="33" hidden="1" customHeight="1">
      <c r="A57" s="1319">
        <v>42</v>
      </c>
      <c r="B57" s="1319" t="str">
        <f>'Chấm công KT'!D52</f>
        <v>03491</v>
      </c>
      <c r="C57" s="1320" t="str">
        <f>TONGHOPCONGDOI!C52</f>
        <v>Lăm Ngân</v>
      </c>
      <c r="D57" s="1319" t="s">
        <v>43</v>
      </c>
      <c r="E57" s="1321"/>
      <c r="F57" s="373"/>
      <c r="G57" s="373"/>
      <c r="H57" s="373"/>
      <c r="I57" s="373"/>
      <c r="J57" s="1322"/>
      <c r="K57" s="1323"/>
      <c r="L57" s="1324"/>
      <c r="M57" s="1325"/>
      <c r="N57" s="1325"/>
      <c r="O57" s="1325"/>
      <c r="P57" s="1325"/>
      <c r="Q57" s="1325"/>
      <c r="R57" s="1325"/>
      <c r="S57" s="1325"/>
      <c r="T57" s="1369"/>
      <c r="U57" s="1369"/>
      <c r="V57" s="1369"/>
      <c r="W57" s="1325"/>
      <c r="X57" s="1325">
        <f t="shared" si="4"/>
        <v>0</v>
      </c>
      <c r="Y57" s="373"/>
      <c r="Z57" s="1327">
        <f t="shared" si="3"/>
        <v>0</v>
      </c>
      <c r="AA57" s="373"/>
      <c r="AB57" s="373"/>
      <c r="AC57" s="1326"/>
      <c r="AD57" s="1456"/>
      <c r="AE57" s="1316"/>
      <c r="AF57" s="1316"/>
      <c r="AG57" s="1316"/>
      <c r="AH57" s="1316"/>
      <c r="AI57" s="1316"/>
      <c r="AJ57" s="1316"/>
      <c r="AK57" s="1316"/>
      <c r="AL57" s="1316"/>
    </row>
    <row r="58" spans="1:38" s="1317" customFormat="1" ht="33" hidden="1" customHeight="1">
      <c r="A58" s="1319">
        <v>43</v>
      </c>
      <c r="B58" s="1319" t="str">
        <f>'Chấm công KT'!D53</f>
        <v>02715</v>
      </c>
      <c r="C58" s="1320" t="str">
        <f>TONGHOPCONGDOI!C53</f>
        <v>N. Ting</v>
      </c>
      <c r="D58" s="1319" t="s">
        <v>43</v>
      </c>
      <c r="E58" s="1321"/>
      <c r="F58" s="373"/>
      <c r="G58" s="373"/>
      <c r="H58" s="373"/>
      <c r="I58" s="373"/>
      <c r="J58" s="1322"/>
      <c r="K58" s="1323"/>
      <c r="L58" s="1324"/>
      <c r="M58" s="1325"/>
      <c r="N58" s="1325"/>
      <c r="O58" s="1325"/>
      <c r="P58" s="1325"/>
      <c r="Q58" s="1325"/>
      <c r="R58" s="1325"/>
      <c r="S58" s="1325"/>
      <c r="T58" s="1369"/>
      <c r="U58" s="1369"/>
      <c r="V58" s="1369"/>
      <c r="W58" s="1325"/>
      <c r="X58" s="1325">
        <f t="shared" si="4"/>
        <v>0</v>
      </c>
      <c r="Y58" s="373"/>
      <c r="Z58" s="1327">
        <f t="shared" si="3"/>
        <v>0</v>
      </c>
      <c r="AA58" s="373"/>
      <c r="AB58" s="373"/>
      <c r="AC58" s="1326"/>
      <c r="AD58" s="1456"/>
      <c r="AE58" s="1316"/>
      <c r="AF58" s="1316"/>
      <c r="AG58" s="1316"/>
      <c r="AH58" s="1316"/>
      <c r="AI58" s="1316"/>
      <c r="AJ58" s="1316"/>
      <c r="AK58" s="1316"/>
      <c r="AL58" s="1316"/>
    </row>
    <row r="59" spans="1:38" s="1317" customFormat="1" ht="33" hidden="1" customHeight="1">
      <c r="A59" s="1319">
        <v>44</v>
      </c>
      <c r="B59" s="1319" t="str">
        <f>'Chấm công KT'!D54</f>
        <v>03492</v>
      </c>
      <c r="C59" s="1320" t="str">
        <f>TONGHOPCONGDOI!C54</f>
        <v>T. Lem</v>
      </c>
      <c r="D59" s="1319" t="s">
        <v>43</v>
      </c>
      <c r="E59" s="1321"/>
      <c r="F59" s="373"/>
      <c r="G59" s="373"/>
      <c r="H59" s="373"/>
      <c r="I59" s="373"/>
      <c r="J59" s="1322"/>
      <c r="K59" s="1323"/>
      <c r="L59" s="1324"/>
      <c r="M59" s="1325"/>
      <c r="N59" s="1325"/>
      <c r="O59" s="1325"/>
      <c r="P59" s="1325"/>
      <c r="Q59" s="1325"/>
      <c r="R59" s="1325"/>
      <c r="S59" s="1325"/>
      <c r="T59" s="1369"/>
      <c r="U59" s="1369"/>
      <c r="V59" s="1369"/>
      <c r="W59" s="1325"/>
      <c r="X59" s="1325">
        <f t="shared" si="4"/>
        <v>0</v>
      </c>
      <c r="Y59" s="373"/>
      <c r="Z59" s="1327">
        <f t="shared" si="3"/>
        <v>0</v>
      </c>
      <c r="AA59" s="373"/>
      <c r="AB59" s="373"/>
      <c r="AC59" s="1326"/>
      <c r="AD59" s="1456"/>
      <c r="AE59" s="1316"/>
      <c r="AF59" s="1316"/>
      <c r="AG59" s="1316"/>
      <c r="AH59" s="1316"/>
      <c r="AI59" s="1316"/>
      <c r="AJ59" s="1316"/>
      <c r="AK59" s="1316"/>
      <c r="AL59" s="1316"/>
    </row>
    <row r="60" spans="1:38" s="1317" customFormat="1" ht="33" hidden="1" customHeight="1">
      <c r="A60" s="1319">
        <v>45</v>
      </c>
      <c r="B60" s="1319" t="str">
        <f>'Chấm công KT'!D55</f>
        <v>03493</v>
      </c>
      <c r="C60" s="1320" t="str">
        <f>TONGHOPCONGDOI!C55</f>
        <v>T. Pông</v>
      </c>
      <c r="D60" s="1319" t="s">
        <v>43</v>
      </c>
      <c r="E60" s="1321"/>
      <c r="F60" s="373"/>
      <c r="G60" s="373"/>
      <c r="H60" s="373"/>
      <c r="I60" s="373"/>
      <c r="J60" s="1322"/>
      <c r="K60" s="1323"/>
      <c r="L60" s="1324"/>
      <c r="M60" s="1325"/>
      <c r="N60" s="1325"/>
      <c r="O60" s="1325"/>
      <c r="P60" s="1325"/>
      <c r="Q60" s="1325"/>
      <c r="R60" s="1325"/>
      <c r="S60" s="1325"/>
      <c r="T60" s="1369"/>
      <c r="U60" s="1369"/>
      <c r="V60" s="1369"/>
      <c r="W60" s="1325"/>
      <c r="X60" s="1325">
        <f t="shared" si="4"/>
        <v>0</v>
      </c>
      <c r="Y60" s="373"/>
      <c r="Z60" s="1327">
        <f t="shared" si="3"/>
        <v>0</v>
      </c>
      <c r="AA60" s="373"/>
      <c r="AB60" s="373"/>
      <c r="AC60" s="1326"/>
      <c r="AD60" s="1456"/>
      <c r="AE60" s="1316"/>
      <c r="AF60" s="1316"/>
      <c r="AG60" s="1316"/>
      <c r="AH60" s="1316"/>
      <c r="AI60" s="1316"/>
      <c r="AJ60" s="1316"/>
      <c r="AK60" s="1316"/>
      <c r="AL60" s="1316"/>
    </row>
    <row r="61" spans="1:38" s="1317" customFormat="1" ht="33" hidden="1" customHeight="1">
      <c r="A61" s="1319">
        <v>46</v>
      </c>
      <c r="B61" s="1319" t="str">
        <f>'Chấm công KT'!D56</f>
        <v>02721</v>
      </c>
      <c r="C61" s="1320" t="str">
        <f>TONGHOPCONGDOI!C56</f>
        <v>T. Chít</v>
      </c>
      <c r="D61" s="1319" t="s">
        <v>43</v>
      </c>
      <c r="E61" s="1321"/>
      <c r="F61" s="373"/>
      <c r="G61" s="373"/>
      <c r="H61" s="373"/>
      <c r="I61" s="373"/>
      <c r="J61" s="1322"/>
      <c r="K61" s="1323"/>
      <c r="L61" s="1324"/>
      <c r="M61" s="1325"/>
      <c r="N61" s="1325"/>
      <c r="O61" s="1325"/>
      <c r="P61" s="1325"/>
      <c r="Q61" s="1325"/>
      <c r="R61" s="1325"/>
      <c r="S61" s="1325"/>
      <c r="T61" s="1369"/>
      <c r="U61" s="1369"/>
      <c r="V61" s="1369"/>
      <c r="W61" s="1325"/>
      <c r="X61" s="1325">
        <f t="shared" si="4"/>
        <v>0</v>
      </c>
      <c r="Y61" s="373"/>
      <c r="Z61" s="1327">
        <f t="shared" si="3"/>
        <v>0</v>
      </c>
      <c r="AA61" s="373"/>
      <c r="AB61" s="373"/>
      <c r="AC61" s="1326"/>
      <c r="AD61" s="1456"/>
      <c r="AE61" s="1316"/>
      <c r="AF61" s="1316"/>
      <c r="AG61" s="1316"/>
      <c r="AH61" s="1316"/>
      <c r="AI61" s="1316"/>
      <c r="AJ61" s="1316"/>
      <c r="AK61" s="1316"/>
      <c r="AL61" s="1316"/>
    </row>
    <row r="62" spans="1:38" s="1317" customFormat="1" ht="33" hidden="1" customHeight="1">
      <c r="A62" s="1319">
        <v>47</v>
      </c>
      <c r="B62" s="1319" t="str">
        <f>'Chấm công KT'!D57</f>
        <v>02720</v>
      </c>
      <c r="C62" s="1320" t="str">
        <f>TONGHOPCONGDOI!C57</f>
        <v>N. La</v>
      </c>
      <c r="D62" s="1319" t="s">
        <v>43</v>
      </c>
      <c r="E62" s="1321"/>
      <c r="F62" s="373"/>
      <c r="G62" s="373"/>
      <c r="H62" s="373"/>
      <c r="I62" s="373"/>
      <c r="J62" s="1322"/>
      <c r="K62" s="1323"/>
      <c r="L62" s="1324"/>
      <c r="M62" s="1325"/>
      <c r="N62" s="1325"/>
      <c r="O62" s="1325"/>
      <c r="P62" s="1325"/>
      <c r="Q62" s="1325"/>
      <c r="R62" s="1325"/>
      <c r="S62" s="1325"/>
      <c r="T62" s="1369"/>
      <c r="U62" s="1369"/>
      <c r="V62" s="1369"/>
      <c r="W62" s="1325"/>
      <c r="X62" s="1325">
        <f t="shared" si="4"/>
        <v>0</v>
      </c>
      <c r="Y62" s="373"/>
      <c r="Z62" s="1327">
        <f t="shared" si="3"/>
        <v>0</v>
      </c>
      <c r="AA62" s="373"/>
      <c r="AB62" s="373"/>
      <c r="AC62" s="1326"/>
      <c r="AD62" s="1456"/>
      <c r="AE62" s="1316"/>
      <c r="AF62" s="1316"/>
      <c r="AG62" s="1316"/>
      <c r="AH62" s="1316"/>
      <c r="AI62" s="1316"/>
      <c r="AJ62" s="1316"/>
      <c r="AK62" s="1316"/>
      <c r="AL62" s="1316"/>
    </row>
    <row r="63" spans="1:38" s="1317" customFormat="1" ht="33" hidden="1" customHeight="1">
      <c r="A63" s="1319">
        <v>48</v>
      </c>
      <c r="B63" s="1319" t="str">
        <f>'Chấm công KT'!D58</f>
        <v>03494</v>
      </c>
      <c r="C63" s="1320" t="str">
        <f>TONGHOPCONGDOI!C58</f>
        <v>T. Đi</v>
      </c>
      <c r="D63" s="1319" t="s">
        <v>43</v>
      </c>
      <c r="E63" s="1321"/>
      <c r="F63" s="373"/>
      <c r="G63" s="373"/>
      <c r="H63" s="373"/>
      <c r="I63" s="373"/>
      <c r="J63" s="1322"/>
      <c r="K63" s="1323"/>
      <c r="L63" s="1324"/>
      <c r="M63" s="1325"/>
      <c r="N63" s="1325"/>
      <c r="O63" s="1325"/>
      <c r="P63" s="1325"/>
      <c r="Q63" s="1325"/>
      <c r="R63" s="1325"/>
      <c r="S63" s="1325"/>
      <c r="T63" s="1369"/>
      <c r="U63" s="1369"/>
      <c r="V63" s="1369"/>
      <c r="W63" s="1325"/>
      <c r="X63" s="1325">
        <f t="shared" si="4"/>
        <v>0</v>
      </c>
      <c r="Y63" s="373"/>
      <c r="Z63" s="1327">
        <f t="shared" si="3"/>
        <v>0</v>
      </c>
      <c r="AA63" s="373"/>
      <c r="AB63" s="373"/>
      <c r="AC63" s="1326"/>
      <c r="AD63" s="1456"/>
      <c r="AE63" s="1316"/>
      <c r="AF63" s="1316"/>
      <c r="AG63" s="1316"/>
      <c r="AH63" s="1316"/>
      <c r="AI63" s="1316"/>
      <c r="AJ63" s="1316"/>
      <c r="AK63" s="1316"/>
      <c r="AL63" s="1316"/>
    </row>
    <row r="64" spans="1:38" s="1317" customFormat="1" ht="33" hidden="1" customHeight="1">
      <c r="A64" s="1319">
        <v>49</v>
      </c>
      <c r="B64" s="1319" t="str">
        <f>'Chấm công KT'!D59</f>
        <v>03495</v>
      </c>
      <c r="C64" s="1320" t="str">
        <f>TONGHOPCONGDOI!C59</f>
        <v>N. On Xi</v>
      </c>
      <c r="D64" s="1319" t="s">
        <v>43</v>
      </c>
      <c r="E64" s="1321"/>
      <c r="F64" s="373"/>
      <c r="G64" s="373"/>
      <c r="H64" s="373"/>
      <c r="I64" s="373"/>
      <c r="J64" s="1322"/>
      <c r="K64" s="1323"/>
      <c r="L64" s="1324"/>
      <c r="M64" s="1325"/>
      <c r="N64" s="1325"/>
      <c r="O64" s="1325"/>
      <c r="P64" s="1325"/>
      <c r="Q64" s="1325"/>
      <c r="R64" s="1325"/>
      <c r="S64" s="1325"/>
      <c r="T64" s="1369"/>
      <c r="U64" s="1369"/>
      <c r="V64" s="1369"/>
      <c r="W64" s="1325"/>
      <c r="X64" s="1325">
        <f t="shared" si="4"/>
        <v>0</v>
      </c>
      <c r="Y64" s="373"/>
      <c r="Z64" s="1327">
        <f t="shared" si="3"/>
        <v>0</v>
      </c>
      <c r="AA64" s="373"/>
      <c r="AB64" s="373"/>
      <c r="AC64" s="1326"/>
      <c r="AD64" s="1456"/>
      <c r="AE64" s="1316"/>
      <c r="AF64" s="1316"/>
      <c r="AG64" s="1316"/>
      <c r="AH64" s="1316"/>
      <c r="AI64" s="1316"/>
      <c r="AJ64" s="1316"/>
      <c r="AK64" s="1316"/>
      <c r="AL64" s="1316"/>
    </row>
    <row r="65" spans="1:38" s="1317" customFormat="1" ht="33" hidden="1" customHeight="1">
      <c r="A65" s="1319">
        <v>50</v>
      </c>
      <c r="B65" s="1319" t="str">
        <f>'Chấm công KT'!D60</f>
        <v>03496</v>
      </c>
      <c r="C65" s="1320" t="str">
        <f>TONGHOPCONGDOI!C60</f>
        <v>T. Lốp</v>
      </c>
      <c r="D65" s="1319" t="s">
        <v>43</v>
      </c>
      <c r="E65" s="1321"/>
      <c r="F65" s="373"/>
      <c r="G65" s="373"/>
      <c r="H65" s="373"/>
      <c r="I65" s="373"/>
      <c r="J65" s="1322"/>
      <c r="K65" s="1323"/>
      <c r="L65" s="1324"/>
      <c r="M65" s="1325"/>
      <c r="N65" s="1325"/>
      <c r="O65" s="1325"/>
      <c r="P65" s="1325"/>
      <c r="Q65" s="1325"/>
      <c r="R65" s="1325"/>
      <c r="S65" s="1325"/>
      <c r="T65" s="1369"/>
      <c r="U65" s="1369"/>
      <c r="V65" s="1369"/>
      <c r="W65" s="1325"/>
      <c r="X65" s="1325">
        <f t="shared" si="4"/>
        <v>0</v>
      </c>
      <c r="Y65" s="373"/>
      <c r="Z65" s="1327">
        <f t="shared" si="3"/>
        <v>0</v>
      </c>
      <c r="AA65" s="373"/>
      <c r="AB65" s="373"/>
      <c r="AC65" s="1326"/>
      <c r="AD65" s="1456"/>
      <c r="AE65" s="1316"/>
      <c r="AF65" s="1316"/>
      <c r="AG65" s="1316"/>
      <c r="AH65" s="1316"/>
      <c r="AI65" s="1316"/>
      <c r="AJ65" s="1316"/>
      <c r="AK65" s="1316"/>
      <c r="AL65" s="1316"/>
    </row>
    <row r="66" spans="1:38" s="1317" customFormat="1" ht="33" hidden="1" customHeight="1">
      <c r="A66" s="1319">
        <v>51</v>
      </c>
      <c r="B66" s="1319" t="str">
        <f>'Chấm công KT'!D61</f>
        <v>03497</v>
      </c>
      <c r="C66" s="1320" t="str">
        <f>TONGHOPCONGDOI!C61</f>
        <v>T. Son Xay</v>
      </c>
      <c r="D66" s="1319" t="s">
        <v>43</v>
      </c>
      <c r="E66" s="1321"/>
      <c r="F66" s="373"/>
      <c r="G66" s="373"/>
      <c r="H66" s="373"/>
      <c r="I66" s="373"/>
      <c r="J66" s="1322"/>
      <c r="K66" s="1323"/>
      <c r="L66" s="1324"/>
      <c r="M66" s="1325"/>
      <c r="N66" s="1325"/>
      <c r="O66" s="1325"/>
      <c r="P66" s="1325"/>
      <c r="Q66" s="1325"/>
      <c r="R66" s="1325"/>
      <c r="S66" s="1325"/>
      <c r="T66" s="1369"/>
      <c r="U66" s="1369"/>
      <c r="V66" s="1369"/>
      <c r="W66" s="1325"/>
      <c r="X66" s="1325">
        <f t="shared" si="4"/>
        <v>0</v>
      </c>
      <c r="Y66" s="373"/>
      <c r="Z66" s="1327">
        <f t="shared" si="3"/>
        <v>0</v>
      </c>
      <c r="AA66" s="373"/>
      <c r="AB66" s="373"/>
      <c r="AC66" s="1326"/>
      <c r="AD66" s="1456"/>
      <c r="AE66" s="1316"/>
      <c r="AF66" s="1316"/>
      <c r="AG66" s="1316"/>
      <c r="AH66" s="1316"/>
      <c r="AI66" s="1316"/>
      <c r="AJ66" s="1316"/>
      <c r="AK66" s="1316"/>
      <c r="AL66" s="1316"/>
    </row>
    <row r="67" spans="1:38" s="1317" customFormat="1" ht="33" hidden="1" customHeight="1">
      <c r="A67" s="1319">
        <v>52</v>
      </c>
      <c r="B67" s="1319" t="str">
        <f>'Chấm công KT'!D62</f>
        <v>03498</v>
      </c>
      <c r="C67" s="1320" t="str">
        <f>TONGHOPCONGDOI!C62</f>
        <v>N. Lăm Phay</v>
      </c>
      <c r="D67" s="1319" t="s">
        <v>43</v>
      </c>
      <c r="E67" s="1321"/>
      <c r="F67" s="373"/>
      <c r="G67" s="373"/>
      <c r="H67" s="373"/>
      <c r="I67" s="373"/>
      <c r="J67" s="1322"/>
      <c r="K67" s="1323"/>
      <c r="L67" s="1324"/>
      <c r="M67" s="1325"/>
      <c r="N67" s="1325"/>
      <c r="O67" s="1325"/>
      <c r="P67" s="1325"/>
      <c r="Q67" s="1325"/>
      <c r="R67" s="1325"/>
      <c r="S67" s="1325"/>
      <c r="T67" s="1369"/>
      <c r="U67" s="1369"/>
      <c r="V67" s="1369"/>
      <c r="W67" s="1325"/>
      <c r="X67" s="1325">
        <f t="shared" si="4"/>
        <v>0</v>
      </c>
      <c r="Y67" s="373"/>
      <c r="Z67" s="1327">
        <f t="shared" si="3"/>
        <v>0</v>
      </c>
      <c r="AA67" s="373"/>
      <c r="AB67" s="373"/>
      <c r="AC67" s="1326"/>
      <c r="AD67" s="1456"/>
      <c r="AE67" s="1316"/>
      <c r="AF67" s="1316"/>
      <c r="AG67" s="1316"/>
      <c r="AH67" s="1316"/>
      <c r="AI67" s="1316"/>
      <c r="AJ67" s="1316"/>
      <c r="AK67" s="1316"/>
      <c r="AL67" s="1316"/>
    </row>
    <row r="68" spans="1:38" s="1317" customFormat="1" ht="33" hidden="1" customHeight="1">
      <c r="A68" s="1319">
        <v>53</v>
      </c>
      <c r="B68" s="1319" t="str">
        <f>'Chấm công KT'!D63</f>
        <v>02706</v>
      </c>
      <c r="C68" s="1320" t="str">
        <f>TONGHOPCONGDOI!C63</f>
        <v>T. Nhung</v>
      </c>
      <c r="D68" s="1319" t="s">
        <v>43</v>
      </c>
      <c r="E68" s="1321"/>
      <c r="F68" s="373"/>
      <c r="G68" s="373"/>
      <c r="H68" s="373"/>
      <c r="I68" s="373"/>
      <c r="J68" s="1322"/>
      <c r="K68" s="1323"/>
      <c r="L68" s="1324"/>
      <c r="M68" s="1325"/>
      <c r="N68" s="1325"/>
      <c r="O68" s="1325"/>
      <c r="P68" s="1325"/>
      <c r="Q68" s="1325"/>
      <c r="R68" s="1325"/>
      <c r="S68" s="1325"/>
      <c r="T68" s="1369"/>
      <c r="U68" s="1369"/>
      <c r="V68" s="1369"/>
      <c r="W68" s="1325"/>
      <c r="X68" s="1325">
        <f t="shared" si="4"/>
        <v>0</v>
      </c>
      <c r="Y68" s="373"/>
      <c r="Z68" s="1327">
        <f t="shared" si="3"/>
        <v>0</v>
      </c>
      <c r="AA68" s="373"/>
      <c r="AB68" s="373"/>
      <c r="AC68" s="1326"/>
      <c r="AD68" s="1456"/>
      <c r="AE68" s="1316"/>
      <c r="AF68" s="1316"/>
      <c r="AG68" s="1316"/>
      <c r="AH68" s="1316"/>
      <c r="AI68" s="1316"/>
      <c r="AJ68" s="1316"/>
      <c r="AK68" s="1316"/>
      <c r="AL68" s="1316"/>
    </row>
    <row r="69" spans="1:38" s="1317" customFormat="1" ht="33" hidden="1" customHeight="1">
      <c r="A69" s="1319">
        <v>54</v>
      </c>
      <c r="B69" s="1319" t="str">
        <f>'Chấm công KT'!D64</f>
        <v>03499</v>
      </c>
      <c r="C69" s="1320" t="str">
        <f>TONGHOPCONGDOI!C64</f>
        <v>N. In Ton</v>
      </c>
      <c r="D69" s="1319" t="s">
        <v>43</v>
      </c>
      <c r="E69" s="1321"/>
      <c r="F69" s="373"/>
      <c r="G69" s="373"/>
      <c r="H69" s="373"/>
      <c r="I69" s="373"/>
      <c r="J69" s="1322"/>
      <c r="K69" s="1323"/>
      <c r="L69" s="1324"/>
      <c r="M69" s="1325"/>
      <c r="N69" s="1325"/>
      <c r="O69" s="1325"/>
      <c r="P69" s="1325"/>
      <c r="Q69" s="1325"/>
      <c r="R69" s="1325"/>
      <c r="S69" s="1325"/>
      <c r="T69" s="1369"/>
      <c r="U69" s="1369"/>
      <c r="V69" s="1369"/>
      <c r="W69" s="1325"/>
      <c r="X69" s="1325">
        <f t="shared" si="4"/>
        <v>0</v>
      </c>
      <c r="Y69" s="373"/>
      <c r="Z69" s="1327">
        <f t="shared" si="3"/>
        <v>0</v>
      </c>
      <c r="AA69" s="373"/>
      <c r="AB69" s="373"/>
      <c r="AC69" s="1326"/>
      <c r="AD69" s="1456"/>
      <c r="AE69" s="1316"/>
      <c r="AF69" s="1316"/>
      <c r="AG69" s="1316"/>
      <c r="AH69" s="1316"/>
      <c r="AI69" s="1316"/>
      <c r="AJ69" s="1316"/>
      <c r="AK69" s="1316"/>
      <c r="AL69" s="1316"/>
    </row>
    <row r="70" spans="1:38" s="1317" customFormat="1" ht="33" hidden="1" customHeight="1">
      <c r="A70" s="1319">
        <v>55</v>
      </c>
      <c r="B70" s="1319"/>
      <c r="C70" s="1320" t="str">
        <f>TONGHOPCONGDOI!C65</f>
        <v>N. Khay Chăn</v>
      </c>
      <c r="D70" s="1319" t="s">
        <v>43</v>
      </c>
      <c r="E70" s="1321"/>
      <c r="F70" s="373"/>
      <c r="G70" s="373"/>
      <c r="H70" s="373"/>
      <c r="I70" s="373"/>
      <c r="J70" s="1322"/>
      <c r="K70" s="1323"/>
      <c r="L70" s="1324"/>
      <c r="M70" s="1325"/>
      <c r="N70" s="1325"/>
      <c r="O70" s="1325"/>
      <c r="P70" s="1325"/>
      <c r="Q70" s="1325"/>
      <c r="R70" s="1325"/>
      <c r="S70" s="1325"/>
      <c r="T70" s="1369"/>
      <c r="U70" s="1369"/>
      <c r="V70" s="1369"/>
      <c r="W70" s="1325"/>
      <c r="X70" s="1325">
        <f t="shared" si="4"/>
        <v>0</v>
      </c>
      <c r="Y70" s="373"/>
      <c r="Z70" s="1327">
        <f t="shared" si="3"/>
        <v>0</v>
      </c>
      <c r="AA70" s="373"/>
      <c r="AB70" s="373"/>
      <c r="AC70" s="1326"/>
      <c r="AD70" s="1456"/>
      <c r="AE70" s="1316"/>
      <c r="AF70" s="1316"/>
      <c r="AG70" s="1316"/>
      <c r="AH70" s="1316"/>
      <c r="AI70" s="1316"/>
      <c r="AJ70" s="1316"/>
      <c r="AK70" s="1316"/>
      <c r="AL70" s="1316"/>
    </row>
    <row r="71" spans="1:38" s="1317" customFormat="1" ht="33" hidden="1" customHeight="1">
      <c r="A71" s="1319">
        <v>56</v>
      </c>
      <c r="B71" s="1319" t="str">
        <f>'Chấm công KT'!D66</f>
        <v>03501</v>
      </c>
      <c r="C71" s="1320" t="str">
        <f>TONGHOPCONGDOI!C66</f>
        <v>T Dăn</v>
      </c>
      <c r="D71" s="1319" t="s">
        <v>43</v>
      </c>
      <c r="E71" s="1321"/>
      <c r="F71" s="373"/>
      <c r="G71" s="373"/>
      <c r="H71" s="373"/>
      <c r="I71" s="373"/>
      <c r="J71" s="1322"/>
      <c r="K71" s="1323"/>
      <c r="L71" s="1324"/>
      <c r="M71" s="1325"/>
      <c r="N71" s="1325"/>
      <c r="O71" s="1325"/>
      <c r="P71" s="1325"/>
      <c r="Q71" s="1325"/>
      <c r="R71" s="1325"/>
      <c r="S71" s="1325"/>
      <c r="T71" s="1369"/>
      <c r="U71" s="1369"/>
      <c r="V71" s="1369"/>
      <c r="W71" s="1325"/>
      <c r="X71" s="1325">
        <f t="shared" si="4"/>
        <v>0</v>
      </c>
      <c r="Y71" s="373"/>
      <c r="Z71" s="1327">
        <f t="shared" si="3"/>
        <v>0</v>
      </c>
      <c r="AA71" s="373"/>
      <c r="AB71" s="373"/>
      <c r="AC71" s="1326"/>
      <c r="AD71" s="1456"/>
      <c r="AE71" s="1316"/>
      <c r="AF71" s="1316"/>
      <c r="AG71" s="1316"/>
      <c r="AH71" s="1316"/>
      <c r="AI71" s="1316"/>
      <c r="AJ71" s="1316"/>
      <c r="AK71" s="1316"/>
      <c r="AL71" s="1316"/>
    </row>
    <row r="72" spans="1:38" s="1317" customFormat="1" ht="33" hidden="1" customHeight="1">
      <c r="A72" s="1319">
        <v>57</v>
      </c>
      <c r="B72" s="1319" t="str">
        <f>'Chấm công KT'!D67</f>
        <v>03502</v>
      </c>
      <c r="C72" s="1320" t="str">
        <f>TONGHOPCONGDOI!C67</f>
        <v>T. Xợt</v>
      </c>
      <c r="D72" s="1319" t="s">
        <v>43</v>
      </c>
      <c r="E72" s="1321"/>
      <c r="F72" s="373"/>
      <c r="G72" s="373"/>
      <c r="H72" s="373"/>
      <c r="I72" s="373"/>
      <c r="J72" s="1322"/>
      <c r="K72" s="1323"/>
      <c r="L72" s="1324"/>
      <c r="M72" s="1325"/>
      <c r="N72" s="1325"/>
      <c r="O72" s="1325"/>
      <c r="P72" s="1325"/>
      <c r="Q72" s="1325"/>
      <c r="R72" s="1325"/>
      <c r="S72" s="1325"/>
      <c r="T72" s="1369"/>
      <c r="U72" s="1369"/>
      <c r="V72" s="1369"/>
      <c r="W72" s="1325"/>
      <c r="X72" s="1325">
        <f t="shared" si="4"/>
        <v>0</v>
      </c>
      <c r="Y72" s="373"/>
      <c r="Z72" s="1327">
        <f t="shared" si="3"/>
        <v>0</v>
      </c>
      <c r="AA72" s="373"/>
      <c r="AB72" s="373"/>
      <c r="AC72" s="1326"/>
      <c r="AD72" s="1456"/>
      <c r="AE72" s="1316"/>
      <c r="AF72" s="1316"/>
      <c r="AG72" s="1316"/>
      <c r="AH72" s="1316"/>
      <c r="AI72" s="1316"/>
      <c r="AJ72" s="1316"/>
      <c r="AK72" s="1316"/>
      <c r="AL72" s="1316"/>
    </row>
    <row r="73" spans="1:38" s="1317" customFormat="1" ht="33" hidden="1" customHeight="1">
      <c r="A73" s="1319">
        <v>58</v>
      </c>
      <c r="B73" s="1319" t="e">
        <f>'Chấm công KT'!D68</f>
        <v>#N/A</v>
      </c>
      <c r="C73" s="1320" t="str">
        <f>TONGHOPCONGDOI!C68</f>
        <v>N. Phết 2</v>
      </c>
      <c r="D73" s="1319" t="s">
        <v>43</v>
      </c>
      <c r="E73" s="1321"/>
      <c r="F73" s="373"/>
      <c r="G73" s="373"/>
      <c r="H73" s="373"/>
      <c r="I73" s="373"/>
      <c r="J73" s="1322"/>
      <c r="K73" s="1323"/>
      <c r="L73" s="1324"/>
      <c r="M73" s="1325"/>
      <c r="N73" s="1325"/>
      <c r="O73" s="1325"/>
      <c r="P73" s="1325"/>
      <c r="Q73" s="1325"/>
      <c r="R73" s="1325"/>
      <c r="S73" s="1325"/>
      <c r="T73" s="1369"/>
      <c r="U73" s="1369"/>
      <c r="V73" s="1369"/>
      <c r="W73" s="1325"/>
      <c r="X73" s="1325">
        <f t="shared" si="4"/>
        <v>0</v>
      </c>
      <c r="Y73" s="373"/>
      <c r="Z73" s="1327">
        <f t="shared" si="3"/>
        <v>0</v>
      </c>
      <c r="AA73" s="373"/>
      <c r="AB73" s="373"/>
      <c r="AC73" s="1326"/>
      <c r="AD73" s="1456"/>
      <c r="AE73" s="1316"/>
      <c r="AF73" s="1316"/>
      <c r="AG73" s="1316"/>
      <c r="AH73" s="1316"/>
      <c r="AI73" s="1316"/>
      <c r="AJ73" s="1316"/>
      <c r="AK73" s="1316"/>
      <c r="AL73" s="1316"/>
    </row>
    <row r="74" spans="1:38" s="1317" customFormat="1" ht="33" hidden="1" customHeight="1">
      <c r="A74" s="1319">
        <v>59</v>
      </c>
      <c r="B74" s="1319" t="str">
        <f>'Chấm công KT'!D69</f>
        <v>03504</v>
      </c>
      <c r="C74" s="1320" t="str">
        <f>TONGHOPCONGDOI!C69</f>
        <v>T. Cạp</v>
      </c>
      <c r="D74" s="1319" t="s">
        <v>43</v>
      </c>
      <c r="E74" s="1321"/>
      <c r="F74" s="373"/>
      <c r="G74" s="373"/>
      <c r="H74" s="373"/>
      <c r="I74" s="373"/>
      <c r="J74" s="1322"/>
      <c r="K74" s="1323"/>
      <c r="L74" s="1324"/>
      <c r="M74" s="1325"/>
      <c r="N74" s="1325"/>
      <c r="O74" s="1325"/>
      <c r="P74" s="1325"/>
      <c r="Q74" s="1325"/>
      <c r="R74" s="1325"/>
      <c r="S74" s="1325"/>
      <c r="T74" s="1369"/>
      <c r="U74" s="1369"/>
      <c r="V74" s="1369"/>
      <c r="W74" s="1325"/>
      <c r="X74" s="1325">
        <f t="shared" si="4"/>
        <v>0</v>
      </c>
      <c r="Y74" s="373"/>
      <c r="Z74" s="1327">
        <f t="shared" si="3"/>
        <v>0</v>
      </c>
      <c r="AA74" s="373"/>
      <c r="AB74" s="373"/>
      <c r="AC74" s="1326"/>
      <c r="AD74" s="1456"/>
      <c r="AE74" s="1316"/>
      <c r="AF74" s="1316"/>
      <c r="AG74" s="1316"/>
      <c r="AH74" s="1316"/>
      <c r="AI74" s="1316"/>
      <c r="AJ74" s="1316"/>
      <c r="AK74" s="1316"/>
      <c r="AL74" s="1316"/>
    </row>
    <row r="75" spans="1:38" s="1317" customFormat="1" ht="33" hidden="1" customHeight="1">
      <c r="A75" s="1319">
        <v>60</v>
      </c>
      <c r="B75" s="1319" t="str">
        <f>'Chấm công KT'!D70</f>
        <v>03505</v>
      </c>
      <c r="C75" s="1320" t="str">
        <f>TONGHOPCONGDOI!C70</f>
        <v>N. Phết</v>
      </c>
      <c r="D75" s="1319" t="s">
        <v>43</v>
      </c>
      <c r="E75" s="1321"/>
      <c r="F75" s="373"/>
      <c r="G75" s="373"/>
      <c r="H75" s="373"/>
      <c r="I75" s="373"/>
      <c r="J75" s="1322"/>
      <c r="K75" s="1323"/>
      <c r="L75" s="1324"/>
      <c r="M75" s="1325"/>
      <c r="N75" s="1325"/>
      <c r="O75" s="1325"/>
      <c r="P75" s="1325"/>
      <c r="Q75" s="1325"/>
      <c r="R75" s="1325"/>
      <c r="S75" s="1325"/>
      <c r="T75" s="1369"/>
      <c r="U75" s="1369"/>
      <c r="V75" s="1369"/>
      <c r="W75" s="1325"/>
      <c r="X75" s="1325">
        <f t="shared" si="4"/>
        <v>0</v>
      </c>
      <c r="Y75" s="373"/>
      <c r="Z75" s="1327">
        <f t="shared" si="3"/>
        <v>0</v>
      </c>
      <c r="AA75" s="373"/>
      <c r="AB75" s="373"/>
      <c r="AC75" s="1326"/>
      <c r="AD75" s="1456"/>
      <c r="AE75" s="1316"/>
      <c r="AF75" s="1316"/>
      <c r="AG75" s="1316"/>
      <c r="AH75" s="1316"/>
      <c r="AI75" s="1316"/>
      <c r="AJ75" s="1316"/>
      <c r="AK75" s="1316"/>
      <c r="AL75" s="1316"/>
    </row>
    <row r="76" spans="1:38" s="1317" customFormat="1" ht="33" hidden="1" customHeight="1">
      <c r="A76" s="1319">
        <v>61</v>
      </c>
      <c r="B76" s="1319" t="str">
        <f>'Chấm công KT'!D71</f>
        <v>03506</v>
      </c>
      <c r="C76" s="1320" t="str">
        <f>TONGHOPCONGDOI!C71</f>
        <v>N. Bua Hom</v>
      </c>
      <c r="D76" s="1319" t="s">
        <v>43</v>
      </c>
      <c r="E76" s="1321"/>
      <c r="F76" s="373"/>
      <c r="G76" s="373"/>
      <c r="H76" s="373"/>
      <c r="I76" s="373"/>
      <c r="J76" s="1322"/>
      <c r="K76" s="1323"/>
      <c r="L76" s="1324"/>
      <c r="M76" s="1325"/>
      <c r="N76" s="1325"/>
      <c r="O76" s="1325"/>
      <c r="P76" s="1325"/>
      <c r="Q76" s="1325"/>
      <c r="R76" s="1325"/>
      <c r="S76" s="1325"/>
      <c r="T76" s="1369"/>
      <c r="U76" s="1369"/>
      <c r="V76" s="1369"/>
      <c r="W76" s="1325"/>
      <c r="X76" s="1325">
        <f t="shared" si="4"/>
        <v>0</v>
      </c>
      <c r="Y76" s="373"/>
      <c r="Z76" s="1327">
        <f t="shared" si="3"/>
        <v>0</v>
      </c>
      <c r="AA76" s="373"/>
      <c r="AB76" s="373"/>
      <c r="AC76" s="1326"/>
      <c r="AD76" s="1456"/>
      <c r="AE76" s="1316"/>
      <c r="AF76" s="1316"/>
      <c r="AG76" s="1316"/>
      <c r="AH76" s="1316"/>
      <c r="AI76" s="1316"/>
      <c r="AJ76" s="1316"/>
      <c r="AK76" s="1316"/>
      <c r="AL76" s="1316"/>
    </row>
    <row r="77" spans="1:38" s="1317" customFormat="1" ht="33" hidden="1" customHeight="1">
      <c r="A77" s="1319">
        <v>62</v>
      </c>
      <c r="B77" s="1319" t="str">
        <f>'Chấm công KT'!D72</f>
        <v>03507</v>
      </c>
      <c r="C77" s="1320" t="str">
        <f>TONGHOPCONGDOI!C72</f>
        <v>N. Không</v>
      </c>
      <c r="D77" s="1319" t="s">
        <v>43</v>
      </c>
      <c r="E77" s="1321"/>
      <c r="F77" s="373"/>
      <c r="G77" s="373"/>
      <c r="H77" s="373"/>
      <c r="I77" s="373"/>
      <c r="J77" s="1322"/>
      <c r="K77" s="1323"/>
      <c r="L77" s="1324"/>
      <c r="M77" s="1325"/>
      <c r="N77" s="1325"/>
      <c r="O77" s="1325"/>
      <c r="P77" s="1325"/>
      <c r="Q77" s="1325"/>
      <c r="R77" s="1325"/>
      <c r="S77" s="1325"/>
      <c r="T77" s="1369"/>
      <c r="U77" s="1369"/>
      <c r="V77" s="1369"/>
      <c r="W77" s="1325"/>
      <c r="X77" s="1325">
        <f t="shared" si="4"/>
        <v>0</v>
      </c>
      <c r="Y77" s="373"/>
      <c r="Z77" s="1327">
        <f t="shared" si="3"/>
        <v>0</v>
      </c>
      <c r="AA77" s="373"/>
      <c r="AB77" s="373"/>
      <c r="AC77" s="1326"/>
      <c r="AD77" s="1456"/>
      <c r="AE77" s="1316"/>
      <c r="AF77" s="1316"/>
      <c r="AG77" s="1316"/>
      <c r="AH77" s="1316"/>
      <c r="AI77" s="1316"/>
      <c r="AJ77" s="1316"/>
      <c r="AK77" s="1316"/>
      <c r="AL77" s="1316"/>
    </row>
    <row r="78" spans="1:38" s="1317" customFormat="1" ht="33" hidden="1" customHeight="1">
      <c r="A78" s="1319">
        <v>63</v>
      </c>
      <c r="B78" s="1319" t="str">
        <f>'Chấm công KT'!D73</f>
        <v>03508</v>
      </c>
      <c r="C78" s="1320" t="str">
        <f>TONGHOPCONGDOI!C73</f>
        <v>T. Đèng</v>
      </c>
      <c r="D78" s="1319" t="s">
        <v>43</v>
      </c>
      <c r="E78" s="1321"/>
      <c r="F78" s="373"/>
      <c r="G78" s="373"/>
      <c r="H78" s="373"/>
      <c r="I78" s="373"/>
      <c r="J78" s="1322"/>
      <c r="K78" s="1323"/>
      <c r="L78" s="1324"/>
      <c r="M78" s="1325"/>
      <c r="N78" s="1325"/>
      <c r="O78" s="1325"/>
      <c r="P78" s="1325"/>
      <c r="Q78" s="1325"/>
      <c r="R78" s="1325"/>
      <c r="S78" s="1325"/>
      <c r="T78" s="1369"/>
      <c r="U78" s="1369"/>
      <c r="V78" s="1369"/>
      <c r="W78" s="1325"/>
      <c r="X78" s="1325">
        <f t="shared" si="4"/>
        <v>0</v>
      </c>
      <c r="Y78" s="373"/>
      <c r="Z78" s="1327">
        <f t="shared" si="3"/>
        <v>0</v>
      </c>
      <c r="AA78" s="373"/>
      <c r="AB78" s="373"/>
      <c r="AC78" s="1326"/>
      <c r="AD78" s="1456"/>
      <c r="AE78" s="1316"/>
      <c r="AF78" s="1316"/>
      <c r="AG78" s="1316"/>
      <c r="AH78" s="1316"/>
      <c r="AI78" s="1316"/>
      <c r="AJ78" s="1316"/>
      <c r="AK78" s="1316"/>
      <c r="AL78" s="1316"/>
    </row>
    <row r="79" spans="1:38" s="1317" customFormat="1" ht="33" hidden="1" customHeight="1">
      <c r="A79" s="1319">
        <v>64</v>
      </c>
      <c r="B79" s="1319" t="str">
        <f>'Chấm công KT'!D74</f>
        <v>03509</v>
      </c>
      <c r="C79" s="1320" t="str">
        <f>TONGHOPCONGDOI!C74</f>
        <v>T. May</v>
      </c>
      <c r="D79" s="1319" t="s">
        <v>43</v>
      </c>
      <c r="E79" s="1321"/>
      <c r="F79" s="373"/>
      <c r="G79" s="373"/>
      <c r="H79" s="373"/>
      <c r="I79" s="373"/>
      <c r="J79" s="1322"/>
      <c r="K79" s="1323"/>
      <c r="L79" s="1324"/>
      <c r="M79" s="1325"/>
      <c r="N79" s="1325"/>
      <c r="O79" s="1325"/>
      <c r="P79" s="1325"/>
      <c r="Q79" s="1325"/>
      <c r="R79" s="1325"/>
      <c r="S79" s="1325"/>
      <c r="T79" s="1369"/>
      <c r="U79" s="1369"/>
      <c r="V79" s="1369"/>
      <c r="W79" s="1325"/>
      <c r="X79" s="1325">
        <f t="shared" si="4"/>
        <v>0</v>
      </c>
      <c r="Y79" s="373"/>
      <c r="Z79" s="1327">
        <f t="shared" si="3"/>
        <v>0</v>
      </c>
      <c r="AA79" s="373"/>
      <c r="AB79" s="373"/>
      <c r="AC79" s="1326"/>
      <c r="AD79" s="1456"/>
      <c r="AE79" s="1316"/>
      <c r="AF79" s="1316"/>
      <c r="AG79" s="1316"/>
      <c r="AH79" s="1316"/>
      <c r="AI79" s="1316"/>
      <c r="AJ79" s="1316"/>
      <c r="AK79" s="1316"/>
      <c r="AL79" s="1316"/>
    </row>
    <row r="80" spans="1:38" s="1317" customFormat="1" ht="33" hidden="1" customHeight="1">
      <c r="A80" s="1319">
        <v>65</v>
      </c>
      <c r="B80" s="1319"/>
      <c r="C80" s="1320" t="str">
        <f>TONGHOPCONGDOI!C75</f>
        <v xml:space="preserve">T. La </v>
      </c>
      <c r="D80" s="1319" t="s">
        <v>43</v>
      </c>
      <c r="E80" s="1321"/>
      <c r="F80" s="373"/>
      <c r="G80" s="373"/>
      <c r="H80" s="373"/>
      <c r="I80" s="373"/>
      <c r="J80" s="1322"/>
      <c r="K80" s="1323"/>
      <c r="L80" s="1324"/>
      <c r="M80" s="1325"/>
      <c r="N80" s="1325"/>
      <c r="O80" s="1325"/>
      <c r="P80" s="1325"/>
      <c r="Q80" s="1325"/>
      <c r="R80" s="1325"/>
      <c r="S80" s="1325"/>
      <c r="T80" s="1369"/>
      <c r="U80" s="1369"/>
      <c r="V80" s="1369"/>
      <c r="W80" s="1325"/>
      <c r="X80" s="1325">
        <f t="shared" ref="X80:X99" si="5">F80+L80+W80</f>
        <v>0</v>
      </c>
      <c r="Y80" s="373"/>
      <c r="Z80" s="1327">
        <f t="shared" si="3"/>
        <v>0</v>
      </c>
      <c r="AA80" s="373"/>
      <c r="AB80" s="373"/>
      <c r="AC80" s="1326"/>
      <c r="AD80" s="1456"/>
      <c r="AE80" s="1316"/>
      <c r="AF80" s="1316"/>
      <c r="AG80" s="1316"/>
      <c r="AH80" s="1316"/>
      <c r="AI80" s="1316"/>
      <c r="AJ80" s="1316"/>
      <c r="AK80" s="1316"/>
      <c r="AL80" s="1316"/>
    </row>
    <row r="81" spans="1:38" s="1317" customFormat="1" ht="33" hidden="1" customHeight="1">
      <c r="A81" s="1319">
        <v>66</v>
      </c>
      <c r="B81" s="1319">
        <f>'Chấm công KT'!D76</f>
        <v>0</v>
      </c>
      <c r="C81" s="1320" t="str">
        <f>TONGHOPCONGDOI!C76</f>
        <v>T. Bờm</v>
      </c>
      <c r="D81" s="1319" t="s">
        <v>43</v>
      </c>
      <c r="E81" s="1321"/>
      <c r="F81" s="373"/>
      <c r="G81" s="373"/>
      <c r="H81" s="373"/>
      <c r="I81" s="373"/>
      <c r="J81" s="1322"/>
      <c r="K81" s="1323"/>
      <c r="L81" s="1324"/>
      <c r="M81" s="1325"/>
      <c r="N81" s="1325"/>
      <c r="O81" s="1325"/>
      <c r="P81" s="1325"/>
      <c r="Q81" s="1325"/>
      <c r="R81" s="1325"/>
      <c r="S81" s="1325"/>
      <c r="T81" s="1369"/>
      <c r="U81" s="1369"/>
      <c r="V81" s="1369"/>
      <c r="W81" s="1325"/>
      <c r="X81" s="1325">
        <f t="shared" si="5"/>
        <v>0</v>
      </c>
      <c r="Y81" s="373"/>
      <c r="Z81" s="1327">
        <f t="shared" si="3"/>
        <v>0</v>
      </c>
      <c r="AA81" s="373"/>
      <c r="AB81" s="373"/>
      <c r="AC81" s="1326"/>
      <c r="AD81" s="1456"/>
      <c r="AE81" s="1316"/>
      <c r="AF81" s="1316"/>
      <c r="AG81" s="1316"/>
      <c r="AH81" s="1316"/>
      <c r="AI81" s="1316"/>
      <c r="AJ81" s="1316"/>
      <c r="AK81" s="1316"/>
      <c r="AL81" s="1316"/>
    </row>
    <row r="82" spans="1:38" s="1317" customFormat="1" ht="33" hidden="1" customHeight="1">
      <c r="A82" s="1319">
        <v>67</v>
      </c>
      <c r="B82" s="1319" t="str">
        <f>'Chấm công KT'!D77</f>
        <v>03512</v>
      </c>
      <c r="C82" s="1320" t="str">
        <f>TONGHOPCONGDOI!C77</f>
        <v>N. Đon</v>
      </c>
      <c r="D82" s="1319" t="s">
        <v>43</v>
      </c>
      <c r="E82" s="1321"/>
      <c r="F82" s="373"/>
      <c r="G82" s="373"/>
      <c r="H82" s="373"/>
      <c r="I82" s="373"/>
      <c r="J82" s="1322"/>
      <c r="K82" s="1323"/>
      <c r="L82" s="1324"/>
      <c r="M82" s="1325"/>
      <c r="N82" s="1325"/>
      <c r="O82" s="1325"/>
      <c r="P82" s="1325"/>
      <c r="Q82" s="1325"/>
      <c r="R82" s="1325"/>
      <c r="S82" s="1325"/>
      <c r="T82" s="1369"/>
      <c r="U82" s="1369"/>
      <c r="V82" s="1369"/>
      <c r="W82" s="1325"/>
      <c r="X82" s="1325">
        <f t="shared" si="5"/>
        <v>0</v>
      </c>
      <c r="Y82" s="373"/>
      <c r="Z82" s="1327">
        <f t="shared" ref="Z82:Z88" si="6">X82-Y82</f>
        <v>0</v>
      </c>
      <c r="AA82" s="373"/>
      <c r="AB82" s="373"/>
      <c r="AC82" s="1326"/>
      <c r="AD82" s="1456"/>
      <c r="AE82" s="1316"/>
      <c r="AF82" s="1316"/>
      <c r="AG82" s="1316"/>
      <c r="AH82" s="1316"/>
      <c r="AI82" s="1316"/>
      <c r="AJ82" s="1316"/>
      <c r="AK82" s="1316"/>
      <c r="AL82" s="1316"/>
    </row>
    <row r="83" spans="1:38" s="1317" customFormat="1" ht="33" hidden="1" customHeight="1">
      <c r="A83" s="1319">
        <v>68</v>
      </c>
      <c r="B83" s="1319" t="str">
        <f>'Chấm công KT'!D78</f>
        <v>03513</v>
      </c>
      <c r="C83" s="1320" t="str">
        <f>TONGHOPCONGDOI!C78</f>
        <v>T. Keo Ma Ni Son</v>
      </c>
      <c r="D83" s="1319" t="s">
        <v>43</v>
      </c>
      <c r="E83" s="1321"/>
      <c r="F83" s="373"/>
      <c r="G83" s="373"/>
      <c r="H83" s="373"/>
      <c r="I83" s="373"/>
      <c r="J83" s="1322"/>
      <c r="K83" s="1323"/>
      <c r="L83" s="1324"/>
      <c r="M83" s="1325"/>
      <c r="N83" s="1325"/>
      <c r="O83" s="1325"/>
      <c r="P83" s="1325"/>
      <c r="Q83" s="1325"/>
      <c r="R83" s="1325"/>
      <c r="S83" s="1325"/>
      <c r="T83" s="1369"/>
      <c r="U83" s="1369"/>
      <c r="V83" s="1369"/>
      <c r="W83" s="1325"/>
      <c r="X83" s="1325">
        <f t="shared" si="5"/>
        <v>0</v>
      </c>
      <c r="Y83" s="373"/>
      <c r="Z83" s="1327">
        <f t="shared" si="6"/>
        <v>0</v>
      </c>
      <c r="AA83" s="373"/>
      <c r="AB83" s="373"/>
      <c r="AC83" s="1326"/>
      <c r="AD83" s="1456"/>
      <c r="AE83" s="1316"/>
      <c r="AF83" s="1316"/>
      <c r="AG83" s="1316"/>
      <c r="AH83" s="1316"/>
      <c r="AI83" s="1316"/>
      <c r="AJ83" s="1316"/>
      <c r="AK83" s="1316"/>
      <c r="AL83" s="1316"/>
    </row>
    <row r="84" spans="1:38" s="1317" customFormat="1" ht="33" hidden="1" customHeight="1">
      <c r="A84" s="1319">
        <v>69</v>
      </c>
      <c r="B84" s="1319"/>
      <c r="C84" s="1320" t="str">
        <f>TONGHOPCONGDOI!C79</f>
        <v>T Bun</v>
      </c>
      <c r="D84" s="1319" t="s">
        <v>43</v>
      </c>
      <c r="E84" s="1321"/>
      <c r="F84" s="373"/>
      <c r="G84" s="373"/>
      <c r="H84" s="373"/>
      <c r="I84" s="373"/>
      <c r="J84" s="1322"/>
      <c r="K84" s="1323"/>
      <c r="L84" s="1324"/>
      <c r="M84" s="1325"/>
      <c r="N84" s="1325"/>
      <c r="O84" s="1325"/>
      <c r="P84" s="1325"/>
      <c r="Q84" s="1325"/>
      <c r="R84" s="1325"/>
      <c r="S84" s="1325"/>
      <c r="T84" s="1369"/>
      <c r="U84" s="1369"/>
      <c r="V84" s="1369"/>
      <c r="W84" s="1325"/>
      <c r="X84" s="1325">
        <f t="shared" si="5"/>
        <v>0</v>
      </c>
      <c r="Y84" s="373"/>
      <c r="Z84" s="1327">
        <f t="shared" si="6"/>
        <v>0</v>
      </c>
      <c r="AA84" s="373"/>
      <c r="AB84" s="373"/>
      <c r="AC84" s="1326"/>
      <c r="AD84" s="1456"/>
      <c r="AE84" s="1316"/>
      <c r="AF84" s="1316"/>
      <c r="AG84" s="1316"/>
      <c r="AH84" s="1316"/>
      <c r="AI84" s="1316"/>
      <c r="AJ84" s="1316"/>
      <c r="AK84" s="1316"/>
      <c r="AL84" s="1316"/>
    </row>
    <row r="85" spans="1:38" s="1317" customFormat="1" ht="33" hidden="1" customHeight="1">
      <c r="A85" s="1319">
        <v>70</v>
      </c>
      <c r="B85" s="1319" t="str">
        <f>'Chấm công KT'!D80</f>
        <v>03515</v>
      </c>
      <c r="C85" s="1320" t="str">
        <f>TONGHOPCONGDOI!C80</f>
        <v>N. Xi</v>
      </c>
      <c r="D85" s="1319" t="s">
        <v>43</v>
      </c>
      <c r="E85" s="1321"/>
      <c r="F85" s="373"/>
      <c r="G85" s="373"/>
      <c r="H85" s="373"/>
      <c r="I85" s="373"/>
      <c r="J85" s="1322"/>
      <c r="K85" s="1323"/>
      <c r="L85" s="1324"/>
      <c r="M85" s="1325"/>
      <c r="N85" s="1325"/>
      <c r="O85" s="1325"/>
      <c r="P85" s="1325"/>
      <c r="Q85" s="1325"/>
      <c r="R85" s="1325"/>
      <c r="S85" s="1325"/>
      <c r="T85" s="1369"/>
      <c r="U85" s="1369"/>
      <c r="V85" s="1369"/>
      <c r="W85" s="1325"/>
      <c r="X85" s="1325">
        <f t="shared" si="5"/>
        <v>0</v>
      </c>
      <c r="Y85" s="373"/>
      <c r="Z85" s="1327">
        <f t="shared" si="6"/>
        <v>0</v>
      </c>
      <c r="AA85" s="373"/>
      <c r="AB85" s="373"/>
      <c r="AC85" s="1326"/>
      <c r="AD85" s="1456"/>
      <c r="AE85" s="1316"/>
      <c r="AF85" s="1316"/>
      <c r="AG85" s="1316"/>
      <c r="AH85" s="1316"/>
      <c r="AI85" s="1316"/>
      <c r="AJ85" s="1316"/>
      <c r="AK85" s="1316"/>
      <c r="AL85" s="1316"/>
    </row>
    <row r="86" spans="1:38" s="1317" customFormat="1" ht="33" hidden="1" customHeight="1">
      <c r="A86" s="1319">
        <v>71</v>
      </c>
      <c r="B86" s="1319" t="str">
        <f>'Chấm công KT'!D81</f>
        <v>03516</v>
      </c>
      <c r="C86" s="1320" t="str">
        <f>TONGHOPCONGDOI!C81</f>
        <v>N. Chay</v>
      </c>
      <c r="D86" s="1319" t="s">
        <v>43</v>
      </c>
      <c r="E86" s="1321"/>
      <c r="F86" s="373"/>
      <c r="G86" s="373"/>
      <c r="H86" s="373"/>
      <c r="I86" s="373"/>
      <c r="J86" s="1322"/>
      <c r="K86" s="1323"/>
      <c r="L86" s="1324"/>
      <c r="M86" s="1325"/>
      <c r="N86" s="1325"/>
      <c r="O86" s="1325"/>
      <c r="P86" s="1325"/>
      <c r="Q86" s="1325"/>
      <c r="R86" s="1325"/>
      <c r="S86" s="1325"/>
      <c r="T86" s="1369"/>
      <c r="U86" s="1369"/>
      <c r="V86" s="1369"/>
      <c r="W86" s="1325"/>
      <c r="X86" s="1325">
        <f t="shared" si="5"/>
        <v>0</v>
      </c>
      <c r="Y86" s="373"/>
      <c r="Z86" s="1327">
        <f t="shared" si="6"/>
        <v>0</v>
      </c>
      <c r="AA86" s="373"/>
      <c r="AB86" s="373"/>
      <c r="AC86" s="1326"/>
      <c r="AD86" s="1456"/>
      <c r="AE86" s="1316"/>
      <c r="AF86" s="1316"/>
      <c r="AG86" s="1316"/>
      <c r="AH86" s="1316"/>
      <c r="AI86" s="1316"/>
      <c r="AJ86" s="1316"/>
      <c r="AK86" s="1316"/>
      <c r="AL86" s="1316"/>
    </row>
    <row r="87" spans="1:38" s="1317" customFormat="1" ht="33" hidden="1" customHeight="1">
      <c r="A87" s="1319">
        <v>72</v>
      </c>
      <c r="B87" s="1319" t="str">
        <f>'Chấm công KT'!D82</f>
        <v>02732</v>
      </c>
      <c r="C87" s="1320" t="str">
        <f>TONGHOPCONGDOI!C82</f>
        <v xml:space="preserve">N. Khăm </v>
      </c>
      <c r="D87" s="1319" t="s">
        <v>43</v>
      </c>
      <c r="E87" s="1321"/>
      <c r="F87" s="373"/>
      <c r="G87" s="373"/>
      <c r="H87" s="373"/>
      <c r="I87" s="373"/>
      <c r="J87" s="1322"/>
      <c r="K87" s="1323"/>
      <c r="L87" s="1324"/>
      <c r="M87" s="1325"/>
      <c r="N87" s="1325"/>
      <c r="O87" s="1325"/>
      <c r="P87" s="1325"/>
      <c r="Q87" s="1325"/>
      <c r="R87" s="1325"/>
      <c r="S87" s="1325"/>
      <c r="T87" s="1369"/>
      <c r="U87" s="1369"/>
      <c r="V87" s="1369"/>
      <c r="W87" s="1325"/>
      <c r="X87" s="1325">
        <f t="shared" si="5"/>
        <v>0</v>
      </c>
      <c r="Y87" s="373"/>
      <c r="Z87" s="1327">
        <f t="shared" si="6"/>
        <v>0</v>
      </c>
      <c r="AA87" s="373"/>
      <c r="AB87" s="373"/>
      <c r="AC87" s="1326"/>
      <c r="AD87" s="1456"/>
      <c r="AE87" s="1316"/>
      <c r="AF87" s="1316"/>
      <c r="AG87" s="1316"/>
      <c r="AH87" s="1316"/>
      <c r="AI87" s="1316"/>
      <c r="AJ87" s="1316"/>
      <c r="AK87" s="1316"/>
      <c r="AL87" s="1316"/>
    </row>
    <row r="88" spans="1:38" s="1317" customFormat="1" ht="33" hidden="1" customHeight="1">
      <c r="A88" s="1319">
        <v>73</v>
      </c>
      <c r="B88" s="1319" t="str">
        <f>'Chấm công KT'!D83</f>
        <v>02733</v>
      </c>
      <c r="C88" s="1320" t="str">
        <f>TONGHOPCONGDOI!C83</f>
        <v>N. Phôn</v>
      </c>
      <c r="D88" s="1319" t="s">
        <v>43</v>
      </c>
      <c r="E88" s="1321"/>
      <c r="F88" s="373"/>
      <c r="G88" s="373"/>
      <c r="H88" s="373"/>
      <c r="I88" s="373"/>
      <c r="J88" s="1322"/>
      <c r="K88" s="1323"/>
      <c r="L88" s="1324"/>
      <c r="M88" s="1325"/>
      <c r="N88" s="1325"/>
      <c r="O88" s="1325"/>
      <c r="P88" s="1325"/>
      <c r="Q88" s="1325"/>
      <c r="R88" s="1325"/>
      <c r="S88" s="1325"/>
      <c r="T88" s="1369"/>
      <c r="U88" s="1369"/>
      <c r="V88" s="1369"/>
      <c r="W88" s="1325"/>
      <c r="X88" s="1325">
        <f t="shared" si="5"/>
        <v>0</v>
      </c>
      <c r="Y88" s="373"/>
      <c r="Z88" s="1327">
        <f t="shared" si="6"/>
        <v>0</v>
      </c>
      <c r="AA88" s="373"/>
      <c r="AB88" s="373"/>
      <c r="AC88" s="1326"/>
      <c r="AD88" s="1456"/>
      <c r="AE88" s="1316"/>
      <c r="AF88" s="1316"/>
      <c r="AG88" s="1316"/>
      <c r="AH88" s="1316"/>
      <c r="AI88" s="1316"/>
      <c r="AJ88" s="1316"/>
      <c r="AK88" s="1316"/>
      <c r="AL88" s="1316"/>
    </row>
    <row r="89" spans="1:38" s="1317" customFormat="1" ht="33" hidden="1" customHeight="1">
      <c r="A89" s="1319">
        <v>74</v>
      </c>
      <c r="B89" s="1319"/>
      <c r="C89" s="1320" t="str">
        <f>TONGHOPCONGDOI!C84</f>
        <v>T. Xem</v>
      </c>
      <c r="D89" s="1319" t="s">
        <v>43</v>
      </c>
      <c r="E89" s="1321"/>
      <c r="F89" s="373"/>
      <c r="G89" s="373"/>
      <c r="H89" s="373"/>
      <c r="I89" s="373"/>
      <c r="J89" s="1322"/>
      <c r="K89" s="1323"/>
      <c r="L89" s="1324"/>
      <c r="M89" s="1325"/>
      <c r="N89" s="1325"/>
      <c r="O89" s="1325"/>
      <c r="P89" s="1325"/>
      <c r="Q89" s="1325"/>
      <c r="R89" s="1325"/>
      <c r="S89" s="1325"/>
      <c r="T89" s="1369"/>
      <c r="U89" s="1369"/>
      <c r="V89" s="1369"/>
      <c r="W89" s="1874"/>
      <c r="X89" s="1325">
        <f t="shared" si="5"/>
        <v>0</v>
      </c>
      <c r="Y89" s="373"/>
      <c r="Z89" s="1327">
        <f t="shared" ref="Z89:Z99" si="7">X89-Y89</f>
        <v>0</v>
      </c>
      <c r="AA89" s="373"/>
      <c r="AB89" s="373"/>
      <c r="AC89" s="1326"/>
      <c r="AD89" s="1456"/>
      <c r="AE89" s="1316"/>
      <c r="AF89" s="1316"/>
      <c r="AG89" s="1316"/>
      <c r="AH89" s="1316"/>
      <c r="AI89" s="1316"/>
      <c r="AJ89" s="1316"/>
      <c r="AK89" s="1316"/>
      <c r="AL89" s="1316"/>
    </row>
    <row r="90" spans="1:38" s="1317" customFormat="1" ht="33" hidden="1" customHeight="1">
      <c r="A90" s="1319">
        <v>75</v>
      </c>
      <c r="B90" s="1319"/>
      <c r="C90" s="1320" t="str">
        <f>TONGHOPCONGDOI!C85</f>
        <v>T.Trí</v>
      </c>
      <c r="D90" s="1319" t="s">
        <v>43</v>
      </c>
      <c r="E90" s="1321"/>
      <c r="F90" s="373"/>
      <c r="G90" s="373"/>
      <c r="H90" s="373"/>
      <c r="I90" s="373"/>
      <c r="J90" s="1322"/>
      <c r="K90" s="1323"/>
      <c r="L90" s="1324"/>
      <c r="M90" s="1325"/>
      <c r="N90" s="1325"/>
      <c r="O90" s="1325"/>
      <c r="P90" s="1325"/>
      <c r="Q90" s="1325"/>
      <c r="R90" s="1325"/>
      <c r="S90" s="1325"/>
      <c r="T90" s="1369"/>
      <c r="U90" s="1369"/>
      <c r="V90" s="1369"/>
      <c r="W90" s="1325"/>
      <c r="X90" s="1325">
        <f t="shared" si="5"/>
        <v>0</v>
      </c>
      <c r="Y90" s="373"/>
      <c r="Z90" s="1327">
        <f t="shared" si="7"/>
        <v>0</v>
      </c>
      <c r="AA90" s="373"/>
      <c r="AB90" s="373"/>
      <c r="AC90" s="1326"/>
      <c r="AD90" s="1456"/>
      <c r="AE90" s="1316"/>
      <c r="AF90" s="1316"/>
      <c r="AG90" s="1316"/>
      <c r="AH90" s="1316"/>
      <c r="AI90" s="1316"/>
      <c r="AJ90" s="1316"/>
      <c r="AK90" s="1316"/>
      <c r="AL90" s="1316"/>
    </row>
    <row r="91" spans="1:38" s="1317" customFormat="1" ht="33" hidden="1" customHeight="1">
      <c r="A91" s="1319">
        <v>76</v>
      </c>
      <c r="B91" s="1319"/>
      <c r="C91" s="1320" t="str">
        <f>TONGHOPCONGDOI!C86</f>
        <v>T. Ngân</v>
      </c>
      <c r="D91" s="1319" t="s">
        <v>43</v>
      </c>
      <c r="E91" s="1321"/>
      <c r="F91" s="373"/>
      <c r="G91" s="373"/>
      <c r="H91" s="373"/>
      <c r="I91" s="373"/>
      <c r="J91" s="1322"/>
      <c r="K91" s="1323"/>
      <c r="L91" s="1324"/>
      <c r="M91" s="1325"/>
      <c r="N91" s="1325"/>
      <c r="O91" s="1325"/>
      <c r="P91" s="1325"/>
      <c r="Q91" s="1325"/>
      <c r="R91" s="1325"/>
      <c r="S91" s="1325"/>
      <c r="T91" s="1369"/>
      <c r="U91" s="1369"/>
      <c r="V91" s="1369"/>
      <c r="W91" s="1325"/>
      <c r="X91" s="1325">
        <f t="shared" si="5"/>
        <v>0</v>
      </c>
      <c r="Y91" s="373"/>
      <c r="Z91" s="1327">
        <f t="shared" si="7"/>
        <v>0</v>
      </c>
      <c r="AA91" s="373"/>
      <c r="AB91" s="373"/>
      <c r="AC91" s="1326"/>
      <c r="AD91" s="1456"/>
      <c r="AE91" s="1316"/>
      <c r="AF91" s="1316"/>
      <c r="AG91" s="1316"/>
      <c r="AH91" s="1316"/>
      <c r="AI91" s="1316"/>
      <c r="AJ91" s="1316"/>
      <c r="AK91" s="1316"/>
      <c r="AL91" s="1316"/>
    </row>
    <row r="92" spans="1:38" s="1317" customFormat="1" ht="33" hidden="1" customHeight="1">
      <c r="A92" s="1319">
        <v>77</v>
      </c>
      <c r="B92" s="1319"/>
      <c r="C92" s="1320" t="str">
        <f>TONGHOPCONGDOI!C87</f>
        <v>T.Pu</v>
      </c>
      <c r="D92" s="1319" t="s">
        <v>43</v>
      </c>
      <c r="E92" s="1321"/>
      <c r="F92" s="373"/>
      <c r="G92" s="373"/>
      <c r="H92" s="373"/>
      <c r="I92" s="373"/>
      <c r="J92" s="1322"/>
      <c r="K92" s="1323"/>
      <c r="L92" s="1324"/>
      <c r="M92" s="1325"/>
      <c r="N92" s="1325"/>
      <c r="O92" s="1325"/>
      <c r="P92" s="1325"/>
      <c r="Q92" s="1325"/>
      <c r="R92" s="1325"/>
      <c r="S92" s="1325"/>
      <c r="T92" s="1369"/>
      <c r="U92" s="1369"/>
      <c r="V92" s="1369"/>
      <c r="W92" s="1325"/>
      <c r="X92" s="1325">
        <f t="shared" si="5"/>
        <v>0</v>
      </c>
      <c r="Y92" s="373"/>
      <c r="Z92" s="1327">
        <f t="shared" si="7"/>
        <v>0</v>
      </c>
      <c r="AA92" s="373"/>
      <c r="AB92" s="373"/>
      <c r="AC92" s="1326"/>
      <c r="AD92" s="1456"/>
      <c r="AE92" s="1316"/>
      <c r="AF92" s="1316"/>
      <c r="AG92" s="1316"/>
      <c r="AH92" s="1316"/>
      <c r="AI92" s="1316"/>
      <c r="AJ92" s="1316"/>
      <c r="AK92" s="1316"/>
      <c r="AL92" s="1316"/>
    </row>
    <row r="93" spans="1:38" s="1317" customFormat="1" ht="33" hidden="1" customHeight="1">
      <c r="A93" s="1319">
        <v>78</v>
      </c>
      <c r="B93" s="1319"/>
      <c r="C93" s="1320" t="str">
        <f>TONGHOPCONGDOI!C88</f>
        <v>T.Ta</v>
      </c>
      <c r="D93" s="1319" t="s">
        <v>43</v>
      </c>
      <c r="E93" s="1321"/>
      <c r="F93" s="373"/>
      <c r="G93" s="373"/>
      <c r="H93" s="373"/>
      <c r="I93" s="373"/>
      <c r="J93" s="1322"/>
      <c r="K93" s="1323"/>
      <c r="L93" s="1324"/>
      <c r="M93" s="1325"/>
      <c r="N93" s="1325"/>
      <c r="O93" s="1325"/>
      <c r="P93" s="1325"/>
      <c r="Q93" s="1325"/>
      <c r="R93" s="1325"/>
      <c r="S93" s="1325"/>
      <c r="T93" s="1369"/>
      <c r="U93" s="1369"/>
      <c r="V93" s="1369"/>
      <c r="W93" s="1325"/>
      <c r="X93" s="1325">
        <f t="shared" si="5"/>
        <v>0</v>
      </c>
      <c r="Y93" s="373"/>
      <c r="Z93" s="1327">
        <f t="shared" si="7"/>
        <v>0</v>
      </c>
      <c r="AA93" s="373"/>
      <c r="AB93" s="373"/>
      <c r="AC93" s="1326"/>
      <c r="AD93" s="1456"/>
      <c r="AE93" s="1316"/>
      <c r="AF93" s="1316"/>
      <c r="AG93" s="1316"/>
      <c r="AH93" s="1316"/>
      <c r="AI93" s="1316"/>
      <c r="AJ93" s="1316"/>
      <c r="AK93" s="1316"/>
      <c r="AL93" s="1316"/>
    </row>
    <row r="94" spans="1:38" s="1317" customFormat="1" ht="33" hidden="1" customHeight="1">
      <c r="A94" s="1319">
        <v>79</v>
      </c>
      <c r="B94" s="1319"/>
      <c r="C94" s="1320" t="str">
        <f>TONGHOPCONGDOI!C89</f>
        <v>N.Nang</v>
      </c>
      <c r="D94" s="1319" t="s">
        <v>43</v>
      </c>
      <c r="E94" s="1321"/>
      <c r="F94" s="373"/>
      <c r="G94" s="373"/>
      <c r="H94" s="373"/>
      <c r="I94" s="373"/>
      <c r="J94" s="1322"/>
      <c r="K94" s="1323"/>
      <c r="L94" s="1324"/>
      <c r="M94" s="1325"/>
      <c r="N94" s="1325"/>
      <c r="O94" s="1325"/>
      <c r="P94" s="1325"/>
      <c r="Q94" s="1325"/>
      <c r="R94" s="1325"/>
      <c r="S94" s="1325"/>
      <c r="T94" s="1369"/>
      <c r="U94" s="1369"/>
      <c r="V94" s="1369"/>
      <c r="W94" s="1325"/>
      <c r="X94" s="1325">
        <f t="shared" si="5"/>
        <v>0</v>
      </c>
      <c r="Y94" s="373"/>
      <c r="Z94" s="1327">
        <f t="shared" si="7"/>
        <v>0</v>
      </c>
      <c r="AA94" s="373"/>
      <c r="AB94" s="373"/>
      <c r="AC94" s="1326"/>
      <c r="AD94" s="1456"/>
      <c r="AE94" s="1316"/>
      <c r="AF94" s="1316"/>
      <c r="AG94" s="1316"/>
      <c r="AH94" s="1316"/>
      <c r="AI94" s="1316"/>
      <c r="AJ94" s="1316"/>
      <c r="AK94" s="1316"/>
      <c r="AL94" s="1316"/>
    </row>
    <row r="95" spans="1:38" s="1317" customFormat="1" ht="33" hidden="1" customHeight="1">
      <c r="A95" s="1319">
        <v>80</v>
      </c>
      <c r="B95" s="1319"/>
      <c r="C95" s="1320" t="str">
        <f>TONGHOPCONGDOI!C90</f>
        <v>T. Tan</v>
      </c>
      <c r="D95" s="1319" t="s">
        <v>43</v>
      </c>
      <c r="E95" s="1321"/>
      <c r="F95" s="373"/>
      <c r="G95" s="373"/>
      <c r="H95" s="373"/>
      <c r="I95" s="373"/>
      <c r="J95" s="1322"/>
      <c r="K95" s="1323"/>
      <c r="L95" s="1324"/>
      <c r="M95" s="1325"/>
      <c r="N95" s="1325"/>
      <c r="O95" s="1325"/>
      <c r="P95" s="1325"/>
      <c r="Q95" s="1325"/>
      <c r="R95" s="1325"/>
      <c r="S95" s="1325"/>
      <c r="T95" s="1369"/>
      <c r="U95" s="1369"/>
      <c r="V95" s="1369"/>
      <c r="W95" s="1325"/>
      <c r="X95" s="1325">
        <f t="shared" si="5"/>
        <v>0</v>
      </c>
      <c r="Y95" s="373"/>
      <c r="Z95" s="1327">
        <f t="shared" si="7"/>
        <v>0</v>
      </c>
      <c r="AA95" s="373"/>
      <c r="AB95" s="373"/>
      <c r="AC95" s="1326"/>
      <c r="AD95" s="1456"/>
      <c r="AE95" s="1316"/>
      <c r="AF95" s="1316"/>
      <c r="AG95" s="1316"/>
      <c r="AH95" s="1316"/>
      <c r="AI95" s="1316"/>
      <c r="AJ95" s="1316"/>
      <c r="AK95" s="1316"/>
      <c r="AL95" s="1316"/>
    </row>
    <row r="96" spans="1:38" s="1317" customFormat="1" ht="33" hidden="1" customHeight="1">
      <c r="A96" s="1319">
        <v>75</v>
      </c>
      <c r="B96" s="1319"/>
      <c r="C96" s="1320" t="str">
        <f>TONGHOPCONGDOI!C91</f>
        <v>Mủ Xi Rum</v>
      </c>
      <c r="D96" s="1319" t="s">
        <v>43</v>
      </c>
      <c r="E96" s="1321"/>
      <c r="F96" s="373"/>
      <c r="G96" s="373"/>
      <c r="H96" s="373"/>
      <c r="I96" s="373"/>
      <c r="J96" s="1322"/>
      <c r="K96" s="1323"/>
      <c r="L96" s="1324"/>
      <c r="M96" s="1325"/>
      <c r="N96" s="1325"/>
      <c r="O96" s="1325"/>
      <c r="P96" s="1325"/>
      <c r="Q96" s="1325"/>
      <c r="R96" s="1325"/>
      <c r="S96" s="1325"/>
      <c r="T96" s="1369"/>
      <c r="U96" s="1369"/>
      <c r="V96" s="1369"/>
      <c r="W96" s="1325"/>
      <c r="X96" s="1325">
        <f t="shared" si="5"/>
        <v>0</v>
      </c>
      <c r="Y96" s="373"/>
      <c r="Z96" s="1327">
        <f t="shared" si="7"/>
        <v>0</v>
      </c>
      <c r="AA96" s="373"/>
      <c r="AB96" s="373"/>
      <c r="AC96" s="1326"/>
      <c r="AD96" s="1456"/>
      <c r="AE96" s="1316"/>
      <c r="AF96" s="1316"/>
      <c r="AG96" s="1316"/>
      <c r="AH96" s="1316"/>
      <c r="AI96" s="1316"/>
      <c r="AJ96" s="1316"/>
      <c r="AK96" s="1316"/>
      <c r="AL96" s="1316"/>
    </row>
    <row r="97" spans="1:38" s="1317" customFormat="1" ht="33" customHeight="1">
      <c r="A97" s="1319">
        <v>1</v>
      </c>
      <c r="B97" s="1319"/>
      <c r="C97" s="1320" t="str">
        <f>TONGHOPCONGDOI!C92</f>
        <v>T . Say</v>
      </c>
      <c r="D97" s="1319" t="s">
        <v>43</v>
      </c>
      <c r="E97" s="1321">
        <f>VLOOKUP(C97,TONGHOPCONGDOI!C92:AC173,15,0)</f>
        <v>3813.57</v>
      </c>
      <c r="F97" s="684">
        <f>ROUND(E97*25000,0)+1</f>
        <v>95339251</v>
      </c>
      <c r="G97" s="373"/>
      <c r="H97" s="373"/>
      <c r="I97" s="373"/>
      <c r="J97" s="1322"/>
      <c r="K97" s="1323"/>
      <c r="L97" s="1324"/>
      <c r="M97" s="1325"/>
      <c r="N97" s="1325"/>
      <c r="O97" s="1325"/>
      <c r="P97" s="1325"/>
      <c r="Q97" s="1325"/>
      <c r="R97" s="1325"/>
      <c r="S97" s="1325"/>
      <c r="T97" s="1369"/>
      <c r="U97" s="1369"/>
      <c r="V97" s="1369"/>
      <c r="W97" s="1325"/>
      <c r="X97" s="1325">
        <f t="shared" si="5"/>
        <v>95339251</v>
      </c>
      <c r="Y97" s="373"/>
      <c r="Z97" s="1327">
        <f t="shared" si="7"/>
        <v>95339251</v>
      </c>
      <c r="AA97" s="373"/>
      <c r="AB97" s="373"/>
      <c r="AC97" s="1326"/>
      <c r="AD97" s="1456"/>
      <c r="AE97" s="1316"/>
      <c r="AF97" s="1316"/>
      <c r="AG97" s="1316"/>
      <c r="AH97" s="1316"/>
      <c r="AI97" s="1316"/>
      <c r="AJ97" s="1316"/>
      <c r="AK97" s="1316"/>
      <c r="AL97" s="1316"/>
    </row>
    <row r="98" spans="1:38" s="1317" customFormat="1" ht="33" hidden="1" customHeight="1">
      <c r="A98" s="1319">
        <v>83</v>
      </c>
      <c r="B98" s="1319"/>
      <c r="C98" s="1320" t="str">
        <f>TONGHOPCONGDOI!C93</f>
        <v>A Xít</v>
      </c>
      <c r="D98" s="1319" t="s">
        <v>765</v>
      </c>
      <c r="E98" s="1321">
        <f>VLOOKUP(C98,TONGHOPCONGDOI!C92:AC174,15,0)</f>
        <v>0</v>
      </c>
      <c r="F98" s="373">
        <f t="shared" ref="F98" si="8">E98*25000</f>
        <v>0</v>
      </c>
      <c r="G98" s="373"/>
      <c r="H98" s="373"/>
      <c r="I98" s="373"/>
      <c r="J98" s="1322"/>
      <c r="K98" s="1323"/>
      <c r="L98" s="1324"/>
      <c r="M98" s="1325"/>
      <c r="N98" s="1325"/>
      <c r="O98" s="1325"/>
      <c r="P98" s="1325"/>
      <c r="Q98" s="1325"/>
      <c r="R98" s="1325"/>
      <c r="S98" s="1325"/>
      <c r="T98" s="1369"/>
      <c r="U98" s="1369"/>
      <c r="V98" s="1369"/>
      <c r="W98" s="1325"/>
      <c r="X98" s="1325">
        <f t="shared" si="5"/>
        <v>0</v>
      </c>
      <c r="Y98" s="373"/>
      <c r="Z98" s="1327">
        <f t="shared" si="7"/>
        <v>0</v>
      </c>
      <c r="AA98" s="373"/>
      <c r="AB98" s="373"/>
      <c r="AC98" s="1326"/>
      <c r="AD98" s="1456"/>
      <c r="AE98" s="1316"/>
      <c r="AF98" s="1316"/>
      <c r="AG98" s="1316"/>
      <c r="AH98" s="1316"/>
      <c r="AI98" s="1316"/>
      <c r="AJ98" s="1316"/>
      <c r="AK98" s="1316"/>
      <c r="AL98" s="1316"/>
    </row>
    <row r="99" spans="1:38" s="1317" customFormat="1" ht="33" hidden="1" customHeight="1">
      <c r="A99" s="1319">
        <v>84</v>
      </c>
      <c r="B99" s="1319"/>
      <c r="C99" s="1320" t="str">
        <f>TONGHOPCONGDOI!C94</f>
        <v>T. Tý</v>
      </c>
      <c r="D99" s="1319" t="s">
        <v>765</v>
      </c>
      <c r="E99" s="1321">
        <f>VLOOKUP(C99,TONGHOPCONGDOI!C94:AC177,15,0)</f>
        <v>0</v>
      </c>
      <c r="F99" s="373">
        <f>E99*25000</f>
        <v>0</v>
      </c>
      <c r="G99" s="373"/>
      <c r="H99" s="373"/>
      <c r="I99" s="373"/>
      <c r="J99" s="1322"/>
      <c r="K99" s="1323"/>
      <c r="L99" s="1324"/>
      <c r="M99" s="1325"/>
      <c r="N99" s="1325"/>
      <c r="O99" s="1325"/>
      <c r="P99" s="1325"/>
      <c r="Q99" s="1325"/>
      <c r="R99" s="1325"/>
      <c r="S99" s="1325"/>
      <c r="T99" s="1369"/>
      <c r="U99" s="1369"/>
      <c r="V99" s="1369"/>
      <c r="W99" s="1325"/>
      <c r="X99" s="1325">
        <f t="shared" si="5"/>
        <v>0</v>
      </c>
      <c r="Y99" s="373"/>
      <c r="Z99" s="1327">
        <f t="shared" si="7"/>
        <v>0</v>
      </c>
      <c r="AA99" s="373"/>
      <c r="AB99" s="373"/>
      <c r="AC99" s="1326"/>
      <c r="AD99" s="1456"/>
      <c r="AE99" s="1316"/>
      <c r="AF99" s="1316"/>
      <c r="AG99" s="1316"/>
      <c r="AH99" s="1316"/>
      <c r="AI99" s="1316"/>
      <c r="AJ99" s="1316"/>
      <c r="AK99" s="1316"/>
      <c r="AL99" s="1316"/>
    </row>
    <row r="100" spans="1:38" s="1329" customFormat="1" ht="33" customHeight="1">
      <c r="A100" s="1573" t="s">
        <v>99</v>
      </c>
      <c r="B100" s="2035" t="s">
        <v>134</v>
      </c>
      <c r="C100" s="2035"/>
      <c r="D100" s="2035"/>
      <c r="E100" s="1318">
        <f>SUM(E101:E188)</f>
        <v>3852.99</v>
      </c>
      <c r="F100" s="1318">
        <f t="shared" ref="F100:AC100" si="9">SUM(F101:F188)</f>
        <v>96324751</v>
      </c>
      <c r="G100" s="1318"/>
      <c r="H100" s="1318"/>
      <c r="I100" s="1318"/>
      <c r="J100" s="1318"/>
      <c r="K100" s="1318"/>
      <c r="L100" s="1318"/>
      <c r="M100" s="1318"/>
      <c r="N100" s="1318"/>
      <c r="O100" s="1318"/>
      <c r="P100" s="1318"/>
      <c r="Q100" s="1318"/>
      <c r="R100" s="1318"/>
      <c r="S100" s="1318"/>
      <c r="T100" s="1318"/>
      <c r="U100" s="1318"/>
      <c r="V100" s="1318"/>
      <c r="W100" s="1318"/>
      <c r="X100" s="1318">
        <f t="shared" si="9"/>
        <v>96324751</v>
      </c>
      <c r="Y100" s="1318">
        <f t="shared" si="9"/>
        <v>0</v>
      </c>
      <c r="Z100" s="1318">
        <f t="shared" si="9"/>
        <v>96324751</v>
      </c>
      <c r="AA100" s="1318">
        <f t="shared" si="9"/>
        <v>0</v>
      </c>
      <c r="AB100" s="1318"/>
      <c r="AC100" s="1318">
        <f t="shared" si="9"/>
        <v>0</v>
      </c>
      <c r="AD100" s="1456"/>
      <c r="AE100" s="1328">
        <v>450183088.43595445</v>
      </c>
      <c r="AF100" s="1328"/>
      <c r="AG100" s="1328"/>
      <c r="AH100" s="1328"/>
      <c r="AI100" s="1328"/>
      <c r="AJ100" s="1328"/>
      <c r="AK100" s="1328"/>
      <c r="AL100" s="1328"/>
    </row>
    <row r="101" spans="1:38" s="1329" customFormat="1" ht="33" hidden="1" customHeight="1">
      <c r="A101" s="1319">
        <v>1</v>
      </c>
      <c r="B101" s="1319"/>
      <c r="C101" s="1330" t="str">
        <f>TONGHOPCONGDOI!C96</f>
        <v>T. Lê</v>
      </c>
      <c r="D101" s="1319" t="s">
        <v>43</v>
      </c>
      <c r="E101" s="1321"/>
      <c r="F101" s="373"/>
      <c r="G101" s="373"/>
      <c r="H101" s="373"/>
      <c r="I101" s="373"/>
      <c r="J101" s="1322"/>
      <c r="K101" s="1323"/>
      <c r="L101" s="1324"/>
      <c r="M101" s="1325"/>
      <c r="N101" s="1325"/>
      <c r="O101" s="1325"/>
      <c r="P101" s="1325"/>
      <c r="Q101" s="1325"/>
      <c r="R101" s="1325"/>
      <c r="S101" s="1325"/>
      <c r="T101" s="1369"/>
      <c r="U101" s="1369"/>
      <c r="V101" s="1369"/>
      <c r="W101" s="1325"/>
      <c r="X101" s="1325">
        <f t="shared" ref="X101:X132" si="10">F101+L101+W101</f>
        <v>0</v>
      </c>
      <c r="Y101" s="373"/>
      <c r="Z101" s="1327">
        <f>X101</f>
        <v>0</v>
      </c>
      <c r="AA101" s="373"/>
      <c r="AB101" s="373"/>
      <c r="AC101" s="1326"/>
      <c r="AD101" s="1456">
        <f>A101</f>
        <v>1</v>
      </c>
      <c r="AE101" s="1316">
        <f>M101*46.1*$E$11</f>
        <v>0</v>
      </c>
      <c r="AF101" s="1316">
        <f>N101*92.2*$E$11</f>
        <v>0</v>
      </c>
      <c r="AG101" s="1316">
        <f>O101*76.9*$E$11</f>
        <v>0</v>
      </c>
      <c r="AH101" s="1328">
        <f>P101*153.8*E11</f>
        <v>0</v>
      </c>
      <c r="AI101" s="1328"/>
      <c r="AJ101" s="1328"/>
      <c r="AK101" s="1328"/>
      <c r="AL101" s="1328"/>
    </row>
    <row r="102" spans="1:38" s="1329" customFormat="1" ht="33" hidden="1" customHeight="1">
      <c r="A102" s="1319">
        <v>2</v>
      </c>
      <c r="B102" s="1319" t="str">
        <f>'Chấm công KT'!D93</f>
        <v>02735</v>
      </c>
      <c r="C102" s="1330" t="str">
        <f>TONGHOPCONGDOI!C97</f>
        <v xml:space="preserve">Nang On Teng </v>
      </c>
      <c r="D102" s="1319" t="s">
        <v>43</v>
      </c>
      <c r="E102" s="1321"/>
      <c r="F102" s="373"/>
      <c r="G102" s="373"/>
      <c r="H102" s="373"/>
      <c r="I102" s="373"/>
      <c r="J102" s="1322"/>
      <c r="K102" s="1323"/>
      <c r="L102" s="1324"/>
      <c r="M102" s="1325"/>
      <c r="N102" s="1325"/>
      <c r="O102" s="1325"/>
      <c r="P102" s="1325"/>
      <c r="Q102" s="1325"/>
      <c r="R102" s="1325"/>
      <c r="S102" s="1325"/>
      <c r="T102" s="1369"/>
      <c r="U102" s="1369"/>
      <c r="V102" s="1369"/>
      <c r="W102" s="1325"/>
      <c r="X102" s="1325">
        <f t="shared" si="10"/>
        <v>0</v>
      </c>
      <c r="Y102" s="373"/>
      <c r="Z102" s="1327">
        <f t="shared" ref="Z102:Z165" si="11">X102</f>
        <v>0</v>
      </c>
      <c r="AA102" s="373"/>
      <c r="AB102" s="373"/>
      <c r="AC102" s="1326"/>
      <c r="AD102" s="1456">
        <f t="shared" ref="AD102:AD165" si="12">A102</f>
        <v>2</v>
      </c>
      <c r="AE102" s="1328"/>
      <c r="AF102" s="1328"/>
      <c r="AG102" s="1328"/>
      <c r="AH102" s="1328"/>
      <c r="AI102" s="1328"/>
      <c r="AJ102" s="1328"/>
      <c r="AK102" s="1328"/>
      <c r="AL102" s="1328"/>
    </row>
    <row r="103" spans="1:38" s="1329" customFormat="1" ht="33" hidden="1" customHeight="1">
      <c r="A103" s="1319">
        <v>3</v>
      </c>
      <c r="B103" s="1319" t="str">
        <f>'Chấm công KT'!D94</f>
        <v>03518</v>
      </c>
      <c r="C103" s="1330" t="str">
        <f>TONGHOPCONGDOI!C98</f>
        <v>T. Đôn Ma</v>
      </c>
      <c r="D103" s="1319" t="s">
        <v>43</v>
      </c>
      <c r="E103" s="1321"/>
      <c r="F103" s="373"/>
      <c r="G103" s="373"/>
      <c r="H103" s="373"/>
      <c r="I103" s="373"/>
      <c r="J103" s="1322"/>
      <c r="K103" s="1323"/>
      <c r="L103" s="1324"/>
      <c r="M103" s="1325"/>
      <c r="N103" s="1325"/>
      <c r="O103" s="1325"/>
      <c r="P103" s="1325"/>
      <c r="Q103" s="1325"/>
      <c r="R103" s="1325"/>
      <c r="S103" s="1325"/>
      <c r="T103" s="1369"/>
      <c r="U103" s="1369"/>
      <c r="V103" s="1369"/>
      <c r="W103" s="1325"/>
      <c r="X103" s="1325">
        <f t="shared" si="10"/>
        <v>0</v>
      </c>
      <c r="Y103" s="373"/>
      <c r="Z103" s="1327">
        <f t="shared" si="11"/>
        <v>0</v>
      </c>
      <c r="AA103" s="373"/>
      <c r="AB103" s="373"/>
      <c r="AC103" s="1326"/>
      <c r="AD103" s="1456">
        <f t="shared" si="12"/>
        <v>3</v>
      </c>
      <c r="AE103" s="1328"/>
      <c r="AF103" s="1328"/>
      <c r="AG103" s="1328"/>
      <c r="AH103" s="1328"/>
      <c r="AI103" s="1328"/>
      <c r="AJ103" s="1328"/>
      <c r="AK103" s="1328"/>
      <c r="AL103" s="1328"/>
    </row>
    <row r="104" spans="1:38" s="1329" customFormat="1" ht="33" hidden="1" customHeight="1">
      <c r="A104" s="1319">
        <v>4</v>
      </c>
      <c r="B104" s="1319" t="str">
        <f>'Chấm công KT'!D95</f>
        <v>03519</v>
      </c>
      <c r="C104" s="1330" t="str">
        <f>TONGHOPCONGDOI!C99</f>
        <v>T Nôn</v>
      </c>
      <c r="D104" s="1319" t="s">
        <v>43</v>
      </c>
      <c r="E104" s="1321"/>
      <c r="F104" s="373"/>
      <c r="G104" s="373"/>
      <c r="H104" s="373"/>
      <c r="I104" s="373"/>
      <c r="J104" s="1322"/>
      <c r="K104" s="1323"/>
      <c r="L104" s="1324"/>
      <c r="M104" s="1325"/>
      <c r="N104" s="1325"/>
      <c r="O104" s="1325"/>
      <c r="P104" s="1325"/>
      <c r="Q104" s="1325"/>
      <c r="R104" s="1325"/>
      <c r="S104" s="1325"/>
      <c r="T104" s="1369"/>
      <c r="U104" s="1369"/>
      <c r="V104" s="1369"/>
      <c r="W104" s="1325"/>
      <c r="X104" s="1325">
        <f t="shared" si="10"/>
        <v>0</v>
      </c>
      <c r="Y104" s="373"/>
      <c r="Z104" s="1327">
        <f t="shared" si="11"/>
        <v>0</v>
      </c>
      <c r="AA104" s="373"/>
      <c r="AB104" s="373"/>
      <c r="AC104" s="1326"/>
      <c r="AD104" s="1456">
        <f t="shared" si="12"/>
        <v>4</v>
      </c>
      <c r="AE104" s="1328"/>
      <c r="AF104" s="1328"/>
      <c r="AG104" s="1328"/>
      <c r="AH104" s="1328"/>
      <c r="AI104" s="1328"/>
      <c r="AJ104" s="1328"/>
      <c r="AK104" s="1328"/>
      <c r="AL104" s="1328"/>
    </row>
    <row r="105" spans="1:38" s="1329" customFormat="1" ht="33" hidden="1" customHeight="1">
      <c r="A105" s="1319">
        <v>5</v>
      </c>
      <c r="B105" s="1319" t="str">
        <f>'Chấm công KT'!D96</f>
        <v>03520</v>
      </c>
      <c r="C105" s="1330" t="str">
        <f>TONGHOPCONGDOI!C100</f>
        <v>N. Khăm..</v>
      </c>
      <c r="D105" s="1319" t="s">
        <v>43</v>
      </c>
      <c r="E105" s="1321"/>
      <c r="F105" s="373"/>
      <c r="G105" s="373"/>
      <c r="H105" s="373"/>
      <c r="I105" s="373"/>
      <c r="J105" s="1322"/>
      <c r="K105" s="1323"/>
      <c r="L105" s="1324"/>
      <c r="M105" s="1325"/>
      <c r="N105" s="1325"/>
      <c r="O105" s="1325"/>
      <c r="P105" s="1325"/>
      <c r="Q105" s="1325"/>
      <c r="R105" s="1325"/>
      <c r="S105" s="1325"/>
      <c r="T105" s="1369"/>
      <c r="U105" s="1369"/>
      <c r="V105" s="1369"/>
      <c r="W105" s="1325"/>
      <c r="X105" s="1325">
        <f t="shared" si="10"/>
        <v>0</v>
      </c>
      <c r="Y105" s="373"/>
      <c r="Z105" s="1327">
        <f t="shared" si="11"/>
        <v>0</v>
      </c>
      <c r="AA105" s="373"/>
      <c r="AB105" s="373"/>
      <c r="AC105" s="1326"/>
      <c r="AD105" s="1456">
        <f t="shared" si="12"/>
        <v>5</v>
      </c>
      <c r="AE105" s="1328"/>
      <c r="AF105" s="1328"/>
      <c r="AG105" s="1328"/>
      <c r="AH105" s="1328"/>
      <c r="AI105" s="1328"/>
      <c r="AJ105" s="1328"/>
      <c r="AK105" s="1328"/>
      <c r="AL105" s="1328"/>
    </row>
    <row r="106" spans="1:38" s="1329" customFormat="1" ht="33" hidden="1" customHeight="1">
      <c r="A106" s="1319">
        <v>6</v>
      </c>
      <c r="B106" s="1319" t="str">
        <f>'Chấm công KT'!D97</f>
        <v>03521</v>
      </c>
      <c r="C106" s="1330" t="str">
        <f>TONGHOPCONGDOI!C101</f>
        <v>Nang La Ty</v>
      </c>
      <c r="D106" s="1319" t="s">
        <v>43</v>
      </c>
      <c r="E106" s="1321"/>
      <c r="F106" s="373"/>
      <c r="G106" s="373"/>
      <c r="H106" s="373"/>
      <c r="I106" s="373"/>
      <c r="J106" s="1322"/>
      <c r="K106" s="1323"/>
      <c r="L106" s="1324"/>
      <c r="M106" s="1325"/>
      <c r="N106" s="1325"/>
      <c r="O106" s="1325"/>
      <c r="P106" s="1325"/>
      <c r="Q106" s="1325"/>
      <c r="R106" s="1325"/>
      <c r="S106" s="1325"/>
      <c r="T106" s="1369"/>
      <c r="U106" s="1369"/>
      <c r="V106" s="1369"/>
      <c r="W106" s="1325"/>
      <c r="X106" s="1325">
        <f t="shared" si="10"/>
        <v>0</v>
      </c>
      <c r="Y106" s="373"/>
      <c r="Z106" s="1327">
        <f t="shared" si="11"/>
        <v>0</v>
      </c>
      <c r="AA106" s="373"/>
      <c r="AB106" s="373"/>
      <c r="AC106" s="1326"/>
      <c r="AD106" s="1456">
        <f t="shared" si="12"/>
        <v>6</v>
      </c>
      <c r="AE106" s="1328"/>
      <c r="AF106" s="1328"/>
      <c r="AG106" s="1328"/>
      <c r="AH106" s="1328"/>
      <c r="AI106" s="1328"/>
      <c r="AJ106" s="1328"/>
      <c r="AK106" s="1328"/>
      <c r="AL106" s="1328"/>
    </row>
    <row r="107" spans="1:38" s="1329" customFormat="1" ht="33" hidden="1" customHeight="1">
      <c r="A107" s="1319">
        <v>7</v>
      </c>
      <c r="B107" s="1319" t="str">
        <f>'Chấm công KT'!D98</f>
        <v>03522</v>
      </c>
      <c r="C107" s="1330" t="str">
        <f>TONGHOPCONGDOI!C102</f>
        <v>N.T.T Trang (1)</v>
      </c>
      <c r="D107" s="1319" t="s">
        <v>43</v>
      </c>
      <c r="E107" s="1321"/>
      <c r="F107" s="373"/>
      <c r="G107" s="373"/>
      <c r="H107" s="373"/>
      <c r="I107" s="1324"/>
      <c r="J107" s="1322"/>
      <c r="K107" s="1323"/>
      <c r="L107" s="1324"/>
      <c r="M107" s="1325"/>
      <c r="N107" s="1325"/>
      <c r="O107" s="1325"/>
      <c r="P107" s="1325"/>
      <c r="Q107" s="1325"/>
      <c r="R107" s="1325"/>
      <c r="S107" s="1325"/>
      <c r="T107" s="1369"/>
      <c r="U107" s="1369"/>
      <c r="V107" s="1369"/>
      <c r="W107" s="1325"/>
      <c r="X107" s="1325">
        <f t="shared" si="10"/>
        <v>0</v>
      </c>
      <c r="Y107" s="373"/>
      <c r="Z107" s="1327">
        <f t="shared" si="11"/>
        <v>0</v>
      </c>
      <c r="AA107" s="373"/>
      <c r="AB107" s="373"/>
      <c r="AC107" s="1326"/>
      <c r="AD107" s="1456">
        <f t="shared" si="12"/>
        <v>7</v>
      </c>
      <c r="AE107" s="1736" t="e">
        <f>#REF!*6.1*$E$11</f>
        <v>#REF!</v>
      </c>
      <c r="AF107" s="1328"/>
      <c r="AG107" s="1328"/>
      <c r="AH107" s="1328"/>
      <c r="AI107" s="1328"/>
      <c r="AJ107" s="1328"/>
      <c r="AK107" s="1328"/>
      <c r="AL107" s="1328"/>
    </row>
    <row r="108" spans="1:38" s="1329" customFormat="1" ht="33" hidden="1" customHeight="1">
      <c r="A108" s="1319">
        <v>8</v>
      </c>
      <c r="B108" s="1319" t="str">
        <f>'Chấm công KT'!D99</f>
        <v>03523</v>
      </c>
      <c r="C108" s="1330" t="str">
        <f>TONGHOPCONGDOI!C103</f>
        <v>T. Ni On</v>
      </c>
      <c r="D108" s="1319" t="s">
        <v>43</v>
      </c>
      <c r="E108" s="1321"/>
      <c r="F108" s="373"/>
      <c r="G108" s="373"/>
      <c r="H108" s="373"/>
      <c r="I108" s="373"/>
      <c r="J108" s="1322"/>
      <c r="K108" s="1323"/>
      <c r="L108" s="1324"/>
      <c r="M108" s="1325"/>
      <c r="N108" s="1325"/>
      <c r="O108" s="1325"/>
      <c r="P108" s="1325"/>
      <c r="Q108" s="1325"/>
      <c r="R108" s="1325"/>
      <c r="S108" s="1325"/>
      <c r="T108" s="1369"/>
      <c r="U108" s="1369"/>
      <c r="V108" s="1369"/>
      <c r="W108" s="1325"/>
      <c r="X108" s="1325">
        <f t="shared" si="10"/>
        <v>0</v>
      </c>
      <c r="Y108" s="373"/>
      <c r="Z108" s="1327">
        <f t="shared" si="11"/>
        <v>0</v>
      </c>
      <c r="AA108" s="373"/>
      <c r="AB108" s="373"/>
      <c r="AC108" s="1326"/>
      <c r="AD108" s="1456">
        <f t="shared" si="12"/>
        <v>8</v>
      </c>
      <c r="AE108" s="1328"/>
      <c r="AF108" s="1328"/>
      <c r="AG108" s="1328"/>
      <c r="AH108" s="1328"/>
      <c r="AI108" s="1328"/>
      <c r="AJ108" s="1328"/>
      <c r="AK108" s="1328"/>
      <c r="AL108" s="1328"/>
    </row>
    <row r="109" spans="1:38" s="1329" customFormat="1" ht="33" hidden="1" customHeight="1">
      <c r="A109" s="1319">
        <v>9</v>
      </c>
      <c r="B109" s="1319" t="str">
        <f>'Chấm công KT'!D100</f>
        <v>02739</v>
      </c>
      <c r="C109" s="1330" t="str">
        <f>TONGHOPCONGDOI!C104</f>
        <v>Thảo Lẹ</v>
      </c>
      <c r="D109" s="1319" t="s">
        <v>43</v>
      </c>
      <c r="E109" s="1321"/>
      <c r="F109" s="373"/>
      <c r="G109" s="373"/>
      <c r="H109" s="373"/>
      <c r="I109" s="373"/>
      <c r="J109" s="1322"/>
      <c r="K109" s="1323"/>
      <c r="L109" s="1324"/>
      <c r="M109" s="1325"/>
      <c r="N109" s="1325"/>
      <c r="O109" s="1325"/>
      <c r="P109" s="1325"/>
      <c r="Q109" s="1325"/>
      <c r="R109" s="1325"/>
      <c r="S109" s="1325"/>
      <c r="T109" s="1369"/>
      <c r="U109" s="1369"/>
      <c r="V109" s="1369"/>
      <c r="W109" s="1325"/>
      <c r="X109" s="1325">
        <f t="shared" si="10"/>
        <v>0</v>
      </c>
      <c r="Y109" s="373"/>
      <c r="Z109" s="1327">
        <f t="shared" si="11"/>
        <v>0</v>
      </c>
      <c r="AA109" s="373"/>
      <c r="AB109" s="373"/>
      <c r="AC109" s="1326"/>
      <c r="AD109" s="1456">
        <f t="shared" si="12"/>
        <v>9</v>
      </c>
      <c r="AE109" s="1328"/>
      <c r="AF109" s="1328"/>
      <c r="AG109" s="1328"/>
      <c r="AH109" s="1328"/>
      <c r="AI109" s="1328"/>
      <c r="AJ109" s="1328"/>
      <c r="AK109" s="1328"/>
      <c r="AL109" s="1328"/>
    </row>
    <row r="110" spans="1:38" s="1329" customFormat="1" ht="33" hidden="1" customHeight="1">
      <c r="A110" s="1319">
        <v>10</v>
      </c>
      <c r="B110" s="1319" t="str">
        <f>'Chấm công KT'!D101</f>
        <v>03524</v>
      </c>
      <c r="C110" s="1330" t="str">
        <f>TONGHOPCONGDOI!C105</f>
        <v>T. Nả</v>
      </c>
      <c r="D110" s="1319" t="s">
        <v>43</v>
      </c>
      <c r="E110" s="1321"/>
      <c r="F110" s="373"/>
      <c r="G110" s="373"/>
      <c r="H110" s="373"/>
      <c r="I110" s="373"/>
      <c r="J110" s="1322"/>
      <c r="K110" s="1323"/>
      <c r="L110" s="1324"/>
      <c r="M110" s="1325"/>
      <c r="N110" s="1325"/>
      <c r="O110" s="1325"/>
      <c r="P110" s="1325"/>
      <c r="Q110" s="1325"/>
      <c r="R110" s="1325"/>
      <c r="S110" s="1325"/>
      <c r="T110" s="1369"/>
      <c r="U110" s="1369"/>
      <c r="V110" s="1369"/>
      <c r="W110" s="1325"/>
      <c r="X110" s="1325">
        <f t="shared" si="10"/>
        <v>0</v>
      </c>
      <c r="Y110" s="373"/>
      <c r="Z110" s="1327">
        <f t="shared" si="11"/>
        <v>0</v>
      </c>
      <c r="AA110" s="373"/>
      <c r="AB110" s="373"/>
      <c r="AC110" s="1326"/>
      <c r="AD110" s="1456">
        <f t="shared" si="12"/>
        <v>10</v>
      </c>
      <c r="AE110" s="1328"/>
      <c r="AF110" s="1328"/>
      <c r="AG110" s="1328"/>
      <c r="AH110" s="1328"/>
      <c r="AI110" s="1328"/>
      <c r="AJ110" s="1328"/>
      <c r="AK110" s="1328"/>
      <c r="AL110" s="1328"/>
    </row>
    <row r="111" spans="1:38" s="1329" customFormat="1" ht="33" hidden="1" customHeight="1">
      <c r="A111" s="1319">
        <v>11</v>
      </c>
      <c r="B111" s="1319" t="str">
        <f>'Chấm công KT'!D102</f>
        <v>03525</v>
      </c>
      <c r="C111" s="1330" t="str">
        <f>TONGHOPCONGDOI!C106</f>
        <v>N. Sa Văn</v>
      </c>
      <c r="D111" s="1319" t="s">
        <v>43</v>
      </c>
      <c r="E111" s="1321"/>
      <c r="F111" s="373"/>
      <c r="G111" s="373"/>
      <c r="H111" s="373"/>
      <c r="I111" s="373"/>
      <c r="J111" s="1322"/>
      <c r="K111" s="1323"/>
      <c r="L111" s="1324"/>
      <c r="M111" s="1325"/>
      <c r="N111" s="1325"/>
      <c r="O111" s="1325"/>
      <c r="P111" s="1325"/>
      <c r="Q111" s="1325"/>
      <c r="R111" s="1325"/>
      <c r="S111" s="1325"/>
      <c r="T111" s="1369"/>
      <c r="U111" s="1369"/>
      <c r="V111" s="1369"/>
      <c r="W111" s="1325"/>
      <c r="X111" s="1325">
        <f t="shared" si="10"/>
        <v>0</v>
      </c>
      <c r="Y111" s="373"/>
      <c r="Z111" s="1327">
        <f t="shared" si="11"/>
        <v>0</v>
      </c>
      <c r="AA111" s="373"/>
      <c r="AB111" s="373"/>
      <c r="AC111" s="1326"/>
      <c r="AD111" s="1456">
        <f t="shared" si="12"/>
        <v>11</v>
      </c>
      <c r="AE111" s="1328"/>
      <c r="AF111" s="1328"/>
      <c r="AG111" s="1328"/>
      <c r="AH111" s="1328"/>
      <c r="AI111" s="1328"/>
      <c r="AJ111" s="1328"/>
      <c r="AK111" s="1328"/>
      <c r="AL111" s="1328"/>
    </row>
    <row r="112" spans="1:38" s="1329" customFormat="1" ht="33" hidden="1" customHeight="1">
      <c r="A112" s="1319">
        <v>12</v>
      </c>
      <c r="B112" s="1319" t="str">
        <f>'Chấm công KT'!D103</f>
        <v>03526</v>
      </c>
      <c r="C112" s="1330" t="str">
        <f>TONGHOPCONGDOI!C107</f>
        <v>N. Chăn</v>
      </c>
      <c r="D112" s="1319" t="s">
        <v>43</v>
      </c>
      <c r="E112" s="1321"/>
      <c r="F112" s="373"/>
      <c r="G112" s="373"/>
      <c r="H112" s="373"/>
      <c r="I112" s="373"/>
      <c r="J112" s="1322"/>
      <c r="K112" s="1323"/>
      <c r="L112" s="1324"/>
      <c r="M112" s="1325"/>
      <c r="N112" s="1325"/>
      <c r="O112" s="1325"/>
      <c r="P112" s="1325"/>
      <c r="Q112" s="1325"/>
      <c r="R112" s="1325"/>
      <c r="S112" s="1325"/>
      <c r="T112" s="1369"/>
      <c r="U112" s="1369"/>
      <c r="V112" s="1369"/>
      <c r="W112" s="1325"/>
      <c r="X112" s="1325">
        <f t="shared" si="10"/>
        <v>0</v>
      </c>
      <c r="Y112" s="373"/>
      <c r="Z112" s="1327">
        <f t="shared" si="11"/>
        <v>0</v>
      </c>
      <c r="AA112" s="373"/>
      <c r="AB112" s="373"/>
      <c r="AC112" s="1326"/>
      <c r="AD112" s="1456">
        <f t="shared" si="12"/>
        <v>12</v>
      </c>
      <c r="AE112" s="1328"/>
      <c r="AF112" s="1328"/>
      <c r="AG112" s="1328"/>
      <c r="AH112" s="1328"/>
      <c r="AI112" s="1328"/>
      <c r="AJ112" s="1328"/>
      <c r="AK112" s="1328"/>
      <c r="AL112" s="1328"/>
    </row>
    <row r="113" spans="1:38" s="1329" customFormat="1" ht="33" hidden="1" customHeight="1">
      <c r="A113" s="1319">
        <v>13</v>
      </c>
      <c r="B113" s="1319" t="str">
        <f>'Chấm công KT'!D104</f>
        <v>03527</v>
      </c>
      <c r="C113" s="1330" t="str">
        <f>TONGHOPCONGDOI!C108</f>
        <v>T Núc</v>
      </c>
      <c r="D113" s="1319" t="s">
        <v>43</v>
      </c>
      <c r="E113" s="1321"/>
      <c r="F113" s="373"/>
      <c r="G113" s="373"/>
      <c r="H113" s="373"/>
      <c r="I113" s="373"/>
      <c r="J113" s="1322"/>
      <c r="K113" s="1323"/>
      <c r="L113" s="1324"/>
      <c r="M113" s="1325"/>
      <c r="N113" s="1325"/>
      <c r="O113" s="1325"/>
      <c r="P113" s="1325"/>
      <c r="Q113" s="1325"/>
      <c r="R113" s="1325"/>
      <c r="S113" s="1325"/>
      <c r="T113" s="1369"/>
      <c r="U113" s="1369"/>
      <c r="V113" s="1369"/>
      <c r="W113" s="1325"/>
      <c r="X113" s="1325">
        <f t="shared" si="10"/>
        <v>0</v>
      </c>
      <c r="Y113" s="373"/>
      <c r="Z113" s="1327">
        <f t="shared" si="11"/>
        <v>0</v>
      </c>
      <c r="AA113" s="373"/>
      <c r="AB113" s="373"/>
      <c r="AC113" s="1326"/>
      <c r="AD113" s="1456">
        <f t="shared" si="12"/>
        <v>13</v>
      </c>
      <c r="AE113" s="1328"/>
      <c r="AF113" s="1328"/>
      <c r="AG113" s="1328"/>
      <c r="AH113" s="1328"/>
      <c r="AI113" s="1328"/>
      <c r="AJ113" s="1328"/>
      <c r="AK113" s="1328"/>
      <c r="AL113" s="1328"/>
    </row>
    <row r="114" spans="1:38" s="1329" customFormat="1" ht="33" hidden="1" customHeight="1">
      <c r="A114" s="1319">
        <v>14</v>
      </c>
      <c r="B114" s="1319" t="str">
        <f>'Chấm công KT'!D105</f>
        <v>03528</v>
      </c>
      <c r="C114" s="1330" t="str">
        <f>TONGHOPCONGDOI!C109</f>
        <v>T. Cô</v>
      </c>
      <c r="D114" s="1319" t="s">
        <v>43</v>
      </c>
      <c r="E114" s="1321"/>
      <c r="F114" s="373"/>
      <c r="G114" s="373"/>
      <c r="H114" s="373"/>
      <c r="I114" s="373"/>
      <c r="J114" s="1322"/>
      <c r="K114" s="1323"/>
      <c r="L114" s="1324"/>
      <c r="M114" s="1325"/>
      <c r="N114" s="1325"/>
      <c r="O114" s="1325"/>
      <c r="P114" s="1325"/>
      <c r="Q114" s="1325"/>
      <c r="R114" s="1325"/>
      <c r="S114" s="1325"/>
      <c r="T114" s="1369"/>
      <c r="U114" s="1369"/>
      <c r="V114" s="1369"/>
      <c r="W114" s="1325"/>
      <c r="X114" s="1325">
        <f t="shared" si="10"/>
        <v>0</v>
      </c>
      <c r="Y114" s="373"/>
      <c r="Z114" s="1327">
        <f t="shared" si="11"/>
        <v>0</v>
      </c>
      <c r="AA114" s="373"/>
      <c r="AB114" s="373"/>
      <c r="AC114" s="1326"/>
      <c r="AD114" s="1456">
        <f t="shared" si="12"/>
        <v>14</v>
      </c>
      <c r="AE114" s="1328"/>
      <c r="AF114" s="1328"/>
      <c r="AG114" s="1328"/>
      <c r="AH114" s="1328"/>
      <c r="AI114" s="1328"/>
      <c r="AJ114" s="1328"/>
      <c r="AK114" s="1328"/>
      <c r="AL114" s="1328"/>
    </row>
    <row r="115" spans="1:38" s="1329" customFormat="1" ht="33" hidden="1" customHeight="1">
      <c r="A115" s="1319">
        <v>15</v>
      </c>
      <c r="B115" s="1319" t="str">
        <f>'Chấm công KT'!D106</f>
        <v>03529</v>
      </c>
      <c r="C115" s="1330" t="str">
        <f>TONGHOPCONGDOI!C110</f>
        <v>N. Khoăn Ta</v>
      </c>
      <c r="D115" s="1319" t="s">
        <v>43</v>
      </c>
      <c r="E115" s="1321"/>
      <c r="F115" s="373"/>
      <c r="G115" s="373"/>
      <c r="H115" s="373"/>
      <c r="I115" s="373"/>
      <c r="J115" s="1322"/>
      <c r="K115" s="1323"/>
      <c r="L115" s="1324"/>
      <c r="M115" s="1325"/>
      <c r="N115" s="1325"/>
      <c r="O115" s="1325"/>
      <c r="P115" s="1325"/>
      <c r="Q115" s="1325"/>
      <c r="R115" s="1325"/>
      <c r="S115" s="1325"/>
      <c r="T115" s="1369"/>
      <c r="U115" s="1369"/>
      <c r="V115" s="1369"/>
      <c r="W115" s="1325"/>
      <c r="X115" s="1325">
        <f t="shared" si="10"/>
        <v>0</v>
      </c>
      <c r="Y115" s="373"/>
      <c r="Z115" s="1327">
        <f t="shared" si="11"/>
        <v>0</v>
      </c>
      <c r="AA115" s="373"/>
      <c r="AB115" s="373"/>
      <c r="AC115" s="1326"/>
      <c r="AD115" s="1456">
        <f t="shared" si="12"/>
        <v>15</v>
      </c>
      <c r="AE115" s="1328"/>
      <c r="AF115" s="1328"/>
      <c r="AG115" s="1328"/>
      <c r="AH115" s="1328"/>
      <c r="AI115" s="1328"/>
      <c r="AJ115" s="1328"/>
      <c r="AK115" s="1328"/>
      <c r="AL115" s="1328"/>
    </row>
    <row r="116" spans="1:38" s="1329" customFormat="1" ht="33" hidden="1" customHeight="1">
      <c r="A116" s="1319">
        <v>16</v>
      </c>
      <c r="B116" s="1319" t="str">
        <f>'Chấm công KT'!D107</f>
        <v>03530</v>
      </c>
      <c r="C116" s="1330" t="str">
        <f>TONGHOPCONGDOI!C111</f>
        <v>T . Tom</v>
      </c>
      <c r="D116" s="1319" t="s">
        <v>43</v>
      </c>
      <c r="E116" s="1321"/>
      <c r="F116" s="373"/>
      <c r="G116" s="373"/>
      <c r="H116" s="373"/>
      <c r="I116" s="373"/>
      <c r="J116" s="1322"/>
      <c r="K116" s="1323"/>
      <c r="L116" s="1324"/>
      <c r="M116" s="1325"/>
      <c r="N116" s="1325"/>
      <c r="O116" s="1325"/>
      <c r="P116" s="1325"/>
      <c r="Q116" s="1325"/>
      <c r="R116" s="1325"/>
      <c r="S116" s="1325"/>
      <c r="T116" s="1369"/>
      <c r="U116" s="1369"/>
      <c r="V116" s="1369"/>
      <c r="W116" s="1325"/>
      <c r="X116" s="1325">
        <f t="shared" si="10"/>
        <v>0</v>
      </c>
      <c r="Y116" s="373"/>
      <c r="Z116" s="1327">
        <f t="shared" si="11"/>
        <v>0</v>
      </c>
      <c r="AA116" s="373"/>
      <c r="AB116" s="373"/>
      <c r="AC116" s="1326"/>
      <c r="AD116" s="1456">
        <f t="shared" si="12"/>
        <v>16</v>
      </c>
      <c r="AE116" s="1328"/>
      <c r="AF116" s="1328"/>
      <c r="AG116" s="1328"/>
      <c r="AH116" s="1328"/>
      <c r="AI116" s="1328"/>
      <c r="AJ116" s="1328"/>
      <c r="AK116" s="1328"/>
      <c r="AL116" s="1328"/>
    </row>
    <row r="117" spans="1:38" s="1329" customFormat="1" ht="33" hidden="1" customHeight="1">
      <c r="A117" s="1319">
        <v>17</v>
      </c>
      <c r="B117" s="1319" t="str">
        <f>'Chấm công KT'!D108</f>
        <v>03531</v>
      </c>
      <c r="C117" s="1330" t="str">
        <f>TONGHOPCONGDOI!C112</f>
        <v>T. Son Sa May</v>
      </c>
      <c r="D117" s="1319" t="s">
        <v>43</v>
      </c>
      <c r="E117" s="1321"/>
      <c r="F117" s="373"/>
      <c r="G117" s="373"/>
      <c r="H117" s="373"/>
      <c r="I117" s="373"/>
      <c r="J117" s="1322"/>
      <c r="K117" s="1323"/>
      <c r="L117" s="1324"/>
      <c r="M117" s="1325"/>
      <c r="N117" s="1325"/>
      <c r="O117" s="1325"/>
      <c r="P117" s="1325"/>
      <c r="Q117" s="1325"/>
      <c r="R117" s="1325"/>
      <c r="S117" s="1325"/>
      <c r="T117" s="1369"/>
      <c r="U117" s="1369"/>
      <c r="V117" s="1369"/>
      <c r="W117" s="1325"/>
      <c r="X117" s="1325">
        <f t="shared" si="10"/>
        <v>0</v>
      </c>
      <c r="Y117" s="373"/>
      <c r="Z117" s="1327">
        <f t="shared" si="11"/>
        <v>0</v>
      </c>
      <c r="AA117" s="373"/>
      <c r="AB117" s="373"/>
      <c r="AC117" s="1326"/>
      <c r="AD117" s="1456">
        <f t="shared" si="12"/>
        <v>17</v>
      </c>
      <c r="AE117" s="1736" t="e">
        <f>#REF!*6.1*$E$11</f>
        <v>#REF!</v>
      </c>
      <c r="AF117" s="1328"/>
      <c r="AG117" s="1328">
        <v>7536383</v>
      </c>
      <c r="AH117" s="1328"/>
      <c r="AI117" s="1328"/>
      <c r="AJ117" s="1328"/>
      <c r="AK117" s="1328"/>
      <c r="AL117" s="1328"/>
    </row>
    <row r="118" spans="1:38" s="1329" customFormat="1" ht="33" hidden="1" customHeight="1">
      <c r="A118" s="1319">
        <v>18</v>
      </c>
      <c r="B118" s="1319" t="str">
        <f>'Chấm công KT'!D109</f>
        <v>03532</v>
      </c>
      <c r="C118" s="1330" t="str">
        <f>TONGHOPCONGDOI!C113</f>
        <v>N. Túc</v>
      </c>
      <c r="D118" s="1319" t="s">
        <v>43</v>
      </c>
      <c r="E118" s="1321"/>
      <c r="F118" s="373"/>
      <c r="G118" s="373"/>
      <c r="H118" s="373"/>
      <c r="I118" s="373"/>
      <c r="J118" s="1322"/>
      <c r="K118" s="1323"/>
      <c r="L118" s="1324"/>
      <c r="M118" s="1325"/>
      <c r="N118" s="1325"/>
      <c r="O118" s="1325"/>
      <c r="P118" s="1325"/>
      <c r="Q118" s="1325"/>
      <c r="R118" s="1325"/>
      <c r="S118" s="1325"/>
      <c r="T118" s="1369"/>
      <c r="U118" s="1369"/>
      <c r="V118" s="1369"/>
      <c r="W118" s="1325"/>
      <c r="X118" s="1325">
        <f t="shared" si="10"/>
        <v>0</v>
      </c>
      <c r="Y118" s="373"/>
      <c r="Z118" s="1327">
        <f t="shared" si="11"/>
        <v>0</v>
      </c>
      <c r="AA118" s="373"/>
      <c r="AB118" s="373"/>
      <c r="AC118" s="1326"/>
      <c r="AD118" s="1456">
        <f t="shared" si="12"/>
        <v>18</v>
      </c>
      <c r="AE118" s="1328"/>
      <c r="AF118" s="1328"/>
      <c r="AG118" s="1328">
        <v>165684</v>
      </c>
      <c r="AH118" s="1328"/>
      <c r="AI118" s="1328"/>
      <c r="AJ118" s="1328"/>
      <c r="AK118" s="1328"/>
      <c r="AL118" s="1328"/>
    </row>
    <row r="119" spans="1:38" s="1329" customFormat="1" ht="33" hidden="1" customHeight="1">
      <c r="A119" s="1319">
        <v>19</v>
      </c>
      <c r="B119" s="1319" t="str">
        <f>'Chấm công KT'!D110</f>
        <v xml:space="preserve">02709 </v>
      </c>
      <c r="C119" s="1330" t="str">
        <f>TONGHOPCONGDOI!C114</f>
        <v>T. Say</v>
      </c>
      <c r="D119" s="1319" t="s">
        <v>43</v>
      </c>
      <c r="E119" s="1321"/>
      <c r="F119" s="373"/>
      <c r="G119" s="373"/>
      <c r="H119" s="373"/>
      <c r="I119" s="373"/>
      <c r="J119" s="1322"/>
      <c r="K119" s="1323"/>
      <c r="L119" s="1324"/>
      <c r="M119" s="1325"/>
      <c r="N119" s="1325"/>
      <c r="O119" s="1325"/>
      <c r="P119" s="1325"/>
      <c r="Q119" s="1325"/>
      <c r="R119" s="1325"/>
      <c r="S119" s="1325"/>
      <c r="T119" s="1369"/>
      <c r="U119" s="1369"/>
      <c r="V119" s="1369"/>
      <c r="W119" s="1325"/>
      <c r="X119" s="1325">
        <f t="shared" si="10"/>
        <v>0</v>
      </c>
      <c r="Y119" s="373"/>
      <c r="Z119" s="1327">
        <f t="shared" si="11"/>
        <v>0</v>
      </c>
      <c r="AA119" s="373"/>
      <c r="AB119" s="373"/>
      <c r="AC119" s="1326"/>
      <c r="AD119" s="1456">
        <f t="shared" si="12"/>
        <v>19</v>
      </c>
      <c r="AE119" s="1328"/>
      <c r="AF119" s="1328"/>
      <c r="AG119" s="1328">
        <f>SUM(AG117:AG118)</f>
        <v>7702067</v>
      </c>
      <c r="AH119" s="1328"/>
      <c r="AI119" s="1328"/>
      <c r="AJ119" s="1328"/>
      <c r="AK119" s="1328"/>
      <c r="AL119" s="1328"/>
    </row>
    <row r="120" spans="1:38" s="1329" customFormat="1" ht="33" hidden="1" customHeight="1">
      <c r="A120" s="1319">
        <v>20</v>
      </c>
      <c r="B120" s="1319" t="str">
        <f>'Chấm công KT'!D111</f>
        <v>03533</v>
      </c>
      <c r="C120" s="1330" t="str">
        <f>TONGHOPCONGDOI!C115</f>
        <v>T. Pha Đi</v>
      </c>
      <c r="D120" s="1319" t="s">
        <v>43</v>
      </c>
      <c r="E120" s="1321"/>
      <c r="F120" s="373"/>
      <c r="G120" s="373"/>
      <c r="H120" s="373"/>
      <c r="I120" s="373"/>
      <c r="J120" s="1322"/>
      <c r="K120" s="1323"/>
      <c r="L120" s="1324"/>
      <c r="M120" s="1325"/>
      <c r="N120" s="1325"/>
      <c r="O120" s="1325"/>
      <c r="P120" s="1325"/>
      <c r="Q120" s="1325"/>
      <c r="R120" s="1325"/>
      <c r="S120" s="1325"/>
      <c r="T120" s="1369"/>
      <c r="U120" s="1369"/>
      <c r="V120" s="1369"/>
      <c r="W120" s="1325"/>
      <c r="X120" s="1325">
        <f t="shared" si="10"/>
        <v>0</v>
      </c>
      <c r="Y120" s="373"/>
      <c r="Z120" s="1327">
        <f t="shared" si="11"/>
        <v>0</v>
      </c>
      <c r="AA120" s="373"/>
      <c r="AB120" s="373"/>
      <c r="AC120" s="1326"/>
      <c r="AD120" s="1456">
        <f t="shared" si="12"/>
        <v>20</v>
      </c>
      <c r="AE120" s="1328"/>
      <c r="AF120" s="1328"/>
      <c r="AG120" s="1328"/>
      <c r="AH120" s="1328"/>
      <c r="AI120" s="1328"/>
      <c r="AJ120" s="1328"/>
      <c r="AK120" s="1328"/>
      <c r="AL120" s="1328"/>
    </row>
    <row r="121" spans="1:38" s="1329" customFormat="1" ht="33" hidden="1" customHeight="1">
      <c r="A121" s="1319">
        <v>21</v>
      </c>
      <c r="B121" s="1319" t="str">
        <f>'Chấm công KT'!D112</f>
        <v>03534</v>
      </c>
      <c r="C121" s="1330" t="str">
        <f>TONGHOPCONGDOI!C116</f>
        <v>T. Un</v>
      </c>
      <c r="D121" s="1319" t="s">
        <v>43</v>
      </c>
      <c r="E121" s="1321"/>
      <c r="F121" s="373"/>
      <c r="G121" s="373"/>
      <c r="H121" s="373"/>
      <c r="I121" s="373"/>
      <c r="J121" s="1322"/>
      <c r="K121" s="1323"/>
      <c r="L121" s="1324"/>
      <c r="M121" s="1325"/>
      <c r="N121" s="1325"/>
      <c r="O121" s="1325"/>
      <c r="P121" s="1325"/>
      <c r="Q121" s="1325"/>
      <c r="R121" s="1325"/>
      <c r="S121" s="1325"/>
      <c r="T121" s="1369"/>
      <c r="U121" s="1369"/>
      <c r="V121" s="1369"/>
      <c r="W121" s="1325"/>
      <c r="X121" s="1325">
        <f t="shared" si="10"/>
        <v>0</v>
      </c>
      <c r="Y121" s="373"/>
      <c r="Z121" s="1327">
        <f t="shared" si="11"/>
        <v>0</v>
      </c>
      <c r="AA121" s="373"/>
      <c r="AB121" s="373"/>
      <c r="AC121" s="1326"/>
      <c r="AD121" s="1456">
        <f t="shared" si="12"/>
        <v>21</v>
      </c>
      <c r="AE121" s="1328"/>
      <c r="AF121" s="1328"/>
      <c r="AG121" s="1328"/>
      <c r="AH121" s="1328"/>
      <c r="AI121" s="1328"/>
      <c r="AJ121" s="1328"/>
      <c r="AK121" s="1328"/>
      <c r="AL121" s="1328"/>
    </row>
    <row r="122" spans="1:38" s="1329" customFormat="1" ht="33" hidden="1" customHeight="1">
      <c r="A122" s="1319">
        <v>22</v>
      </c>
      <c r="B122" s="1319" t="str">
        <f>'Chấm công KT'!D113</f>
        <v>03535</v>
      </c>
      <c r="C122" s="1330" t="str">
        <f>TONGHOPCONGDOI!C117</f>
        <v>T. Ôn</v>
      </c>
      <c r="D122" s="1319" t="s">
        <v>43</v>
      </c>
      <c r="E122" s="1321"/>
      <c r="F122" s="373"/>
      <c r="G122" s="373"/>
      <c r="H122" s="373"/>
      <c r="I122" s="373"/>
      <c r="J122" s="1322"/>
      <c r="K122" s="1323"/>
      <c r="L122" s="1324"/>
      <c r="M122" s="1325"/>
      <c r="N122" s="1325"/>
      <c r="O122" s="1325"/>
      <c r="P122" s="1325"/>
      <c r="Q122" s="1325"/>
      <c r="R122" s="1325"/>
      <c r="S122" s="1325"/>
      <c r="T122" s="1369"/>
      <c r="U122" s="1369"/>
      <c r="V122" s="1369"/>
      <c r="W122" s="1325"/>
      <c r="X122" s="1325">
        <f t="shared" si="10"/>
        <v>0</v>
      </c>
      <c r="Y122" s="373"/>
      <c r="Z122" s="1327">
        <f t="shared" si="11"/>
        <v>0</v>
      </c>
      <c r="AA122" s="373"/>
      <c r="AB122" s="373"/>
      <c r="AC122" s="1326"/>
      <c r="AD122" s="1456">
        <f t="shared" si="12"/>
        <v>22</v>
      </c>
      <c r="AE122" s="1328"/>
      <c r="AF122" s="1328"/>
      <c r="AG122" s="1328"/>
      <c r="AH122" s="1328"/>
      <c r="AI122" s="1328"/>
      <c r="AJ122" s="1328"/>
      <c r="AK122" s="1328"/>
      <c r="AL122" s="1328"/>
    </row>
    <row r="123" spans="1:38" s="1329" customFormat="1" ht="33" hidden="1" customHeight="1">
      <c r="A123" s="1319">
        <v>23</v>
      </c>
      <c r="B123" s="1319"/>
      <c r="C123" s="1330" t="str">
        <f>TONGHOPCONGDOI!C118</f>
        <v>N. Không</v>
      </c>
      <c r="D123" s="1319" t="s">
        <v>43</v>
      </c>
      <c r="E123" s="1321"/>
      <c r="F123" s="373"/>
      <c r="G123" s="373"/>
      <c r="H123" s="373"/>
      <c r="I123" s="373"/>
      <c r="J123" s="1322"/>
      <c r="K123" s="1323"/>
      <c r="L123" s="1324"/>
      <c r="M123" s="1325"/>
      <c r="N123" s="1325"/>
      <c r="O123" s="1325"/>
      <c r="P123" s="1325"/>
      <c r="Q123" s="1325"/>
      <c r="R123" s="1325"/>
      <c r="S123" s="1325"/>
      <c r="T123" s="1369"/>
      <c r="U123" s="1369"/>
      <c r="V123" s="1369"/>
      <c r="W123" s="1325"/>
      <c r="X123" s="1325">
        <f t="shared" si="10"/>
        <v>0</v>
      </c>
      <c r="Y123" s="373"/>
      <c r="Z123" s="1327">
        <f t="shared" si="11"/>
        <v>0</v>
      </c>
      <c r="AA123" s="373"/>
      <c r="AB123" s="373"/>
      <c r="AC123" s="1326"/>
      <c r="AD123" s="1456">
        <f t="shared" si="12"/>
        <v>23</v>
      </c>
      <c r="AE123" s="1328"/>
      <c r="AF123" s="1328"/>
      <c r="AG123" s="1328"/>
      <c r="AH123" s="1328"/>
      <c r="AI123" s="1328"/>
      <c r="AJ123" s="1328"/>
      <c r="AK123" s="1328"/>
      <c r="AL123" s="1328"/>
    </row>
    <row r="124" spans="1:38" s="1329" customFormat="1" ht="33" hidden="1" customHeight="1">
      <c r="A124" s="1319">
        <v>24</v>
      </c>
      <c r="B124" s="1319" t="str">
        <f>'Chấm công KT'!D115</f>
        <v>03537</v>
      </c>
      <c r="C124" s="1330" t="str">
        <f>TONGHOPCONGDOI!C119</f>
        <v>Văn Đi</v>
      </c>
      <c r="D124" s="1319" t="s">
        <v>43</v>
      </c>
      <c r="E124" s="1321"/>
      <c r="F124" s="373"/>
      <c r="G124" s="373"/>
      <c r="H124" s="373"/>
      <c r="I124" s="373"/>
      <c r="J124" s="1322"/>
      <c r="K124" s="1323"/>
      <c r="L124" s="1324"/>
      <c r="M124" s="1325"/>
      <c r="N124" s="1325"/>
      <c r="O124" s="1325"/>
      <c r="P124" s="1325"/>
      <c r="Q124" s="1325"/>
      <c r="R124" s="1325"/>
      <c r="S124" s="1325"/>
      <c r="T124" s="1369"/>
      <c r="U124" s="1369"/>
      <c r="V124" s="1369"/>
      <c r="W124" s="1325"/>
      <c r="X124" s="1325">
        <f t="shared" si="10"/>
        <v>0</v>
      </c>
      <c r="Y124" s="373"/>
      <c r="Z124" s="1327">
        <f t="shared" si="11"/>
        <v>0</v>
      </c>
      <c r="AA124" s="373"/>
      <c r="AB124" s="373"/>
      <c r="AC124" s="1326"/>
      <c r="AD124" s="1456">
        <f t="shared" si="12"/>
        <v>24</v>
      </c>
      <c r="AE124" s="1328"/>
      <c r="AF124" s="1328"/>
      <c r="AG124" s="1328"/>
      <c r="AH124" s="1328"/>
      <c r="AI124" s="1328"/>
      <c r="AJ124" s="1328"/>
      <c r="AK124" s="1328"/>
      <c r="AL124" s="1328"/>
    </row>
    <row r="125" spans="1:38" s="1329" customFormat="1" ht="33" hidden="1" customHeight="1">
      <c r="A125" s="1319">
        <v>25</v>
      </c>
      <c r="B125" s="1319" t="str">
        <f>'Chấm công KT'!D116</f>
        <v>03538</v>
      </c>
      <c r="C125" s="1330" t="str">
        <f>TONGHOPCONGDOI!C120</f>
        <v>T. U Đôm</v>
      </c>
      <c r="D125" s="1319" t="s">
        <v>43</v>
      </c>
      <c r="E125" s="1321"/>
      <c r="F125" s="373"/>
      <c r="G125" s="373"/>
      <c r="H125" s="373"/>
      <c r="I125" s="373"/>
      <c r="J125" s="1322"/>
      <c r="K125" s="1323"/>
      <c r="L125" s="1324"/>
      <c r="M125" s="1325"/>
      <c r="N125" s="1325"/>
      <c r="O125" s="1325"/>
      <c r="P125" s="1325"/>
      <c r="Q125" s="1325"/>
      <c r="R125" s="1325"/>
      <c r="S125" s="1325"/>
      <c r="T125" s="1369"/>
      <c r="U125" s="1369"/>
      <c r="V125" s="1369"/>
      <c r="W125" s="1325"/>
      <c r="X125" s="1325">
        <f t="shared" si="10"/>
        <v>0</v>
      </c>
      <c r="Y125" s="373"/>
      <c r="Z125" s="1327">
        <f t="shared" si="11"/>
        <v>0</v>
      </c>
      <c r="AA125" s="373"/>
      <c r="AB125" s="373"/>
      <c r="AC125" s="1326"/>
      <c r="AD125" s="1456">
        <f t="shared" si="12"/>
        <v>25</v>
      </c>
      <c r="AE125" s="1328"/>
      <c r="AF125" s="1328"/>
      <c r="AG125" s="1328"/>
      <c r="AH125" s="1328"/>
      <c r="AI125" s="1328"/>
      <c r="AJ125" s="1328"/>
      <c r="AK125" s="1328"/>
      <c r="AL125" s="1328"/>
    </row>
    <row r="126" spans="1:38" s="1329" customFormat="1" ht="33" hidden="1" customHeight="1">
      <c r="A126" s="1319">
        <v>26</v>
      </c>
      <c r="B126" s="1319"/>
      <c r="C126" s="1330" t="str">
        <f>TONGHOPCONGDOI!C121</f>
        <v>N. Lăm Thong</v>
      </c>
      <c r="D126" s="1319" t="s">
        <v>43</v>
      </c>
      <c r="E126" s="1321"/>
      <c r="F126" s="373"/>
      <c r="G126" s="373"/>
      <c r="H126" s="373"/>
      <c r="I126" s="373"/>
      <c r="J126" s="1322"/>
      <c r="K126" s="1323"/>
      <c r="L126" s="1324"/>
      <c r="M126" s="1325"/>
      <c r="N126" s="1325"/>
      <c r="O126" s="1325"/>
      <c r="P126" s="1325"/>
      <c r="Q126" s="1325"/>
      <c r="R126" s="1325"/>
      <c r="S126" s="1325"/>
      <c r="T126" s="1369"/>
      <c r="U126" s="1369"/>
      <c r="V126" s="1369"/>
      <c r="W126" s="1325"/>
      <c r="X126" s="1325">
        <f t="shared" si="10"/>
        <v>0</v>
      </c>
      <c r="Y126" s="373"/>
      <c r="Z126" s="1327">
        <f t="shared" si="11"/>
        <v>0</v>
      </c>
      <c r="AA126" s="373"/>
      <c r="AB126" s="373"/>
      <c r="AC126" s="1326"/>
      <c r="AD126" s="1456">
        <f t="shared" si="12"/>
        <v>26</v>
      </c>
      <c r="AE126" s="1328"/>
      <c r="AF126" s="1328"/>
      <c r="AG126" s="1328"/>
      <c r="AH126" s="1328"/>
      <c r="AI126" s="1328"/>
      <c r="AJ126" s="1328"/>
      <c r="AK126" s="1328"/>
      <c r="AL126" s="1328"/>
    </row>
    <row r="127" spans="1:38" s="1329" customFormat="1" ht="33" hidden="1" customHeight="1">
      <c r="A127" s="1319">
        <v>27</v>
      </c>
      <c r="B127" s="1319" t="str">
        <f>'Chấm công KT'!D118</f>
        <v>03540</v>
      </c>
      <c r="C127" s="1330" t="str">
        <f>TONGHOPCONGDOI!C122</f>
        <v>N. Seng</v>
      </c>
      <c r="D127" s="1319" t="s">
        <v>43</v>
      </c>
      <c r="E127" s="1321"/>
      <c r="F127" s="373"/>
      <c r="G127" s="373"/>
      <c r="H127" s="373"/>
      <c r="I127" s="373"/>
      <c r="J127" s="1322"/>
      <c r="K127" s="1323"/>
      <c r="L127" s="1324"/>
      <c r="M127" s="1325"/>
      <c r="N127" s="1325"/>
      <c r="O127" s="1325"/>
      <c r="P127" s="1325"/>
      <c r="Q127" s="1325"/>
      <c r="R127" s="1325"/>
      <c r="S127" s="1325"/>
      <c r="T127" s="1369"/>
      <c r="U127" s="1369"/>
      <c r="V127" s="1369"/>
      <c r="W127" s="1325"/>
      <c r="X127" s="1325">
        <f t="shared" si="10"/>
        <v>0</v>
      </c>
      <c r="Y127" s="373"/>
      <c r="Z127" s="1327">
        <f t="shared" si="11"/>
        <v>0</v>
      </c>
      <c r="AA127" s="373"/>
      <c r="AB127" s="373"/>
      <c r="AC127" s="1326"/>
      <c r="AD127" s="1456">
        <f t="shared" si="12"/>
        <v>27</v>
      </c>
      <c r="AE127" s="1328"/>
      <c r="AF127" s="1328"/>
      <c r="AG127" s="1328"/>
      <c r="AH127" s="1328"/>
      <c r="AI127" s="1328"/>
      <c r="AJ127" s="1328"/>
      <c r="AK127" s="1328"/>
      <c r="AL127" s="1328"/>
    </row>
    <row r="128" spans="1:38" s="1329" customFormat="1" ht="33" hidden="1" customHeight="1">
      <c r="A128" s="1319">
        <v>28</v>
      </c>
      <c r="B128" s="1319" t="str">
        <f>'Chấm công KT'!D119</f>
        <v>03541</v>
      </c>
      <c r="C128" s="1330" t="str">
        <f>TONGHOPCONGDOI!C123</f>
        <v>T Đeng</v>
      </c>
      <c r="D128" s="1319" t="s">
        <v>43</v>
      </c>
      <c r="E128" s="1321"/>
      <c r="F128" s="373"/>
      <c r="G128" s="373"/>
      <c r="H128" s="373"/>
      <c r="I128" s="373"/>
      <c r="J128" s="1322"/>
      <c r="K128" s="1323"/>
      <c r="L128" s="1324"/>
      <c r="M128" s="1325"/>
      <c r="N128" s="1325"/>
      <c r="O128" s="1325"/>
      <c r="P128" s="1325"/>
      <c r="Q128" s="1325"/>
      <c r="R128" s="1325"/>
      <c r="S128" s="1325"/>
      <c r="T128" s="1369"/>
      <c r="U128" s="1369"/>
      <c r="V128" s="1369"/>
      <c r="W128" s="1325"/>
      <c r="X128" s="1325">
        <f t="shared" si="10"/>
        <v>0</v>
      </c>
      <c r="Y128" s="373"/>
      <c r="Z128" s="1327">
        <f t="shared" si="11"/>
        <v>0</v>
      </c>
      <c r="AA128" s="373"/>
      <c r="AB128" s="373"/>
      <c r="AC128" s="1326"/>
      <c r="AD128" s="1456">
        <f t="shared" si="12"/>
        <v>28</v>
      </c>
      <c r="AE128" s="1328"/>
      <c r="AF128" s="1328"/>
      <c r="AG128" s="1328"/>
      <c r="AH128" s="1328"/>
      <c r="AI128" s="1328"/>
      <c r="AJ128" s="1328"/>
      <c r="AK128" s="1328"/>
      <c r="AL128" s="1328"/>
    </row>
    <row r="129" spans="1:38" s="1329" customFormat="1" ht="33" hidden="1" customHeight="1">
      <c r="A129" s="1319">
        <v>29</v>
      </c>
      <c r="B129" s="1319" t="str">
        <f>'Chấm công KT'!D120</f>
        <v>03542</v>
      </c>
      <c r="C129" s="1330" t="str">
        <f>TONGHOPCONGDOI!C124</f>
        <v>T . Keo</v>
      </c>
      <c r="D129" s="1319" t="s">
        <v>43</v>
      </c>
      <c r="E129" s="1321"/>
      <c r="F129" s="373"/>
      <c r="G129" s="373"/>
      <c r="H129" s="373"/>
      <c r="I129" s="373"/>
      <c r="J129" s="1322"/>
      <c r="K129" s="1323"/>
      <c r="L129" s="1324"/>
      <c r="M129" s="1325"/>
      <c r="N129" s="1325"/>
      <c r="O129" s="1325"/>
      <c r="P129" s="1325"/>
      <c r="Q129" s="1325"/>
      <c r="R129" s="1325"/>
      <c r="S129" s="1325"/>
      <c r="T129" s="1369"/>
      <c r="U129" s="1369"/>
      <c r="V129" s="1369"/>
      <c r="W129" s="1325"/>
      <c r="X129" s="1325">
        <f t="shared" si="10"/>
        <v>0</v>
      </c>
      <c r="Y129" s="373"/>
      <c r="Z129" s="1327">
        <f t="shared" si="11"/>
        <v>0</v>
      </c>
      <c r="AA129" s="373"/>
      <c r="AB129" s="373"/>
      <c r="AC129" s="1326"/>
      <c r="AD129" s="1456">
        <f t="shared" si="12"/>
        <v>29</v>
      </c>
      <c r="AE129" s="1328"/>
      <c r="AF129" s="1328"/>
      <c r="AG129" s="1328"/>
      <c r="AH129" s="1328"/>
      <c r="AI129" s="1328"/>
      <c r="AJ129" s="1328"/>
      <c r="AK129" s="1328"/>
      <c r="AL129" s="1328"/>
    </row>
    <row r="130" spans="1:38" s="1329" customFormat="1" ht="33" hidden="1" customHeight="1">
      <c r="A130" s="1319">
        <v>30</v>
      </c>
      <c r="B130" s="1319" t="str">
        <f>'Chấm công KT'!D121</f>
        <v>03543</v>
      </c>
      <c r="C130" s="1330" t="str">
        <f>TONGHOPCONGDOI!C125</f>
        <v>Văn Na Nọi</v>
      </c>
      <c r="D130" s="1319" t="s">
        <v>43</v>
      </c>
      <c r="E130" s="1321"/>
      <c r="F130" s="373"/>
      <c r="G130" s="373"/>
      <c r="H130" s="373"/>
      <c r="I130" s="373"/>
      <c r="J130" s="1322"/>
      <c r="K130" s="1323"/>
      <c r="L130" s="1324"/>
      <c r="M130" s="1325"/>
      <c r="N130" s="1325"/>
      <c r="O130" s="1325"/>
      <c r="P130" s="1325"/>
      <c r="Q130" s="1325"/>
      <c r="R130" s="1325"/>
      <c r="S130" s="1325"/>
      <c r="T130" s="1369"/>
      <c r="U130" s="1369"/>
      <c r="V130" s="1369"/>
      <c r="W130" s="1325"/>
      <c r="X130" s="1325">
        <f t="shared" si="10"/>
        <v>0</v>
      </c>
      <c r="Y130" s="373"/>
      <c r="Z130" s="1327">
        <f t="shared" si="11"/>
        <v>0</v>
      </c>
      <c r="AA130" s="373"/>
      <c r="AB130" s="373"/>
      <c r="AC130" s="1326"/>
      <c r="AD130" s="1456">
        <f t="shared" si="12"/>
        <v>30</v>
      </c>
      <c r="AE130" s="1328"/>
      <c r="AF130" s="1328"/>
      <c r="AG130" s="1328"/>
      <c r="AH130" s="1328"/>
      <c r="AI130" s="1328"/>
      <c r="AJ130" s="1328"/>
      <c r="AK130" s="1328"/>
      <c r="AL130" s="1328"/>
    </row>
    <row r="131" spans="1:38" s="1329" customFormat="1" ht="33" hidden="1" customHeight="1">
      <c r="A131" s="1319">
        <v>31</v>
      </c>
      <c r="B131" s="1319" t="str">
        <f>'Chấm công KT'!D122</f>
        <v>03544</v>
      </c>
      <c r="C131" s="1330" t="str">
        <f>TONGHOPCONGDOI!C126</f>
        <v>T. Ta</v>
      </c>
      <c r="D131" s="1319" t="s">
        <v>43</v>
      </c>
      <c r="E131" s="1321"/>
      <c r="F131" s="373"/>
      <c r="G131" s="373"/>
      <c r="H131" s="373"/>
      <c r="I131" s="373"/>
      <c r="J131" s="1322"/>
      <c r="K131" s="1323"/>
      <c r="L131" s="1324"/>
      <c r="M131" s="1325"/>
      <c r="N131" s="1325"/>
      <c r="O131" s="1325"/>
      <c r="P131" s="1325"/>
      <c r="Q131" s="1325"/>
      <c r="R131" s="1325"/>
      <c r="S131" s="1325"/>
      <c r="T131" s="1369"/>
      <c r="U131" s="1369"/>
      <c r="V131" s="1369"/>
      <c r="W131" s="1325"/>
      <c r="X131" s="1325">
        <f t="shared" si="10"/>
        <v>0</v>
      </c>
      <c r="Y131" s="373"/>
      <c r="Z131" s="1327">
        <f t="shared" si="11"/>
        <v>0</v>
      </c>
      <c r="AA131" s="373"/>
      <c r="AB131" s="373"/>
      <c r="AC131" s="1326"/>
      <c r="AD131" s="1456">
        <f t="shared" si="12"/>
        <v>31</v>
      </c>
      <c r="AE131" s="1328"/>
      <c r="AF131" s="1328"/>
      <c r="AG131" s="1328"/>
      <c r="AH131" s="1328"/>
      <c r="AI131" s="1328"/>
      <c r="AJ131" s="1328"/>
      <c r="AK131" s="1328"/>
      <c r="AL131" s="1328"/>
    </row>
    <row r="132" spans="1:38" s="1329" customFormat="1" ht="33" hidden="1" customHeight="1">
      <c r="A132" s="1319">
        <v>32</v>
      </c>
      <c r="B132" s="1319" t="str">
        <f>'Chấm công KT'!D123</f>
        <v>03545</v>
      </c>
      <c r="C132" s="1330" t="str">
        <f>TONGHOPCONGDOI!C127</f>
        <v>Phon Xa Văn</v>
      </c>
      <c r="D132" s="1319" t="s">
        <v>43</v>
      </c>
      <c r="E132" s="1321"/>
      <c r="F132" s="373"/>
      <c r="G132" s="373"/>
      <c r="H132" s="373"/>
      <c r="I132" s="373"/>
      <c r="J132" s="1322"/>
      <c r="K132" s="1323"/>
      <c r="L132" s="1324"/>
      <c r="M132" s="1325"/>
      <c r="N132" s="1325"/>
      <c r="O132" s="1325"/>
      <c r="P132" s="1325"/>
      <c r="Q132" s="1325"/>
      <c r="R132" s="1325"/>
      <c r="S132" s="1325"/>
      <c r="T132" s="1369"/>
      <c r="U132" s="1369"/>
      <c r="V132" s="1369"/>
      <c r="W132" s="1325"/>
      <c r="X132" s="1325">
        <f t="shared" si="10"/>
        <v>0</v>
      </c>
      <c r="Y132" s="373"/>
      <c r="Z132" s="1327">
        <f t="shared" si="11"/>
        <v>0</v>
      </c>
      <c r="AA132" s="373"/>
      <c r="AB132" s="373"/>
      <c r="AC132" s="1326"/>
      <c r="AD132" s="1456">
        <f t="shared" si="12"/>
        <v>32</v>
      </c>
      <c r="AE132" s="1328"/>
      <c r="AF132" s="1328"/>
      <c r="AG132" s="1328"/>
      <c r="AH132" s="1328"/>
      <c r="AI132" s="1328"/>
      <c r="AJ132" s="1328"/>
      <c r="AK132" s="1328"/>
      <c r="AL132" s="1328"/>
    </row>
    <row r="133" spans="1:38" s="1329" customFormat="1" ht="33" hidden="1" customHeight="1">
      <c r="A133" s="1319">
        <v>33</v>
      </c>
      <c r="B133" s="1319" t="str">
        <f>'Chấm công KT'!D124</f>
        <v>03546</v>
      </c>
      <c r="C133" s="1330" t="str">
        <f>TONGHOPCONGDOI!C128</f>
        <v>T. Nọi</v>
      </c>
      <c r="D133" s="1319" t="s">
        <v>43</v>
      </c>
      <c r="E133" s="1321"/>
      <c r="F133" s="373"/>
      <c r="G133" s="373"/>
      <c r="H133" s="373"/>
      <c r="I133" s="373"/>
      <c r="J133" s="1322"/>
      <c r="K133" s="1323"/>
      <c r="L133" s="1324"/>
      <c r="M133" s="1325"/>
      <c r="N133" s="1325"/>
      <c r="O133" s="1325"/>
      <c r="P133" s="1325"/>
      <c r="Q133" s="1325"/>
      <c r="R133" s="1325"/>
      <c r="S133" s="1325"/>
      <c r="T133" s="1369"/>
      <c r="U133" s="1369"/>
      <c r="V133" s="1369"/>
      <c r="W133" s="1325"/>
      <c r="X133" s="1325">
        <f t="shared" ref="X133:X164" si="13">F133+L133+W133</f>
        <v>0</v>
      </c>
      <c r="Y133" s="373"/>
      <c r="Z133" s="1327">
        <f t="shared" si="11"/>
        <v>0</v>
      </c>
      <c r="AA133" s="373"/>
      <c r="AB133" s="373"/>
      <c r="AC133" s="1326"/>
      <c r="AD133" s="1456">
        <f t="shared" si="12"/>
        <v>33</v>
      </c>
      <c r="AE133" s="1328"/>
      <c r="AF133" s="1328"/>
      <c r="AG133" s="1328"/>
      <c r="AH133" s="1328"/>
      <c r="AI133" s="1328"/>
      <c r="AJ133" s="1328"/>
      <c r="AK133" s="1328"/>
      <c r="AL133" s="1328"/>
    </row>
    <row r="134" spans="1:38" s="1329" customFormat="1" ht="33" hidden="1" customHeight="1">
      <c r="A134" s="1319">
        <v>34</v>
      </c>
      <c r="B134" s="1319" t="str">
        <f>'Chấm công KT'!D125</f>
        <v>03547</v>
      </c>
      <c r="C134" s="1330" t="str">
        <f>TONGHOPCONGDOI!C129</f>
        <v>N. Nôn</v>
      </c>
      <c r="D134" s="1319" t="s">
        <v>43</v>
      </c>
      <c r="E134" s="1321"/>
      <c r="F134" s="373"/>
      <c r="G134" s="373"/>
      <c r="H134" s="373"/>
      <c r="I134" s="373"/>
      <c r="J134" s="1322"/>
      <c r="K134" s="1323"/>
      <c r="L134" s="1324"/>
      <c r="M134" s="1325"/>
      <c r="N134" s="1325"/>
      <c r="O134" s="1325"/>
      <c r="P134" s="1325"/>
      <c r="Q134" s="1325"/>
      <c r="R134" s="1325"/>
      <c r="S134" s="1325"/>
      <c r="T134" s="1369"/>
      <c r="U134" s="1369"/>
      <c r="V134" s="1369"/>
      <c r="W134" s="1325"/>
      <c r="X134" s="1325">
        <f t="shared" si="13"/>
        <v>0</v>
      </c>
      <c r="Y134" s="373"/>
      <c r="Z134" s="1327">
        <f t="shared" si="11"/>
        <v>0</v>
      </c>
      <c r="AA134" s="373"/>
      <c r="AB134" s="373"/>
      <c r="AC134" s="1326"/>
      <c r="AD134" s="1456">
        <f t="shared" si="12"/>
        <v>34</v>
      </c>
      <c r="AE134" s="1328"/>
      <c r="AF134" s="1328"/>
      <c r="AG134" s="1328"/>
      <c r="AH134" s="1328"/>
      <c r="AI134" s="1328"/>
      <c r="AJ134" s="1328"/>
      <c r="AK134" s="1328"/>
      <c r="AL134" s="1328"/>
    </row>
    <row r="135" spans="1:38" s="1329" customFormat="1" ht="33" hidden="1" customHeight="1">
      <c r="A135" s="1319">
        <v>35</v>
      </c>
      <c r="B135" s="1319"/>
      <c r="C135" s="1330" t="str">
        <f>TONGHOPCONGDOI!C130</f>
        <v>N. Công Say</v>
      </c>
      <c r="D135" s="1319" t="s">
        <v>43</v>
      </c>
      <c r="E135" s="1321"/>
      <c r="F135" s="373"/>
      <c r="G135" s="373"/>
      <c r="H135" s="373"/>
      <c r="I135" s="373"/>
      <c r="J135" s="1322"/>
      <c r="K135" s="1323"/>
      <c r="L135" s="1324"/>
      <c r="M135" s="1325"/>
      <c r="N135" s="1325"/>
      <c r="O135" s="1325"/>
      <c r="P135" s="1325"/>
      <c r="Q135" s="1325"/>
      <c r="R135" s="1325"/>
      <c r="S135" s="1325"/>
      <c r="T135" s="1369"/>
      <c r="U135" s="1369"/>
      <c r="V135" s="1369"/>
      <c r="W135" s="1325"/>
      <c r="X135" s="1325">
        <f t="shared" si="13"/>
        <v>0</v>
      </c>
      <c r="Y135" s="373"/>
      <c r="Z135" s="1327">
        <f t="shared" si="11"/>
        <v>0</v>
      </c>
      <c r="AA135" s="373"/>
      <c r="AB135" s="373"/>
      <c r="AC135" s="1326"/>
      <c r="AD135" s="1456">
        <f t="shared" si="12"/>
        <v>35</v>
      </c>
      <c r="AE135" s="1328"/>
      <c r="AF135" s="1328"/>
      <c r="AG135" s="1328"/>
      <c r="AH135" s="1328"/>
      <c r="AI135" s="1328"/>
      <c r="AJ135" s="1328"/>
      <c r="AK135" s="1328"/>
      <c r="AL135" s="1328"/>
    </row>
    <row r="136" spans="1:38" s="1329" customFormat="1" ht="33" hidden="1" customHeight="1">
      <c r="A136" s="1319">
        <v>36</v>
      </c>
      <c r="B136" s="1319" t="str">
        <f>'Chấm công KT'!D127</f>
        <v>03549</v>
      </c>
      <c r="C136" s="1330" t="str">
        <f>TONGHOPCONGDOI!C131</f>
        <v>N. Xi Xộm</v>
      </c>
      <c r="D136" s="1319" t="s">
        <v>43</v>
      </c>
      <c r="E136" s="1321"/>
      <c r="F136" s="373"/>
      <c r="G136" s="373"/>
      <c r="H136" s="373"/>
      <c r="I136" s="373"/>
      <c r="J136" s="1322"/>
      <c r="K136" s="1323"/>
      <c r="L136" s="1324"/>
      <c r="M136" s="1325"/>
      <c r="N136" s="1325"/>
      <c r="O136" s="1325"/>
      <c r="P136" s="1325"/>
      <c r="Q136" s="1325"/>
      <c r="R136" s="1325"/>
      <c r="S136" s="1325"/>
      <c r="T136" s="1369"/>
      <c r="U136" s="1369"/>
      <c r="V136" s="1369"/>
      <c r="W136" s="1325"/>
      <c r="X136" s="1325">
        <f t="shared" si="13"/>
        <v>0</v>
      </c>
      <c r="Y136" s="373"/>
      <c r="Z136" s="1327">
        <f t="shared" si="11"/>
        <v>0</v>
      </c>
      <c r="AA136" s="373"/>
      <c r="AB136" s="373"/>
      <c r="AC136" s="1326"/>
      <c r="AD136" s="1456">
        <f t="shared" si="12"/>
        <v>36</v>
      </c>
      <c r="AE136" s="1328"/>
      <c r="AF136" s="1328"/>
      <c r="AG136" s="1328"/>
      <c r="AH136" s="1328"/>
      <c r="AI136" s="1328"/>
      <c r="AJ136" s="1328"/>
      <c r="AK136" s="1328"/>
      <c r="AL136" s="1328"/>
    </row>
    <row r="137" spans="1:38" s="1329" customFormat="1" ht="33" hidden="1" customHeight="1">
      <c r="A137" s="1319">
        <v>37</v>
      </c>
      <c r="B137" s="1319" t="str">
        <f>'Chấm công KT'!D128</f>
        <v>03550</v>
      </c>
      <c r="C137" s="1330" t="str">
        <f>TONGHOPCONGDOI!C132</f>
        <v>T. Đuông</v>
      </c>
      <c r="D137" s="1319" t="s">
        <v>43</v>
      </c>
      <c r="E137" s="1321"/>
      <c r="F137" s="373"/>
      <c r="G137" s="373"/>
      <c r="H137" s="373"/>
      <c r="I137" s="373"/>
      <c r="J137" s="1322"/>
      <c r="K137" s="1323"/>
      <c r="L137" s="1324"/>
      <c r="M137" s="1325"/>
      <c r="N137" s="1325"/>
      <c r="O137" s="1325"/>
      <c r="P137" s="1325"/>
      <c r="Q137" s="1325"/>
      <c r="R137" s="1325"/>
      <c r="S137" s="1325"/>
      <c r="T137" s="1369"/>
      <c r="U137" s="1369"/>
      <c r="V137" s="1369"/>
      <c r="W137" s="1325"/>
      <c r="X137" s="1325">
        <f t="shared" si="13"/>
        <v>0</v>
      </c>
      <c r="Y137" s="373"/>
      <c r="Z137" s="1327">
        <f t="shared" si="11"/>
        <v>0</v>
      </c>
      <c r="AA137" s="373"/>
      <c r="AB137" s="373"/>
      <c r="AC137" s="1326"/>
      <c r="AD137" s="1456">
        <f t="shared" si="12"/>
        <v>37</v>
      </c>
      <c r="AE137" s="1328"/>
      <c r="AF137" s="1328"/>
      <c r="AG137" s="1328"/>
      <c r="AH137" s="1328"/>
      <c r="AI137" s="1328"/>
      <c r="AJ137" s="1328"/>
      <c r="AK137" s="1328"/>
      <c r="AL137" s="1328"/>
    </row>
    <row r="138" spans="1:38" s="1329" customFormat="1" ht="33" hidden="1" customHeight="1">
      <c r="A138" s="1319">
        <v>38</v>
      </c>
      <c r="B138" s="1319" t="str">
        <f>'Chấm công KT'!D129</f>
        <v>03551</v>
      </c>
      <c r="C138" s="1330" t="str">
        <f>TONGHOPCONGDOI!C133</f>
        <v>T . Pheng</v>
      </c>
      <c r="D138" s="1319" t="s">
        <v>43</v>
      </c>
      <c r="E138" s="1321"/>
      <c r="F138" s="373"/>
      <c r="G138" s="373"/>
      <c r="H138" s="373"/>
      <c r="I138" s="373"/>
      <c r="J138" s="1322"/>
      <c r="K138" s="1323"/>
      <c r="L138" s="1324"/>
      <c r="M138" s="1325"/>
      <c r="N138" s="1325"/>
      <c r="O138" s="1325"/>
      <c r="P138" s="1325"/>
      <c r="Q138" s="1325"/>
      <c r="R138" s="1325"/>
      <c r="S138" s="1325"/>
      <c r="T138" s="1369"/>
      <c r="U138" s="1369"/>
      <c r="V138" s="1369"/>
      <c r="W138" s="1325"/>
      <c r="X138" s="1325">
        <f t="shared" si="13"/>
        <v>0</v>
      </c>
      <c r="Y138" s="373"/>
      <c r="Z138" s="1327">
        <f t="shared" si="11"/>
        <v>0</v>
      </c>
      <c r="AA138" s="373"/>
      <c r="AB138" s="373"/>
      <c r="AC138" s="1326"/>
      <c r="AD138" s="1456">
        <f t="shared" si="12"/>
        <v>38</v>
      </c>
      <c r="AE138" s="1328"/>
      <c r="AF138" s="1328"/>
      <c r="AG138" s="1328"/>
      <c r="AH138" s="1328"/>
      <c r="AI138" s="1328"/>
      <c r="AJ138" s="1328"/>
      <c r="AK138" s="1328"/>
      <c r="AL138" s="1328"/>
    </row>
    <row r="139" spans="1:38" s="1329" customFormat="1" ht="33" hidden="1" customHeight="1">
      <c r="A139" s="1319">
        <v>39</v>
      </c>
      <c r="B139" s="1319"/>
      <c r="C139" s="1330" t="str">
        <f>TONGHOPCONGDOI!C134</f>
        <v>T. Nọi Ê</v>
      </c>
      <c r="D139" s="1319" t="s">
        <v>43</v>
      </c>
      <c r="E139" s="1321"/>
      <c r="F139" s="373"/>
      <c r="G139" s="373"/>
      <c r="H139" s="373"/>
      <c r="I139" s="373"/>
      <c r="J139" s="1322"/>
      <c r="K139" s="1323"/>
      <c r="L139" s="1324"/>
      <c r="M139" s="1325"/>
      <c r="N139" s="1325"/>
      <c r="O139" s="1325"/>
      <c r="P139" s="1325"/>
      <c r="Q139" s="1325"/>
      <c r="R139" s="1325"/>
      <c r="S139" s="1325"/>
      <c r="T139" s="1369"/>
      <c r="U139" s="1369"/>
      <c r="V139" s="1369"/>
      <c r="W139" s="1325"/>
      <c r="X139" s="1325">
        <f t="shared" si="13"/>
        <v>0</v>
      </c>
      <c r="Y139" s="373"/>
      <c r="Z139" s="1327">
        <f t="shared" si="11"/>
        <v>0</v>
      </c>
      <c r="AA139" s="373"/>
      <c r="AB139" s="373"/>
      <c r="AC139" s="1326"/>
      <c r="AD139" s="1456">
        <f t="shared" si="12"/>
        <v>39</v>
      </c>
      <c r="AE139" s="1328"/>
      <c r="AF139" s="1328"/>
      <c r="AG139" s="1328"/>
      <c r="AH139" s="1328"/>
      <c r="AI139" s="1328"/>
      <c r="AJ139" s="1328"/>
      <c r="AK139" s="1328"/>
      <c r="AL139" s="1328"/>
    </row>
    <row r="140" spans="1:38" s="1329" customFormat="1" ht="33" hidden="1" customHeight="1">
      <c r="A140" s="1319">
        <v>40</v>
      </c>
      <c r="B140" s="1319" t="str">
        <f>'Chấm công KT'!D131</f>
        <v>03488</v>
      </c>
      <c r="C140" s="1330" t="str">
        <f>TONGHOPCONGDOI!C135</f>
        <v>N. Đeng</v>
      </c>
      <c r="D140" s="1319" t="s">
        <v>43</v>
      </c>
      <c r="E140" s="1321"/>
      <c r="F140" s="373"/>
      <c r="G140" s="373"/>
      <c r="H140" s="373"/>
      <c r="I140" s="373"/>
      <c r="J140" s="1322"/>
      <c r="K140" s="1323"/>
      <c r="L140" s="1324"/>
      <c r="M140" s="1325"/>
      <c r="N140" s="1325"/>
      <c r="O140" s="1325"/>
      <c r="P140" s="1325"/>
      <c r="Q140" s="1325"/>
      <c r="R140" s="1325"/>
      <c r="S140" s="1325"/>
      <c r="T140" s="1369"/>
      <c r="U140" s="1369"/>
      <c r="V140" s="1369"/>
      <c r="W140" s="1325"/>
      <c r="X140" s="1325">
        <f t="shared" si="13"/>
        <v>0</v>
      </c>
      <c r="Y140" s="373"/>
      <c r="Z140" s="1327">
        <f t="shared" si="11"/>
        <v>0</v>
      </c>
      <c r="AA140" s="373"/>
      <c r="AB140" s="373"/>
      <c r="AC140" s="1326"/>
      <c r="AD140" s="1456">
        <f t="shared" si="12"/>
        <v>40</v>
      </c>
      <c r="AE140" s="1328"/>
      <c r="AF140" s="1328"/>
      <c r="AG140" s="1328"/>
      <c r="AH140" s="1328"/>
      <c r="AI140" s="1328"/>
      <c r="AJ140" s="1328"/>
      <c r="AK140" s="1328"/>
      <c r="AL140" s="1328"/>
    </row>
    <row r="141" spans="1:38" s="1329" customFormat="1" ht="33" hidden="1" customHeight="1">
      <c r="A141" s="1319">
        <v>41</v>
      </c>
      <c r="B141" s="1319"/>
      <c r="C141" s="1330" t="str">
        <f>TONGHOPCONGDOI!C136</f>
        <v>Xôm Phon 1</v>
      </c>
      <c r="D141" s="1319" t="s">
        <v>43</v>
      </c>
      <c r="E141" s="1321"/>
      <c r="F141" s="373"/>
      <c r="G141" s="373"/>
      <c r="H141" s="373"/>
      <c r="I141" s="373"/>
      <c r="J141" s="1322"/>
      <c r="K141" s="1323"/>
      <c r="L141" s="1324"/>
      <c r="M141" s="1325"/>
      <c r="N141" s="1325"/>
      <c r="O141" s="1325"/>
      <c r="P141" s="1325"/>
      <c r="Q141" s="1325"/>
      <c r="R141" s="1325"/>
      <c r="S141" s="1325"/>
      <c r="T141" s="1369"/>
      <c r="U141" s="1369"/>
      <c r="V141" s="1369"/>
      <c r="W141" s="1325"/>
      <c r="X141" s="1325">
        <f t="shared" si="13"/>
        <v>0</v>
      </c>
      <c r="Y141" s="373"/>
      <c r="Z141" s="1327">
        <f t="shared" si="11"/>
        <v>0</v>
      </c>
      <c r="AA141" s="373"/>
      <c r="AB141" s="373"/>
      <c r="AC141" s="1326"/>
      <c r="AD141" s="1456">
        <f t="shared" si="12"/>
        <v>41</v>
      </c>
      <c r="AE141" s="1328"/>
      <c r="AF141" s="1328"/>
      <c r="AG141" s="1328"/>
      <c r="AH141" s="1328"/>
      <c r="AI141" s="1328"/>
      <c r="AJ141" s="1328"/>
      <c r="AK141" s="1328"/>
      <c r="AL141" s="1328"/>
    </row>
    <row r="142" spans="1:38" s="1329" customFormat="1" ht="33" hidden="1" customHeight="1">
      <c r="A142" s="1319">
        <v>42</v>
      </c>
      <c r="B142" s="1319" t="str">
        <f>'Chấm công KT'!D133</f>
        <v>03555</v>
      </c>
      <c r="C142" s="1330" t="str">
        <f>TONGHOPCONGDOI!C137</f>
        <v>C. Trang 1</v>
      </c>
      <c r="D142" s="1319" t="s">
        <v>43</v>
      </c>
      <c r="E142" s="1321"/>
      <c r="F142" s="373"/>
      <c r="G142" s="373"/>
      <c r="H142" s="373"/>
      <c r="I142" s="373"/>
      <c r="J142" s="1322"/>
      <c r="K142" s="1323"/>
      <c r="L142" s="1324"/>
      <c r="M142" s="1325"/>
      <c r="N142" s="1325"/>
      <c r="O142" s="1325"/>
      <c r="P142" s="1325"/>
      <c r="Q142" s="1325"/>
      <c r="R142" s="1325"/>
      <c r="S142" s="1325"/>
      <c r="T142" s="1369"/>
      <c r="U142" s="1369"/>
      <c r="V142" s="1369"/>
      <c r="W142" s="1325"/>
      <c r="X142" s="1325">
        <f t="shared" si="13"/>
        <v>0</v>
      </c>
      <c r="Y142" s="373"/>
      <c r="Z142" s="1327">
        <f t="shared" si="11"/>
        <v>0</v>
      </c>
      <c r="AA142" s="373"/>
      <c r="AB142" s="373"/>
      <c r="AC142" s="1326"/>
      <c r="AD142" s="1456">
        <f t="shared" si="12"/>
        <v>42</v>
      </c>
      <c r="AE142" s="1328"/>
      <c r="AF142" s="1328"/>
      <c r="AG142" s="1328"/>
      <c r="AH142" s="1328"/>
      <c r="AI142" s="1328"/>
      <c r="AJ142" s="1328"/>
      <c r="AK142" s="1328"/>
      <c r="AL142" s="1328"/>
    </row>
    <row r="143" spans="1:38" s="1329" customFormat="1" ht="33" hidden="1" customHeight="1">
      <c r="A143" s="1319">
        <v>43</v>
      </c>
      <c r="B143" s="1319">
        <f>'Chấm công KT'!D134</f>
        <v>0</v>
      </c>
      <c r="C143" s="1330" t="str">
        <f>TONGHOPCONGDOI!C138</f>
        <v>Lâm Ngân</v>
      </c>
      <c r="D143" s="1319" t="s">
        <v>43</v>
      </c>
      <c r="E143" s="1321"/>
      <c r="F143" s="373"/>
      <c r="G143" s="373"/>
      <c r="H143" s="373"/>
      <c r="I143" s="373"/>
      <c r="J143" s="1322"/>
      <c r="K143" s="1323"/>
      <c r="L143" s="1324"/>
      <c r="M143" s="1325"/>
      <c r="N143" s="1325"/>
      <c r="O143" s="1325"/>
      <c r="P143" s="1325"/>
      <c r="Q143" s="1325"/>
      <c r="R143" s="1325"/>
      <c r="S143" s="1325"/>
      <c r="T143" s="1369"/>
      <c r="U143" s="1369"/>
      <c r="V143" s="1369"/>
      <c r="W143" s="1325"/>
      <c r="X143" s="1325">
        <f t="shared" si="13"/>
        <v>0</v>
      </c>
      <c r="Y143" s="373"/>
      <c r="Z143" s="1327">
        <f t="shared" si="11"/>
        <v>0</v>
      </c>
      <c r="AA143" s="373"/>
      <c r="AB143" s="373"/>
      <c r="AC143" s="1326"/>
      <c r="AD143" s="1456">
        <f t="shared" si="12"/>
        <v>43</v>
      </c>
      <c r="AE143" s="1328"/>
      <c r="AF143" s="1328"/>
      <c r="AG143" s="1328"/>
      <c r="AH143" s="1328"/>
      <c r="AI143" s="1328"/>
      <c r="AJ143" s="1328"/>
      <c r="AK143" s="1328"/>
      <c r="AL143" s="1328"/>
    </row>
    <row r="144" spans="1:38" s="1329" customFormat="1" ht="33" hidden="1" customHeight="1">
      <c r="A144" s="1319">
        <v>44</v>
      </c>
      <c r="B144" s="1319"/>
      <c r="C144" s="1330" t="str">
        <f>TONGHOPCONGDOI!C139</f>
        <v>T. Thong A</v>
      </c>
      <c r="D144" s="1319" t="s">
        <v>43</v>
      </c>
      <c r="E144" s="1321"/>
      <c r="F144" s="373"/>
      <c r="G144" s="373"/>
      <c r="H144" s="373"/>
      <c r="I144" s="373"/>
      <c r="J144" s="1322"/>
      <c r="K144" s="1323"/>
      <c r="L144" s="1324"/>
      <c r="M144" s="1325"/>
      <c r="N144" s="1325"/>
      <c r="O144" s="1325"/>
      <c r="P144" s="1325"/>
      <c r="Q144" s="1325"/>
      <c r="R144" s="1325"/>
      <c r="S144" s="1325"/>
      <c r="T144" s="1369"/>
      <c r="U144" s="1369"/>
      <c r="V144" s="1369"/>
      <c r="W144" s="1325"/>
      <c r="X144" s="1325">
        <f t="shared" si="13"/>
        <v>0</v>
      </c>
      <c r="Y144" s="373"/>
      <c r="Z144" s="1327">
        <f t="shared" si="11"/>
        <v>0</v>
      </c>
      <c r="AA144" s="373"/>
      <c r="AB144" s="373"/>
      <c r="AC144" s="1326"/>
      <c r="AD144" s="1456">
        <f t="shared" si="12"/>
        <v>44</v>
      </c>
      <c r="AE144" s="1328"/>
      <c r="AF144" s="1328"/>
      <c r="AG144" s="1328"/>
      <c r="AH144" s="1328"/>
      <c r="AI144" s="1328"/>
      <c r="AJ144" s="1328"/>
      <c r="AK144" s="1328"/>
      <c r="AL144" s="1328"/>
    </row>
    <row r="145" spans="1:38" s="1329" customFormat="1" ht="33" hidden="1" customHeight="1">
      <c r="A145" s="1319">
        <v>45</v>
      </c>
      <c r="B145" s="1319"/>
      <c r="C145" s="1330" t="str">
        <f>TONGHOPCONGDOI!C140</f>
        <v>T Phù</v>
      </c>
      <c r="D145" s="1319" t="s">
        <v>43</v>
      </c>
      <c r="E145" s="1321"/>
      <c r="F145" s="373"/>
      <c r="G145" s="373"/>
      <c r="H145" s="373"/>
      <c r="I145" s="373"/>
      <c r="J145" s="1322"/>
      <c r="K145" s="1323"/>
      <c r="L145" s="1324"/>
      <c r="M145" s="1325"/>
      <c r="N145" s="1325"/>
      <c r="O145" s="1325"/>
      <c r="P145" s="1325"/>
      <c r="Q145" s="1325"/>
      <c r="R145" s="1325"/>
      <c r="S145" s="1325"/>
      <c r="T145" s="1369"/>
      <c r="U145" s="1369"/>
      <c r="V145" s="1369"/>
      <c r="W145" s="1325"/>
      <c r="X145" s="1325">
        <f t="shared" si="13"/>
        <v>0</v>
      </c>
      <c r="Y145" s="373"/>
      <c r="Z145" s="1327">
        <f t="shared" si="11"/>
        <v>0</v>
      </c>
      <c r="AA145" s="373"/>
      <c r="AB145" s="373"/>
      <c r="AC145" s="1326"/>
      <c r="AD145" s="1456">
        <f t="shared" si="12"/>
        <v>45</v>
      </c>
      <c r="AE145" s="1328"/>
      <c r="AF145" s="1328"/>
      <c r="AG145" s="1328"/>
      <c r="AH145" s="1328"/>
      <c r="AI145" s="1328"/>
      <c r="AJ145" s="1328"/>
      <c r="AK145" s="1328"/>
      <c r="AL145" s="1328"/>
    </row>
    <row r="146" spans="1:38" s="1329" customFormat="1" ht="33" hidden="1" customHeight="1">
      <c r="A146" s="1319">
        <v>46</v>
      </c>
      <c r="B146" s="1319" t="str">
        <f>'Chấm công KT'!D137</f>
        <v>03559</v>
      </c>
      <c r="C146" s="1330" t="str">
        <f>TONGHOPCONGDOI!C141</f>
        <v>Viêng Khăm</v>
      </c>
      <c r="D146" s="1319" t="s">
        <v>43</v>
      </c>
      <c r="E146" s="1321"/>
      <c r="F146" s="373"/>
      <c r="G146" s="373"/>
      <c r="H146" s="373"/>
      <c r="I146" s="373"/>
      <c r="J146" s="1322"/>
      <c r="K146" s="1323"/>
      <c r="L146" s="1324"/>
      <c r="M146" s="1325"/>
      <c r="N146" s="1325"/>
      <c r="O146" s="1325"/>
      <c r="P146" s="1325"/>
      <c r="Q146" s="1325"/>
      <c r="R146" s="1325"/>
      <c r="S146" s="1325"/>
      <c r="T146" s="1369"/>
      <c r="U146" s="1369"/>
      <c r="V146" s="1369"/>
      <c r="W146" s="1325"/>
      <c r="X146" s="1325">
        <f t="shared" si="13"/>
        <v>0</v>
      </c>
      <c r="Y146" s="373"/>
      <c r="Z146" s="1327">
        <f t="shared" si="11"/>
        <v>0</v>
      </c>
      <c r="AA146" s="373"/>
      <c r="AB146" s="373"/>
      <c r="AC146" s="1326"/>
      <c r="AD146" s="1456">
        <f t="shared" si="12"/>
        <v>46</v>
      </c>
      <c r="AE146" s="1328"/>
      <c r="AF146" s="1328"/>
      <c r="AG146" s="1328"/>
      <c r="AH146" s="1328"/>
      <c r="AI146" s="1328"/>
      <c r="AJ146" s="1328"/>
      <c r="AK146" s="1328"/>
      <c r="AL146" s="1328"/>
    </row>
    <row r="147" spans="1:38" s="1329" customFormat="1" ht="33" hidden="1" customHeight="1">
      <c r="A147" s="1319">
        <v>47</v>
      </c>
      <c r="B147" s="1319" t="str">
        <f>'Chấm công KT'!D138</f>
        <v>03560</v>
      </c>
      <c r="C147" s="1330" t="str">
        <f>TONGHOPCONGDOI!C142</f>
        <v>Veo Khăm</v>
      </c>
      <c r="D147" s="1319" t="s">
        <v>43</v>
      </c>
      <c r="E147" s="1321"/>
      <c r="F147" s="373"/>
      <c r="G147" s="373"/>
      <c r="H147" s="373"/>
      <c r="I147" s="373"/>
      <c r="J147" s="1322"/>
      <c r="K147" s="1323"/>
      <c r="L147" s="1324"/>
      <c r="M147" s="1325"/>
      <c r="N147" s="1325"/>
      <c r="O147" s="1325"/>
      <c r="P147" s="1325"/>
      <c r="Q147" s="1325"/>
      <c r="R147" s="1325"/>
      <c r="S147" s="1325"/>
      <c r="T147" s="1369"/>
      <c r="U147" s="1369"/>
      <c r="V147" s="1369"/>
      <c r="W147" s="1325"/>
      <c r="X147" s="1325">
        <f t="shared" si="13"/>
        <v>0</v>
      </c>
      <c r="Y147" s="373"/>
      <c r="Z147" s="1327">
        <f t="shared" si="11"/>
        <v>0</v>
      </c>
      <c r="AA147" s="373"/>
      <c r="AB147" s="373"/>
      <c r="AC147" s="1326"/>
      <c r="AD147" s="1456">
        <f t="shared" si="12"/>
        <v>47</v>
      </c>
      <c r="AE147" s="1328"/>
      <c r="AF147" s="1328"/>
      <c r="AG147" s="1328"/>
      <c r="AH147" s="1328"/>
      <c r="AI147" s="1328"/>
      <c r="AJ147" s="1328"/>
      <c r="AK147" s="1328"/>
      <c r="AL147" s="1328"/>
    </row>
    <row r="148" spans="1:38" s="1329" customFormat="1" ht="33" hidden="1" customHeight="1">
      <c r="A148" s="1319">
        <v>48</v>
      </c>
      <c r="B148" s="1319" t="str">
        <f>'Chấm công KT'!D139</f>
        <v>03561</v>
      </c>
      <c r="C148" s="1330" t="str">
        <f>TONGHOPCONGDOI!C143</f>
        <v>T . Khon</v>
      </c>
      <c r="D148" s="1319" t="s">
        <v>43</v>
      </c>
      <c r="E148" s="1321"/>
      <c r="F148" s="373"/>
      <c r="G148" s="373"/>
      <c r="H148" s="373"/>
      <c r="I148" s="373"/>
      <c r="J148" s="1322"/>
      <c r="K148" s="1323"/>
      <c r="L148" s="1324"/>
      <c r="M148" s="1325"/>
      <c r="N148" s="1325"/>
      <c r="O148" s="1325"/>
      <c r="P148" s="1325"/>
      <c r="Q148" s="1325"/>
      <c r="R148" s="1325"/>
      <c r="S148" s="1325"/>
      <c r="T148" s="1369"/>
      <c r="U148" s="1369"/>
      <c r="V148" s="1369"/>
      <c r="W148" s="1325"/>
      <c r="X148" s="1325">
        <f t="shared" si="13"/>
        <v>0</v>
      </c>
      <c r="Y148" s="373"/>
      <c r="Z148" s="1327">
        <f t="shared" si="11"/>
        <v>0</v>
      </c>
      <c r="AA148" s="373"/>
      <c r="AB148" s="373"/>
      <c r="AC148" s="1326"/>
      <c r="AD148" s="1456">
        <f t="shared" si="12"/>
        <v>48</v>
      </c>
      <c r="AE148" s="1328"/>
      <c r="AF148" s="1328"/>
      <c r="AG148" s="1328"/>
      <c r="AH148" s="1328"/>
      <c r="AI148" s="1328"/>
      <c r="AJ148" s="1328"/>
      <c r="AK148" s="1328"/>
      <c r="AL148" s="1328"/>
    </row>
    <row r="149" spans="1:38" s="1329" customFormat="1" ht="33" hidden="1" customHeight="1">
      <c r="A149" s="1319">
        <v>49</v>
      </c>
      <c r="B149" s="1319" t="str">
        <f>'Chấm công KT'!D140</f>
        <v>03562</v>
      </c>
      <c r="C149" s="1330" t="str">
        <f>TONGHOPCONGDOI!C144</f>
        <v>N. Nun</v>
      </c>
      <c r="D149" s="1319" t="s">
        <v>43</v>
      </c>
      <c r="E149" s="1321"/>
      <c r="F149" s="373"/>
      <c r="G149" s="373"/>
      <c r="H149" s="373"/>
      <c r="I149" s="373"/>
      <c r="J149" s="1322"/>
      <c r="K149" s="1323"/>
      <c r="L149" s="1324"/>
      <c r="M149" s="1325"/>
      <c r="N149" s="1325"/>
      <c r="O149" s="1325"/>
      <c r="P149" s="1325"/>
      <c r="Q149" s="1325"/>
      <c r="R149" s="1325"/>
      <c r="S149" s="1325"/>
      <c r="T149" s="1369"/>
      <c r="U149" s="1369"/>
      <c r="V149" s="1369"/>
      <c r="W149" s="1325"/>
      <c r="X149" s="1325">
        <f t="shared" si="13"/>
        <v>0</v>
      </c>
      <c r="Y149" s="373"/>
      <c r="Z149" s="1327">
        <f t="shared" si="11"/>
        <v>0</v>
      </c>
      <c r="AA149" s="373"/>
      <c r="AB149" s="373"/>
      <c r="AC149" s="1326"/>
      <c r="AD149" s="1456">
        <f t="shared" si="12"/>
        <v>49</v>
      </c>
      <c r="AE149" s="1328"/>
      <c r="AF149" s="1328"/>
      <c r="AG149" s="1328"/>
      <c r="AH149" s="1328"/>
      <c r="AI149" s="1328"/>
      <c r="AJ149" s="1328"/>
      <c r="AK149" s="1328"/>
      <c r="AL149" s="1328"/>
    </row>
    <row r="150" spans="1:38" s="1329" customFormat="1" ht="33" hidden="1" customHeight="1">
      <c r="A150" s="1319">
        <v>50</v>
      </c>
      <c r="B150" s="1319" t="str">
        <f>'Chấm công KT'!D141</f>
        <v>03563</v>
      </c>
      <c r="C150" s="1330" t="str">
        <f>TONGHOPCONGDOI!C145</f>
        <v>In Pông</v>
      </c>
      <c r="D150" s="1319" t="s">
        <v>43</v>
      </c>
      <c r="E150" s="1321"/>
      <c r="F150" s="373"/>
      <c r="G150" s="373"/>
      <c r="H150" s="373"/>
      <c r="I150" s="373"/>
      <c r="J150" s="1322"/>
      <c r="K150" s="1323"/>
      <c r="L150" s="1324"/>
      <c r="M150" s="1325"/>
      <c r="N150" s="1325"/>
      <c r="O150" s="1325"/>
      <c r="P150" s="1325"/>
      <c r="Q150" s="1325"/>
      <c r="R150" s="1325"/>
      <c r="S150" s="1325"/>
      <c r="T150" s="1369"/>
      <c r="U150" s="1369"/>
      <c r="V150" s="1369"/>
      <c r="W150" s="1325"/>
      <c r="X150" s="1325">
        <f t="shared" si="13"/>
        <v>0</v>
      </c>
      <c r="Y150" s="373"/>
      <c r="Z150" s="1327">
        <f t="shared" si="11"/>
        <v>0</v>
      </c>
      <c r="AA150" s="373"/>
      <c r="AB150" s="373"/>
      <c r="AC150" s="1326"/>
      <c r="AD150" s="1456">
        <f t="shared" si="12"/>
        <v>50</v>
      </c>
      <c r="AE150" s="1328"/>
      <c r="AF150" s="1328"/>
      <c r="AG150" s="1328"/>
      <c r="AH150" s="1328"/>
      <c r="AI150" s="1328"/>
      <c r="AJ150" s="1328"/>
      <c r="AK150" s="1328"/>
      <c r="AL150" s="1328"/>
    </row>
    <row r="151" spans="1:38" s="1329" customFormat="1" ht="33" hidden="1" customHeight="1">
      <c r="A151" s="1319">
        <v>51</v>
      </c>
      <c r="B151" s="1319" t="str">
        <f>'Chấm công KT'!D142</f>
        <v>03564</v>
      </c>
      <c r="C151" s="1330" t="str">
        <f>TONGHOPCONGDOI!C146</f>
        <v>A Nóc</v>
      </c>
      <c r="D151" s="1319" t="s">
        <v>43</v>
      </c>
      <c r="E151" s="1321"/>
      <c r="F151" s="373"/>
      <c r="G151" s="373"/>
      <c r="H151" s="373"/>
      <c r="I151" s="373"/>
      <c r="J151" s="1322"/>
      <c r="K151" s="1323"/>
      <c r="L151" s="1324"/>
      <c r="M151" s="1325"/>
      <c r="N151" s="1325"/>
      <c r="O151" s="1325"/>
      <c r="P151" s="1325"/>
      <c r="Q151" s="1325"/>
      <c r="R151" s="1325"/>
      <c r="S151" s="1325"/>
      <c r="T151" s="1369"/>
      <c r="U151" s="1369"/>
      <c r="V151" s="1369"/>
      <c r="W151" s="1325"/>
      <c r="X151" s="1325">
        <f t="shared" si="13"/>
        <v>0</v>
      </c>
      <c r="Y151" s="373"/>
      <c r="Z151" s="1327">
        <f t="shared" si="11"/>
        <v>0</v>
      </c>
      <c r="AA151" s="373"/>
      <c r="AB151" s="373"/>
      <c r="AC151" s="1326"/>
      <c r="AD151" s="1456">
        <f t="shared" si="12"/>
        <v>51</v>
      </c>
      <c r="AE151" s="1328"/>
      <c r="AF151" s="1328"/>
      <c r="AG151" s="1328"/>
      <c r="AH151" s="1328"/>
      <c r="AI151" s="1328"/>
      <c r="AJ151" s="1328"/>
      <c r="AK151" s="1328"/>
      <c r="AL151" s="1328"/>
    </row>
    <row r="152" spans="1:38" s="1329" customFormat="1" ht="33" hidden="1" customHeight="1">
      <c r="A152" s="1319">
        <v>52</v>
      </c>
      <c r="B152" s="1319"/>
      <c r="C152" s="1330" t="str">
        <f>TONGHOPCONGDOI!C147</f>
        <v>N. Lắc</v>
      </c>
      <c r="D152" s="1319" t="s">
        <v>43</v>
      </c>
      <c r="E152" s="1321"/>
      <c r="F152" s="373"/>
      <c r="G152" s="373"/>
      <c r="H152" s="373"/>
      <c r="I152" s="373"/>
      <c r="J152" s="1322"/>
      <c r="K152" s="1323"/>
      <c r="L152" s="1324"/>
      <c r="M152" s="1325"/>
      <c r="N152" s="1325"/>
      <c r="O152" s="1325"/>
      <c r="P152" s="1325"/>
      <c r="Q152" s="1325"/>
      <c r="R152" s="1325"/>
      <c r="S152" s="1325"/>
      <c r="T152" s="1369"/>
      <c r="U152" s="1369"/>
      <c r="V152" s="1369"/>
      <c r="W152" s="1325"/>
      <c r="X152" s="1325">
        <f t="shared" si="13"/>
        <v>0</v>
      </c>
      <c r="Y152" s="373"/>
      <c r="Z152" s="1327">
        <f t="shared" si="11"/>
        <v>0</v>
      </c>
      <c r="AA152" s="373"/>
      <c r="AB152" s="373"/>
      <c r="AC152" s="1326"/>
      <c r="AD152" s="1456">
        <f t="shared" si="12"/>
        <v>52</v>
      </c>
      <c r="AE152" s="1328"/>
      <c r="AF152" s="1328"/>
      <c r="AG152" s="1328"/>
      <c r="AH152" s="1328"/>
      <c r="AI152" s="1328"/>
      <c r="AJ152" s="1328"/>
      <c r="AK152" s="1328"/>
      <c r="AL152" s="1328"/>
    </row>
    <row r="153" spans="1:38" s="1329" customFormat="1" ht="33" hidden="1" customHeight="1">
      <c r="A153" s="1319">
        <v>53</v>
      </c>
      <c r="B153" s="1319" t="e">
        <f>'Chấm công KT'!D144</f>
        <v>#N/A</v>
      </c>
      <c r="C153" s="1330" t="str">
        <f>TONGHOPCONGDOI!C148</f>
        <v xml:space="preserve">T. Lăm  </v>
      </c>
      <c r="D153" s="1319" t="s">
        <v>43</v>
      </c>
      <c r="E153" s="1321"/>
      <c r="F153" s="373"/>
      <c r="G153" s="373"/>
      <c r="H153" s="373"/>
      <c r="I153" s="373"/>
      <c r="J153" s="1322"/>
      <c r="K153" s="1323"/>
      <c r="L153" s="1324"/>
      <c r="M153" s="1325"/>
      <c r="N153" s="1325"/>
      <c r="O153" s="1325"/>
      <c r="P153" s="1325"/>
      <c r="Q153" s="1325"/>
      <c r="R153" s="1325"/>
      <c r="S153" s="1325"/>
      <c r="T153" s="1369"/>
      <c r="U153" s="1369"/>
      <c r="V153" s="1369"/>
      <c r="W153" s="1325"/>
      <c r="X153" s="1325">
        <f t="shared" si="13"/>
        <v>0</v>
      </c>
      <c r="Y153" s="373"/>
      <c r="Z153" s="1327">
        <f t="shared" si="11"/>
        <v>0</v>
      </c>
      <c r="AA153" s="373"/>
      <c r="AB153" s="373"/>
      <c r="AC153" s="1326"/>
      <c r="AD153" s="1456">
        <f t="shared" si="12"/>
        <v>53</v>
      </c>
      <c r="AE153" s="1328"/>
      <c r="AF153" s="1328"/>
      <c r="AG153" s="1328"/>
      <c r="AH153" s="1328"/>
      <c r="AI153" s="1328"/>
      <c r="AJ153" s="1328"/>
      <c r="AK153" s="1328"/>
      <c r="AL153" s="1328"/>
    </row>
    <row r="154" spans="1:38" s="1329" customFormat="1" ht="33" hidden="1" customHeight="1">
      <c r="A154" s="1319">
        <v>54</v>
      </c>
      <c r="B154" s="1319" t="str">
        <f>'Chấm công KT'!D145</f>
        <v>03567</v>
      </c>
      <c r="C154" s="1330" t="str">
        <f>TONGHOPCONGDOI!C149</f>
        <v>Khăm Phiêng</v>
      </c>
      <c r="D154" s="1319" t="s">
        <v>43</v>
      </c>
      <c r="E154" s="1321"/>
      <c r="F154" s="373"/>
      <c r="G154" s="373"/>
      <c r="H154" s="373"/>
      <c r="I154" s="373"/>
      <c r="J154" s="1322"/>
      <c r="K154" s="1323"/>
      <c r="L154" s="1324"/>
      <c r="M154" s="1325"/>
      <c r="N154" s="1325"/>
      <c r="O154" s="1325"/>
      <c r="P154" s="1325"/>
      <c r="Q154" s="1325"/>
      <c r="R154" s="1325"/>
      <c r="S154" s="1325"/>
      <c r="T154" s="1369"/>
      <c r="U154" s="1369"/>
      <c r="V154" s="1369"/>
      <c r="W154" s="1325"/>
      <c r="X154" s="1325">
        <f t="shared" si="13"/>
        <v>0</v>
      </c>
      <c r="Y154" s="373"/>
      <c r="Z154" s="1327">
        <f t="shared" si="11"/>
        <v>0</v>
      </c>
      <c r="AA154" s="373"/>
      <c r="AB154" s="373"/>
      <c r="AC154" s="1326"/>
      <c r="AD154" s="1456">
        <f t="shared" si="12"/>
        <v>54</v>
      </c>
      <c r="AE154" s="1328"/>
      <c r="AF154" s="1328"/>
      <c r="AG154" s="1328"/>
      <c r="AH154" s="1328"/>
      <c r="AI154" s="1328"/>
      <c r="AJ154" s="1328"/>
      <c r="AK154" s="1328"/>
      <c r="AL154" s="1328"/>
    </row>
    <row r="155" spans="1:38" s="1329" customFormat="1" ht="33" hidden="1" customHeight="1">
      <c r="A155" s="1319">
        <v>55</v>
      </c>
      <c r="B155" s="1319" t="str">
        <f>'Chấm công KT'!D146</f>
        <v>03568</v>
      </c>
      <c r="C155" s="1330" t="str">
        <f>TONGHOPCONGDOI!C150</f>
        <v>Khiêng Khăm</v>
      </c>
      <c r="D155" s="1319" t="s">
        <v>43</v>
      </c>
      <c r="E155" s="1321"/>
      <c r="F155" s="373"/>
      <c r="G155" s="373"/>
      <c r="H155" s="373"/>
      <c r="I155" s="373"/>
      <c r="J155" s="1322"/>
      <c r="K155" s="1323"/>
      <c r="L155" s="1324"/>
      <c r="M155" s="1325"/>
      <c r="N155" s="1325"/>
      <c r="O155" s="1325"/>
      <c r="P155" s="1325"/>
      <c r="Q155" s="1325"/>
      <c r="R155" s="1325"/>
      <c r="S155" s="1325"/>
      <c r="T155" s="1369"/>
      <c r="U155" s="1369"/>
      <c r="V155" s="1369"/>
      <c r="W155" s="1325"/>
      <c r="X155" s="1325">
        <f t="shared" si="13"/>
        <v>0</v>
      </c>
      <c r="Y155" s="373"/>
      <c r="Z155" s="1327">
        <f t="shared" si="11"/>
        <v>0</v>
      </c>
      <c r="AA155" s="373"/>
      <c r="AB155" s="373"/>
      <c r="AC155" s="1326"/>
      <c r="AD155" s="1456">
        <f t="shared" si="12"/>
        <v>55</v>
      </c>
      <c r="AE155" s="1328"/>
      <c r="AF155" s="1328"/>
      <c r="AG155" s="1328"/>
      <c r="AH155" s="1328"/>
      <c r="AI155" s="1328"/>
      <c r="AJ155" s="1328"/>
      <c r="AK155" s="1328"/>
      <c r="AL155" s="1328"/>
    </row>
    <row r="156" spans="1:38" s="1329" customFormat="1" ht="33" hidden="1" customHeight="1">
      <c r="A156" s="1319">
        <v>56</v>
      </c>
      <c r="B156" s="1319" t="str">
        <f>'Chấm công KT'!D147</f>
        <v>03569</v>
      </c>
      <c r="C156" s="1330" t="str">
        <f>TONGHOPCONGDOI!C151</f>
        <v>T. Kỷ</v>
      </c>
      <c r="D156" s="1319" t="s">
        <v>43</v>
      </c>
      <c r="E156" s="1321"/>
      <c r="F156" s="373"/>
      <c r="G156" s="373"/>
      <c r="H156" s="373"/>
      <c r="I156" s="373"/>
      <c r="J156" s="1322"/>
      <c r="K156" s="1323"/>
      <c r="L156" s="1324"/>
      <c r="M156" s="1325"/>
      <c r="N156" s="1325"/>
      <c r="O156" s="1325"/>
      <c r="P156" s="1325"/>
      <c r="Q156" s="1325"/>
      <c r="R156" s="1325"/>
      <c r="S156" s="1325"/>
      <c r="T156" s="1369"/>
      <c r="U156" s="1369"/>
      <c r="V156" s="1369"/>
      <c r="W156" s="1325"/>
      <c r="X156" s="1325">
        <f t="shared" si="13"/>
        <v>0</v>
      </c>
      <c r="Y156" s="373"/>
      <c r="Z156" s="1327">
        <f t="shared" si="11"/>
        <v>0</v>
      </c>
      <c r="AA156" s="373"/>
      <c r="AB156" s="373"/>
      <c r="AC156" s="1326"/>
      <c r="AD156" s="1456">
        <f t="shared" si="12"/>
        <v>56</v>
      </c>
      <c r="AE156" s="1328"/>
      <c r="AF156" s="1328"/>
      <c r="AG156" s="1328"/>
      <c r="AH156" s="1328"/>
      <c r="AI156" s="1328"/>
      <c r="AJ156" s="1328"/>
      <c r="AK156" s="1328"/>
      <c r="AL156" s="1328"/>
    </row>
    <row r="157" spans="1:38" s="1329" customFormat="1" ht="33" hidden="1" customHeight="1">
      <c r="A157" s="1319">
        <v>57</v>
      </c>
      <c r="B157" s="1319" t="str">
        <f>'Chấm công KT'!D148</f>
        <v>03570</v>
      </c>
      <c r="C157" s="1330" t="str">
        <f>TONGHOPCONGDOI!C152</f>
        <v>T. Vi Lai Văn</v>
      </c>
      <c r="D157" s="1319" t="s">
        <v>43</v>
      </c>
      <c r="E157" s="1321"/>
      <c r="F157" s="373"/>
      <c r="G157" s="373"/>
      <c r="H157" s="373"/>
      <c r="I157" s="373"/>
      <c r="J157" s="1322"/>
      <c r="K157" s="1323"/>
      <c r="L157" s="1324"/>
      <c r="M157" s="1325"/>
      <c r="N157" s="1325"/>
      <c r="O157" s="1325"/>
      <c r="P157" s="1325"/>
      <c r="Q157" s="1325"/>
      <c r="R157" s="1325"/>
      <c r="S157" s="1325"/>
      <c r="T157" s="1369"/>
      <c r="U157" s="1369"/>
      <c r="V157" s="1369"/>
      <c r="W157" s="1325"/>
      <c r="X157" s="1325">
        <f t="shared" si="13"/>
        <v>0</v>
      </c>
      <c r="Y157" s="373"/>
      <c r="Z157" s="1327">
        <f t="shared" si="11"/>
        <v>0</v>
      </c>
      <c r="AA157" s="373"/>
      <c r="AB157" s="373"/>
      <c r="AC157" s="1326"/>
      <c r="AD157" s="1456">
        <f t="shared" si="12"/>
        <v>57</v>
      </c>
      <c r="AE157" s="1328"/>
      <c r="AF157" s="1328"/>
      <c r="AG157" s="1328"/>
      <c r="AH157" s="1328"/>
      <c r="AI157" s="1328"/>
      <c r="AJ157" s="1328"/>
      <c r="AK157" s="1328"/>
      <c r="AL157" s="1328"/>
    </row>
    <row r="158" spans="1:38" s="1329" customFormat="1" ht="33" hidden="1" customHeight="1">
      <c r="A158" s="1319">
        <v>58</v>
      </c>
      <c r="B158" s="1319" t="str">
        <f>'Chấm công KT'!D149</f>
        <v>03571</v>
      </c>
      <c r="C158" s="1330" t="str">
        <f>TONGHOPCONGDOI!C153</f>
        <v>T. Ê</v>
      </c>
      <c r="D158" s="1319" t="s">
        <v>43</v>
      </c>
      <c r="E158" s="1321"/>
      <c r="F158" s="373"/>
      <c r="G158" s="373"/>
      <c r="H158" s="373"/>
      <c r="I158" s="373"/>
      <c r="J158" s="1322"/>
      <c r="K158" s="1323"/>
      <c r="L158" s="1324"/>
      <c r="M158" s="1325"/>
      <c r="N158" s="1325"/>
      <c r="O158" s="1325"/>
      <c r="P158" s="1325"/>
      <c r="Q158" s="1325"/>
      <c r="R158" s="1325"/>
      <c r="S158" s="1325"/>
      <c r="T158" s="1369"/>
      <c r="U158" s="1369"/>
      <c r="V158" s="1369"/>
      <c r="W158" s="1325"/>
      <c r="X158" s="1325">
        <f t="shared" si="13"/>
        <v>0</v>
      </c>
      <c r="Y158" s="373"/>
      <c r="Z158" s="1327">
        <f t="shared" si="11"/>
        <v>0</v>
      </c>
      <c r="AA158" s="373"/>
      <c r="AB158" s="373"/>
      <c r="AC158" s="1326"/>
      <c r="AD158" s="1456">
        <f t="shared" si="12"/>
        <v>58</v>
      </c>
      <c r="AE158" s="1328"/>
      <c r="AF158" s="1328"/>
      <c r="AG158" s="1328"/>
      <c r="AH158" s="1328"/>
      <c r="AI158" s="1328"/>
      <c r="AJ158" s="1328"/>
      <c r="AK158" s="1328"/>
      <c r="AL158" s="1328"/>
    </row>
    <row r="159" spans="1:38" s="1329" customFormat="1" ht="33" hidden="1" customHeight="1">
      <c r="A159" s="1319">
        <v>59</v>
      </c>
      <c r="B159" s="1319" t="str">
        <f>'Chấm công KT'!D150</f>
        <v>03572</v>
      </c>
      <c r="C159" s="1330" t="str">
        <f>TONGHOPCONGDOI!C154</f>
        <v>N. Lắt Đa</v>
      </c>
      <c r="D159" s="1319" t="s">
        <v>43</v>
      </c>
      <c r="E159" s="1321"/>
      <c r="F159" s="373"/>
      <c r="G159" s="373"/>
      <c r="H159" s="373"/>
      <c r="I159" s="373"/>
      <c r="J159" s="1322"/>
      <c r="K159" s="1323"/>
      <c r="L159" s="1324"/>
      <c r="M159" s="1325"/>
      <c r="N159" s="1325"/>
      <c r="O159" s="1325"/>
      <c r="P159" s="1325"/>
      <c r="Q159" s="1325"/>
      <c r="R159" s="1325"/>
      <c r="S159" s="1325"/>
      <c r="T159" s="1369"/>
      <c r="U159" s="1369"/>
      <c r="V159" s="1369"/>
      <c r="W159" s="1325"/>
      <c r="X159" s="1325">
        <f t="shared" si="13"/>
        <v>0</v>
      </c>
      <c r="Y159" s="373"/>
      <c r="Z159" s="1327">
        <f t="shared" si="11"/>
        <v>0</v>
      </c>
      <c r="AA159" s="373"/>
      <c r="AB159" s="373"/>
      <c r="AC159" s="1326"/>
      <c r="AD159" s="1456">
        <f t="shared" si="12"/>
        <v>59</v>
      </c>
      <c r="AE159" s="1328"/>
      <c r="AF159" s="1328"/>
      <c r="AG159" s="1328"/>
      <c r="AH159" s="1328"/>
      <c r="AI159" s="1328"/>
      <c r="AJ159" s="1328"/>
      <c r="AK159" s="1328"/>
      <c r="AL159" s="1328"/>
    </row>
    <row r="160" spans="1:38" s="1329" customFormat="1" ht="33" hidden="1" customHeight="1">
      <c r="A160" s="1319">
        <v>60</v>
      </c>
      <c r="B160" s="1319" t="str">
        <f>'Chấm công KT'!D151</f>
        <v>03573</v>
      </c>
      <c r="C160" s="1330" t="str">
        <f>TONGHOPCONGDOI!C155</f>
        <v>N. Tieng Na</v>
      </c>
      <c r="D160" s="1319" t="s">
        <v>43</v>
      </c>
      <c r="E160" s="1321"/>
      <c r="F160" s="373"/>
      <c r="G160" s="373"/>
      <c r="H160" s="373"/>
      <c r="I160" s="373"/>
      <c r="J160" s="1322"/>
      <c r="K160" s="1323"/>
      <c r="L160" s="1324"/>
      <c r="M160" s="1325"/>
      <c r="N160" s="1325"/>
      <c r="O160" s="1325"/>
      <c r="P160" s="1325"/>
      <c r="Q160" s="1325"/>
      <c r="R160" s="1325"/>
      <c r="S160" s="1325"/>
      <c r="T160" s="1369"/>
      <c r="U160" s="1369"/>
      <c r="V160" s="1369"/>
      <c r="W160" s="1325"/>
      <c r="X160" s="1325">
        <f t="shared" si="13"/>
        <v>0</v>
      </c>
      <c r="Y160" s="373"/>
      <c r="Z160" s="1327">
        <f t="shared" si="11"/>
        <v>0</v>
      </c>
      <c r="AA160" s="373"/>
      <c r="AB160" s="373"/>
      <c r="AC160" s="1326"/>
      <c r="AD160" s="1456">
        <f t="shared" si="12"/>
        <v>60</v>
      </c>
      <c r="AE160" s="1328"/>
      <c r="AF160" s="1328"/>
      <c r="AG160" s="1328"/>
      <c r="AH160" s="1328"/>
      <c r="AI160" s="1328"/>
      <c r="AJ160" s="1328"/>
      <c r="AK160" s="1328"/>
      <c r="AL160" s="1328"/>
    </row>
    <row r="161" spans="1:38" s="1329" customFormat="1" ht="33" hidden="1" customHeight="1">
      <c r="A161" s="1319">
        <v>61</v>
      </c>
      <c r="B161" s="1319" t="str">
        <f>'Chấm công KT'!D152</f>
        <v>03574</v>
      </c>
      <c r="C161" s="1330" t="str">
        <f>TONGHOPCONGDOI!C156</f>
        <v>T. Đăm</v>
      </c>
      <c r="D161" s="1319" t="s">
        <v>43</v>
      </c>
      <c r="E161" s="1321"/>
      <c r="F161" s="373"/>
      <c r="G161" s="373"/>
      <c r="H161" s="373"/>
      <c r="I161" s="373"/>
      <c r="J161" s="1322"/>
      <c r="K161" s="1323"/>
      <c r="L161" s="1324"/>
      <c r="M161" s="1325"/>
      <c r="N161" s="1325"/>
      <c r="O161" s="1325"/>
      <c r="P161" s="1325"/>
      <c r="Q161" s="1325"/>
      <c r="R161" s="1325"/>
      <c r="S161" s="1325"/>
      <c r="T161" s="1369"/>
      <c r="U161" s="1369"/>
      <c r="V161" s="1369"/>
      <c r="W161" s="1325"/>
      <c r="X161" s="1325">
        <f t="shared" si="13"/>
        <v>0</v>
      </c>
      <c r="Y161" s="373"/>
      <c r="Z161" s="1327">
        <f t="shared" si="11"/>
        <v>0</v>
      </c>
      <c r="AA161" s="373"/>
      <c r="AB161" s="373"/>
      <c r="AC161" s="1326"/>
      <c r="AD161" s="1456">
        <f t="shared" si="12"/>
        <v>61</v>
      </c>
      <c r="AE161" s="1328"/>
      <c r="AF161" s="1328"/>
      <c r="AG161" s="1328"/>
      <c r="AH161" s="1328"/>
      <c r="AI161" s="1328"/>
      <c r="AJ161" s="1328"/>
      <c r="AK161" s="1328"/>
      <c r="AL161" s="1328"/>
    </row>
    <row r="162" spans="1:38" s="1329" customFormat="1" ht="33" hidden="1" customHeight="1">
      <c r="A162" s="1319">
        <v>62</v>
      </c>
      <c r="B162" s="1319" t="e">
        <f>'Chấm công KT'!D153</f>
        <v>#N/A</v>
      </c>
      <c r="C162" s="1330" t="str">
        <f>TONGHOPCONGDOI!C157</f>
        <v>T. Văn Ê</v>
      </c>
      <c r="D162" s="1319" t="s">
        <v>43</v>
      </c>
      <c r="E162" s="1321"/>
      <c r="F162" s="373"/>
      <c r="G162" s="373"/>
      <c r="H162" s="373"/>
      <c r="I162" s="373"/>
      <c r="J162" s="1322"/>
      <c r="K162" s="1323"/>
      <c r="L162" s="1324"/>
      <c r="M162" s="1325"/>
      <c r="N162" s="1325"/>
      <c r="O162" s="1325"/>
      <c r="P162" s="1325"/>
      <c r="Q162" s="1325"/>
      <c r="R162" s="1325"/>
      <c r="S162" s="1325"/>
      <c r="T162" s="1369"/>
      <c r="U162" s="1369"/>
      <c r="V162" s="1369"/>
      <c r="W162" s="1325"/>
      <c r="X162" s="1325">
        <f t="shared" si="13"/>
        <v>0</v>
      </c>
      <c r="Y162" s="373"/>
      <c r="Z162" s="1327">
        <f t="shared" si="11"/>
        <v>0</v>
      </c>
      <c r="AA162" s="373"/>
      <c r="AB162" s="373"/>
      <c r="AC162" s="1326"/>
      <c r="AD162" s="1456">
        <f t="shared" si="12"/>
        <v>62</v>
      </c>
      <c r="AE162" s="1328"/>
      <c r="AF162" s="1328"/>
      <c r="AG162" s="1328"/>
      <c r="AH162" s="1328"/>
      <c r="AI162" s="1328"/>
      <c r="AJ162" s="1328"/>
      <c r="AK162" s="1328"/>
      <c r="AL162" s="1328"/>
    </row>
    <row r="163" spans="1:38" s="1329" customFormat="1" ht="33" hidden="1" customHeight="1">
      <c r="A163" s="1319">
        <v>63</v>
      </c>
      <c r="B163" s="1319" t="str">
        <f>'Chấm công KT'!D154</f>
        <v>03576</v>
      </c>
      <c r="C163" s="1330" t="str">
        <f>TONGHOPCONGDOI!C158</f>
        <v>T. Sinh</v>
      </c>
      <c r="D163" s="1319" t="s">
        <v>43</v>
      </c>
      <c r="E163" s="1321"/>
      <c r="F163" s="373"/>
      <c r="G163" s="373"/>
      <c r="H163" s="373"/>
      <c r="I163" s="373"/>
      <c r="J163" s="1322"/>
      <c r="K163" s="1323"/>
      <c r="L163" s="1324"/>
      <c r="M163" s="1325"/>
      <c r="N163" s="1325"/>
      <c r="O163" s="1325"/>
      <c r="P163" s="1325"/>
      <c r="Q163" s="1325"/>
      <c r="R163" s="1325"/>
      <c r="S163" s="1325"/>
      <c r="T163" s="1369"/>
      <c r="U163" s="1369"/>
      <c r="V163" s="1369"/>
      <c r="W163" s="1325"/>
      <c r="X163" s="1325">
        <f t="shared" si="13"/>
        <v>0</v>
      </c>
      <c r="Y163" s="373"/>
      <c r="Z163" s="1327">
        <f t="shared" si="11"/>
        <v>0</v>
      </c>
      <c r="AA163" s="373"/>
      <c r="AB163" s="373"/>
      <c r="AC163" s="1326"/>
      <c r="AD163" s="1456">
        <f t="shared" si="12"/>
        <v>63</v>
      </c>
      <c r="AE163" s="1736" t="e">
        <f>#REF!*5.8*$E$11</f>
        <v>#REF!</v>
      </c>
      <c r="AF163" s="1328"/>
      <c r="AG163" s="1328"/>
      <c r="AH163" s="1328"/>
      <c r="AI163" s="1328"/>
      <c r="AJ163" s="1328"/>
      <c r="AK163" s="1328"/>
      <c r="AL163" s="1328"/>
    </row>
    <row r="164" spans="1:38" s="1329" customFormat="1" ht="33" hidden="1" customHeight="1">
      <c r="A164" s="1319">
        <v>64</v>
      </c>
      <c r="B164" s="1319"/>
      <c r="C164" s="1330" t="str">
        <f>TONGHOPCONGDOI!C159</f>
        <v>T. Khăm Công</v>
      </c>
      <c r="D164" s="1319" t="s">
        <v>43</v>
      </c>
      <c r="E164" s="1321"/>
      <c r="F164" s="373"/>
      <c r="G164" s="373"/>
      <c r="H164" s="373"/>
      <c r="I164" s="373"/>
      <c r="J164" s="1322"/>
      <c r="K164" s="1323"/>
      <c r="L164" s="1324"/>
      <c r="M164" s="1325"/>
      <c r="N164" s="1325"/>
      <c r="O164" s="1325"/>
      <c r="P164" s="1325"/>
      <c r="Q164" s="1325"/>
      <c r="R164" s="1325"/>
      <c r="S164" s="1325"/>
      <c r="T164" s="1369"/>
      <c r="U164" s="1369"/>
      <c r="V164" s="1369"/>
      <c r="W164" s="1325"/>
      <c r="X164" s="1325">
        <f t="shared" si="13"/>
        <v>0</v>
      </c>
      <c r="Y164" s="373"/>
      <c r="Z164" s="1327">
        <f t="shared" si="11"/>
        <v>0</v>
      </c>
      <c r="AA164" s="373"/>
      <c r="AB164" s="373"/>
      <c r="AC164" s="1326"/>
      <c r="AD164" s="1456">
        <f t="shared" si="12"/>
        <v>64</v>
      </c>
      <c r="AE164" s="1328"/>
      <c r="AF164" s="1328"/>
      <c r="AG164" s="1328"/>
      <c r="AH164" s="1328"/>
      <c r="AI164" s="1328"/>
      <c r="AJ164" s="1328"/>
      <c r="AK164" s="1328"/>
      <c r="AL164" s="1328"/>
    </row>
    <row r="165" spans="1:38" s="1329" customFormat="1" ht="33" hidden="1" customHeight="1">
      <c r="A165" s="1319">
        <v>65</v>
      </c>
      <c r="B165" s="1319" t="str">
        <f>'Chấm công KT'!D156</f>
        <v>03578</v>
      </c>
      <c r="C165" s="1330" t="str">
        <f>TONGHOPCONGDOI!C160</f>
        <v>T. Ngon</v>
      </c>
      <c r="D165" s="1319" t="s">
        <v>43</v>
      </c>
      <c r="E165" s="1321"/>
      <c r="F165" s="373"/>
      <c r="G165" s="373"/>
      <c r="H165" s="373"/>
      <c r="I165" s="373"/>
      <c r="J165" s="1322"/>
      <c r="K165" s="1323"/>
      <c r="L165" s="1324"/>
      <c r="M165" s="1325"/>
      <c r="N165" s="1325"/>
      <c r="O165" s="1325"/>
      <c r="P165" s="1325"/>
      <c r="Q165" s="1325"/>
      <c r="R165" s="1325"/>
      <c r="S165" s="1325"/>
      <c r="T165" s="1369"/>
      <c r="U165" s="1369"/>
      <c r="V165" s="1369"/>
      <c r="W165" s="1325"/>
      <c r="X165" s="1325">
        <f t="shared" ref="X165:X183" si="14">F165+L165+W165</f>
        <v>0</v>
      </c>
      <c r="Y165" s="373"/>
      <c r="Z165" s="1327">
        <f t="shared" si="11"/>
        <v>0</v>
      </c>
      <c r="AA165" s="373"/>
      <c r="AB165" s="373"/>
      <c r="AC165" s="1326"/>
      <c r="AD165" s="1456">
        <f t="shared" si="12"/>
        <v>65</v>
      </c>
      <c r="AE165" s="1328"/>
      <c r="AF165" s="1328"/>
      <c r="AG165" s="1328"/>
      <c r="AH165" s="1328"/>
      <c r="AI165" s="1328"/>
      <c r="AJ165" s="1328"/>
      <c r="AK165" s="1328"/>
      <c r="AL165" s="1328"/>
    </row>
    <row r="166" spans="1:38" s="1329" customFormat="1" ht="33" hidden="1" customHeight="1">
      <c r="A166" s="1319">
        <v>66</v>
      </c>
      <c r="B166" s="1319"/>
      <c r="C166" s="1330" t="str">
        <f>TONGHOPCONGDOI!C161</f>
        <v>N . Lạ</v>
      </c>
      <c r="D166" s="1319" t="s">
        <v>43</v>
      </c>
      <c r="E166" s="1321"/>
      <c r="F166" s="373"/>
      <c r="G166" s="373"/>
      <c r="H166" s="373"/>
      <c r="I166" s="373"/>
      <c r="J166" s="1322"/>
      <c r="K166" s="1323"/>
      <c r="L166" s="1324"/>
      <c r="M166" s="1325"/>
      <c r="N166" s="1325"/>
      <c r="O166" s="1325"/>
      <c r="P166" s="1325"/>
      <c r="Q166" s="1325"/>
      <c r="R166" s="1325"/>
      <c r="S166" s="1325"/>
      <c r="T166" s="1369"/>
      <c r="U166" s="1369"/>
      <c r="V166" s="1369"/>
      <c r="W166" s="1325"/>
      <c r="X166" s="1325">
        <f t="shared" si="14"/>
        <v>0</v>
      </c>
      <c r="Y166" s="373"/>
      <c r="Z166" s="1327">
        <f t="shared" ref="Z166:Z179" si="15">X166</f>
        <v>0</v>
      </c>
      <c r="AA166" s="373"/>
      <c r="AB166" s="373"/>
      <c r="AC166" s="1326"/>
      <c r="AD166" s="1456">
        <f t="shared" ref="AD166:AD232" si="16">A166</f>
        <v>66</v>
      </c>
      <c r="AE166" s="1328"/>
      <c r="AF166" s="1328"/>
      <c r="AG166" s="1328"/>
      <c r="AH166" s="1328"/>
      <c r="AI166" s="1328"/>
      <c r="AJ166" s="1328"/>
      <c r="AK166" s="1328"/>
      <c r="AL166" s="1328"/>
    </row>
    <row r="167" spans="1:38" s="1329" customFormat="1" ht="33" hidden="1" customHeight="1">
      <c r="A167" s="1319">
        <v>67</v>
      </c>
      <c r="B167" s="1319"/>
      <c r="C167" s="1330" t="str">
        <f>TONGHOPCONGDOI!C162</f>
        <v>T. Chỏ</v>
      </c>
      <c r="D167" s="1319" t="s">
        <v>43</v>
      </c>
      <c r="E167" s="1321"/>
      <c r="F167" s="373"/>
      <c r="G167" s="373"/>
      <c r="H167" s="373"/>
      <c r="I167" s="373"/>
      <c r="J167" s="1322"/>
      <c r="K167" s="1323"/>
      <c r="L167" s="1324"/>
      <c r="M167" s="1325"/>
      <c r="N167" s="1325"/>
      <c r="O167" s="1325"/>
      <c r="P167" s="1325"/>
      <c r="Q167" s="1325"/>
      <c r="R167" s="1325"/>
      <c r="S167" s="1325"/>
      <c r="T167" s="1369"/>
      <c r="U167" s="1369"/>
      <c r="V167" s="1369"/>
      <c r="W167" s="1325"/>
      <c r="X167" s="1325">
        <f t="shared" si="14"/>
        <v>0</v>
      </c>
      <c r="Y167" s="373"/>
      <c r="Z167" s="1327">
        <f t="shared" si="15"/>
        <v>0</v>
      </c>
      <c r="AA167" s="373"/>
      <c r="AB167" s="373"/>
      <c r="AC167" s="1326"/>
      <c r="AD167" s="1456">
        <f t="shared" si="16"/>
        <v>67</v>
      </c>
      <c r="AE167" s="1328"/>
      <c r="AF167" s="1328"/>
      <c r="AG167" s="1328"/>
      <c r="AH167" s="1328"/>
      <c r="AI167" s="1328"/>
      <c r="AJ167" s="1328"/>
      <c r="AK167" s="1328"/>
      <c r="AL167" s="1328"/>
    </row>
    <row r="168" spans="1:38" s="1329" customFormat="1" ht="33" hidden="1" customHeight="1">
      <c r="A168" s="1319">
        <v>68</v>
      </c>
      <c r="B168" s="1319" t="str">
        <f>'Chấm công KT'!D159</f>
        <v>03581</v>
      </c>
      <c r="C168" s="1330" t="str">
        <f>TONGHOPCONGDOI!C163</f>
        <v>Chăn Đen</v>
      </c>
      <c r="D168" s="1319" t="s">
        <v>43</v>
      </c>
      <c r="E168" s="1321"/>
      <c r="F168" s="373"/>
      <c r="G168" s="373"/>
      <c r="H168" s="373"/>
      <c r="I168" s="373"/>
      <c r="J168" s="1322"/>
      <c r="K168" s="1323"/>
      <c r="L168" s="1324"/>
      <c r="M168" s="1325"/>
      <c r="N168" s="1325"/>
      <c r="O168" s="1325"/>
      <c r="P168" s="1325"/>
      <c r="Q168" s="1325"/>
      <c r="R168" s="1325"/>
      <c r="S168" s="1325"/>
      <c r="T168" s="1369"/>
      <c r="U168" s="1369"/>
      <c r="V168" s="1369"/>
      <c r="W168" s="1325"/>
      <c r="X168" s="1325">
        <f t="shared" si="14"/>
        <v>0</v>
      </c>
      <c r="Y168" s="373"/>
      <c r="Z168" s="1327">
        <f t="shared" si="15"/>
        <v>0</v>
      </c>
      <c r="AA168" s="373"/>
      <c r="AB168" s="373"/>
      <c r="AC168" s="1326"/>
      <c r="AD168" s="1456">
        <f t="shared" si="16"/>
        <v>68</v>
      </c>
      <c r="AE168" s="1328"/>
      <c r="AF168" s="1328"/>
      <c r="AG168" s="1328"/>
      <c r="AH168" s="1328"/>
      <c r="AI168" s="1328"/>
      <c r="AJ168" s="1328"/>
      <c r="AK168" s="1328"/>
      <c r="AL168" s="1328"/>
    </row>
    <row r="169" spans="1:38" s="1329" customFormat="1" ht="33" hidden="1" customHeight="1">
      <c r="A169" s="1319">
        <v>69</v>
      </c>
      <c r="B169" s="1319" t="str">
        <f>'Chấm công KT'!D160</f>
        <v>03456</v>
      </c>
      <c r="C169" s="1330" t="str">
        <f>TONGHOPCONGDOI!C164</f>
        <v>T. Vôn</v>
      </c>
      <c r="D169" s="1319" t="s">
        <v>43</v>
      </c>
      <c r="E169" s="1321"/>
      <c r="F169" s="373"/>
      <c r="G169" s="373"/>
      <c r="H169" s="373"/>
      <c r="I169" s="373"/>
      <c r="J169" s="1322"/>
      <c r="K169" s="1323"/>
      <c r="L169" s="1324"/>
      <c r="M169" s="1325"/>
      <c r="N169" s="1325"/>
      <c r="O169" s="1325"/>
      <c r="P169" s="1325"/>
      <c r="Q169" s="1325"/>
      <c r="R169" s="1325"/>
      <c r="S169" s="1325"/>
      <c r="T169" s="1369"/>
      <c r="U169" s="1369"/>
      <c r="V169" s="1369"/>
      <c r="W169" s="1325"/>
      <c r="X169" s="1325">
        <f t="shared" si="14"/>
        <v>0</v>
      </c>
      <c r="Y169" s="373"/>
      <c r="Z169" s="1327">
        <f t="shared" si="15"/>
        <v>0</v>
      </c>
      <c r="AA169" s="373"/>
      <c r="AB169" s="373"/>
      <c r="AC169" s="1326"/>
      <c r="AD169" s="1456">
        <f t="shared" si="16"/>
        <v>69</v>
      </c>
      <c r="AE169" s="1328"/>
      <c r="AF169" s="1328"/>
      <c r="AG169" s="1328"/>
      <c r="AH169" s="1328"/>
      <c r="AI169" s="1328"/>
      <c r="AJ169" s="1328"/>
      <c r="AK169" s="1328"/>
      <c r="AL169" s="1328"/>
    </row>
    <row r="170" spans="1:38" s="1329" customFormat="1" ht="33" hidden="1" customHeight="1">
      <c r="A170" s="1319">
        <v>70</v>
      </c>
      <c r="B170" s="1319" t="str">
        <f>'Chấm công KT'!D161</f>
        <v>03583</v>
      </c>
      <c r="C170" s="1330" t="str">
        <f>TONGHOPCONGDOI!C165</f>
        <v>Đa Ly</v>
      </c>
      <c r="D170" s="1319" t="s">
        <v>43</v>
      </c>
      <c r="E170" s="1321"/>
      <c r="F170" s="373"/>
      <c r="G170" s="373"/>
      <c r="H170" s="373"/>
      <c r="I170" s="373"/>
      <c r="J170" s="1322"/>
      <c r="K170" s="1323"/>
      <c r="L170" s="1324"/>
      <c r="M170" s="1325"/>
      <c r="N170" s="1325"/>
      <c r="O170" s="1325"/>
      <c r="P170" s="1325"/>
      <c r="Q170" s="1325"/>
      <c r="R170" s="1325"/>
      <c r="S170" s="1325"/>
      <c r="T170" s="1369"/>
      <c r="U170" s="1369"/>
      <c r="V170" s="1369"/>
      <c r="W170" s="1325"/>
      <c r="X170" s="1325">
        <f t="shared" si="14"/>
        <v>0</v>
      </c>
      <c r="Y170" s="373"/>
      <c r="Z170" s="1327">
        <f t="shared" si="15"/>
        <v>0</v>
      </c>
      <c r="AA170" s="373"/>
      <c r="AB170" s="373"/>
      <c r="AC170" s="1326"/>
      <c r="AD170" s="1456">
        <f t="shared" si="16"/>
        <v>70</v>
      </c>
      <c r="AE170" s="1328"/>
      <c r="AF170" s="1328"/>
      <c r="AG170" s="1328"/>
      <c r="AH170" s="1328"/>
      <c r="AI170" s="1328"/>
      <c r="AJ170" s="1328"/>
      <c r="AK170" s="1328"/>
      <c r="AL170" s="1328"/>
    </row>
    <row r="171" spans="1:38" s="1329" customFormat="1" ht="33" hidden="1" customHeight="1">
      <c r="A171" s="1319">
        <v>71</v>
      </c>
      <c r="B171" s="1319"/>
      <c r="C171" s="1330" t="str">
        <f>TONGHOPCONGDOI!C166</f>
        <v>Na Ly ...</v>
      </c>
      <c r="D171" s="1319" t="s">
        <v>43</v>
      </c>
      <c r="E171" s="1321"/>
      <c r="F171" s="373"/>
      <c r="G171" s="373"/>
      <c r="H171" s="373"/>
      <c r="I171" s="373"/>
      <c r="J171" s="1322"/>
      <c r="K171" s="1323"/>
      <c r="L171" s="1324"/>
      <c r="M171" s="1325"/>
      <c r="N171" s="1325"/>
      <c r="O171" s="1325"/>
      <c r="P171" s="1325"/>
      <c r="Q171" s="1325"/>
      <c r="R171" s="1325"/>
      <c r="S171" s="1325"/>
      <c r="T171" s="1369"/>
      <c r="U171" s="1369"/>
      <c r="V171" s="1369"/>
      <c r="W171" s="1325"/>
      <c r="X171" s="1325">
        <f t="shared" si="14"/>
        <v>0</v>
      </c>
      <c r="Y171" s="373"/>
      <c r="Z171" s="1327">
        <f t="shared" si="15"/>
        <v>0</v>
      </c>
      <c r="AA171" s="373"/>
      <c r="AB171" s="373"/>
      <c r="AC171" s="1326"/>
      <c r="AD171" s="1456">
        <f t="shared" si="16"/>
        <v>71</v>
      </c>
      <c r="AE171" s="1328"/>
      <c r="AF171" s="1328"/>
      <c r="AG171" s="1328"/>
      <c r="AH171" s="1328"/>
      <c r="AI171" s="1328"/>
      <c r="AJ171" s="1328"/>
      <c r="AK171" s="1328"/>
      <c r="AL171" s="1328"/>
    </row>
    <row r="172" spans="1:38" s="1329" customFormat="1" ht="33" hidden="1" customHeight="1">
      <c r="A172" s="1319">
        <v>72</v>
      </c>
      <c r="B172" s="1319" t="str">
        <f>'Chấm công KT'!D163</f>
        <v>03585</v>
      </c>
      <c r="C172" s="1330" t="str">
        <f>TONGHOPCONGDOI!C167</f>
        <v>Lắc Xa Mi</v>
      </c>
      <c r="D172" s="1319" t="s">
        <v>43</v>
      </c>
      <c r="E172" s="1321"/>
      <c r="F172" s="373"/>
      <c r="G172" s="373"/>
      <c r="H172" s="373"/>
      <c r="I172" s="373"/>
      <c r="J172" s="1322"/>
      <c r="K172" s="1323"/>
      <c r="L172" s="1324"/>
      <c r="M172" s="1325"/>
      <c r="N172" s="1325"/>
      <c r="O172" s="1325"/>
      <c r="P172" s="1325"/>
      <c r="Q172" s="1325"/>
      <c r="R172" s="1325"/>
      <c r="S172" s="1325"/>
      <c r="T172" s="1369"/>
      <c r="U172" s="1369"/>
      <c r="V172" s="1369"/>
      <c r="W172" s="1325"/>
      <c r="X172" s="1325">
        <f t="shared" si="14"/>
        <v>0</v>
      </c>
      <c r="Y172" s="373"/>
      <c r="Z172" s="1327">
        <f t="shared" si="15"/>
        <v>0</v>
      </c>
      <c r="AA172" s="373"/>
      <c r="AB172" s="373"/>
      <c r="AC172" s="1326"/>
      <c r="AD172" s="1456">
        <f t="shared" si="16"/>
        <v>72</v>
      </c>
      <c r="AE172" s="1328"/>
      <c r="AF172" s="1328"/>
      <c r="AG172" s="1328"/>
      <c r="AH172" s="1328"/>
      <c r="AI172" s="1328"/>
      <c r="AJ172" s="1328"/>
      <c r="AK172" s="1328"/>
      <c r="AL172" s="1328"/>
    </row>
    <row r="173" spans="1:38" s="1329" customFormat="1" ht="33" hidden="1" customHeight="1">
      <c r="A173" s="1319">
        <v>73</v>
      </c>
      <c r="B173" s="1319"/>
      <c r="C173" s="1330" t="str">
        <f>TONGHOPCONGDOI!C168</f>
        <v>A Xít</v>
      </c>
      <c r="D173" s="1319" t="s">
        <v>43</v>
      </c>
      <c r="E173" s="1321"/>
      <c r="F173" s="373"/>
      <c r="G173" s="373"/>
      <c r="H173" s="373"/>
      <c r="I173" s="373"/>
      <c r="J173" s="1322"/>
      <c r="K173" s="1323"/>
      <c r="L173" s="1324"/>
      <c r="M173" s="1325"/>
      <c r="N173" s="1325"/>
      <c r="O173" s="1325"/>
      <c r="P173" s="1325"/>
      <c r="Q173" s="1325"/>
      <c r="R173" s="1325"/>
      <c r="S173" s="1325"/>
      <c r="T173" s="1369"/>
      <c r="U173" s="1369"/>
      <c r="V173" s="1369"/>
      <c r="W173" s="1325"/>
      <c r="X173" s="1325">
        <f t="shared" si="14"/>
        <v>0</v>
      </c>
      <c r="Y173" s="373"/>
      <c r="Z173" s="1327">
        <f t="shared" si="15"/>
        <v>0</v>
      </c>
      <c r="AA173" s="373"/>
      <c r="AB173" s="373"/>
      <c r="AC173" s="1326"/>
      <c r="AD173" s="1456">
        <f t="shared" si="16"/>
        <v>73</v>
      </c>
      <c r="AE173" s="1328"/>
      <c r="AF173" s="1328"/>
      <c r="AG173" s="1328"/>
      <c r="AH173" s="1328"/>
      <c r="AI173" s="1328"/>
      <c r="AJ173" s="1328"/>
      <c r="AK173" s="1328"/>
      <c r="AL173" s="1328"/>
    </row>
    <row r="174" spans="1:38" s="1329" customFormat="1" ht="33" hidden="1" customHeight="1">
      <c r="A174" s="1319">
        <v>74</v>
      </c>
      <c r="B174" s="1319"/>
      <c r="C174" s="1330" t="str">
        <f>TONGHOPCONGDOI!C169</f>
        <v>Bợt</v>
      </c>
      <c r="D174" s="1319" t="s">
        <v>43</v>
      </c>
      <c r="E174" s="1321"/>
      <c r="F174" s="373"/>
      <c r="G174" s="373"/>
      <c r="H174" s="373"/>
      <c r="I174" s="373"/>
      <c r="J174" s="1322"/>
      <c r="K174" s="1323"/>
      <c r="L174" s="1324"/>
      <c r="M174" s="1325"/>
      <c r="N174" s="1325"/>
      <c r="O174" s="1325"/>
      <c r="P174" s="1325"/>
      <c r="Q174" s="1325"/>
      <c r="R174" s="1325"/>
      <c r="S174" s="1325"/>
      <c r="T174" s="1369"/>
      <c r="U174" s="1369"/>
      <c r="V174" s="1369"/>
      <c r="W174" s="1325"/>
      <c r="X174" s="1325">
        <f t="shared" si="14"/>
        <v>0</v>
      </c>
      <c r="Y174" s="373"/>
      <c r="Z174" s="1327">
        <f t="shared" si="15"/>
        <v>0</v>
      </c>
      <c r="AA174" s="373"/>
      <c r="AB174" s="373"/>
      <c r="AC174" s="1326"/>
      <c r="AD174" s="1456">
        <f t="shared" si="16"/>
        <v>74</v>
      </c>
      <c r="AE174" s="1328"/>
      <c r="AF174" s="1328"/>
      <c r="AG174" s="1328"/>
      <c r="AH174" s="1328"/>
      <c r="AI174" s="1328"/>
      <c r="AJ174" s="1328"/>
      <c r="AK174" s="1328"/>
      <c r="AL174" s="1328"/>
    </row>
    <row r="175" spans="1:38" s="1329" customFormat="1" ht="33" hidden="1" customHeight="1">
      <c r="A175" s="1319">
        <v>75</v>
      </c>
      <c r="B175" s="1319"/>
      <c r="C175" s="1330" t="str">
        <f>TONGHOPCONGDOI!C170</f>
        <v>Đức Văn</v>
      </c>
      <c r="D175" s="1319" t="s">
        <v>43</v>
      </c>
      <c r="E175" s="1321"/>
      <c r="F175" s="373"/>
      <c r="G175" s="373"/>
      <c r="H175" s="373"/>
      <c r="I175" s="373"/>
      <c r="J175" s="1322"/>
      <c r="K175" s="1323"/>
      <c r="L175" s="1324"/>
      <c r="M175" s="1325"/>
      <c r="N175" s="1325"/>
      <c r="O175" s="1325"/>
      <c r="P175" s="1325"/>
      <c r="Q175" s="1325"/>
      <c r="R175" s="1325"/>
      <c r="S175" s="1325"/>
      <c r="T175" s="1369"/>
      <c r="U175" s="1369"/>
      <c r="V175" s="1369"/>
      <c r="W175" s="1325"/>
      <c r="X175" s="1325">
        <f t="shared" si="14"/>
        <v>0</v>
      </c>
      <c r="Y175" s="373"/>
      <c r="Z175" s="1327">
        <f t="shared" si="15"/>
        <v>0</v>
      </c>
      <c r="AA175" s="373"/>
      <c r="AB175" s="373"/>
      <c r="AC175" s="1326"/>
      <c r="AD175" s="1456">
        <f t="shared" si="16"/>
        <v>75</v>
      </c>
      <c r="AE175" s="1328"/>
      <c r="AF175" s="1328"/>
      <c r="AG175" s="1328"/>
      <c r="AH175" s="1328"/>
      <c r="AI175" s="1328"/>
      <c r="AJ175" s="1328"/>
      <c r="AK175" s="1328"/>
      <c r="AL175" s="1328"/>
    </row>
    <row r="176" spans="1:38" s="1329" customFormat="1" ht="33" hidden="1" customHeight="1">
      <c r="A176" s="1319">
        <v>76</v>
      </c>
      <c r="B176" s="1319"/>
      <c r="C176" s="1330" t="str">
        <f>TONGHOPCONGDOI!C171</f>
        <v>A Van</v>
      </c>
      <c r="D176" s="1319" t="s">
        <v>43</v>
      </c>
      <c r="E176" s="1321"/>
      <c r="F176" s="373"/>
      <c r="G176" s="373"/>
      <c r="H176" s="373"/>
      <c r="I176" s="373"/>
      <c r="J176" s="1322"/>
      <c r="K176" s="1323"/>
      <c r="L176" s="1324"/>
      <c r="M176" s="1325"/>
      <c r="N176" s="1325"/>
      <c r="O176" s="1325"/>
      <c r="P176" s="1325"/>
      <c r="Q176" s="1325"/>
      <c r="R176" s="1325"/>
      <c r="S176" s="1325"/>
      <c r="T176" s="1369"/>
      <c r="U176" s="1369"/>
      <c r="V176" s="1369"/>
      <c r="W176" s="1325"/>
      <c r="X176" s="1325">
        <f t="shared" si="14"/>
        <v>0</v>
      </c>
      <c r="Y176" s="373"/>
      <c r="Z176" s="1327">
        <f t="shared" si="15"/>
        <v>0</v>
      </c>
      <c r="AA176" s="373"/>
      <c r="AB176" s="373"/>
      <c r="AC176" s="1326"/>
      <c r="AD176" s="1456">
        <f t="shared" si="16"/>
        <v>76</v>
      </c>
      <c r="AE176" s="1328"/>
      <c r="AF176" s="1328"/>
      <c r="AG176" s="1328"/>
      <c r="AH176" s="1328"/>
      <c r="AI176" s="1328"/>
      <c r="AJ176" s="1328"/>
      <c r="AK176" s="1328"/>
      <c r="AL176" s="1328"/>
    </row>
    <row r="177" spans="1:38" s="1329" customFormat="1" ht="33" hidden="1" customHeight="1">
      <c r="A177" s="1319">
        <v>77</v>
      </c>
      <c r="B177" s="1319"/>
      <c r="C177" s="1330" t="str">
        <f>TONGHOPCONGDOI!C172</f>
        <v>A thít</v>
      </c>
      <c r="D177" s="1319" t="s">
        <v>43</v>
      </c>
      <c r="E177" s="1321"/>
      <c r="F177" s="373"/>
      <c r="G177" s="373"/>
      <c r="H177" s="373"/>
      <c r="I177" s="373"/>
      <c r="J177" s="1322"/>
      <c r="K177" s="1323"/>
      <c r="L177" s="1324"/>
      <c r="M177" s="1325"/>
      <c r="N177" s="1325"/>
      <c r="O177" s="1325"/>
      <c r="P177" s="1325"/>
      <c r="Q177" s="1325"/>
      <c r="R177" s="1325"/>
      <c r="S177" s="1325"/>
      <c r="T177" s="1369"/>
      <c r="U177" s="1369"/>
      <c r="V177" s="1369"/>
      <c r="W177" s="1325"/>
      <c r="X177" s="1325">
        <f t="shared" si="14"/>
        <v>0</v>
      </c>
      <c r="Y177" s="373"/>
      <c r="Z177" s="1327">
        <f t="shared" si="15"/>
        <v>0</v>
      </c>
      <c r="AA177" s="373"/>
      <c r="AB177" s="373"/>
      <c r="AC177" s="1326"/>
      <c r="AD177" s="1456">
        <f t="shared" si="16"/>
        <v>77</v>
      </c>
      <c r="AE177" s="1328"/>
      <c r="AF177" s="1328"/>
      <c r="AG177" s="1328"/>
      <c r="AH177" s="1328"/>
      <c r="AI177" s="1328"/>
      <c r="AJ177" s="1328"/>
      <c r="AK177" s="1328"/>
      <c r="AL177" s="1328"/>
    </row>
    <row r="178" spans="1:38" s="1329" customFormat="1" ht="33" hidden="1" customHeight="1">
      <c r="A178" s="1319">
        <v>78</v>
      </c>
      <c r="B178" s="1319"/>
      <c r="C178" s="1330" t="str">
        <f>TONGHOPCONGDOI!C173</f>
        <v>Món</v>
      </c>
      <c r="D178" s="1319" t="s">
        <v>43</v>
      </c>
      <c r="E178" s="1321"/>
      <c r="F178" s="373"/>
      <c r="G178" s="373"/>
      <c r="H178" s="373"/>
      <c r="I178" s="373"/>
      <c r="J178" s="1322"/>
      <c r="K178" s="1323"/>
      <c r="L178" s="1324"/>
      <c r="M178" s="1325"/>
      <c r="N178" s="1325"/>
      <c r="O178" s="1325"/>
      <c r="P178" s="1325"/>
      <c r="Q178" s="1325"/>
      <c r="R178" s="1325"/>
      <c r="S178" s="1325"/>
      <c r="T178" s="1369"/>
      <c r="U178" s="1369"/>
      <c r="V178" s="1369"/>
      <c r="W178" s="1325"/>
      <c r="X178" s="1325">
        <f t="shared" si="14"/>
        <v>0</v>
      </c>
      <c r="Y178" s="373"/>
      <c r="Z178" s="1327">
        <f t="shared" si="15"/>
        <v>0</v>
      </c>
      <c r="AA178" s="373"/>
      <c r="AB178" s="373"/>
      <c r="AC178" s="1326"/>
      <c r="AD178" s="1456">
        <f t="shared" si="16"/>
        <v>78</v>
      </c>
      <c r="AE178" s="1328"/>
      <c r="AF178" s="1328"/>
      <c r="AG178" s="1328"/>
      <c r="AH178" s="1328"/>
      <c r="AI178" s="1328"/>
      <c r="AJ178" s="1328"/>
      <c r="AK178" s="1328"/>
      <c r="AL178" s="1328"/>
    </row>
    <row r="179" spans="1:38" s="1329" customFormat="1" ht="33" hidden="1" customHeight="1">
      <c r="A179" s="1319">
        <v>79</v>
      </c>
      <c r="B179" s="1319"/>
      <c r="C179" s="1330" t="str">
        <f>TONGHOPCONGDOI!C174</f>
        <v>A tèng</v>
      </c>
      <c r="D179" s="1319" t="s">
        <v>43</v>
      </c>
      <c r="E179" s="1321"/>
      <c r="F179" s="373"/>
      <c r="G179" s="373"/>
      <c r="H179" s="373"/>
      <c r="I179" s="373"/>
      <c r="J179" s="1322"/>
      <c r="K179" s="1323"/>
      <c r="L179" s="1324"/>
      <c r="M179" s="1325"/>
      <c r="N179" s="1325"/>
      <c r="O179" s="1325"/>
      <c r="P179" s="1325"/>
      <c r="Q179" s="1325"/>
      <c r="R179" s="1325"/>
      <c r="S179" s="1325"/>
      <c r="T179" s="1369"/>
      <c r="U179" s="1369"/>
      <c r="V179" s="1369"/>
      <c r="W179" s="1325"/>
      <c r="X179" s="1325">
        <f t="shared" si="14"/>
        <v>0</v>
      </c>
      <c r="Y179" s="373"/>
      <c r="Z179" s="1327">
        <f t="shared" si="15"/>
        <v>0</v>
      </c>
      <c r="AA179" s="373"/>
      <c r="AB179" s="373"/>
      <c r="AC179" s="1326"/>
      <c r="AD179" s="1456">
        <f t="shared" si="16"/>
        <v>79</v>
      </c>
      <c r="AE179" s="1328"/>
      <c r="AF179" s="1328"/>
      <c r="AG179" s="1328"/>
      <c r="AH179" s="1328"/>
      <c r="AI179" s="1328"/>
      <c r="AJ179" s="1328"/>
      <c r="AK179" s="1328"/>
      <c r="AL179" s="1328"/>
    </row>
    <row r="180" spans="1:38" s="1329" customFormat="1" ht="33" hidden="1" customHeight="1">
      <c r="A180" s="1319">
        <v>80</v>
      </c>
      <c r="B180" s="1319"/>
      <c r="C180" s="1330" t="str">
        <f>TONGHOPCONGDOI!C175</f>
        <v xml:space="preserve">Đao </v>
      </c>
      <c r="D180" s="1319" t="s">
        <v>43</v>
      </c>
      <c r="E180" s="1321"/>
      <c r="F180" s="373"/>
      <c r="G180" s="373"/>
      <c r="H180" s="373"/>
      <c r="I180" s="373"/>
      <c r="J180" s="1322"/>
      <c r="K180" s="1323"/>
      <c r="L180" s="1324"/>
      <c r="M180" s="1325"/>
      <c r="N180" s="1325"/>
      <c r="O180" s="1325"/>
      <c r="P180" s="1325"/>
      <c r="Q180" s="1325"/>
      <c r="R180" s="1325"/>
      <c r="S180" s="1325"/>
      <c r="T180" s="1369"/>
      <c r="U180" s="1369"/>
      <c r="V180" s="1369"/>
      <c r="W180" s="1325"/>
      <c r="X180" s="1325">
        <f t="shared" si="14"/>
        <v>0</v>
      </c>
      <c r="Y180" s="373"/>
      <c r="Z180" s="1327">
        <f t="shared" ref="Z180" si="17">X180</f>
        <v>0</v>
      </c>
      <c r="AA180" s="373"/>
      <c r="AB180" s="373"/>
      <c r="AC180" s="1326"/>
      <c r="AD180" s="1456">
        <f t="shared" si="16"/>
        <v>80</v>
      </c>
      <c r="AE180" s="1328"/>
      <c r="AF180" s="1328"/>
      <c r="AG180" s="1328"/>
      <c r="AH180" s="1328"/>
      <c r="AI180" s="1328"/>
      <c r="AJ180" s="1328"/>
      <c r="AK180" s="1328"/>
      <c r="AL180" s="1328"/>
    </row>
    <row r="181" spans="1:38" s="1329" customFormat="1" ht="33" hidden="1" customHeight="1">
      <c r="A181" s="1319">
        <v>81</v>
      </c>
      <c r="B181" s="1319"/>
      <c r="C181" s="1330" t="str">
        <f>TONGHOPCONGDOI!C176</f>
        <v>Lôn</v>
      </c>
      <c r="D181" s="1319" t="s">
        <v>43</v>
      </c>
      <c r="E181" s="1321"/>
      <c r="F181" s="373"/>
      <c r="G181" s="373"/>
      <c r="H181" s="373"/>
      <c r="I181" s="373"/>
      <c r="J181" s="1322"/>
      <c r="K181" s="1323"/>
      <c r="L181" s="1324"/>
      <c r="M181" s="1325"/>
      <c r="N181" s="1325"/>
      <c r="O181" s="1325"/>
      <c r="P181" s="1325"/>
      <c r="Q181" s="1325"/>
      <c r="R181" s="1325"/>
      <c r="S181" s="1325"/>
      <c r="T181" s="1369"/>
      <c r="U181" s="1369"/>
      <c r="V181" s="1369"/>
      <c r="W181" s="1325"/>
      <c r="X181" s="1325">
        <f t="shared" si="14"/>
        <v>0</v>
      </c>
      <c r="Y181" s="373"/>
      <c r="Z181" s="1327">
        <f t="shared" ref="Z181:Z183" si="18">X181</f>
        <v>0</v>
      </c>
      <c r="AA181" s="373"/>
      <c r="AB181" s="373"/>
      <c r="AC181" s="1326"/>
      <c r="AD181" s="1456">
        <f t="shared" si="16"/>
        <v>81</v>
      </c>
      <c r="AE181" s="1328"/>
      <c r="AF181" s="1328"/>
      <c r="AG181" s="1328"/>
      <c r="AH181" s="1328"/>
      <c r="AI181" s="1328"/>
      <c r="AJ181" s="1328"/>
      <c r="AK181" s="1328"/>
      <c r="AL181" s="1328"/>
    </row>
    <row r="182" spans="1:38" s="1329" customFormat="1" ht="33" hidden="1" customHeight="1">
      <c r="A182" s="1319">
        <v>82</v>
      </c>
      <c r="B182" s="1319"/>
      <c r="C182" s="1330" t="str">
        <f>TONGHOPCONGDOI!C177</f>
        <v>Phay</v>
      </c>
      <c r="D182" s="1319" t="s">
        <v>43</v>
      </c>
      <c r="E182" s="1321"/>
      <c r="F182" s="373"/>
      <c r="G182" s="373"/>
      <c r="H182" s="373"/>
      <c r="I182" s="373"/>
      <c r="J182" s="1322"/>
      <c r="K182" s="1323"/>
      <c r="L182" s="1324"/>
      <c r="M182" s="1325"/>
      <c r="N182" s="1325"/>
      <c r="O182" s="1325"/>
      <c r="P182" s="1325"/>
      <c r="Q182" s="1325"/>
      <c r="R182" s="1325"/>
      <c r="S182" s="1325"/>
      <c r="T182" s="1369"/>
      <c r="U182" s="1369"/>
      <c r="V182" s="1369"/>
      <c r="W182" s="1325"/>
      <c r="X182" s="1325">
        <f t="shared" si="14"/>
        <v>0</v>
      </c>
      <c r="Y182" s="373"/>
      <c r="Z182" s="1327">
        <f t="shared" si="18"/>
        <v>0</v>
      </c>
      <c r="AA182" s="373"/>
      <c r="AB182" s="373"/>
      <c r="AC182" s="1326"/>
      <c r="AD182" s="1456">
        <f t="shared" si="16"/>
        <v>82</v>
      </c>
      <c r="AE182" s="1328"/>
      <c r="AF182" s="1328"/>
      <c r="AG182" s="1328"/>
      <c r="AH182" s="1328"/>
      <c r="AI182" s="1328"/>
      <c r="AJ182" s="1328"/>
      <c r="AK182" s="1328"/>
      <c r="AL182" s="1328"/>
    </row>
    <row r="183" spans="1:38" s="1329" customFormat="1" ht="33" hidden="1" customHeight="1">
      <c r="A183" s="1319">
        <v>83</v>
      </c>
      <c r="B183" s="1319"/>
      <c r="C183" s="1330" t="str">
        <f>TONGHOPCONGDOI!C178</f>
        <v xml:space="preserve">Chày </v>
      </c>
      <c r="D183" s="1319" t="s">
        <v>43</v>
      </c>
      <c r="E183" s="1321"/>
      <c r="F183" s="373"/>
      <c r="G183" s="373"/>
      <c r="H183" s="373"/>
      <c r="I183" s="373"/>
      <c r="J183" s="1322"/>
      <c r="K183" s="1323"/>
      <c r="L183" s="1324"/>
      <c r="M183" s="1325"/>
      <c r="N183" s="1325"/>
      <c r="O183" s="1325"/>
      <c r="P183" s="1325"/>
      <c r="Q183" s="1325"/>
      <c r="R183" s="1325"/>
      <c r="S183" s="1325"/>
      <c r="T183" s="1369"/>
      <c r="U183" s="1369"/>
      <c r="V183" s="1369"/>
      <c r="W183" s="1325"/>
      <c r="X183" s="1325">
        <f t="shared" si="14"/>
        <v>0</v>
      </c>
      <c r="Y183" s="373"/>
      <c r="Z183" s="1327">
        <f t="shared" si="18"/>
        <v>0</v>
      </c>
      <c r="AA183" s="373"/>
      <c r="AB183" s="373"/>
      <c r="AC183" s="1326"/>
      <c r="AD183" s="1456">
        <f t="shared" si="16"/>
        <v>83</v>
      </c>
      <c r="AE183" s="1328"/>
      <c r="AF183" s="1328"/>
      <c r="AG183" s="1328"/>
      <c r="AH183" s="1328"/>
      <c r="AI183" s="1328"/>
      <c r="AJ183" s="1328"/>
      <c r="AK183" s="1328"/>
      <c r="AL183" s="1328"/>
    </row>
    <row r="184" spans="1:38" s="1329" customFormat="1" ht="33" hidden="1" customHeight="1">
      <c r="A184" s="1319">
        <v>84</v>
      </c>
      <c r="B184" s="1319"/>
      <c r="C184" s="1330" t="str">
        <f>TONGHOPCONGDOI!C179</f>
        <v>Mày</v>
      </c>
      <c r="D184" s="1319" t="s">
        <v>43</v>
      </c>
      <c r="E184" s="1321"/>
      <c r="F184" s="373"/>
      <c r="G184" s="373"/>
      <c r="H184" s="373"/>
      <c r="I184" s="373"/>
      <c r="J184" s="1322"/>
      <c r="K184" s="1323"/>
      <c r="L184" s="1324"/>
      <c r="M184" s="1325"/>
      <c r="N184" s="1325"/>
      <c r="O184" s="1325"/>
      <c r="P184" s="1325"/>
      <c r="Q184" s="1325"/>
      <c r="R184" s="1325"/>
      <c r="S184" s="1325"/>
      <c r="T184" s="1369"/>
      <c r="U184" s="1369"/>
      <c r="V184" s="1369"/>
      <c r="W184" s="1325"/>
      <c r="X184" s="1325">
        <f t="shared" ref="X184:X185" si="19">F184+L184+W184</f>
        <v>0</v>
      </c>
      <c r="Y184" s="373"/>
      <c r="Z184" s="1327">
        <f t="shared" ref="Z184:Z185" si="20">X184</f>
        <v>0</v>
      </c>
      <c r="AA184" s="373"/>
      <c r="AB184" s="373"/>
      <c r="AC184" s="1326"/>
      <c r="AD184" s="1456"/>
      <c r="AE184" s="1328"/>
      <c r="AF184" s="1328"/>
      <c r="AG184" s="1328"/>
      <c r="AH184" s="1328"/>
      <c r="AI184" s="1328"/>
      <c r="AJ184" s="1328"/>
      <c r="AK184" s="1328"/>
      <c r="AL184" s="1328"/>
    </row>
    <row r="185" spans="1:38" s="1329" customFormat="1" ht="33" hidden="1" customHeight="1">
      <c r="A185" s="1319">
        <v>74</v>
      </c>
      <c r="B185" s="1319"/>
      <c r="C185" s="1330" t="str">
        <f>TONGHOPCONGDOI!C180</f>
        <v>Mủ Xi Rum</v>
      </c>
      <c r="D185" s="1319"/>
      <c r="E185" s="1321"/>
      <c r="F185" s="373"/>
      <c r="G185" s="373"/>
      <c r="H185" s="373"/>
      <c r="I185" s="373"/>
      <c r="J185" s="1322"/>
      <c r="K185" s="1323"/>
      <c r="L185" s="1324"/>
      <c r="M185" s="1325"/>
      <c r="N185" s="1325"/>
      <c r="O185" s="1325"/>
      <c r="P185" s="1325"/>
      <c r="Q185" s="1325"/>
      <c r="R185" s="1325"/>
      <c r="S185" s="1325"/>
      <c r="T185" s="1369"/>
      <c r="U185" s="1369"/>
      <c r="V185" s="1369"/>
      <c r="W185" s="1325"/>
      <c r="X185" s="1325">
        <f t="shared" si="19"/>
        <v>0</v>
      </c>
      <c r="Y185" s="373"/>
      <c r="Z185" s="1327">
        <f t="shared" si="20"/>
        <v>0</v>
      </c>
      <c r="AA185" s="373"/>
      <c r="AB185" s="373"/>
      <c r="AC185" s="1326"/>
      <c r="AD185" s="1456"/>
      <c r="AE185" s="1328"/>
      <c r="AF185" s="1328"/>
      <c r="AG185" s="1328"/>
      <c r="AH185" s="1328"/>
      <c r="AI185" s="1328"/>
      <c r="AJ185" s="1328"/>
      <c r="AK185" s="1328"/>
      <c r="AL185" s="1328"/>
    </row>
    <row r="186" spans="1:38" s="1329" customFormat="1" ht="33" hidden="1" customHeight="1">
      <c r="A186" s="1319">
        <v>86</v>
      </c>
      <c r="B186" s="1319"/>
      <c r="C186" s="1330" t="str">
        <f>TONGHOPCONGDOI!C181</f>
        <v>Say ủi</v>
      </c>
      <c r="D186" s="1319"/>
      <c r="E186" s="1321">
        <f>VLOOKUP(C186,TONGHOPCONGDOI!C181:Q241,15,0)</f>
        <v>0</v>
      </c>
      <c r="F186" s="373">
        <f t="shared" ref="F186:F188" si="21">E186*25000</f>
        <v>0</v>
      </c>
      <c r="G186" s="373"/>
      <c r="H186" s="373"/>
      <c r="I186" s="373"/>
      <c r="J186" s="1322"/>
      <c r="K186" s="1323"/>
      <c r="L186" s="1324"/>
      <c r="M186" s="1325"/>
      <c r="N186" s="1325"/>
      <c r="O186" s="1325"/>
      <c r="P186" s="1325"/>
      <c r="Q186" s="1325"/>
      <c r="R186" s="1325"/>
      <c r="S186" s="1325"/>
      <c r="T186" s="1369"/>
      <c r="U186" s="1369"/>
      <c r="V186" s="1369"/>
      <c r="W186" s="1325"/>
      <c r="X186" s="1325">
        <f t="shared" ref="X186:X188" si="22">F186+L186+W186</f>
        <v>0</v>
      </c>
      <c r="Y186" s="373"/>
      <c r="Z186" s="1327">
        <f t="shared" ref="Z186:Z188" si="23">X186</f>
        <v>0</v>
      </c>
      <c r="AA186" s="373"/>
      <c r="AB186" s="373"/>
      <c r="AC186" s="1326"/>
      <c r="AD186" s="1456"/>
      <c r="AE186" s="1328"/>
      <c r="AF186" s="1328"/>
      <c r="AG186" s="1328"/>
      <c r="AH186" s="1328"/>
      <c r="AI186" s="1328"/>
      <c r="AJ186" s="1328"/>
      <c r="AK186" s="1328"/>
      <c r="AL186" s="1328"/>
    </row>
    <row r="187" spans="1:38" s="1329" customFormat="1" ht="33" customHeight="1">
      <c r="A187" s="1319">
        <v>1</v>
      </c>
      <c r="B187" s="1319"/>
      <c r="C187" s="1330" t="str">
        <f>TONGHOPCONGDOI!C182</f>
        <v>Kỷ</v>
      </c>
      <c r="D187" s="1319" t="s">
        <v>43</v>
      </c>
      <c r="E187" s="1321">
        <f>VLOOKUP(C187,TONGHOPCONGDOI!C182:Q242,15,0)</f>
        <v>3852.99</v>
      </c>
      <c r="F187" s="684">
        <f>ROUND(E187*25000,0)+1</f>
        <v>96324751</v>
      </c>
      <c r="G187" s="373"/>
      <c r="H187" s="373"/>
      <c r="I187" s="373"/>
      <c r="J187" s="1322"/>
      <c r="K187" s="1323"/>
      <c r="L187" s="1324"/>
      <c r="M187" s="1325"/>
      <c r="N187" s="1325"/>
      <c r="O187" s="1325"/>
      <c r="P187" s="1325"/>
      <c r="Q187" s="1325"/>
      <c r="R187" s="1325"/>
      <c r="S187" s="1325"/>
      <c r="T187" s="1369"/>
      <c r="U187" s="1369"/>
      <c r="V187" s="1369"/>
      <c r="W187" s="1325"/>
      <c r="X187" s="1325">
        <f t="shared" si="22"/>
        <v>96324751</v>
      </c>
      <c r="Y187" s="373"/>
      <c r="Z187" s="1327">
        <f t="shared" si="23"/>
        <v>96324751</v>
      </c>
      <c r="AA187" s="373"/>
      <c r="AB187" s="373"/>
      <c r="AC187" s="1326"/>
      <c r="AD187" s="1456">
        <f t="shared" si="16"/>
        <v>1</v>
      </c>
      <c r="AE187" s="1328"/>
      <c r="AF187" s="1328"/>
      <c r="AG187" s="1328"/>
      <c r="AH187" s="1328"/>
      <c r="AI187" s="1328"/>
      <c r="AJ187" s="1328"/>
      <c r="AK187" s="1328"/>
      <c r="AL187" s="1328"/>
    </row>
    <row r="188" spans="1:38" s="1329" customFormat="1" ht="33" hidden="1" customHeight="1">
      <c r="A188" s="1319">
        <v>88</v>
      </c>
      <c r="B188" s="1319"/>
      <c r="C188" s="1330" t="str">
        <f>TONGHOPCONGDOI!C183</f>
        <v>Say</v>
      </c>
      <c r="D188" s="1319" t="s">
        <v>765</v>
      </c>
      <c r="E188" s="1321">
        <f>VLOOKUP(C188,TONGHOPCONGDOI!C183:Q243,15,0)</f>
        <v>0</v>
      </c>
      <c r="F188" s="373">
        <f t="shared" si="21"/>
        <v>0</v>
      </c>
      <c r="G188" s="373"/>
      <c r="H188" s="373"/>
      <c r="I188" s="373"/>
      <c r="J188" s="1322"/>
      <c r="K188" s="1323"/>
      <c r="L188" s="1324"/>
      <c r="M188" s="1325"/>
      <c r="N188" s="1325"/>
      <c r="O188" s="1325"/>
      <c r="P188" s="1325"/>
      <c r="Q188" s="1325"/>
      <c r="R188" s="1325"/>
      <c r="S188" s="1325"/>
      <c r="T188" s="1369"/>
      <c r="U188" s="1369"/>
      <c r="V188" s="1369"/>
      <c r="W188" s="1325"/>
      <c r="X188" s="1325">
        <f t="shared" si="22"/>
        <v>0</v>
      </c>
      <c r="Y188" s="373"/>
      <c r="Z188" s="1327">
        <f t="shared" si="23"/>
        <v>0</v>
      </c>
      <c r="AA188" s="373"/>
      <c r="AB188" s="373"/>
      <c r="AC188" s="1326"/>
      <c r="AD188" s="1456">
        <f t="shared" si="16"/>
        <v>88</v>
      </c>
      <c r="AE188" s="1328"/>
      <c r="AF188" s="1328"/>
      <c r="AG188" s="1328"/>
      <c r="AH188" s="1328"/>
      <c r="AI188" s="1328"/>
      <c r="AJ188" s="1328"/>
      <c r="AK188" s="1328"/>
      <c r="AL188" s="1328"/>
    </row>
    <row r="189" spans="1:38" s="1329" customFormat="1" ht="33" customHeight="1">
      <c r="A189" s="1573" t="s">
        <v>144</v>
      </c>
      <c r="B189" s="2035" t="s">
        <v>135</v>
      </c>
      <c r="C189" s="2035"/>
      <c r="D189" s="2035"/>
      <c r="E189" s="1318">
        <f>SUM(E190:E254)</f>
        <v>3218.16</v>
      </c>
      <c r="F189" s="1318">
        <f t="shared" ref="F189:Z189" si="24">SUM(F190:F254)</f>
        <v>80454001</v>
      </c>
      <c r="G189" s="1318"/>
      <c r="H189" s="1318"/>
      <c r="I189" s="1318"/>
      <c r="J189" s="1318"/>
      <c r="K189" s="1318"/>
      <c r="L189" s="1318"/>
      <c r="M189" s="1318"/>
      <c r="N189" s="1318"/>
      <c r="O189" s="1318"/>
      <c r="P189" s="1318"/>
      <c r="Q189" s="1318"/>
      <c r="R189" s="1318"/>
      <c r="S189" s="1318"/>
      <c r="T189" s="1318"/>
      <c r="U189" s="1318"/>
      <c r="V189" s="1318"/>
      <c r="W189" s="1318"/>
      <c r="X189" s="1318">
        <f t="shared" si="24"/>
        <v>80454001</v>
      </c>
      <c r="Y189" s="1318">
        <f t="shared" si="24"/>
        <v>0</v>
      </c>
      <c r="Z189" s="1318">
        <f t="shared" si="24"/>
        <v>80454001</v>
      </c>
      <c r="AA189" s="1318" t="e">
        <f>#REF!+#REF!+#REF!</f>
        <v>#REF!</v>
      </c>
      <c r="AB189" s="1318"/>
      <c r="AC189" s="1326"/>
      <c r="AD189" s="1456" t="str">
        <f t="shared" si="16"/>
        <v>III</v>
      </c>
      <c r="AE189" s="1328"/>
      <c r="AF189" s="1328"/>
      <c r="AG189" s="1328"/>
      <c r="AH189" s="1328"/>
      <c r="AI189" s="1328"/>
      <c r="AJ189" s="1328"/>
      <c r="AK189" s="1328"/>
      <c r="AL189" s="1328"/>
    </row>
    <row r="190" spans="1:38" s="1329" customFormat="1" ht="33" hidden="1" customHeight="1">
      <c r="A190" s="1330">
        <v>1</v>
      </c>
      <c r="B190" s="1330" t="str">
        <f>'Chấm công KT'!D177</f>
        <v>03588</v>
      </c>
      <c r="C190" s="1330" t="str">
        <f>TONGHOPCONGDOI!C185</f>
        <v>T.Son say A</v>
      </c>
      <c r="D190" s="1330" t="s">
        <v>43</v>
      </c>
      <c r="E190" s="1331"/>
      <c r="F190" s="373"/>
      <c r="G190" s="373"/>
      <c r="H190" s="373"/>
      <c r="I190" s="373"/>
      <c r="J190" s="1322"/>
      <c r="K190" s="1323"/>
      <c r="L190" s="1324"/>
      <c r="M190" s="1325"/>
      <c r="N190" s="1325"/>
      <c r="O190" s="1325"/>
      <c r="P190" s="1325"/>
      <c r="Q190" s="1325"/>
      <c r="R190" s="1325"/>
      <c r="S190" s="1325"/>
      <c r="T190" s="1369"/>
      <c r="U190" s="1369"/>
      <c r="V190" s="1369"/>
      <c r="W190" s="1325"/>
      <c r="X190" s="1325">
        <f t="shared" ref="X190:X221" si="25">F190+L190+W190</f>
        <v>0</v>
      </c>
      <c r="Y190" s="1332"/>
      <c r="Z190" s="1327">
        <f t="shared" ref="Z190:Z250" si="26">X190-Y190</f>
        <v>0</v>
      </c>
      <c r="AA190" s="373"/>
      <c r="AB190" s="373"/>
      <c r="AC190" s="1326"/>
      <c r="AD190" s="1456">
        <f t="shared" si="16"/>
        <v>1</v>
      </c>
      <c r="AE190" s="1328"/>
      <c r="AF190" s="1328"/>
      <c r="AG190" s="1328"/>
      <c r="AH190" s="1328"/>
      <c r="AI190" s="1328"/>
      <c r="AJ190" s="1328"/>
      <c r="AK190" s="1328"/>
      <c r="AL190" s="1328"/>
    </row>
    <row r="191" spans="1:38" s="1329" customFormat="1" ht="33" hidden="1" customHeight="1">
      <c r="A191" s="1330">
        <v>2</v>
      </c>
      <c r="B191" s="1330" t="str">
        <f>'Chấm công KT'!D178</f>
        <v>03466</v>
      </c>
      <c r="C191" s="1330" t="str">
        <f>TONGHOPCONGDOI!C186</f>
        <v>N. Keo</v>
      </c>
      <c r="D191" s="1330" t="s">
        <v>43</v>
      </c>
      <c r="E191" s="1331"/>
      <c r="F191" s="373"/>
      <c r="G191" s="373"/>
      <c r="H191" s="373"/>
      <c r="I191" s="373"/>
      <c r="J191" s="1322"/>
      <c r="K191" s="1323"/>
      <c r="L191" s="1324"/>
      <c r="M191" s="1325"/>
      <c r="N191" s="1325"/>
      <c r="O191" s="1325"/>
      <c r="P191" s="1325"/>
      <c r="Q191" s="1325"/>
      <c r="R191" s="1325"/>
      <c r="S191" s="1325"/>
      <c r="T191" s="1369"/>
      <c r="U191" s="1369"/>
      <c r="V191" s="1369"/>
      <c r="W191" s="1325"/>
      <c r="X191" s="1325">
        <f t="shared" si="25"/>
        <v>0</v>
      </c>
      <c r="Y191" s="1332"/>
      <c r="Z191" s="1327">
        <f t="shared" si="26"/>
        <v>0</v>
      </c>
      <c r="AA191" s="373"/>
      <c r="AB191" s="373"/>
      <c r="AC191" s="1326"/>
      <c r="AD191" s="1456">
        <f t="shared" si="16"/>
        <v>2</v>
      </c>
      <c r="AE191" s="1328"/>
      <c r="AF191" s="1328"/>
      <c r="AG191" s="1328"/>
      <c r="AH191" s="1328"/>
      <c r="AI191" s="1328"/>
      <c r="AJ191" s="1328"/>
      <c r="AK191" s="1328"/>
      <c r="AL191" s="1328"/>
    </row>
    <row r="192" spans="1:38" s="1329" customFormat="1" ht="33" hidden="1" customHeight="1">
      <c r="A192" s="1330">
        <v>3</v>
      </c>
      <c r="B192" s="1330" t="str">
        <f>'Chấm công KT'!D179</f>
        <v>03590</v>
      </c>
      <c r="C192" s="1330" t="str">
        <f>TONGHOPCONGDOI!C187</f>
        <v>T .Nhum</v>
      </c>
      <c r="D192" s="1330" t="s">
        <v>43</v>
      </c>
      <c r="E192" s="1331"/>
      <c r="F192" s="373"/>
      <c r="G192" s="373"/>
      <c r="H192" s="373"/>
      <c r="I192" s="373"/>
      <c r="J192" s="1322"/>
      <c r="K192" s="1323"/>
      <c r="L192" s="1324"/>
      <c r="M192" s="1325"/>
      <c r="N192" s="1325"/>
      <c r="O192" s="1325"/>
      <c r="P192" s="1325"/>
      <c r="Q192" s="1325"/>
      <c r="R192" s="1325"/>
      <c r="S192" s="1325"/>
      <c r="T192" s="1369"/>
      <c r="U192" s="1369"/>
      <c r="V192" s="1369"/>
      <c r="W192" s="1325"/>
      <c r="X192" s="1325">
        <f t="shared" si="25"/>
        <v>0</v>
      </c>
      <c r="Y192" s="1332"/>
      <c r="Z192" s="1327">
        <f t="shared" si="26"/>
        <v>0</v>
      </c>
      <c r="AA192" s="373"/>
      <c r="AB192" s="373"/>
      <c r="AC192" s="1326"/>
      <c r="AD192" s="1456">
        <f t="shared" si="16"/>
        <v>3</v>
      </c>
      <c r="AE192" s="1328"/>
      <c r="AF192" s="1328"/>
      <c r="AG192" s="1328"/>
      <c r="AH192" s="1328"/>
      <c r="AI192" s="1328"/>
      <c r="AJ192" s="1328"/>
      <c r="AK192" s="1328"/>
      <c r="AL192" s="1328"/>
    </row>
    <row r="193" spans="1:38" s="1329" customFormat="1" ht="33" hidden="1" customHeight="1">
      <c r="A193" s="1330">
        <v>4</v>
      </c>
      <c r="B193" s="1330" t="str">
        <f>'Chấm công KT'!D180</f>
        <v>03591</v>
      </c>
      <c r="C193" s="1330" t="str">
        <f>TONGHOPCONGDOI!C188</f>
        <v>N.Vông Ma Ni</v>
      </c>
      <c r="D193" s="1330" t="s">
        <v>43</v>
      </c>
      <c r="E193" s="1331"/>
      <c r="F193" s="373"/>
      <c r="G193" s="373"/>
      <c r="H193" s="373"/>
      <c r="I193" s="373"/>
      <c r="J193" s="1322"/>
      <c r="K193" s="1323"/>
      <c r="L193" s="1324"/>
      <c r="M193" s="1325"/>
      <c r="N193" s="1325"/>
      <c r="O193" s="1325"/>
      <c r="P193" s="1325"/>
      <c r="Q193" s="1325"/>
      <c r="R193" s="1325"/>
      <c r="S193" s="1325"/>
      <c r="T193" s="1369"/>
      <c r="U193" s="1369"/>
      <c r="V193" s="1369"/>
      <c r="W193" s="1325"/>
      <c r="X193" s="1325">
        <f t="shared" si="25"/>
        <v>0</v>
      </c>
      <c r="Y193" s="1332"/>
      <c r="Z193" s="1327">
        <f t="shared" si="26"/>
        <v>0</v>
      </c>
      <c r="AA193" s="373"/>
      <c r="AB193" s="373"/>
      <c r="AC193" s="1326"/>
      <c r="AD193" s="1456">
        <f t="shared" si="16"/>
        <v>4</v>
      </c>
      <c r="AE193" s="1328"/>
      <c r="AF193" s="1328"/>
      <c r="AG193" s="1328"/>
      <c r="AH193" s="1328"/>
      <c r="AI193" s="1328"/>
      <c r="AJ193" s="1328"/>
      <c r="AK193" s="1328"/>
      <c r="AL193" s="1328"/>
    </row>
    <row r="194" spans="1:38" s="1329" customFormat="1" ht="33" hidden="1" customHeight="1">
      <c r="A194" s="1330">
        <v>5</v>
      </c>
      <c r="B194" s="1330" t="str">
        <f>'Chấm công KT'!D181</f>
        <v>03592</v>
      </c>
      <c r="C194" s="1330" t="str">
        <f>TONGHOPCONGDOI!C189</f>
        <v>Đao Hương</v>
      </c>
      <c r="D194" s="1330" t="s">
        <v>43</v>
      </c>
      <c r="E194" s="1331"/>
      <c r="F194" s="373"/>
      <c r="G194" s="373"/>
      <c r="H194" s="373"/>
      <c r="I194" s="373"/>
      <c r="J194" s="1322"/>
      <c r="K194" s="1323"/>
      <c r="L194" s="1324"/>
      <c r="M194" s="1325"/>
      <c r="N194" s="1325"/>
      <c r="O194" s="1325"/>
      <c r="P194" s="1325"/>
      <c r="Q194" s="1325"/>
      <c r="R194" s="1325"/>
      <c r="S194" s="1325"/>
      <c r="T194" s="1369"/>
      <c r="U194" s="1369"/>
      <c r="V194" s="1369"/>
      <c r="W194" s="1325"/>
      <c r="X194" s="1325">
        <f t="shared" si="25"/>
        <v>0</v>
      </c>
      <c r="Y194" s="1332"/>
      <c r="Z194" s="1327">
        <f t="shared" si="26"/>
        <v>0</v>
      </c>
      <c r="AA194" s="373"/>
      <c r="AB194" s="373"/>
      <c r="AC194" s="1326"/>
      <c r="AD194" s="1456">
        <f t="shared" si="16"/>
        <v>5</v>
      </c>
      <c r="AE194" s="1328"/>
      <c r="AF194" s="1328"/>
      <c r="AG194" s="1328"/>
      <c r="AH194" s="1328"/>
      <c r="AI194" s="1328"/>
      <c r="AJ194" s="1328"/>
      <c r="AK194" s="1328"/>
      <c r="AL194" s="1328"/>
    </row>
    <row r="195" spans="1:38" s="1329" customFormat="1" ht="33" hidden="1" customHeight="1">
      <c r="A195" s="1330">
        <v>6</v>
      </c>
      <c r="B195" s="1330" t="str">
        <f>'Chấm công KT'!D182</f>
        <v>03593</v>
      </c>
      <c r="C195" s="1330" t="str">
        <f>TONGHOPCONGDOI!C190</f>
        <v>T. Xi Nun</v>
      </c>
      <c r="D195" s="1330" t="s">
        <v>43</v>
      </c>
      <c r="E195" s="1331"/>
      <c r="F195" s="373"/>
      <c r="G195" s="373"/>
      <c r="H195" s="373"/>
      <c r="I195" s="373"/>
      <c r="J195" s="1322"/>
      <c r="K195" s="1323"/>
      <c r="L195" s="1324"/>
      <c r="M195" s="1325"/>
      <c r="N195" s="1325"/>
      <c r="O195" s="1325"/>
      <c r="P195" s="1325"/>
      <c r="Q195" s="1325"/>
      <c r="R195" s="1325"/>
      <c r="S195" s="1325"/>
      <c r="T195" s="1369"/>
      <c r="U195" s="1369"/>
      <c r="V195" s="1369"/>
      <c r="W195" s="1325"/>
      <c r="X195" s="1325">
        <f t="shared" si="25"/>
        <v>0</v>
      </c>
      <c r="Y195" s="1332"/>
      <c r="Z195" s="1327">
        <f t="shared" si="26"/>
        <v>0</v>
      </c>
      <c r="AA195" s="373"/>
      <c r="AB195" s="373"/>
      <c r="AC195" s="1326"/>
      <c r="AD195" s="1456">
        <f t="shared" si="16"/>
        <v>6</v>
      </c>
      <c r="AE195" s="1328"/>
      <c r="AF195" s="1328"/>
      <c r="AG195" s="1328"/>
      <c r="AH195" s="1328"/>
      <c r="AI195" s="1328"/>
      <c r="AJ195" s="1328"/>
      <c r="AK195" s="1328"/>
      <c r="AL195" s="1328"/>
    </row>
    <row r="196" spans="1:38" s="1329" customFormat="1" ht="33" hidden="1" customHeight="1">
      <c r="A196" s="1330">
        <v>7</v>
      </c>
      <c r="B196" s="1330" t="str">
        <f>'Chấm công KT'!D183</f>
        <v>03594</v>
      </c>
      <c r="C196" s="1330" t="str">
        <f>TONGHOPCONGDOI!C191</f>
        <v>T. Bun Hinh</v>
      </c>
      <c r="D196" s="1330" t="s">
        <v>43</v>
      </c>
      <c r="E196" s="1331"/>
      <c r="F196" s="373"/>
      <c r="G196" s="373"/>
      <c r="H196" s="373"/>
      <c r="I196" s="373"/>
      <c r="J196" s="1322"/>
      <c r="K196" s="1323"/>
      <c r="L196" s="1324"/>
      <c r="M196" s="1325"/>
      <c r="N196" s="1325"/>
      <c r="O196" s="1325"/>
      <c r="P196" s="1325"/>
      <c r="Q196" s="1325"/>
      <c r="R196" s="1325"/>
      <c r="S196" s="1325"/>
      <c r="T196" s="1369"/>
      <c r="U196" s="1369"/>
      <c r="V196" s="1369"/>
      <c r="W196" s="1325"/>
      <c r="X196" s="1325">
        <f t="shared" si="25"/>
        <v>0</v>
      </c>
      <c r="Y196" s="1332"/>
      <c r="Z196" s="1327">
        <f t="shared" si="26"/>
        <v>0</v>
      </c>
      <c r="AA196" s="373"/>
      <c r="AB196" s="373"/>
      <c r="AC196" s="1326"/>
      <c r="AD196" s="1456">
        <f t="shared" si="16"/>
        <v>7</v>
      </c>
      <c r="AE196" s="1328"/>
      <c r="AF196" s="1328"/>
      <c r="AG196" s="1328"/>
      <c r="AH196" s="1328"/>
      <c r="AI196" s="1328"/>
      <c r="AJ196" s="1328"/>
      <c r="AK196" s="1328"/>
      <c r="AL196" s="1328"/>
    </row>
    <row r="197" spans="1:38" s="1329" customFormat="1" ht="33" hidden="1" customHeight="1">
      <c r="A197" s="1330">
        <v>8</v>
      </c>
      <c r="B197" s="1330" t="str">
        <f>'Chấm công KT'!D184</f>
        <v>03595</v>
      </c>
      <c r="C197" s="1330" t="str">
        <f>TONGHOPCONGDOI!C192</f>
        <v>N. Lăm</v>
      </c>
      <c r="D197" s="1330" t="s">
        <v>43</v>
      </c>
      <c r="E197" s="1331"/>
      <c r="F197" s="373"/>
      <c r="G197" s="373"/>
      <c r="H197" s="373"/>
      <c r="I197" s="373"/>
      <c r="J197" s="1322"/>
      <c r="K197" s="1323"/>
      <c r="L197" s="1324"/>
      <c r="M197" s="1325"/>
      <c r="N197" s="1325"/>
      <c r="O197" s="1325"/>
      <c r="P197" s="1325"/>
      <c r="Q197" s="1325"/>
      <c r="R197" s="1325"/>
      <c r="S197" s="1325"/>
      <c r="T197" s="1369"/>
      <c r="U197" s="1369"/>
      <c r="V197" s="1369"/>
      <c r="W197" s="1325"/>
      <c r="X197" s="1325">
        <f t="shared" si="25"/>
        <v>0</v>
      </c>
      <c r="Y197" s="1332"/>
      <c r="Z197" s="1327">
        <f t="shared" si="26"/>
        <v>0</v>
      </c>
      <c r="AA197" s="373"/>
      <c r="AB197" s="373"/>
      <c r="AC197" s="1326"/>
      <c r="AD197" s="1456">
        <f t="shared" si="16"/>
        <v>8</v>
      </c>
      <c r="AE197" s="1328"/>
      <c r="AF197" s="1328"/>
      <c r="AG197" s="1328"/>
      <c r="AH197" s="1328"/>
      <c r="AI197" s="1328"/>
      <c r="AJ197" s="1328"/>
      <c r="AK197" s="1328"/>
      <c r="AL197" s="1328"/>
    </row>
    <row r="198" spans="1:38" s="1329" customFormat="1" ht="33" hidden="1" customHeight="1">
      <c r="A198" s="1330">
        <v>9</v>
      </c>
      <c r="B198" s="1330" t="str">
        <f>'Chấm công KT'!D185</f>
        <v>03596</v>
      </c>
      <c r="C198" s="1330" t="str">
        <f>TONGHOPCONGDOI!C193</f>
        <v>N. Xúc</v>
      </c>
      <c r="D198" s="1330" t="s">
        <v>43</v>
      </c>
      <c r="E198" s="1331"/>
      <c r="F198" s="373"/>
      <c r="G198" s="373"/>
      <c r="H198" s="373"/>
      <c r="I198" s="373"/>
      <c r="J198" s="1322"/>
      <c r="K198" s="1323"/>
      <c r="L198" s="1324"/>
      <c r="M198" s="1325"/>
      <c r="N198" s="1325"/>
      <c r="O198" s="1325"/>
      <c r="P198" s="1325"/>
      <c r="Q198" s="1325"/>
      <c r="R198" s="1325"/>
      <c r="S198" s="1325"/>
      <c r="T198" s="1369"/>
      <c r="U198" s="1369"/>
      <c r="V198" s="1369"/>
      <c r="W198" s="1325"/>
      <c r="X198" s="1325">
        <f t="shared" si="25"/>
        <v>0</v>
      </c>
      <c r="Y198" s="1332"/>
      <c r="Z198" s="1327">
        <f t="shared" si="26"/>
        <v>0</v>
      </c>
      <c r="AA198" s="373"/>
      <c r="AB198" s="373"/>
      <c r="AC198" s="1326"/>
      <c r="AD198" s="1456">
        <f t="shared" si="16"/>
        <v>9</v>
      </c>
      <c r="AE198" s="1328"/>
      <c r="AF198" s="1328"/>
      <c r="AG198" s="1328"/>
      <c r="AH198" s="1328"/>
      <c r="AI198" s="1328"/>
      <c r="AJ198" s="1328"/>
      <c r="AK198" s="1328"/>
      <c r="AL198" s="1328"/>
    </row>
    <row r="199" spans="1:38" s="1329" customFormat="1" ht="33" hidden="1" customHeight="1">
      <c r="A199" s="1330">
        <v>10</v>
      </c>
      <c r="B199" s="1330" t="str">
        <f>'Chấm công KT'!D186</f>
        <v>03597</v>
      </c>
      <c r="C199" s="1330" t="str">
        <f>TONGHOPCONGDOI!C194</f>
        <v>N. Lẹ</v>
      </c>
      <c r="D199" s="1330" t="s">
        <v>43</v>
      </c>
      <c r="E199" s="1331"/>
      <c r="F199" s="373"/>
      <c r="G199" s="373"/>
      <c r="H199" s="373"/>
      <c r="I199" s="373"/>
      <c r="J199" s="1322"/>
      <c r="K199" s="1323"/>
      <c r="L199" s="1324"/>
      <c r="M199" s="1325"/>
      <c r="N199" s="1325"/>
      <c r="O199" s="1325"/>
      <c r="P199" s="1325"/>
      <c r="Q199" s="1325"/>
      <c r="R199" s="1325"/>
      <c r="S199" s="1325"/>
      <c r="T199" s="1369"/>
      <c r="U199" s="1369"/>
      <c r="V199" s="1369"/>
      <c r="W199" s="1325"/>
      <c r="X199" s="1325">
        <f t="shared" si="25"/>
        <v>0</v>
      </c>
      <c r="Y199" s="1332"/>
      <c r="Z199" s="1327">
        <f t="shared" si="26"/>
        <v>0</v>
      </c>
      <c r="AA199" s="373"/>
      <c r="AB199" s="373"/>
      <c r="AC199" s="1326"/>
      <c r="AD199" s="1456">
        <f t="shared" si="16"/>
        <v>10</v>
      </c>
      <c r="AE199" s="1328"/>
      <c r="AF199" s="1328"/>
      <c r="AG199" s="1328"/>
      <c r="AH199" s="1328"/>
      <c r="AI199" s="1328"/>
      <c r="AJ199" s="1328"/>
      <c r="AK199" s="1328"/>
      <c r="AL199" s="1328"/>
    </row>
    <row r="200" spans="1:38" s="1329" customFormat="1" ht="33" hidden="1" customHeight="1">
      <c r="A200" s="1330">
        <v>11</v>
      </c>
      <c r="B200" s="1330" t="str">
        <f>'Chấm công KT'!D187</f>
        <v>03598</v>
      </c>
      <c r="C200" s="1330" t="str">
        <f>TONGHOPCONGDOI!C195</f>
        <v>N . Thích</v>
      </c>
      <c r="D200" s="1330" t="s">
        <v>43</v>
      </c>
      <c r="E200" s="1331"/>
      <c r="F200" s="373"/>
      <c r="G200" s="373"/>
      <c r="H200" s="373"/>
      <c r="I200" s="373"/>
      <c r="J200" s="1322"/>
      <c r="K200" s="1323"/>
      <c r="L200" s="1324"/>
      <c r="M200" s="1325"/>
      <c r="N200" s="1325"/>
      <c r="O200" s="1325"/>
      <c r="P200" s="1325"/>
      <c r="Q200" s="1325"/>
      <c r="R200" s="1325"/>
      <c r="S200" s="1325"/>
      <c r="T200" s="1369"/>
      <c r="U200" s="1369"/>
      <c r="V200" s="1369"/>
      <c r="W200" s="1325"/>
      <c r="X200" s="1325">
        <f t="shared" si="25"/>
        <v>0</v>
      </c>
      <c r="Y200" s="1332"/>
      <c r="Z200" s="1327">
        <f t="shared" si="26"/>
        <v>0</v>
      </c>
      <c r="AA200" s="373"/>
      <c r="AB200" s="373"/>
      <c r="AC200" s="1326"/>
      <c r="AD200" s="1456">
        <f t="shared" si="16"/>
        <v>11</v>
      </c>
      <c r="AE200" s="1328"/>
      <c r="AF200" s="1328"/>
      <c r="AG200" s="1328"/>
      <c r="AH200" s="1328"/>
      <c r="AI200" s="1328"/>
      <c r="AJ200" s="1328"/>
      <c r="AK200" s="1328"/>
      <c r="AL200" s="1328"/>
    </row>
    <row r="201" spans="1:38" s="1329" customFormat="1" ht="33" hidden="1" customHeight="1">
      <c r="A201" s="1330">
        <v>12</v>
      </c>
      <c r="B201" s="1330" t="str">
        <f>'Chấm công KT'!D188</f>
        <v>03599</v>
      </c>
      <c r="C201" s="1330" t="str">
        <f>TONGHOPCONGDOI!C196</f>
        <v>N. Cong Mi</v>
      </c>
      <c r="D201" s="1330" t="s">
        <v>43</v>
      </c>
      <c r="E201" s="1331"/>
      <c r="F201" s="373"/>
      <c r="G201" s="373"/>
      <c r="H201" s="373"/>
      <c r="I201" s="373"/>
      <c r="J201" s="1322"/>
      <c r="K201" s="1323"/>
      <c r="L201" s="1324"/>
      <c r="M201" s="1325"/>
      <c r="N201" s="1325"/>
      <c r="O201" s="1325"/>
      <c r="P201" s="1325"/>
      <c r="Q201" s="1325"/>
      <c r="R201" s="1325"/>
      <c r="S201" s="1325"/>
      <c r="T201" s="1369"/>
      <c r="U201" s="1369"/>
      <c r="V201" s="1369"/>
      <c r="W201" s="1325"/>
      <c r="X201" s="1325">
        <f t="shared" si="25"/>
        <v>0</v>
      </c>
      <c r="Y201" s="1332"/>
      <c r="Z201" s="1327">
        <f t="shared" si="26"/>
        <v>0</v>
      </c>
      <c r="AA201" s="373"/>
      <c r="AB201" s="373"/>
      <c r="AC201" s="1326"/>
      <c r="AD201" s="1456">
        <f t="shared" si="16"/>
        <v>12</v>
      </c>
      <c r="AE201" s="1328"/>
      <c r="AF201" s="1328"/>
      <c r="AG201" s="1328"/>
      <c r="AH201" s="1328"/>
      <c r="AI201" s="1328"/>
      <c r="AJ201" s="1328"/>
      <c r="AK201" s="1328"/>
      <c r="AL201" s="1328"/>
    </row>
    <row r="202" spans="1:38" s="1329" customFormat="1" ht="33" hidden="1" customHeight="1">
      <c r="A202" s="1330">
        <v>13</v>
      </c>
      <c r="B202" s="1330" t="str">
        <f>'Chấm công KT'!D189</f>
        <v>03600</v>
      </c>
      <c r="C202" s="1330" t="str">
        <f>TONGHOPCONGDOI!C197</f>
        <v>T . Vay</v>
      </c>
      <c r="D202" s="1330" t="s">
        <v>43</v>
      </c>
      <c r="E202" s="1331"/>
      <c r="F202" s="373"/>
      <c r="G202" s="373"/>
      <c r="H202" s="373"/>
      <c r="I202" s="373"/>
      <c r="J202" s="1322"/>
      <c r="K202" s="1323"/>
      <c r="L202" s="1324"/>
      <c r="M202" s="1325"/>
      <c r="N202" s="1325"/>
      <c r="O202" s="1325"/>
      <c r="P202" s="1325"/>
      <c r="Q202" s="1325"/>
      <c r="R202" s="1325"/>
      <c r="S202" s="1325"/>
      <c r="T202" s="1369"/>
      <c r="U202" s="1369"/>
      <c r="V202" s="1369"/>
      <c r="W202" s="1325"/>
      <c r="X202" s="1325">
        <f t="shared" si="25"/>
        <v>0</v>
      </c>
      <c r="Y202" s="1332"/>
      <c r="Z202" s="1327">
        <f t="shared" si="26"/>
        <v>0</v>
      </c>
      <c r="AA202" s="373"/>
      <c r="AB202" s="373"/>
      <c r="AC202" s="1326"/>
      <c r="AD202" s="1456">
        <f t="shared" si="16"/>
        <v>13</v>
      </c>
      <c r="AE202" s="1328"/>
      <c r="AF202" s="1328"/>
      <c r="AG202" s="1328"/>
      <c r="AH202" s="1328"/>
      <c r="AI202" s="1328"/>
      <c r="AJ202" s="1328"/>
      <c r="AK202" s="1328"/>
      <c r="AL202" s="1328"/>
    </row>
    <row r="203" spans="1:38" s="1329" customFormat="1" ht="33" hidden="1" customHeight="1">
      <c r="A203" s="1330">
        <v>14</v>
      </c>
      <c r="B203" s="1330" t="str">
        <f>'Chấm công KT'!D190</f>
        <v>03601</v>
      </c>
      <c r="C203" s="1330" t="str">
        <f>TONGHOPCONGDOI!C198</f>
        <v>T. Khăm Mặn</v>
      </c>
      <c r="D203" s="1330" t="s">
        <v>43</v>
      </c>
      <c r="E203" s="1331"/>
      <c r="F203" s="373"/>
      <c r="G203" s="373"/>
      <c r="H203" s="373"/>
      <c r="I203" s="373"/>
      <c r="J203" s="1322"/>
      <c r="K203" s="1323"/>
      <c r="L203" s="1324"/>
      <c r="M203" s="1325"/>
      <c r="N203" s="1325"/>
      <c r="O203" s="1325"/>
      <c r="P203" s="1325"/>
      <c r="Q203" s="1325"/>
      <c r="R203" s="1325"/>
      <c r="S203" s="1325"/>
      <c r="T203" s="1369"/>
      <c r="U203" s="1369"/>
      <c r="V203" s="1369"/>
      <c r="W203" s="1325"/>
      <c r="X203" s="1325">
        <f t="shared" si="25"/>
        <v>0</v>
      </c>
      <c r="Y203" s="1332"/>
      <c r="Z203" s="1327">
        <f t="shared" si="26"/>
        <v>0</v>
      </c>
      <c r="AA203" s="373"/>
      <c r="AB203" s="373"/>
      <c r="AC203" s="1326"/>
      <c r="AD203" s="1456">
        <f t="shared" si="16"/>
        <v>14</v>
      </c>
      <c r="AE203" s="1328"/>
      <c r="AF203" s="1328"/>
      <c r="AG203" s="1328"/>
      <c r="AH203" s="1328"/>
      <c r="AI203" s="1328"/>
      <c r="AJ203" s="1328"/>
      <c r="AK203" s="1328"/>
      <c r="AL203" s="1328"/>
    </row>
    <row r="204" spans="1:38" s="1329" customFormat="1" ht="33" hidden="1" customHeight="1">
      <c r="A204" s="1330">
        <v>15</v>
      </c>
      <c r="B204" s="1330" t="str">
        <f>'Chấm công KT'!D191</f>
        <v>03602</v>
      </c>
      <c r="C204" s="1330" t="str">
        <f>TONGHOPCONGDOI!C199</f>
        <v>T . In Tong</v>
      </c>
      <c r="D204" s="1330" t="s">
        <v>43</v>
      </c>
      <c r="E204" s="1331"/>
      <c r="F204" s="373"/>
      <c r="G204" s="373"/>
      <c r="H204" s="373"/>
      <c r="I204" s="373"/>
      <c r="J204" s="1322"/>
      <c r="K204" s="1323"/>
      <c r="L204" s="1324"/>
      <c r="M204" s="1325"/>
      <c r="N204" s="1325"/>
      <c r="O204" s="1325"/>
      <c r="P204" s="1325"/>
      <c r="Q204" s="1325"/>
      <c r="R204" s="1325"/>
      <c r="S204" s="1325"/>
      <c r="T204" s="1369"/>
      <c r="U204" s="1369"/>
      <c r="V204" s="1369"/>
      <c r="W204" s="1325"/>
      <c r="X204" s="1325">
        <f t="shared" si="25"/>
        <v>0</v>
      </c>
      <c r="Y204" s="1332"/>
      <c r="Z204" s="1327">
        <f t="shared" si="26"/>
        <v>0</v>
      </c>
      <c r="AA204" s="373"/>
      <c r="AB204" s="373"/>
      <c r="AC204" s="1326"/>
      <c r="AD204" s="1456">
        <f t="shared" si="16"/>
        <v>15</v>
      </c>
      <c r="AE204" s="1328"/>
      <c r="AF204" s="1328"/>
      <c r="AG204" s="1328"/>
      <c r="AH204" s="1328"/>
      <c r="AI204" s="1328"/>
      <c r="AJ204" s="1328"/>
      <c r="AK204" s="1328"/>
      <c r="AL204" s="1328"/>
    </row>
    <row r="205" spans="1:38" s="1329" customFormat="1" ht="33" hidden="1" customHeight="1">
      <c r="A205" s="1330">
        <v>16</v>
      </c>
      <c r="B205" s="1330" t="str">
        <f>'Chấm công KT'!D192</f>
        <v>03603</v>
      </c>
      <c r="C205" s="1330" t="str">
        <f>TONGHOPCONGDOI!C200</f>
        <v>T. Sòn</v>
      </c>
      <c r="D205" s="1330" t="s">
        <v>43</v>
      </c>
      <c r="E205" s="1331"/>
      <c r="F205" s="373"/>
      <c r="G205" s="373"/>
      <c r="H205" s="373"/>
      <c r="I205" s="373"/>
      <c r="J205" s="1322"/>
      <c r="K205" s="1323"/>
      <c r="L205" s="1324"/>
      <c r="M205" s="1325"/>
      <c r="N205" s="1325"/>
      <c r="O205" s="1325"/>
      <c r="P205" s="1325"/>
      <c r="Q205" s="1325"/>
      <c r="R205" s="1325"/>
      <c r="S205" s="1325"/>
      <c r="T205" s="1369"/>
      <c r="U205" s="1369"/>
      <c r="V205" s="1369"/>
      <c r="W205" s="1325"/>
      <c r="X205" s="1325">
        <f t="shared" si="25"/>
        <v>0</v>
      </c>
      <c r="Y205" s="1332"/>
      <c r="Z205" s="1327">
        <f t="shared" si="26"/>
        <v>0</v>
      </c>
      <c r="AA205" s="373"/>
      <c r="AB205" s="373"/>
      <c r="AC205" s="1326"/>
      <c r="AD205" s="1456">
        <f t="shared" si="16"/>
        <v>16</v>
      </c>
      <c r="AE205" s="1328"/>
      <c r="AF205" s="1328"/>
      <c r="AG205" s="1328"/>
      <c r="AH205" s="1328"/>
      <c r="AI205" s="1328"/>
      <c r="AJ205" s="1328"/>
      <c r="AK205" s="1328"/>
      <c r="AL205" s="1328"/>
    </row>
    <row r="206" spans="1:38" s="1329" customFormat="1" ht="33" hidden="1" customHeight="1">
      <c r="A206" s="1330">
        <v>17</v>
      </c>
      <c r="B206" s="1330" t="str">
        <f>'Chấm công KT'!D193</f>
        <v>03604</v>
      </c>
      <c r="C206" s="1330" t="str">
        <f>TONGHOPCONGDOI!C201</f>
        <v>T. Lăm Phêng</v>
      </c>
      <c r="D206" s="1330" t="s">
        <v>43</v>
      </c>
      <c r="E206" s="1331"/>
      <c r="F206" s="373"/>
      <c r="G206" s="373"/>
      <c r="H206" s="373"/>
      <c r="I206" s="373"/>
      <c r="J206" s="1322"/>
      <c r="K206" s="1323"/>
      <c r="L206" s="1324"/>
      <c r="M206" s="1325"/>
      <c r="N206" s="1325"/>
      <c r="O206" s="1325"/>
      <c r="P206" s="1325"/>
      <c r="Q206" s="1325"/>
      <c r="R206" s="1325"/>
      <c r="S206" s="1325"/>
      <c r="T206" s="1369"/>
      <c r="U206" s="1369"/>
      <c r="V206" s="1369"/>
      <c r="W206" s="1325"/>
      <c r="X206" s="1325">
        <f t="shared" si="25"/>
        <v>0</v>
      </c>
      <c r="Y206" s="1332"/>
      <c r="Z206" s="1327">
        <f t="shared" si="26"/>
        <v>0</v>
      </c>
      <c r="AA206" s="373"/>
      <c r="AB206" s="373"/>
      <c r="AC206" s="1326"/>
      <c r="AD206" s="1456">
        <f t="shared" si="16"/>
        <v>17</v>
      </c>
      <c r="AE206" s="1328"/>
      <c r="AF206" s="1328"/>
      <c r="AG206" s="1328"/>
      <c r="AH206" s="1328"/>
      <c r="AI206" s="1328"/>
      <c r="AJ206" s="1328"/>
      <c r="AK206" s="1328"/>
      <c r="AL206" s="1328"/>
    </row>
    <row r="207" spans="1:38" s="1329" customFormat="1" ht="33" hidden="1" customHeight="1">
      <c r="A207" s="1330">
        <v>18</v>
      </c>
      <c r="B207" s="1330"/>
      <c r="C207" s="1330" t="str">
        <f>TONGHOPCONGDOI!C202</f>
        <v>T Xèng</v>
      </c>
      <c r="D207" s="1330" t="s">
        <v>43</v>
      </c>
      <c r="E207" s="1331"/>
      <c r="F207" s="373"/>
      <c r="G207" s="373"/>
      <c r="H207" s="373"/>
      <c r="I207" s="373"/>
      <c r="J207" s="1322"/>
      <c r="K207" s="1323"/>
      <c r="L207" s="1324"/>
      <c r="M207" s="1325"/>
      <c r="N207" s="1325"/>
      <c r="O207" s="1325"/>
      <c r="P207" s="1325"/>
      <c r="Q207" s="1325"/>
      <c r="R207" s="1325"/>
      <c r="S207" s="1325"/>
      <c r="T207" s="1369"/>
      <c r="U207" s="1369"/>
      <c r="V207" s="1369"/>
      <c r="W207" s="1325"/>
      <c r="X207" s="1325">
        <f t="shared" si="25"/>
        <v>0</v>
      </c>
      <c r="Y207" s="1332"/>
      <c r="Z207" s="1327">
        <f t="shared" si="26"/>
        <v>0</v>
      </c>
      <c r="AA207" s="373"/>
      <c r="AB207" s="373"/>
      <c r="AC207" s="1326"/>
      <c r="AD207" s="1456">
        <f t="shared" si="16"/>
        <v>18</v>
      </c>
      <c r="AE207" s="1328"/>
      <c r="AF207" s="1328"/>
      <c r="AG207" s="1328"/>
      <c r="AH207" s="1328"/>
      <c r="AI207" s="1328"/>
      <c r="AJ207" s="1328"/>
      <c r="AK207" s="1328"/>
      <c r="AL207" s="1328"/>
    </row>
    <row r="208" spans="1:38" s="1329" customFormat="1" ht="33" hidden="1" customHeight="1">
      <c r="A208" s="1330">
        <v>19</v>
      </c>
      <c r="B208" s="1330" t="str">
        <f>'Chấm công KT'!D195</f>
        <v>03606</v>
      </c>
      <c r="C208" s="1330" t="str">
        <f>TONGHOPCONGDOI!C203</f>
        <v>N. Phăn</v>
      </c>
      <c r="D208" s="1330" t="s">
        <v>43</v>
      </c>
      <c r="E208" s="1331"/>
      <c r="F208" s="373"/>
      <c r="G208" s="373"/>
      <c r="H208" s="373"/>
      <c r="I208" s="373"/>
      <c r="J208" s="1322"/>
      <c r="K208" s="1323"/>
      <c r="L208" s="1324"/>
      <c r="M208" s="1325"/>
      <c r="N208" s="1325"/>
      <c r="O208" s="1325"/>
      <c r="P208" s="1325"/>
      <c r="Q208" s="1325"/>
      <c r="R208" s="1325"/>
      <c r="S208" s="1325"/>
      <c r="T208" s="1369"/>
      <c r="U208" s="1369"/>
      <c r="V208" s="1369"/>
      <c r="W208" s="1325"/>
      <c r="X208" s="1325">
        <f t="shared" si="25"/>
        <v>0</v>
      </c>
      <c r="Y208" s="1332"/>
      <c r="Z208" s="1327">
        <f t="shared" si="26"/>
        <v>0</v>
      </c>
      <c r="AA208" s="373"/>
      <c r="AB208" s="373"/>
      <c r="AC208" s="1326"/>
      <c r="AD208" s="1456">
        <f t="shared" si="16"/>
        <v>19</v>
      </c>
      <c r="AE208" s="1328"/>
      <c r="AF208" s="1328"/>
      <c r="AG208" s="1328"/>
      <c r="AH208" s="1328"/>
      <c r="AI208" s="1328"/>
      <c r="AJ208" s="1328"/>
      <c r="AK208" s="1328"/>
      <c r="AL208" s="1328"/>
    </row>
    <row r="209" spans="1:38" s="1329" customFormat="1" ht="33" hidden="1" customHeight="1">
      <c r="A209" s="1330">
        <v>20</v>
      </c>
      <c r="B209" s="1330" t="str">
        <f>'Chấm công KT'!D196</f>
        <v>03607</v>
      </c>
      <c r="C209" s="1330" t="str">
        <f>TONGHOPCONGDOI!C204</f>
        <v>T. Huôn</v>
      </c>
      <c r="D209" s="1330" t="s">
        <v>43</v>
      </c>
      <c r="E209" s="1331"/>
      <c r="F209" s="373"/>
      <c r="G209" s="373"/>
      <c r="H209" s="373"/>
      <c r="I209" s="373"/>
      <c r="J209" s="1322"/>
      <c r="K209" s="1323"/>
      <c r="L209" s="1324"/>
      <c r="M209" s="1325"/>
      <c r="N209" s="1325"/>
      <c r="O209" s="1325"/>
      <c r="P209" s="1325"/>
      <c r="Q209" s="1325"/>
      <c r="R209" s="1325"/>
      <c r="S209" s="1325"/>
      <c r="T209" s="1369"/>
      <c r="U209" s="1369"/>
      <c r="V209" s="1369"/>
      <c r="W209" s="1325"/>
      <c r="X209" s="1325">
        <f t="shared" si="25"/>
        <v>0</v>
      </c>
      <c r="Y209" s="1332"/>
      <c r="Z209" s="1327">
        <f t="shared" si="26"/>
        <v>0</v>
      </c>
      <c r="AA209" s="373"/>
      <c r="AB209" s="373"/>
      <c r="AC209" s="1326"/>
      <c r="AD209" s="1456">
        <f t="shared" si="16"/>
        <v>20</v>
      </c>
      <c r="AE209" s="1328"/>
      <c r="AF209" s="1328"/>
      <c r="AG209" s="1328"/>
      <c r="AH209" s="1328"/>
      <c r="AI209" s="1328"/>
      <c r="AJ209" s="1328"/>
      <c r="AK209" s="1328"/>
      <c r="AL209" s="1328"/>
    </row>
    <row r="210" spans="1:38" s="1329" customFormat="1" ht="33" hidden="1" customHeight="1">
      <c r="A210" s="1330">
        <v>21</v>
      </c>
      <c r="B210" s="1330" t="str">
        <f>'Chấm công KT'!D197</f>
        <v>02729</v>
      </c>
      <c r="C210" s="1330" t="str">
        <f>TONGHOPCONGDOI!C205</f>
        <v>N. Lay</v>
      </c>
      <c r="D210" s="1330" t="s">
        <v>43</v>
      </c>
      <c r="E210" s="1331"/>
      <c r="F210" s="373"/>
      <c r="G210" s="373"/>
      <c r="H210" s="373"/>
      <c r="I210" s="373"/>
      <c r="J210" s="1322"/>
      <c r="K210" s="1323"/>
      <c r="L210" s="1324"/>
      <c r="M210" s="1325"/>
      <c r="N210" s="1325"/>
      <c r="O210" s="1325"/>
      <c r="P210" s="1325"/>
      <c r="Q210" s="1325"/>
      <c r="R210" s="1325"/>
      <c r="S210" s="1325"/>
      <c r="T210" s="1369"/>
      <c r="U210" s="1369"/>
      <c r="V210" s="1369"/>
      <c r="W210" s="1325"/>
      <c r="X210" s="1325">
        <f t="shared" si="25"/>
        <v>0</v>
      </c>
      <c r="Y210" s="1332"/>
      <c r="Z210" s="1327">
        <f t="shared" si="26"/>
        <v>0</v>
      </c>
      <c r="AA210" s="373"/>
      <c r="AB210" s="373"/>
      <c r="AC210" s="1326"/>
      <c r="AD210" s="1456">
        <f t="shared" si="16"/>
        <v>21</v>
      </c>
      <c r="AE210" s="1328"/>
      <c r="AF210" s="1328"/>
      <c r="AG210" s="1328"/>
      <c r="AH210" s="1328"/>
      <c r="AI210" s="1328"/>
      <c r="AJ210" s="1328"/>
      <c r="AK210" s="1328"/>
      <c r="AL210" s="1328"/>
    </row>
    <row r="211" spans="1:38" s="1329" customFormat="1" ht="33" hidden="1" customHeight="1">
      <c r="A211" s="1330">
        <v>22</v>
      </c>
      <c r="B211" s="1330" t="str">
        <f>'Chấm công KT'!D198</f>
        <v>03608</v>
      </c>
      <c r="C211" s="1330" t="str">
        <f>TONGHOPCONGDOI!C206</f>
        <v>N. Pon</v>
      </c>
      <c r="D211" s="1330" t="s">
        <v>43</v>
      </c>
      <c r="E211" s="1331"/>
      <c r="F211" s="373"/>
      <c r="G211" s="373"/>
      <c r="H211" s="373"/>
      <c r="I211" s="373"/>
      <c r="J211" s="1322"/>
      <c r="K211" s="1323"/>
      <c r="L211" s="1324"/>
      <c r="M211" s="1325"/>
      <c r="N211" s="1325"/>
      <c r="O211" s="1325"/>
      <c r="P211" s="1325"/>
      <c r="Q211" s="1325"/>
      <c r="R211" s="1325"/>
      <c r="S211" s="1325"/>
      <c r="T211" s="1369"/>
      <c r="U211" s="1369"/>
      <c r="V211" s="1369"/>
      <c r="W211" s="1325"/>
      <c r="X211" s="1325">
        <f t="shared" si="25"/>
        <v>0</v>
      </c>
      <c r="Y211" s="1332"/>
      <c r="Z211" s="1327">
        <f t="shared" si="26"/>
        <v>0</v>
      </c>
      <c r="AA211" s="373"/>
      <c r="AB211" s="373"/>
      <c r="AC211" s="1326"/>
      <c r="AD211" s="1456">
        <f t="shared" si="16"/>
        <v>22</v>
      </c>
      <c r="AE211" s="1328"/>
      <c r="AF211" s="1328"/>
      <c r="AG211" s="1328"/>
      <c r="AH211" s="1328"/>
      <c r="AI211" s="1328"/>
      <c r="AJ211" s="1328"/>
      <c r="AK211" s="1328"/>
      <c r="AL211" s="1328"/>
    </row>
    <row r="212" spans="1:38" s="1329" customFormat="1" ht="33" hidden="1" customHeight="1">
      <c r="A212" s="1330">
        <v>23</v>
      </c>
      <c r="B212" s="1330" t="str">
        <f>'Chấm công KT'!D199</f>
        <v>03609</v>
      </c>
      <c r="C212" s="1330" t="str">
        <f>TONGHOPCONGDOI!C207</f>
        <v>N. Bun Đi</v>
      </c>
      <c r="D212" s="1330" t="s">
        <v>43</v>
      </c>
      <c r="E212" s="1331"/>
      <c r="F212" s="373"/>
      <c r="G212" s="373"/>
      <c r="H212" s="373"/>
      <c r="I212" s="373"/>
      <c r="J212" s="1322"/>
      <c r="K212" s="1323"/>
      <c r="L212" s="1324"/>
      <c r="M212" s="1325"/>
      <c r="N212" s="1325"/>
      <c r="O212" s="1325"/>
      <c r="P212" s="1325"/>
      <c r="Q212" s="1325"/>
      <c r="R212" s="1325"/>
      <c r="S212" s="1325"/>
      <c r="T212" s="1369"/>
      <c r="U212" s="1369"/>
      <c r="V212" s="1369"/>
      <c r="W212" s="1325"/>
      <c r="X212" s="1325">
        <f t="shared" si="25"/>
        <v>0</v>
      </c>
      <c r="Y212" s="1332"/>
      <c r="Z212" s="1327">
        <f t="shared" si="26"/>
        <v>0</v>
      </c>
      <c r="AA212" s="373"/>
      <c r="AB212" s="373"/>
      <c r="AC212" s="1326"/>
      <c r="AD212" s="1456">
        <f t="shared" si="16"/>
        <v>23</v>
      </c>
      <c r="AE212" s="1328"/>
      <c r="AF212" s="1328"/>
      <c r="AG212" s="1328"/>
      <c r="AH212" s="1328"/>
      <c r="AI212" s="1328"/>
      <c r="AJ212" s="1328"/>
      <c r="AK212" s="1328"/>
      <c r="AL212" s="1328"/>
    </row>
    <row r="213" spans="1:38" s="1329" customFormat="1" ht="33" hidden="1" customHeight="1">
      <c r="A213" s="1330">
        <v>24</v>
      </c>
      <c r="B213" s="1330" t="str">
        <f>'Chấm công KT'!D200</f>
        <v>03610</v>
      </c>
      <c r="C213" s="1330" t="str">
        <f>TONGHOPCONGDOI!C208</f>
        <v>N. Phon</v>
      </c>
      <c r="D213" s="1330" t="s">
        <v>43</v>
      </c>
      <c r="E213" s="1331"/>
      <c r="F213" s="373"/>
      <c r="G213" s="373"/>
      <c r="H213" s="373"/>
      <c r="I213" s="373"/>
      <c r="J213" s="1322"/>
      <c r="K213" s="1323"/>
      <c r="L213" s="1324"/>
      <c r="M213" s="1325"/>
      <c r="N213" s="1325"/>
      <c r="O213" s="1325"/>
      <c r="P213" s="1325"/>
      <c r="Q213" s="1325"/>
      <c r="R213" s="1325"/>
      <c r="S213" s="1325"/>
      <c r="T213" s="1369"/>
      <c r="U213" s="1369"/>
      <c r="V213" s="1369"/>
      <c r="W213" s="1325"/>
      <c r="X213" s="1325">
        <f t="shared" si="25"/>
        <v>0</v>
      </c>
      <c r="Y213" s="1332"/>
      <c r="Z213" s="1327">
        <f t="shared" si="26"/>
        <v>0</v>
      </c>
      <c r="AA213" s="373"/>
      <c r="AB213" s="373"/>
      <c r="AC213" s="1326"/>
      <c r="AD213" s="1456">
        <f t="shared" si="16"/>
        <v>24</v>
      </c>
      <c r="AE213" s="1328"/>
      <c r="AF213" s="1328"/>
      <c r="AG213" s="1328"/>
      <c r="AH213" s="1328"/>
      <c r="AI213" s="1328"/>
      <c r="AJ213" s="1328"/>
      <c r="AK213" s="1328"/>
      <c r="AL213" s="1328"/>
    </row>
    <row r="214" spans="1:38" s="1329" customFormat="1" ht="33" hidden="1" customHeight="1">
      <c r="A214" s="1330">
        <v>25</v>
      </c>
      <c r="B214" s="1330" t="str">
        <f>'Chấm công KT'!D201</f>
        <v>03611</v>
      </c>
      <c r="C214" s="1330" t="str">
        <f>TONGHOPCONGDOI!C209</f>
        <v>T. Cỏ</v>
      </c>
      <c r="D214" s="1330" t="s">
        <v>43</v>
      </c>
      <c r="E214" s="1331"/>
      <c r="F214" s="373"/>
      <c r="G214" s="373"/>
      <c r="H214" s="373"/>
      <c r="I214" s="373"/>
      <c r="J214" s="1322"/>
      <c r="K214" s="1323"/>
      <c r="L214" s="1324"/>
      <c r="M214" s="1325"/>
      <c r="N214" s="1325"/>
      <c r="O214" s="1325"/>
      <c r="P214" s="1325"/>
      <c r="Q214" s="1325"/>
      <c r="R214" s="1325"/>
      <c r="S214" s="1325"/>
      <c r="T214" s="1369"/>
      <c r="U214" s="1369"/>
      <c r="V214" s="1369"/>
      <c r="W214" s="1325"/>
      <c r="X214" s="1325">
        <f t="shared" si="25"/>
        <v>0</v>
      </c>
      <c r="Y214" s="1332"/>
      <c r="Z214" s="1327">
        <f t="shared" si="26"/>
        <v>0</v>
      </c>
      <c r="AA214" s="373"/>
      <c r="AB214" s="373"/>
      <c r="AC214" s="1326"/>
      <c r="AD214" s="1456">
        <f t="shared" si="16"/>
        <v>25</v>
      </c>
      <c r="AE214" s="1328"/>
      <c r="AF214" s="1328"/>
      <c r="AG214" s="1328"/>
      <c r="AH214" s="1328"/>
      <c r="AI214" s="1328"/>
      <c r="AJ214" s="1328"/>
      <c r="AK214" s="1328"/>
      <c r="AL214" s="1328"/>
    </row>
    <row r="215" spans="1:38" s="1329" customFormat="1" ht="33" hidden="1" customHeight="1">
      <c r="A215" s="1330">
        <v>26</v>
      </c>
      <c r="B215" s="1330" t="str">
        <f>'Chấm công KT'!D202</f>
        <v>03612</v>
      </c>
      <c r="C215" s="1330" t="str">
        <f>TONGHOPCONGDOI!C210</f>
        <v>N. Phu Văn</v>
      </c>
      <c r="D215" s="1330" t="s">
        <v>43</v>
      </c>
      <c r="E215" s="1331"/>
      <c r="F215" s="373"/>
      <c r="G215" s="373"/>
      <c r="H215" s="373"/>
      <c r="I215" s="373"/>
      <c r="J215" s="1322"/>
      <c r="K215" s="1323"/>
      <c r="L215" s="1324"/>
      <c r="M215" s="1325"/>
      <c r="N215" s="1325"/>
      <c r="O215" s="1325"/>
      <c r="P215" s="1325"/>
      <c r="Q215" s="1325"/>
      <c r="R215" s="1325"/>
      <c r="S215" s="1325"/>
      <c r="T215" s="1369"/>
      <c r="U215" s="1369"/>
      <c r="V215" s="1369"/>
      <c r="W215" s="1325"/>
      <c r="X215" s="1325">
        <f t="shared" si="25"/>
        <v>0</v>
      </c>
      <c r="Y215" s="1332"/>
      <c r="Z215" s="1327">
        <f t="shared" si="26"/>
        <v>0</v>
      </c>
      <c r="AA215" s="373"/>
      <c r="AB215" s="373"/>
      <c r="AC215" s="1326"/>
      <c r="AD215" s="1456">
        <f t="shared" si="16"/>
        <v>26</v>
      </c>
      <c r="AE215" s="1328"/>
      <c r="AF215" s="1328"/>
      <c r="AG215" s="1328"/>
      <c r="AH215" s="1328"/>
      <c r="AI215" s="1328"/>
      <c r="AJ215" s="1328"/>
      <c r="AK215" s="1328"/>
      <c r="AL215" s="1328"/>
    </row>
    <row r="216" spans="1:38" s="1329" customFormat="1" ht="33" hidden="1" customHeight="1">
      <c r="A216" s="1330">
        <v>27</v>
      </c>
      <c r="B216" s="1330" t="str">
        <f>'Chấm công KT'!D203</f>
        <v>03613</v>
      </c>
      <c r="C216" s="1330" t="str">
        <f>TONGHOPCONGDOI!C211</f>
        <v>N. Lỷ</v>
      </c>
      <c r="D216" s="1330" t="s">
        <v>43</v>
      </c>
      <c r="E216" s="1331"/>
      <c r="F216" s="373"/>
      <c r="G216" s="373"/>
      <c r="H216" s="373"/>
      <c r="I216" s="373"/>
      <c r="J216" s="1322"/>
      <c r="K216" s="1323"/>
      <c r="L216" s="1324"/>
      <c r="M216" s="1325"/>
      <c r="N216" s="1325"/>
      <c r="O216" s="1325"/>
      <c r="P216" s="1325"/>
      <c r="Q216" s="1325"/>
      <c r="R216" s="1325"/>
      <c r="S216" s="1325"/>
      <c r="T216" s="1369"/>
      <c r="U216" s="1369"/>
      <c r="V216" s="1369"/>
      <c r="W216" s="1325"/>
      <c r="X216" s="1325">
        <f t="shared" si="25"/>
        <v>0</v>
      </c>
      <c r="Y216" s="1332"/>
      <c r="Z216" s="1327">
        <f t="shared" si="26"/>
        <v>0</v>
      </c>
      <c r="AA216" s="373"/>
      <c r="AB216" s="373"/>
      <c r="AC216" s="1326"/>
      <c r="AD216" s="1456">
        <f t="shared" si="16"/>
        <v>27</v>
      </c>
      <c r="AE216" s="1328"/>
      <c r="AF216" s="1328"/>
      <c r="AG216" s="1328"/>
      <c r="AH216" s="1328"/>
      <c r="AI216" s="1328"/>
      <c r="AJ216" s="1328"/>
      <c r="AK216" s="1328"/>
      <c r="AL216" s="1328"/>
    </row>
    <row r="217" spans="1:38" s="1329" customFormat="1" ht="33" hidden="1" customHeight="1">
      <c r="A217" s="1330">
        <v>28</v>
      </c>
      <c r="B217" s="1330" t="str">
        <f>'Chấm công KT'!D204</f>
        <v>03614</v>
      </c>
      <c r="C217" s="1330" t="str">
        <f>TONGHOPCONGDOI!C212</f>
        <v>T. Vy</v>
      </c>
      <c r="D217" s="1330" t="s">
        <v>43</v>
      </c>
      <c r="E217" s="1331"/>
      <c r="F217" s="373"/>
      <c r="G217" s="373"/>
      <c r="H217" s="373"/>
      <c r="I217" s="373"/>
      <c r="J217" s="1322"/>
      <c r="K217" s="1323"/>
      <c r="L217" s="1324"/>
      <c r="M217" s="1325"/>
      <c r="N217" s="1325"/>
      <c r="O217" s="1325"/>
      <c r="P217" s="1325"/>
      <c r="Q217" s="1325"/>
      <c r="R217" s="1325"/>
      <c r="S217" s="1325"/>
      <c r="T217" s="1369"/>
      <c r="U217" s="1369"/>
      <c r="V217" s="1369"/>
      <c r="W217" s="1325"/>
      <c r="X217" s="1325">
        <f t="shared" si="25"/>
        <v>0</v>
      </c>
      <c r="Y217" s="1332"/>
      <c r="Z217" s="1327">
        <f t="shared" si="26"/>
        <v>0</v>
      </c>
      <c r="AA217" s="373"/>
      <c r="AB217" s="373"/>
      <c r="AC217" s="1326"/>
      <c r="AD217" s="1456">
        <f t="shared" si="16"/>
        <v>28</v>
      </c>
      <c r="AE217" s="1328"/>
      <c r="AF217" s="1328"/>
      <c r="AG217" s="1328"/>
      <c r="AH217" s="1328"/>
      <c r="AI217" s="1328"/>
      <c r="AJ217" s="1328"/>
      <c r="AK217" s="1328"/>
      <c r="AL217" s="1328"/>
    </row>
    <row r="218" spans="1:38" s="1329" customFormat="1" ht="33" hidden="1" customHeight="1">
      <c r="A218" s="1330">
        <v>29</v>
      </c>
      <c r="B218" s="1330" t="str">
        <f>'Chấm công KT'!D205</f>
        <v>03615</v>
      </c>
      <c r="C218" s="1330" t="str">
        <f>TONGHOPCONGDOI!C213</f>
        <v>T. Xi Nuôn</v>
      </c>
      <c r="D218" s="1330" t="s">
        <v>43</v>
      </c>
      <c r="E218" s="1331"/>
      <c r="F218" s="373"/>
      <c r="G218" s="373"/>
      <c r="H218" s="373"/>
      <c r="I218" s="373"/>
      <c r="J218" s="1322"/>
      <c r="K218" s="1323"/>
      <c r="L218" s="1324"/>
      <c r="M218" s="1325"/>
      <c r="N218" s="1325"/>
      <c r="O218" s="1325"/>
      <c r="P218" s="1325"/>
      <c r="Q218" s="1325"/>
      <c r="R218" s="1325"/>
      <c r="S218" s="1325"/>
      <c r="T218" s="1369"/>
      <c r="U218" s="1369"/>
      <c r="V218" s="1369"/>
      <c r="W218" s="1325"/>
      <c r="X218" s="1325">
        <f t="shared" si="25"/>
        <v>0</v>
      </c>
      <c r="Y218" s="1332"/>
      <c r="Z218" s="1327">
        <f t="shared" si="26"/>
        <v>0</v>
      </c>
      <c r="AA218" s="373"/>
      <c r="AB218" s="373"/>
      <c r="AC218" s="1326"/>
      <c r="AD218" s="1456">
        <f t="shared" si="16"/>
        <v>29</v>
      </c>
      <c r="AE218" s="1328"/>
      <c r="AF218" s="1328"/>
      <c r="AG218" s="1328"/>
      <c r="AH218" s="1328"/>
      <c r="AI218" s="1328"/>
      <c r="AJ218" s="1328"/>
      <c r="AK218" s="1328"/>
      <c r="AL218" s="1328"/>
    </row>
    <row r="219" spans="1:38" s="1329" customFormat="1" ht="33" hidden="1" customHeight="1">
      <c r="A219" s="1330">
        <v>30</v>
      </c>
      <c r="B219" s="1330" t="str">
        <f>'Chấm công KT'!D206</f>
        <v>03616</v>
      </c>
      <c r="C219" s="1330" t="str">
        <f>TONGHOPCONGDOI!C214</f>
        <v>N. Ốc</v>
      </c>
      <c r="D219" s="1330" t="s">
        <v>43</v>
      </c>
      <c r="E219" s="1331"/>
      <c r="F219" s="373"/>
      <c r="G219" s="373"/>
      <c r="H219" s="373"/>
      <c r="I219" s="373"/>
      <c r="J219" s="1322"/>
      <c r="K219" s="1323"/>
      <c r="L219" s="1324"/>
      <c r="M219" s="1325"/>
      <c r="N219" s="1325"/>
      <c r="O219" s="1325"/>
      <c r="P219" s="1325"/>
      <c r="Q219" s="1325"/>
      <c r="R219" s="1325"/>
      <c r="S219" s="1325"/>
      <c r="T219" s="1369"/>
      <c r="U219" s="1369"/>
      <c r="V219" s="1369"/>
      <c r="W219" s="1325"/>
      <c r="X219" s="1325">
        <f t="shared" si="25"/>
        <v>0</v>
      </c>
      <c r="Y219" s="1332"/>
      <c r="Z219" s="1327">
        <f t="shared" si="26"/>
        <v>0</v>
      </c>
      <c r="AA219" s="373"/>
      <c r="AB219" s="373"/>
      <c r="AC219" s="1326"/>
      <c r="AD219" s="1456">
        <f t="shared" si="16"/>
        <v>30</v>
      </c>
      <c r="AE219" s="1328"/>
      <c r="AF219" s="1328"/>
      <c r="AG219" s="1328"/>
      <c r="AH219" s="1328"/>
      <c r="AI219" s="1328"/>
      <c r="AJ219" s="1328"/>
      <c r="AK219" s="1328"/>
      <c r="AL219" s="1328"/>
    </row>
    <row r="220" spans="1:38" s="1329" customFormat="1" ht="33" hidden="1" customHeight="1">
      <c r="A220" s="1330">
        <v>31</v>
      </c>
      <c r="B220" s="1330" t="str">
        <f>'Chấm công KT'!D207</f>
        <v>03617</v>
      </c>
      <c r="C220" s="1330" t="str">
        <f>TONGHOPCONGDOI!C215</f>
        <v>T. Văn Nô</v>
      </c>
      <c r="D220" s="1330" t="s">
        <v>43</v>
      </c>
      <c r="E220" s="1331"/>
      <c r="F220" s="373"/>
      <c r="G220" s="373"/>
      <c r="H220" s="373"/>
      <c r="I220" s="373"/>
      <c r="J220" s="1322"/>
      <c r="K220" s="1323"/>
      <c r="L220" s="1324"/>
      <c r="M220" s="1325"/>
      <c r="N220" s="1325"/>
      <c r="O220" s="1325"/>
      <c r="P220" s="1325"/>
      <c r="Q220" s="1325"/>
      <c r="R220" s="1325"/>
      <c r="S220" s="1325"/>
      <c r="T220" s="1369"/>
      <c r="U220" s="1369"/>
      <c r="V220" s="1369"/>
      <c r="W220" s="1325"/>
      <c r="X220" s="1325">
        <f t="shared" si="25"/>
        <v>0</v>
      </c>
      <c r="Y220" s="1332"/>
      <c r="Z220" s="1327">
        <f t="shared" si="26"/>
        <v>0</v>
      </c>
      <c r="AA220" s="373"/>
      <c r="AB220" s="373"/>
      <c r="AC220" s="1326"/>
      <c r="AD220" s="1456">
        <f t="shared" si="16"/>
        <v>31</v>
      </c>
      <c r="AE220" s="1328"/>
      <c r="AF220" s="1328"/>
      <c r="AG220" s="1328"/>
      <c r="AH220" s="1328"/>
      <c r="AI220" s="1328"/>
      <c r="AJ220" s="1328"/>
      <c r="AK220" s="1328"/>
      <c r="AL220" s="1328"/>
    </row>
    <row r="221" spans="1:38" s="1329" customFormat="1" ht="33" hidden="1" customHeight="1">
      <c r="A221" s="1330">
        <v>32</v>
      </c>
      <c r="B221" s="1330" t="str">
        <f>'Chấm công KT'!D208</f>
        <v>03618</v>
      </c>
      <c r="C221" s="1330" t="str">
        <f>TONGHOPCONGDOI!C216</f>
        <v>N. Văn Ta</v>
      </c>
      <c r="D221" s="1330" t="s">
        <v>43</v>
      </c>
      <c r="E221" s="1331"/>
      <c r="F221" s="373"/>
      <c r="G221" s="373"/>
      <c r="H221" s="373"/>
      <c r="I221" s="373"/>
      <c r="J221" s="1322"/>
      <c r="K221" s="1323"/>
      <c r="L221" s="1324"/>
      <c r="M221" s="1325"/>
      <c r="N221" s="1325"/>
      <c r="O221" s="1325"/>
      <c r="P221" s="1325"/>
      <c r="Q221" s="1325"/>
      <c r="R221" s="1325"/>
      <c r="S221" s="1325"/>
      <c r="T221" s="1369"/>
      <c r="U221" s="1369"/>
      <c r="V221" s="1369"/>
      <c r="W221" s="1325"/>
      <c r="X221" s="1325">
        <f t="shared" si="25"/>
        <v>0</v>
      </c>
      <c r="Y221" s="1332"/>
      <c r="Z221" s="1327">
        <f t="shared" si="26"/>
        <v>0</v>
      </c>
      <c r="AA221" s="373"/>
      <c r="AB221" s="373"/>
      <c r="AC221" s="1326"/>
      <c r="AD221" s="1456">
        <f t="shared" si="16"/>
        <v>32</v>
      </c>
      <c r="AE221" s="1328"/>
      <c r="AF221" s="1328"/>
      <c r="AG221" s="1328"/>
      <c r="AH221" s="1328"/>
      <c r="AI221" s="1328"/>
      <c r="AJ221" s="1328"/>
      <c r="AK221" s="1328"/>
      <c r="AL221" s="1328"/>
    </row>
    <row r="222" spans="1:38" s="1329" customFormat="1" ht="33" hidden="1" customHeight="1">
      <c r="A222" s="1330">
        <v>33</v>
      </c>
      <c r="B222" s="1330" t="str">
        <f>'Chấm công KT'!D209</f>
        <v>03619</v>
      </c>
      <c r="C222" s="1330" t="str">
        <f>TONGHOPCONGDOI!C217</f>
        <v>T. Thon</v>
      </c>
      <c r="D222" s="1330" t="s">
        <v>43</v>
      </c>
      <c r="E222" s="1331"/>
      <c r="F222" s="373"/>
      <c r="G222" s="373"/>
      <c r="H222" s="373"/>
      <c r="I222" s="373"/>
      <c r="J222" s="1322"/>
      <c r="K222" s="1323"/>
      <c r="L222" s="1324"/>
      <c r="M222" s="1325"/>
      <c r="N222" s="1325"/>
      <c r="O222" s="1325"/>
      <c r="P222" s="1325"/>
      <c r="Q222" s="1325"/>
      <c r="R222" s="1325"/>
      <c r="S222" s="1325"/>
      <c r="T222" s="1369"/>
      <c r="U222" s="1369"/>
      <c r="V222" s="1369"/>
      <c r="W222" s="1325"/>
      <c r="X222" s="1325">
        <f t="shared" ref="X222:X253" si="27">F222+L222+W222</f>
        <v>0</v>
      </c>
      <c r="Y222" s="1332"/>
      <c r="Z222" s="1327">
        <f t="shared" si="26"/>
        <v>0</v>
      </c>
      <c r="AA222" s="373"/>
      <c r="AB222" s="373"/>
      <c r="AC222" s="1326"/>
      <c r="AD222" s="1456">
        <f t="shared" si="16"/>
        <v>33</v>
      </c>
      <c r="AE222" s="1328"/>
      <c r="AF222" s="1328"/>
      <c r="AG222" s="1328"/>
      <c r="AH222" s="1328"/>
      <c r="AI222" s="1328"/>
      <c r="AJ222" s="1328"/>
      <c r="AK222" s="1328"/>
      <c r="AL222" s="1328"/>
    </row>
    <row r="223" spans="1:38" s="1329" customFormat="1" ht="33" hidden="1" customHeight="1">
      <c r="A223" s="1330">
        <v>34</v>
      </c>
      <c r="B223" s="1330" t="str">
        <f>'Chấm công KT'!D210</f>
        <v>03620</v>
      </c>
      <c r="C223" s="1330" t="str">
        <f>TONGHOPCONGDOI!C218</f>
        <v>Bun Thon</v>
      </c>
      <c r="D223" s="1330" t="s">
        <v>43</v>
      </c>
      <c r="E223" s="1331"/>
      <c r="F223" s="373"/>
      <c r="G223" s="373"/>
      <c r="H223" s="373"/>
      <c r="I223" s="373"/>
      <c r="J223" s="1322"/>
      <c r="K223" s="1323"/>
      <c r="L223" s="1324"/>
      <c r="M223" s="1325"/>
      <c r="N223" s="1325"/>
      <c r="O223" s="1325"/>
      <c r="P223" s="1325"/>
      <c r="Q223" s="1325"/>
      <c r="R223" s="1325"/>
      <c r="S223" s="1325"/>
      <c r="T223" s="1369"/>
      <c r="U223" s="1369"/>
      <c r="V223" s="1369"/>
      <c r="W223" s="1325"/>
      <c r="X223" s="1325">
        <f t="shared" si="27"/>
        <v>0</v>
      </c>
      <c r="Y223" s="1332"/>
      <c r="Z223" s="1327">
        <f t="shared" si="26"/>
        <v>0</v>
      </c>
      <c r="AA223" s="373"/>
      <c r="AB223" s="373"/>
      <c r="AC223" s="1326"/>
      <c r="AD223" s="1456">
        <f t="shared" si="16"/>
        <v>34</v>
      </c>
      <c r="AE223" s="1328"/>
      <c r="AF223" s="1328"/>
      <c r="AG223" s="1328"/>
      <c r="AH223" s="1328"/>
      <c r="AI223" s="1328"/>
      <c r="AJ223" s="1328"/>
      <c r="AK223" s="1328"/>
      <c r="AL223" s="1328"/>
    </row>
    <row r="224" spans="1:38" s="1329" customFormat="1" ht="33" hidden="1" customHeight="1">
      <c r="A224" s="1330">
        <v>35</v>
      </c>
      <c r="B224" s="1330" t="str">
        <f>'Chấm công KT'!D211</f>
        <v>03532</v>
      </c>
      <c r="C224" s="1330" t="str">
        <f>TONGHOPCONGDOI!C219</f>
        <v>N. Túc</v>
      </c>
      <c r="D224" s="1330" t="s">
        <v>43</v>
      </c>
      <c r="E224" s="1331"/>
      <c r="F224" s="373"/>
      <c r="G224" s="373"/>
      <c r="H224" s="373"/>
      <c r="I224" s="373"/>
      <c r="J224" s="1322"/>
      <c r="K224" s="1323"/>
      <c r="L224" s="1324"/>
      <c r="M224" s="1325"/>
      <c r="N224" s="1325"/>
      <c r="O224" s="1325"/>
      <c r="P224" s="1325"/>
      <c r="Q224" s="1325"/>
      <c r="R224" s="1325"/>
      <c r="S224" s="1325"/>
      <c r="T224" s="1369"/>
      <c r="U224" s="1369"/>
      <c r="V224" s="1369"/>
      <c r="W224" s="1325"/>
      <c r="X224" s="1325">
        <f t="shared" si="27"/>
        <v>0</v>
      </c>
      <c r="Y224" s="1332"/>
      <c r="Z224" s="1327">
        <f t="shared" si="26"/>
        <v>0</v>
      </c>
      <c r="AA224" s="373"/>
      <c r="AB224" s="373"/>
      <c r="AC224" s="1326"/>
      <c r="AD224" s="1456">
        <f t="shared" si="16"/>
        <v>35</v>
      </c>
      <c r="AE224" s="1328"/>
      <c r="AF224" s="1328"/>
      <c r="AG224" s="1328"/>
      <c r="AH224" s="1328"/>
      <c r="AI224" s="1328"/>
      <c r="AJ224" s="1328"/>
      <c r="AK224" s="1328"/>
      <c r="AL224" s="1328"/>
    </row>
    <row r="225" spans="1:38" s="1329" customFormat="1" ht="33" hidden="1" customHeight="1">
      <c r="A225" s="1330">
        <v>36</v>
      </c>
      <c r="B225" s="1330" t="str">
        <f>'Chấm công KT'!D212</f>
        <v>03622</v>
      </c>
      <c r="C225" s="1330" t="str">
        <f>TONGHOPCONGDOI!C220</f>
        <v>N. Xeo Khăm</v>
      </c>
      <c r="D225" s="1330" t="s">
        <v>43</v>
      </c>
      <c r="E225" s="1331"/>
      <c r="F225" s="373"/>
      <c r="G225" s="373"/>
      <c r="H225" s="373"/>
      <c r="I225" s="373"/>
      <c r="J225" s="1322"/>
      <c r="K225" s="1323"/>
      <c r="L225" s="1324"/>
      <c r="M225" s="1325"/>
      <c r="N225" s="1325"/>
      <c r="O225" s="1325"/>
      <c r="P225" s="1325"/>
      <c r="Q225" s="1325"/>
      <c r="R225" s="1325"/>
      <c r="S225" s="1325"/>
      <c r="T225" s="1369"/>
      <c r="U225" s="1369"/>
      <c r="V225" s="1369"/>
      <c r="W225" s="1325"/>
      <c r="X225" s="1325">
        <f t="shared" si="27"/>
        <v>0</v>
      </c>
      <c r="Y225" s="1332"/>
      <c r="Z225" s="1327">
        <f t="shared" si="26"/>
        <v>0</v>
      </c>
      <c r="AA225" s="373"/>
      <c r="AB225" s="373"/>
      <c r="AC225" s="1326"/>
      <c r="AD225" s="1456">
        <f t="shared" si="16"/>
        <v>36</v>
      </c>
      <c r="AE225" s="1328"/>
      <c r="AF225" s="1328"/>
      <c r="AG225" s="1328"/>
      <c r="AH225" s="1328"/>
      <c r="AI225" s="1328"/>
      <c r="AJ225" s="1328"/>
      <c r="AK225" s="1328"/>
      <c r="AL225" s="1328"/>
    </row>
    <row r="226" spans="1:38" s="1329" customFormat="1" ht="33" hidden="1" customHeight="1">
      <c r="A226" s="1330">
        <v>37</v>
      </c>
      <c r="B226" s="1330" t="str">
        <f>'Chấm công KT'!D213</f>
        <v>03623</v>
      </c>
      <c r="C226" s="1330" t="str">
        <f>TONGHOPCONGDOI!C221</f>
        <v>T. Khăm...</v>
      </c>
      <c r="D226" s="1330" t="s">
        <v>43</v>
      </c>
      <c r="E226" s="1331"/>
      <c r="F226" s="373"/>
      <c r="G226" s="373"/>
      <c r="H226" s="373"/>
      <c r="I226" s="373"/>
      <c r="J226" s="1322"/>
      <c r="K226" s="1323"/>
      <c r="L226" s="1324"/>
      <c r="M226" s="1325"/>
      <c r="N226" s="1325"/>
      <c r="O226" s="1325"/>
      <c r="P226" s="1325"/>
      <c r="Q226" s="1325"/>
      <c r="R226" s="1325"/>
      <c r="S226" s="1325"/>
      <c r="T226" s="1369"/>
      <c r="U226" s="1369"/>
      <c r="V226" s="1369"/>
      <c r="W226" s="1325"/>
      <c r="X226" s="1325">
        <f t="shared" si="27"/>
        <v>0</v>
      </c>
      <c r="Y226" s="1332"/>
      <c r="Z226" s="1327">
        <f t="shared" si="26"/>
        <v>0</v>
      </c>
      <c r="AA226" s="373"/>
      <c r="AB226" s="373"/>
      <c r="AC226" s="1326"/>
      <c r="AD226" s="1456">
        <f t="shared" si="16"/>
        <v>37</v>
      </c>
      <c r="AE226" s="1328"/>
      <c r="AF226" s="1328"/>
      <c r="AG226" s="1328"/>
      <c r="AH226" s="1328"/>
      <c r="AI226" s="1328"/>
      <c r="AJ226" s="1328"/>
      <c r="AK226" s="1328"/>
      <c r="AL226" s="1328"/>
    </row>
    <row r="227" spans="1:38" s="1329" customFormat="1" ht="33" hidden="1" customHeight="1">
      <c r="A227" s="1330">
        <v>38</v>
      </c>
      <c r="B227" s="1330"/>
      <c r="C227" s="1330" t="str">
        <f>TONGHOPCONGDOI!C222</f>
        <v>T. Đôn</v>
      </c>
      <c r="D227" s="1330" t="s">
        <v>43</v>
      </c>
      <c r="E227" s="1331"/>
      <c r="F227" s="373"/>
      <c r="G227" s="373"/>
      <c r="H227" s="373"/>
      <c r="I227" s="373"/>
      <c r="J227" s="1322"/>
      <c r="K227" s="1323"/>
      <c r="L227" s="1324"/>
      <c r="M227" s="1325"/>
      <c r="N227" s="1325"/>
      <c r="O227" s="1325"/>
      <c r="P227" s="1325"/>
      <c r="Q227" s="1325"/>
      <c r="R227" s="1325"/>
      <c r="S227" s="1325"/>
      <c r="T227" s="1369"/>
      <c r="U227" s="1369"/>
      <c r="V227" s="1369"/>
      <c r="W227" s="1325"/>
      <c r="X227" s="1325">
        <f t="shared" si="27"/>
        <v>0</v>
      </c>
      <c r="Y227" s="1332"/>
      <c r="Z227" s="1327">
        <f t="shared" si="26"/>
        <v>0</v>
      </c>
      <c r="AA227" s="373"/>
      <c r="AB227" s="373"/>
      <c r="AC227" s="1326"/>
      <c r="AD227" s="1456">
        <f t="shared" si="16"/>
        <v>38</v>
      </c>
      <c r="AE227" s="1328"/>
      <c r="AF227" s="1328"/>
      <c r="AG227" s="1328"/>
      <c r="AH227" s="1328"/>
      <c r="AI227" s="1328"/>
      <c r="AJ227" s="1328"/>
      <c r="AK227" s="1328"/>
      <c r="AL227" s="1328"/>
    </row>
    <row r="228" spans="1:38" s="1329" customFormat="1" ht="33" hidden="1" customHeight="1">
      <c r="A228" s="1330">
        <v>39</v>
      </c>
      <c r="B228" s="1330" t="str">
        <f>'Chấm công KT'!D215</f>
        <v>03625</v>
      </c>
      <c r="C228" s="1330" t="str">
        <f>TONGHOPCONGDOI!C223</f>
        <v>N. Pheng</v>
      </c>
      <c r="D228" s="1330" t="s">
        <v>43</v>
      </c>
      <c r="E228" s="1331"/>
      <c r="F228" s="373"/>
      <c r="G228" s="373"/>
      <c r="H228" s="373"/>
      <c r="I228" s="373"/>
      <c r="J228" s="1322"/>
      <c r="K228" s="1323"/>
      <c r="L228" s="1324"/>
      <c r="M228" s="1325"/>
      <c r="N228" s="1325"/>
      <c r="O228" s="1325"/>
      <c r="P228" s="1325"/>
      <c r="Q228" s="1325"/>
      <c r="R228" s="1325"/>
      <c r="S228" s="1325"/>
      <c r="T228" s="1369"/>
      <c r="U228" s="1369"/>
      <c r="V228" s="1369"/>
      <c r="W228" s="1325"/>
      <c r="X228" s="1325">
        <f t="shared" si="27"/>
        <v>0</v>
      </c>
      <c r="Y228" s="1332"/>
      <c r="Z228" s="1327">
        <f t="shared" si="26"/>
        <v>0</v>
      </c>
      <c r="AA228" s="373"/>
      <c r="AB228" s="373"/>
      <c r="AC228" s="1326"/>
      <c r="AD228" s="1456">
        <f t="shared" si="16"/>
        <v>39</v>
      </c>
      <c r="AE228" s="1328"/>
      <c r="AF228" s="1328"/>
      <c r="AG228" s="1328"/>
      <c r="AH228" s="1328"/>
      <c r="AI228" s="1328"/>
      <c r="AJ228" s="1328"/>
      <c r="AK228" s="1328"/>
      <c r="AL228" s="1328"/>
    </row>
    <row r="229" spans="1:38" s="1329" customFormat="1" ht="33" hidden="1" customHeight="1">
      <c r="A229" s="1330">
        <v>40</v>
      </c>
      <c r="B229" s="1330" t="str">
        <f>'Chấm công KT'!D216</f>
        <v>03587</v>
      </c>
      <c r="C229" s="1330" t="str">
        <f>TONGHOPCONGDOI!C224</f>
        <v>N. Mom</v>
      </c>
      <c r="D229" s="1330" t="s">
        <v>43</v>
      </c>
      <c r="E229" s="1331"/>
      <c r="F229" s="373"/>
      <c r="G229" s="373"/>
      <c r="H229" s="373"/>
      <c r="I229" s="373"/>
      <c r="J229" s="1322"/>
      <c r="K229" s="1323"/>
      <c r="L229" s="1324"/>
      <c r="M229" s="1325"/>
      <c r="N229" s="1325"/>
      <c r="O229" s="1325"/>
      <c r="P229" s="1325"/>
      <c r="Q229" s="1325"/>
      <c r="R229" s="1325"/>
      <c r="S229" s="1325"/>
      <c r="T229" s="1369"/>
      <c r="U229" s="1369"/>
      <c r="V229" s="1369"/>
      <c r="W229" s="1325"/>
      <c r="X229" s="1325">
        <f t="shared" si="27"/>
        <v>0</v>
      </c>
      <c r="Y229" s="1332"/>
      <c r="Z229" s="1327">
        <f t="shared" si="26"/>
        <v>0</v>
      </c>
      <c r="AA229" s="373"/>
      <c r="AB229" s="373"/>
      <c r="AC229" s="1326"/>
      <c r="AD229" s="1456">
        <f t="shared" si="16"/>
        <v>40</v>
      </c>
      <c r="AE229" s="1328"/>
      <c r="AF229" s="1328"/>
      <c r="AG229" s="1328"/>
      <c r="AH229" s="1328"/>
      <c r="AI229" s="1328"/>
      <c r="AJ229" s="1328"/>
      <c r="AK229" s="1328"/>
      <c r="AL229" s="1328"/>
    </row>
    <row r="230" spans="1:38" s="1329" customFormat="1" ht="33" hidden="1" customHeight="1">
      <c r="A230" s="1330">
        <v>41</v>
      </c>
      <c r="B230" s="1330" t="str">
        <f>'Chấm công KT'!D217</f>
        <v>03627</v>
      </c>
      <c r="C230" s="1330" t="str">
        <f>TONGHOPCONGDOI!C225</f>
        <v>Phắt Ta Na</v>
      </c>
      <c r="D230" s="1330" t="s">
        <v>43</v>
      </c>
      <c r="E230" s="1331"/>
      <c r="F230" s="373"/>
      <c r="G230" s="373"/>
      <c r="H230" s="373"/>
      <c r="I230" s="373"/>
      <c r="J230" s="1322"/>
      <c r="K230" s="1323"/>
      <c r="L230" s="1324"/>
      <c r="M230" s="1325"/>
      <c r="N230" s="1325"/>
      <c r="O230" s="1325"/>
      <c r="P230" s="1325"/>
      <c r="Q230" s="1325"/>
      <c r="R230" s="1325"/>
      <c r="S230" s="1325"/>
      <c r="T230" s="1369"/>
      <c r="U230" s="1369"/>
      <c r="V230" s="1369"/>
      <c r="W230" s="1325"/>
      <c r="X230" s="1325">
        <f t="shared" si="27"/>
        <v>0</v>
      </c>
      <c r="Y230" s="1332"/>
      <c r="Z230" s="1327">
        <f t="shared" si="26"/>
        <v>0</v>
      </c>
      <c r="AA230" s="373"/>
      <c r="AB230" s="373"/>
      <c r="AC230" s="1326"/>
      <c r="AD230" s="1456">
        <f t="shared" si="16"/>
        <v>41</v>
      </c>
      <c r="AE230" s="1328"/>
      <c r="AF230" s="1328"/>
      <c r="AG230" s="1328"/>
      <c r="AH230" s="1328"/>
      <c r="AI230" s="1328"/>
      <c r="AJ230" s="1328"/>
      <c r="AK230" s="1328"/>
      <c r="AL230" s="1328"/>
    </row>
    <row r="231" spans="1:38" s="1329" customFormat="1" ht="33" hidden="1" customHeight="1">
      <c r="A231" s="1330">
        <v>42</v>
      </c>
      <c r="B231" s="1330" t="str">
        <f>'Chấm công KT'!D218</f>
        <v>03628</v>
      </c>
      <c r="C231" s="1330" t="str">
        <f>TONGHOPCONGDOI!C226</f>
        <v>Khăn Hạ</v>
      </c>
      <c r="D231" s="1330" t="s">
        <v>43</v>
      </c>
      <c r="E231" s="1331"/>
      <c r="F231" s="373"/>
      <c r="G231" s="373"/>
      <c r="H231" s="373"/>
      <c r="I231" s="373"/>
      <c r="J231" s="1322"/>
      <c r="K231" s="1323"/>
      <c r="L231" s="1324"/>
      <c r="M231" s="1325"/>
      <c r="N231" s="1325"/>
      <c r="O231" s="1325"/>
      <c r="P231" s="1325"/>
      <c r="Q231" s="1325"/>
      <c r="R231" s="1325"/>
      <c r="S231" s="1325"/>
      <c r="T231" s="1369"/>
      <c r="U231" s="1369"/>
      <c r="V231" s="1369"/>
      <c r="W231" s="1325"/>
      <c r="X231" s="1325">
        <f t="shared" si="27"/>
        <v>0</v>
      </c>
      <c r="Y231" s="1332"/>
      <c r="Z231" s="1327">
        <f t="shared" si="26"/>
        <v>0</v>
      </c>
      <c r="AA231" s="373"/>
      <c r="AB231" s="373"/>
      <c r="AC231" s="1326"/>
      <c r="AD231" s="1456">
        <f t="shared" si="16"/>
        <v>42</v>
      </c>
      <c r="AE231" s="1328"/>
      <c r="AF231" s="1328"/>
      <c r="AG231" s="1328"/>
      <c r="AH231" s="1328"/>
      <c r="AI231" s="1328"/>
      <c r="AJ231" s="1328"/>
      <c r="AK231" s="1328"/>
      <c r="AL231" s="1328"/>
    </row>
    <row r="232" spans="1:38" s="1329" customFormat="1" ht="33" hidden="1" customHeight="1">
      <c r="A232" s="1330">
        <v>43</v>
      </c>
      <c r="B232" s="1330" t="str">
        <f>'Chấm công KT'!D219</f>
        <v>03629</v>
      </c>
      <c r="C232" s="1330" t="str">
        <f>TONGHOPCONGDOI!C227</f>
        <v>T. Chăn La .</v>
      </c>
      <c r="D232" s="1330" t="s">
        <v>43</v>
      </c>
      <c r="E232" s="1331"/>
      <c r="F232" s="373"/>
      <c r="G232" s="373"/>
      <c r="H232" s="373"/>
      <c r="I232" s="373"/>
      <c r="J232" s="1322"/>
      <c r="K232" s="1323"/>
      <c r="L232" s="1324"/>
      <c r="M232" s="1325"/>
      <c r="N232" s="1325"/>
      <c r="O232" s="1325"/>
      <c r="P232" s="1325"/>
      <c r="Q232" s="1325"/>
      <c r="R232" s="1325"/>
      <c r="S232" s="1325"/>
      <c r="T232" s="1369"/>
      <c r="U232" s="1369"/>
      <c r="V232" s="1369"/>
      <c r="W232" s="1325"/>
      <c r="X232" s="1325">
        <f t="shared" si="27"/>
        <v>0</v>
      </c>
      <c r="Y232" s="1332"/>
      <c r="Z232" s="1327">
        <f t="shared" si="26"/>
        <v>0</v>
      </c>
      <c r="AA232" s="373"/>
      <c r="AB232" s="373"/>
      <c r="AC232" s="1326"/>
      <c r="AD232" s="1456">
        <f t="shared" si="16"/>
        <v>43</v>
      </c>
      <c r="AE232" s="1328"/>
      <c r="AF232" s="1328"/>
      <c r="AG232" s="1328"/>
      <c r="AH232" s="1328"/>
      <c r="AI232" s="1328"/>
      <c r="AJ232" s="1328"/>
      <c r="AK232" s="1328"/>
      <c r="AL232" s="1328"/>
    </row>
    <row r="233" spans="1:38" s="1329" customFormat="1" ht="33" hidden="1" customHeight="1">
      <c r="A233" s="1330">
        <v>44</v>
      </c>
      <c r="B233" s="1330" t="str">
        <f>'Chấm công KT'!D220</f>
        <v>03630</v>
      </c>
      <c r="C233" s="1330" t="str">
        <f>TONGHOPCONGDOI!C228</f>
        <v>T. Nú</v>
      </c>
      <c r="D233" s="1330" t="s">
        <v>43</v>
      </c>
      <c r="E233" s="1331"/>
      <c r="F233" s="373"/>
      <c r="G233" s="373"/>
      <c r="H233" s="373"/>
      <c r="I233" s="373"/>
      <c r="J233" s="1322"/>
      <c r="K233" s="1323"/>
      <c r="L233" s="1324"/>
      <c r="M233" s="1325"/>
      <c r="N233" s="1325"/>
      <c r="O233" s="1325"/>
      <c r="P233" s="1325"/>
      <c r="Q233" s="1325"/>
      <c r="R233" s="1325"/>
      <c r="S233" s="1325"/>
      <c r="T233" s="1369"/>
      <c r="U233" s="1369"/>
      <c r="V233" s="1369"/>
      <c r="W233" s="1325"/>
      <c r="X233" s="1325">
        <f t="shared" si="27"/>
        <v>0</v>
      </c>
      <c r="Y233" s="1332"/>
      <c r="Z233" s="1327">
        <f t="shared" si="26"/>
        <v>0</v>
      </c>
      <c r="AA233" s="373"/>
      <c r="AB233" s="373"/>
      <c r="AC233" s="1326"/>
      <c r="AD233" s="1456">
        <f t="shared" ref="AD233:AD296" si="28">A233</f>
        <v>44</v>
      </c>
      <c r="AE233" s="1328"/>
      <c r="AF233" s="1328"/>
      <c r="AG233" s="1328"/>
      <c r="AH233" s="1328"/>
      <c r="AI233" s="1328"/>
      <c r="AJ233" s="1328"/>
      <c r="AK233" s="1328"/>
      <c r="AL233" s="1328"/>
    </row>
    <row r="234" spans="1:38" s="1329" customFormat="1" ht="33" hidden="1" customHeight="1">
      <c r="A234" s="1330">
        <v>45</v>
      </c>
      <c r="B234" s="1330" t="str">
        <f>'Chấm công KT'!D221</f>
        <v>03631</v>
      </c>
      <c r="C234" s="1330" t="str">
        <f>TONGHOPCONGDOI!C229</f>
        <v>T. Xan Nha</v>
      </c>
      <c r="D234" s="1330" t="s">
        <v>43</v>
      </c>
      <c r="E234" s="1331"/>
      <c r="F234" s="373"/>
      <c r="G234" s="373"/>
      <c r="H234" s="373"/>
      <c r="I234" s="373"/>
      <c r="J234" s="1322"/>
      <c r="K234" s="1323"/>
      <c r="L234" s="1324"/>
      <c r="M234" s="1325"/>
      <c r="N234" s="1325"/>
      <c r="O234" s="1325"/>
      <c r="P234" s="1325"/>
      <c r="Q234" s="1325"/>
      <c r="R234" s="1325"/>
      <c r="S234" s="1325"/>
      <c r="T234" s="1369"/>
      <c r="U234" s="1369"/>
      <c r="V234" s="1369"/>
      <c r="W234" s="1325"/>
      <c r="X234" s="1325">
        <f t="shared" si="27"/>
        <v>0</v>
      </c>
      <c r="Y234" s="1332"/>
      <c r="Z234" s="1327">
        <f t="shared" si="26"/>
        <v>0</v>
      </c>
      <c r="AA234" s="373"/>
      <c r="AB234" s="373"/>
      <c r="AC234" s="1326"/>
      <c r="AD234" s="1456">
        <f t="shared" si="28"/>
        <v>45</v>
      </c>
      <c r="AE234" s="1328"/>
      <c r="AF234" s="1328"/>
      <c r="AG234" s="1328"/>
      <c r="AH234" s="1328"/>
      <c r="AI234" s="1328"/>
      <c r="AJ234" s="1328"/>
      <c r="AK234" s="1328"/>
      <c r="AL234" s="1328"/>
    </row>
    <row r="235" spans="1:38" s="1329" customFormat="1" ht="33" hidden="1" customHeight="1">
      <c r="A235" s="1330">
        <v>46</v>
      </c>
      <c r="B235" s="1330" t="str">
        <f>'Chấm công KT'!D222</f>
        <v>03632</v>
      </c>
      <c r="C235" s="1330" t="str">
        <f>TONGHOPCONGDOI!C230</f>
        <v>T. A lem</v>
      </c>
      <c r="D235" s="1330" t="s">
        <v>43</v>
      </c>
      <c r="E235" s="1331"/>
      <c r="F235" s="373"/>
      <c r="G235" s="373"/>
      <c r="H235" s="373"/>
      <c r="I235" s="373"/>
      <c r="J235" s="1322"/>
      <c r="K235" s="1323"/>
      <c r="L235" s="1324"/>
      <c r="M235" s="1325"/>
      <c r="N235" s="1325"/>
      <c r="O235" s="1325"/>
      <c r="P235" s="1325"/>
      <c r="Q235" s="1325"/>
      <c r="R235" s="1325"/>
      <c r="S235" s="1325"/>
      <c r="T235" s="1369"/>
      <c r="U235" s="1369"/>
      <c r="V235" s="1369"/>
      <c r="W235" s="1325"/>
      <c r="X235" s="1325">
        <f t="shared" si="27"/>
        <v>0</v>
      </c>
      <c r="Y235" s="1332"/>
      <c r="Z235" s="1327">
        <f t="shared" si="26"/>
        <v>0</v>
      </c>
      <c r="AA235" s="373"/>
      <c r="AB235" s="373"/>
      <c r="AC235" s="1326"/>
      <c r="AD235" s="1456">
        <f t="shared" si="28"/>
        <v>46</v>
      </c>
      <c r="AE235" s="1328"/>
      <c r="AF235" s="1328"/>
      <c r="AG235" s="1328"/>
      <c r="AH235" s="1328"/>
      <c r="AI235" s="1328"/>
      <c r="AJ235" s="1328"/>
      <c r="AK235" s="1328"/>
      <c r="AL235" s="1328"/>
    </row>
    <row r="236" spans="1:38" s="1329" customFormat="1" ht="33" hidden="1" customHeight="1">
      <c r="A236" s="1330">
        <v>47</v>
      </c>
      <c r="B236" s="1330" t="str">
        <f>'Chấm công KT'!D223</f>
        <v>03633</v>
      </c>
      <c r="C236" s="1330" t="str">
        <f>TONGHOPCONGDOI!C231</f>
        <v>T. Chăn</v>
      </c>
      <c r="D236" s="1330" t="s">
        <v>43</v>
      </c>
      <c r="E236" s="1331"/>
      <c r="F236" s="373"/>
      <c r="G236" s="373"/>
      <c r="H236" s="373"/>
      <c r="I236" s="373"/>
      <c r="J236" s="1322"/>
      <c r="K236" s="1323"/>
      <c r="L236" s="1324"/>
      <c r="M236" s="1325"/>
      <c r="N236" s="1325"/>
      <c r="O236" s="1325"/>
      <c r="P236" s="1325"/>
      <c r="Q236" s="1325"/>
      <c r="R236" s="1325"/>
      <c r="S236" s="1325"/>
      <c r="T236" s="1369"/>
      <c r="U236" s="1369"/>
      <c r="V236" s="1369"/>
      <c r="W236" s="1325"/>
      <c r="X236" s="1325">
        <f t="shared" si="27"/>
        <v>0</v>
      </c>
      <c r="Y236" s="1332"/>
      <c r="Z236" s="1327">
        <f t="shared" si="26"/>
        <v>0</v>
      </c>
      <c r="AA236" s="373"/>
      <c r="AB236" s="373"/>
      <c r="AC236" s="1326"/>
      <c r="AD236" s="1456">
        <f t="shared" si="28"/>
        <v>47</v>
      </c>
      <c r="AE236" s="1328"/>
      <c r="AF236" s="1328"/>
      <c r="AG236" s="1328"/>
      <c r="AH236" s="1328"/>
      <c r="AI236" s="1328"/>
      <c r="AJ236" s="1328"/>
      <c r="AK236" s="1328"/>
      <c r="AL236" s="1328"/>
    </row>
    <row r="237" spans="1:38" s="1329" customFormat="1" ht="33" hidden="1" customHeight="1">
      <c r="A237" s="1330">
        <v>48</v>
      </c>
      <c r="B237" s="1330" t="str">
        <f>'Chấm công KT'!D224</f>
        <v>03634</v>
      </c>
      <c r="C237" s="1330" t="str">
        <f>TONGHOPCONGDOI!C232</f>
        <v>T . Cổ</v>
      </c>
      <c r="D237" s="1330" t="s">
        <v>43</v>
      </c>
      <c r="E237" s="1331"/>
      <c r="F237" s="373"/>
      <c r="G237" s="373"/>
      <c r="H237" s="373"/>
      <c r="I237" s="373"/>
      <c r="J237" s="1322"/>
      <c r="K237" s="1323"/>
      <c r="L237" s="1324"/>
      <c r="M237" s="1325"/>
      <c r="N237" s="1325"/>
      <c r="O237" s="1325"/>
      <c r="P237" s="1325"/>
      <c r="Q237" s="1325"/>
      <c r="R237" s="1325"/>
      <c r="S237" s="1325"/>
      <c r="T237" s="1369"/>
      <c r="U237" s="1369"/>
      <c r="V237" s="1369"/>
      <c r="W237" s="1325"/>
      <c r="X237" s="1325">
        <f t="shared" si="27"/>
        <v>0</v>
      </c>
      <c r="Y237" s="1332"/>
      <c r="Z237" s="1327">
        <f t="shared" si="26"/>
        <v>0</v>
      </c>
      <c r="AA237" s="373"/>
      <c r="AB237" s="373"/>
      <c r="AC237" s="1326"/>
      <c r="AD237" s="1456">
        <f t="shared" si="28"/>
        <v>48</v>
      </c>
      <c r="AE237" s="1328"/>
      <c r="AF237" s="1328"/>
      <c r="AG237" s="1328"/>
      <c r="AH237" s="1328"/>
      <c r="AI237" s="1328"/>
      <c r="AJ237" s="1328"/>
      <c r="AK237" s="1328"/>
      <c r="AL237" s="1328"/>
    </row>
    <row r="238" spans="1:38" s="1329" customFormat="1" ht="33" hidden="1" customHeight="1">
      <c r="A238" s="1330">
        <v>49</v>
      </c>
      <c r="B238" s="1330" t="str">
        <f>'Chấm công KT'!D225</f>
        <v>03635</v>
      </c>
      <c r="C238" s="1330" t="str">
        <f>TONGHOPCONGDOI!C233</f>
        <v>N. Phim Pha</v>
      </c>
      <c r="D238" s="1330" t="s">
        <v>43</v>
      </c>
      <c r="E238" s="1331"/>
      <c r="F238" s="373"/>
      <c r="G238" s="373"/>
      <c r="H238" s="373"/>
      <c r="I238" s="373"/>
      <c r="J238" s="1322"/>
      <c r="K238" s="1323"/>
      <c r="L238" s="1324"/>
      <c r="M238" s="1325"/>
      <c r="N238" s="1325"/>
      <c r="O238" s="1325"/>
      <c r="P238" s="1325"/>
      <c r="Q238" s="1325"/>
      <c r="R238" s="1325"/>
      <c r="S238" s="1325"/>
      <c r="T238" s="1369"/>
      <c r="U238" s="1369"/>
      <c r="V238" s="1369"/>
      <c r="W238" s="1325"/>
      <c r="X238" s="1325">
        <f t="shared" si="27"/>
        <v>0</v>
      </c>
      <c r="Y238" s="1332"/>
      <c r="Z238" s="1327">
        <f t="shared" si="26"/>
        <v>0</v>
      </c>
      <c r="AA238" s="373"/>
      <c r="AB238" s="373"/>
      <c r="AC238" s="1326"/>
      <c r="AD238" s="1456">
        <f t="shared" si="28"/>
        <v>49</v>
      </c>
      <c r="AE238" s="1328"/>
      <c r="AF238" s="1328"/>
      <c r="AG238" s="1328"/>
      <c r="AH238" s="1328"/>
      <c r="AI238" s="1328"/>
      <c r="AJ238" s="1328"/>
      <c r="AK238" s="1328"/>
      <c r="AL238" s="1328"/>
    </row>
    <row r="239" spans="1:38" s="1329" customFormat="1" ht="33" hidden="1" customHeight="1">
      <c r="A239" s="1330">
        <v>50</v>
      </c>
      <c r="B239" s="1330" t="str">
        <f>'Chấm công KT'!D226</f>
        <v>03636</v>
      </c>
      <c r="C239" s="1330" t="str">
        <f>TONGHOPCONGDOI!C234</f>
        <v xml:space="preserve">T. Xeng </v>
      </c>
      <c r="D239" s="1330" t="s">
        <v>43</v>
      </c>
      <c r="E239" s="1331"/>
      <c r="F239" s="373"/>
      <c r="G239" s="373"/>
      <c r="H239" s="373"/>
      <c r="I239" s="373"/>
      <c r="J239" s="1322"/>
      <c r="K239" s="1323"/>
      <c r="L239" s="1324"/>
      <c r="M239" s="1325"/>
      <c r="N239" s="1325"/>
      <c r="O239" s="1325"/>
      <c r="P239" s="1325"/>
      <c r="Q239" s="1325"/>
      <c r="R239" s="1325"/>
      <c r="S239" s="1325"/>
      <c r="T239" s="1369"/>
      <c r="U239" s="1369"/>
      <c r="V239" s="1369"/>
      <c r="W239" s="1325"/>
      <c r="X239" s="1325">
        <f t="shared" si="27"/>
        <v>0</v>
      </c>
      <c r="Y239" s="1332"/>
      <c r="Z239" s="1327">
        <f t="shared" si="26"/>
        <v>0</v>
      </c>
      <c r="AA239" s="373"/>
      <c r="AB239" s="373"/>
      <c r="AC239" s="1326"/>
      <c r="AD239" s="1456">
        <f t="shared" si="28"/>
        <v>50</v>
      </c>
      <c r="AE239" s="1328"/>
      <c r="AF239" s="1328"/>
      <c r="AG239" s="1328"/>
      <c r="AH239" s="1328"/>
      <c r="AI239" s="1328"/>
      <c r="AJ239" s="1328"/>
      <c r="AK239" s="1328"/>
      <c r="AL239" s="1328"/>
    </row>
    <row r="240" spans="1:38" s="1329" customFormat="1" ht="33" hidden="1" customHeight="1">
      <c r="A240" s="1330">
        <v>51</v>
      </c>
      <c r="B240" s="1330" t="str">
        <f>'Chấm công KT'!D227</f>
        <v>03637</v>
      </c>
      <c r="C240" s="1330" t="str">
        <f>TONGHOPCONGDOI!C235</f>
        <v>T. Vạt</v>
      </c>
      <c r="D240" s="1330" t="s">
        <v>43</v>
      </c>
      <c r="E240" s="1331"/>
      <c r="F240" s="373"/>
      <c r="G240" s="373"/>
      <c r="H240" s="373"/>
      <c r="I240" s="373"/>
      <c r="J240" s="1322"/>
      <c r="K240" s="1323"/>
      <c r="L240" s="1324"/>
      <c r="M240" s="1325"/>
      <c r="N240" s="1325"/>
      <c r="O240" s="1325"/>
      <c r="P240" s="1325"/>
      <c r="Q240" s="1325"/>
      <c r="R240" s="1325"/>
      <c r="S240" s="1325"/>
      <c r="T240" s="1369"/>
      <c r="U240" s="1369"/>
      <c r="V240" s="1369"/>
      <c r="W240" s="1325"/>
      <c r="X240" s="1325">
        <f t="shared" si="27"/>
        <v>0</v>
      </c>
      <c r="Y240" s="1332"/>
      <c r="Z240" s="1327">
        <f t="shared" si="26"/>
        <v>0</v>
      </c>
      <c r="AA240" s="373"/>
      <c r="AB240" s="373"/>
      <c r="AC240" s="1326"/>
      <c r="AD240" s="1456">
        <f t="shared" si="28"/>
        <v>51</v>
      </c>
      <c r="AE240" s="1328"/>
      <c r="AF240" s="1328"/>
      <c r="AG240" s="1328"/>
      <c r="AH240" s="1328"/>
      <c r="AI240" s="1328"/>
      <c r="AJ240" s="1328"/>
      <c r="AK240" s="1328"/>
      <c r="AL240" s="1328"/>
    </row>
    <row r="241" spans="1:38" s="1329" customFormat="1" ht="33" hidden="1" customHeight="1">
      <c r="A241" s="1330">
        <v>52</v>
      </c>
      <c r="B241" s="1330" t="str">
        <f>'Chấm công KT'!D228</f>
        <v>03638</v>
      </c>
      <c r="C241" s="1330" t="str">
        <f>TONGHOPCONGDOI!C236</f>
        <v>T. Lay</v>
      </c>
      <c r="D241" s="1330" t="s">
        <v>43</v>
      </c>
      <c r="E241" s="1331"/>
      <c r="F241" s="373"/>
      <c r="G241" s="373"/>
      <c r="H241" s="373"/>
      <c r="I241" s="373"/>
      <c r="J241" s="1322"/>
      <c r="K241" s="1323"/>
      <c r="L241" s="1324"/>
      <c r="M241" s="1325"/>
      <c r="N241" s="1325"/>
      <c r="O241" s="1325"/>
      <c r="P241" s="1325"/>
      <c r="Q241" s="1325"/>
      <c r="R241" s="1325"/>
      <c r="S241" s="1325"/>
      <c r="T241" s="1369"/>
      <c r="U241" s="1369"/>
      <c r="V241" s="1369"/>
      <c r="W241" s="1325"/>
      <c r="X241" s="1325">
        <f t="shared" si="27"/>
        <v>0</v>
      </c>
      <c r="Y241" s="1332"/>
      <c r="Z241" s="1327">
        <f t="shared" si="26"/>
        <v>0</v>
      </c>
      <c r="AA241" s="373"/>
      <c r="AB241" s="373"/>
      <c r="AC241" s="1326"/>
      <c r="AD241" s="1456">
        <f t="shared" si="28"/>
        <v>52</v>
      </c>
      <c r="AE241" s="1328"/>
      <c r="AF241" s="1328"/>
      <c r="AG241" s="1328"/>
      <c r="AH241" s="1328"/>
      <c r="AI241" s="1328"/>
      <c r="AJ241" s="1328"/>
      <c r="AK241" s="1328"/>
      <c r="AL241" s="1328"/>
    </row>
    <row r="242" spans="1:38" s="1329" customFormat="1" ht="33" hidden="1" customHeight="1">
      <c r="A242" s="1330">
        <v>53</v>
      </c>
      <c r="B242" s="1330" t="str">
        <f>'Chấm công KT'!D229</f>
        <v>03639</v>
      </c>
      <c r="C242" s="1330" t="str">
        <f>TONGHOPCONGDOI!C237</f>
        <v>Lăm Thon</v>
      </c>
      <c r="D242" s="1330" t="s">
        <v>43</v>
      </c>
      <c r="E242" s="1331"/>
      <c r="F242" s="373"/>
      <c r="G242" s="373"/>
      <c r="H242" s="373"/>
      <c r="I242" s="373"/>
      <c r="J242" s="1322"/>
      <c r="K242" s="1323"/>
      <c r="L242" s="1324"/>
      <c r="M242" s="1325"/>
      <c r="N242" s="1325"/>
      <c r="O242" s="1325"/>
      <c r="P242" s="1325"/>
      <c r="Q242" s="1325"/>
      <c r="R242" s="1325"/>
      <c r="S242" s="1325"/>
      <c r="T242" s="1369"/>
      <c r="U242" s="1369"/>
      <c r="V242" s="1369"/>
      <c r="W242" s="1325"/>
      <c r="X242" s="1325">
        <f t="shared" si="27"/>
        <v>0</v>
      </c>
      <c r="Y242" s="1332"/>
      <c r="Z242" s="1327">
        <f t="shared" si="26"/>
        <v>0</v>
      </c>
      <c r="AA242" s="373"/>
      <c r="AB242" s="373"/>
      <c r="AC242" s="1326"/>
      <c r="AD242" s="1456">
        <f t="shared" si="28"/>
        <v>53</v>
      </c>
      <c r="AE242" s="1328"/>
      <c r="AF242" s="1328"/>
      <c r="AG242" s="1328"/>
      <c r="AH242" s="1328"/>
      <c r="AI242" s="1328"/>
      <c r="AJ242" s="1328"/>
      <c r="AK242" s="1328"/>
      <c r="AL242" s="1328"/>
    </row>
    <row r="243" spans="1:38" s="1329" customFormat="1" ht="33" hidden="1" customHeight="1">
      <c r="A243" s="1330">
        <v>54</v>
      </c>
      <c r="B243" s="1330"/>
      <c r="C243" s="1330" t="str">
        <f>TONGHOPCONGDOI!C238</f>
        <v>T Bun Xi</v>
      </c>
      <c r="D243" s="1330" t="s">
        <v>43</v>
      </c>
      <c r="E243" s="1331"/>
      <c r="F243" s="373"/>
      <c r="G243" s="373"/>
      <c r="H243" s="373"/>
      <c r="I243" s="373"/>
      <c r="J243" s="1322"/>
      <c r="K243" s="1323"/>
      <c r="L243" s="1324"/>
      <c r="M243" s="1325"/>
      <c r="N243" s="1325"/>
      <c r="O243" s="1325"/>
      <c r="P243" s="1325"/>
      <c r="Q243" s="1325"/>
      <c r="R243" s="1325"/>
      <c r="S243" s="1325"/>
      <c r="T243" s="1369"/>
      <c r="U243" s="1369"/>
      <c r="V243" s="1369"/>
      <c r="W243" s="1325"/>
      <c r="X243" s="1325">
        <f t="shared" si="27"/>
        <v>0</v>
      </c>
      <c r="Y243" s="1332"/>
      <c r="Z243" s="1327">
        <f t="shared" si="26"/>
        <v>0</v>
      </c>
      <c r="AA243" s="373"/>
      <c r="AB243" s="373"/>
      <c r="AC243" s="1326"/>
      <c r="AD243" s="1456">
        <f t="shared" si="28"/>
        <v>54</v>
      </c>
      <c r="AE243" s="1328"/>
      <c r="AF243" s="1328"/>
      <c r="AG243" s="1328"/>
      <c r="AH243" s="1328"/>
      <c r="AI243" s="1328"/>
      <c r="AJ243" s="1328"/>
      <c r="AK243" s="1328"/>
      <c r="AL243" s="1328"/>
    </row>
    <row r="244" spans="1:38" s="1329" customFormat="1" ht="33" hidden="1" customHeight="1">
      <c r="A244" s="1330">
        <v>55</v>
      </c>
      <c r="B244" s="1330" t="str">
        <f>'Chấm công KT'!D231</f>
        <v>03641</v>
      </c>
      <c r="C244" s="1330" t="str">
        <f>TONGHOPCONGDOI!C239</f>
        <v>Xô La</v>
      </c>
      <c r="D244" s="1330" t="s">
        <v>43</v>
      </c>
      <c r="E244" s="1331"/>
      <c r="F244" s="373"/>
      <c r="G244" s="373"/>
      <c r="H244" s="373"/>
      <c r="I244" s="373"/>
      <c r="J244" s="1322"/>
      <c r="K244" s="1323"/>
      <c r="L244" s="1324"/>
      <c r="M244" s="1325"/>
      <c r="N244" s="1325"/>
      <c r="O244" s="1325"/>
      <c r="P244" s="1325"/>
      <c r="Q244" s="1325"/>
      <c r="R244" s="1325"/>
      <c r="S244" s="1325"/>
      <c r="T244" s="1369"/>
      <c r="U244" s="1369"/>
      <c r="V244" s="1369"/>
      <c r="W244" s="1325"/>
      <c r="X244" s="1325">
        <f t="shared" si="27"/>
        <v>0</v>
      </c>
      <c r="Y244" s="1332"/>
      <c r="Z244" s="1327">
        <f t="shared" si="26"/>
        <v>0</v>
      </c>
      <c r="AA244" s="373"/>
      <c r="AB244" s="373"/>
      <c r="AC244" s="1326"/>
      <c r="AD244" s="1456">
        <f t="shared" si="28"/>
        <v>55</v>
      </c>
      <c r="AE244" s="1328"/>
      <c r="AF244" s="1328"/>
      <c r="AG244" s="1328"/>
      <c r="AH244" s="1328"/>
      <c r="AI244" s="1328"/>
      <c r="AJ244" s="1328"/>
      <c r="AK244" s="1328"/>
      <c r="AL244" s="1328"/>
    </row>
    <row r="245" spans="1:38" s="1329" customFormat="1" ht="33" hidden="1" customHeight="1">
      <c r="A245" s="1330">
        <v>56</v>
      </c>
      <c r="B245" s="1330" t="str">
        <f>'Chấm công KT'!D232</f>
        <v>03642</v>
      </c>
      <c r="C245" s="1330" t="str">
        <f>TONGHOPCONGDOI!C240</f>
        <v>T. Xơn</v>
      </c>
      <c r="D245" s="1330" t="s">
        <v>43</v>
      </c>
      <c r="E245" s="1331"/>
      <c r="F245" s="373"/>
      <c r="G245" s="373"/>
      <c r="H245" s="373"/>
      <c r="I245" s="373"/>
      <c r="J245" s="1322"/>
      <c r="K245" s="1323"/>
      <c r="L245" s="1324"/>
      <c r="M245" s="1325"/>
      <c r="N245" s="1325"/>
      <c r="O245" s="1325"/>
      <c r="P245" s="1325"/>
      <c r="Q245" s="1325"/>
      <c r="R245" s="1325"/>
      <c r="S245" s="1325"/>
      <c r="T245" s="1369"/>
      <c r="U245" s="1369"/>
      <c r="V245" s="1369"/>
      <c r="W245" s="1325"/>
      <c r="X245" s="1325">
        <f t="shared" si="27"/>
        <v>0</v>
      </c>
      <c r="Y245" s="1332"/>
      <c r="Z245" s="1327">
        <f t="shared" si="26"/>
        <v>0</v>
      </c>
      <c r="AA245" s="373"/>
      <c r="AB245" s="373"/>
      <c r="AC245" s="1326"/>
      <c r="AD245" s="1456">
        <f t="shared" si="28"/>
        <v>56</v>
      </c>
      <c r="AE245" s="1328"/>
      <c r="AF245" s="1328"/>
      <c r="AG245" s="1328"/>
      <c r="AH245" s="1328"/>
      <c r="AI245" s="1328"/>
      <c r="AJ245" s="1328"/>
      <c r="AK245" s="1328"/>
      <c r="AL245" s="1328"/>
    </row>
    <row r="246" spans="1:38" s="1329" customFormat="1" ht="33" hidden="1" customHeight="1">
      <c r="A246" s="1330">
        <v>57</v>
      </c>
      <c r="B246" s="1330" t="str">
        <f>'Chấm công KT'!D233</f>
        <v>03643</v>
      </c>
      <c r="C246" s="1330" t="str">
        <f>TONGHOPCONGDOI!C241</f>
        <v>T. K Đăm</v>
      </c>
      <c r="D246" s="1330" t="s">
        <v>43</v>
      </c>
      <c r="E246" s="1331"/>
      <c r="F246" s="373"/>
      <c r="G246" s="373"/>
      <c r="H246" s="373"/>
      <c r="I246" s="373"/>
      <c r="J246" s="1322"/>
      <c r="K246" s="1323"/>
      <c r="L246" s="1324"/>
      <c r="M246" s="1325"/>
      <c r="N246" s="1325"/>
      <c r="O246" s="1325"/>
      <c r="P246" s="1325"/>
      <c r="Q246" s="1325"/>
      <c r="R246" s="1325"/>
      <c r="S246" s="1325"/>
      <c r="T246" s="1369"/>
      <c r="U246" s="1369"/>
      <c r="V246" s="1369"/>
      <c r="W246" s="1325"/>
      <c r="X246" s="1325">
        <f t="shared" si="27"/>
        <v>0</v>
      </c>
      <c r="Y246" s="1332"/>
      <c r="Z246" s="1327">
        <f t="shared" si="26"/>
        <v>0</v>
      </c>
      <c r="AA246" s="373"/>
      <c r="AB246" s="373"/>
      <c r="AC246" s="1326"/>
      <c r="AD246" s="1456">
        <f t="shared" si="28"/>
        <v>57</v>
      </c>
      <c r="AE246" s="1328"/>
      <c r="AF246" s="1328"/>
      <c r="AG246" s="1328"/>
      <c r="AH246" s="1328"/>
      <c r="AI246" s="1328"/>
      <c r="AJ246" s="1328"/>
      <c r="AK246" s="1328"/>
      <c r="AL246" s="1328"/>
    </row>
    <row r="247" spans="1:38" s="1329" customFormat="1" ht="33" hidden="1" customHeight="1">
      <c r="A247" s="1330">
        <v>58</v>
      </c>
      <c r="B247" s="1330" t="str">
        <f>'Chấm công KT'!D234</f>
        <v>03644</v>
      </c>
      <c r="C247" s="1330" t="str">
        <f>TONGHOPCONGDOI!C242</f>
        <v>N. Nô La</v>
      </c>
      <c r="D247" s="1330" t="s">
        <v>43</v>
      </c>
      <c r="E247" s="1331"/>
      <c r="F247" s="373"/>
      <c r="G247" s="373"/>
      <c r="H247" s="373"/>
      <c r="I247" s="373"/>
      <c r="J247" s="1322"/>
      <c r="K247" s="1323"/>
      <c r="L247" s="1324"/>
      <c r="M247" s="1325"/>
      <c r="N247" s="1325"/>
      <c r="O247" s="1325"/>
      <c r="P247" s="1325"/>
      <c r="Q247" s="1325"/>
      <c r="R247" s="1325"/>
      <c r="S247" s="1325"/>
      <c r="T247" s="1369"/>
      <c r="U247" s="1369"/>
      <c r="V247" s="1369"/>
      <c r="W247" s="1325"/>
      <c r="X247" s="1325">
        <f t="shared" si="27"/>
        <v>0</v>
      </c>
      <c r="Y247" s="1332"/>
      <c r="Z247" s="1327">
        <f t="shared" si="26"/>
        <v>0</v>
      </c>
      <c r="AA247" s="373"/>
      <c r="AB247" s="373"/>
      <c r="AC247" s="1326"/>
      <c r="AD247" s="1456">
        <f t="shared" si="28"/>
        <v>58</v>
      </c>
      <c r="AE247" s="1328"/>
      <c r="AF247" s="1328"/>
      <c r="AG247" s="1328"/>
      <c r="AH247" s="1328"/>
      <c r="AI247" s="1328"/>
      <c r="AJ247" s="1328"/>
      <c r="AK247" s="1328"/>
      <c r="AL247" s="1328"/>
    </row>
    <row r="248" spans="1:38" s="1329" customFormat="1" ht="33" hidden="1" customHeight="1">
      <c r="A248" s="1330">
        <v>59</v>
      </c>
      <c r="B248" s="1330"/>
      <c r="C248" s="1330" t="str">
        <f>TONGHOPCONGDOI!C243</f>
        <v>T. Thong</v>
      </c>
      <c r="D248" s="1330" t="s">
        <v>43</v>
      </c>
      <c r="E248" s="1331"/>
      <c r="F248" s="373"/>
      <c r="G248" s="373"/>
      <c r="H248" s="373"/>
      <c r="I248" s="373"/>
      <c r="J248" s="1322"/>
      <c r="K248" s="1323"/>
      <c r="L248" s="1324"/>
      <c r="M248" s="1325"/>
      <c r="N248" s="1325"/>
      <c r="O248" s="1325"/>
      <c r="P248" s="1325"/>
      <c r="Q248" s="1325"/>
      <c r="R248" s="1325"/>
      <c r="S248" s="1325"/>
      <c r="T248" s="1369"/>
      <c r="U248" s="1369"/>
      <c r="V248" s="1369"/>
      <c r="W248" s="1325"/>
      <c r="X248" s="1325">
        <f t="shared" si="27"/>
        <v>0</v>
      </c>
      <c r="Y248" s="1332"/>
      <c r="Z248" s="1327">
        <f t="shared" si="26"/>
        <v>0</v>
      </c>
      <c r="AA248" s="373"/>
      <c r="AB248" s="373"/>
      <c r="AC248" s="1326"/>
      <c r="AD248" s="1456">
        <f t="shared" si="28"/>
        <v>59</v>
      </c>
      <c r="AE248" s="1328"/>
      <c r="AF248" s="1328"/>
      <c r="AG248" s="1328"/>
      <c r="AH248" s="1328"/>
      <c r="AI248" s="1328"/>
      <c r="AJ248" s="1328"/>
      <c r="AK248" s="1328"/>
      <c r="AL248" s="1328"/>
    </row>
    <row r="249" spans="1:38" s="1329" customFormat="1" ht="33" hidden="1" customHeight="1">
      <c r="A249" s="1330">
        <v>60</v>
      </c>
      <c r="B249" s="1330"/>
      <c r="C249" s="1330" t="str">
        <f>TONGHOPCONGDOI!C244</f>
        <v>T. Khách</v>
      </c>
      <c r="D249" s="1330" t="s">
        <v>43</v>
      </c>
      <c r="E249" s="1331"/>
      <c r="F249" s="373"/>
      <c r="G249" s="373"/>
      <c r="H249" s="373"/>
      <c r="I249" s="373"/>
      <c r="J249" s="1322"/>
      <c r="K249" s="1323"/>
      <c r="L249" s="1324"/>
      <c r="M249" s="1325"/>
      <c r="N249" s="1325"/>
      <c r="O249" s="1325"/>
      <c r="P249" s="1325"/>
      <c r="Q249" s="1325"/>
      <c r="R249" s="1325"/>
      <c r="S249" s="1325"/>
      <c r="T249" s="1369"/>
      <c r="U249" s="1369"/>
      <c r="V249" s="1369"/>
      <c r="W249" s="1325"/>
      <c r="X249" s="1325">
        <f t="shared" si="27"/>
        <v>0</v>
      </c>
      <c r="Y249" s="1332"/>
      <c r="Z249" s="1327">
        <f t="shared" si="26"/>
        <v>0</v>
      </c>
      <c r="AA249" s="373"/>
      <c r="AB249" s="373"/>
      <c r="AC249" s="1326"/>
      <c r="AD249" s="1456">
        <f t="shared" si="28"/>
        <v>60</v>
      </c>
      <c r="AE249" s="1328"/>
      <c r="AF249" s="1328"/>
      <c r="AG249" s="1328"/>
      <c r="AH249" s="1328"/>
      <c r="AI249" s="1328"/>
      <c r="AJ249" s="1328"/>
      <c r="AK249" s="1328"/>
      <c r="AL249" s="1328"/>
    </row>
    <row r="250" spans="1:38" s="1329" customFormat="1" ht="33" hidden="1" customHeight="1">
      <c r="A250" s="1330">
        <v>61</v>
      </c>
      <c r="B250" s="1330"/>
      <c r="C250" s="1330" t="str">
        <f>TONGHOPCONGDOI!C245</f>
        <v>Nang On Xi</v>
      </c>
      <c r="D250" s="1330" t="s">
        <v>43</v>
      </c>
      <c r="E250" s="1331"/>
      <c r="F250" s="373"/>
      <c r="G250" s="373"/>
      <c r="H250" s="373"/>
      <c r="I250" s="373"/>
      <c r="J250" s="1322"/>
      <c r="K250" s="1323"/>
      <c r="L250" s="1324"/>
      <c r="M250" s="1325"/>
      <c r="N250" s="1325"/>
      <c r="O250" s="1325"/>
      <c r="P250" s="1325"/>
      <c r="Q250" s="1325"/>
      <c r="R250" s="1325"/>
      <c r="S250" s="1325"/>
      <c r="T250" s="1369"/>
      <c r="U250" s="1369"/>
      <c r="V250" s="1369"/>
      <c r="W250" s="1325"/>
      <c r="X250" s="1325">
        <f t="shared" si="27"/>
        <v>0</v>
      </c>
      <c r="Y250" s="1332"/>
      <c r="Z250" s="1327">
        <f t="shared" si="26"/>
        <v>0</v>
      </c>
      <c r="AA250" s="373"/>
      <c r="AB250" s="373"/>
      <c r="AC250" s="1326"/>
      <c r="AD250" s="1456">
        <f t="shared" si="28"/>
        <v>61</v>
      </c>
      <c r="AE250" s="1328"/>
      <c r="AF250" s="1328"/>
      <c r="AG250" s="1328"/>
      <c r="AH250" s="1328"/>
      <c r="AI250" s="1328"/>
      <c r="AJ250" s="1328"/>
      <c r="AK250" s="1328"/>
      <c r="AL250" s="1328"/>
    </row>
    <row r="251" spans="1:38" s="1329" customFormat="1" ht="33" hidden="1" customHeight="1">
      <c r="A251" s="1330">
        <v>62</v>
      </c>
      <c r="B251" s="1330"/>
      <c r="C251" s="1330" t="str">
        <f>TONGHOPCONGDOI!C246</f>
        <v>Thảo Túc</v>
      </c>
      <c r="D251" s="1330" t="s">
        <v>43</v>
      </c>
      <c r="E251" s="1331"/>
      <c r="F251" s="373"/>
      <c r="G251" s="373"/>
      <c r="H251" s="373"/>
      <c r="I251" s="373"/>
      <c r="J251" s="1322"/>
      <c r="K251" s="1323"/>
      <c r="L251" s="1324"/>
      <c r="M251" s="1325"/>
      <c r="N251" s="1325"/>
      <c r="O251" s="1325"/>
      <c r="P251" s="1325"/>
      <c r="Q251" s="1325"/>
      <c r="R251" s="1325"/>
      <c r="S251" s="1325"/>
      <c r="T251" s="1369"/>
      <c r="U251" s="1369"/>
      <c r="V251" s="1369"/>
      <c r="W251" s="1325"/>
      <c r="X251" s="1325">
        <f t="shared" si="27"/>
        <v>0</v>
      </c>
      <c r="Y251" s="1332"/>
      <c r="Z251" s="1327">
        <f t="shared" ref="Z251:Z254" si="29">X251-Y251</f>
        <v>0</v>
      </c>
      <c r="AA251" s="373"/>
      <c r="AB251" s="373"/>
      <c r="AC251" s="1326"/>
      <c r="AD251" s="1456">
        <f t="shared" si="28"/>
        <v>62</v>
      </c>
      <c r="AE251" s="1328"/>
      <c r="AF251" s="1328"/>
      <c r="AG251" s="1328"/>
      <c r="AH251" s="1328"/>
      <c r="AI251" s="1328"/>
      <c r="AJ251" s="1328"/>
      <c r="AK251" s="1328"/>
      <c r="AL251" s="1328"/>
    </row>
    <row r="252" spans="1:38" s="1329" customFormat="1" ht="33" hidden="1" customHeight="1">
      <c r="A252" s="1330">
        <v>63</v>
      </c>
      <c r="B252" s="1330"/>
      <c r="C252" s="1330" t="str">
        <f>TONGHOPCONGDOI!C247</f>
        <v>Mủ Xi Rum</v>
      </c>
      <c r="D252" s="1330" t="s">
        <v>43</v>
      </c>
      <c r="E252" s="1331"/>
      <c r="F252" s="373"/>
      <c r="G252" s="373"/>
      <c r="H252" s="373"/>
      <c r="I252" s="373"/>
      <c r="J252" s="1322"/>
      <c r="K252" s="1323"/>
      <c r="L252" s="1324"/>
      <c r="M252" s="1325"/>
      <c r="N252" s="1325"/>
      <c r="O252" s="1325"/>
      <c r="P252" s="1325"/>
      <c r="Q252" s="1325"/>
      <c r="R252" s="1325"/>
      <c r="S252" s="1325"/>
      <c r="T252" s="1369"/>
      <c r="U252" s="1369"/>
      <c r="V252" s="1369"/>
      <c r="W252" s="1325"/>
      <c r="X252" s="1325">
        <f t="shared" si="27"/>
        <v>0</v>
      </c>
      <c r="Y252" s="1332"/>
      <c r="Z252" s="1327">
        <f t="shared" ref="Z252" si="30">X252-Y252</f>
        <v>0</v>
      </c>
      <c r="AA252" s="373"/>
      <c r="AB252" s="373"/>
      <c r="AC252" s="1326"/>
      <c r="AD252" s="1456">
        <f t="shared" si="28"/>
        <v>63</v>
      </c>
      <c r="AE252" s="1328"/>
      <c r="AF252" s="1328"/>
      <c r="AG252" s="1328"/>
      <c r="AH252" s="1328"/>
      <c r="AI252" s="1328"/>
      <c r="AJ252" s="1328"/>
      <c r="AK252" s="1328"/>
      <c r="AL252" s="1328"/>
    </row>
    <row r="253" spans="1:38" s="1329" customFormat="1" ht="33" customHeight="1">
      <c r="A253" s="1330">
        <v>1</v>
      </c>
      <c r="B253" s="1330"/>
      <c r="C253" s="1330" t="str">
        <f>TONGHOPCONGDOI!C248</f>
        <v>Mon (3)</v>
      </c>
      <c r="D253" s="1330" t="s">
        <v>43</v>
      </c>
      <c r="E253" s="1331">
        <f>VLOOKUP(C253,TONGHOPCONGDOI!C248:Q291,15,0)</f>
        <v>3218.16</v>
      </c>
      <c r="F253" s="684">
        <f>ROUND(E253*25000,0)+1</f>
        <v>80454001</v>
      </c>
      <c r="G253" s="373"/>
      <c r="H253" s="373"/>
      <c r="I253" s="373"/>
      <c r="J253" s="1322"/>
      <c r="K253" s="1323"/>
      <c r="L253" s="1324"/>
      <c r="M253" s="1325"/>
      <c r="N253" s="1325"/>
      <c r="O253" s="1325"/>
      <c r="P253" s="1325"/>
      <c r="Q253" s="1325"/>
      <c r="R253" s="1325"/>
      <c r="S253" s="1325"/>
      <c r="T253" s="1369"/>
      <c r="U253" s="1369"/>
      <c r="V253" s="1369"/>
      <c r="W253" s="1325"/>
      <c r="X253" s="1325">
        <f t="shared" si="27"/>
        <v>80454001</v>
      </c>
      <c r="Y253" s="1332"/>
      <c r="Z253" s="1327">
        <f t="shared" si="29"/>
        <v>80454001</v>
      </c>
      <c r="AA253" s="373"/>
      <c r="AB253" s="373"/>
      <c r="AC253" s="1326"/>
      <c r="AD253" s="1456">
        <f t="shared" si="28"/>
        <v>1</v>
      </c>
      <c r="AE253" s="1328"/>
      <c r="AF253" s="1328"/>
      <c r="AG253" s="1328"/>
      <c r="AH253" s="1328"/>
      <c r="AI253" s="1328"/>
      <c r="AJ253" s="1328"/>
      <c r="AK253" s="1328"/>
      <c r="AL253" s="1328"/>
    </row>
    <row r="254" spans="1:38" s="1329" customFormat="1" ht="33" hidden="1" customHeight="1">
      <c r="A254" s="1330">
        <v>65</v>
      </c>
      <c r="B254" s="1330"/>
      <c r="C254" s="1330" t="str">
        <f>TONGHOPCONGDOI!C249</f>
        <v>T. Tý</v>
      </c>
      <c r="D254" s="1330" t="s">
        <v>43</v>
      </c>
      <c r="E254" s="1331">
        <f>VLOOKUP(C254,TONGHOPCONGDOI!C249:Q292,15,0)</f>
        <v>0</v>
      </c>
      <c r="F254" s="373">
        <f t="shared" ref="F254" si="31">E254*25000</f>
        <v>0</v>
      </c>
      <c r="G254" s="373"/>
      <c r="H254" s="373"/>
      <c r="I254" s="373"/>
      <c r="J254" s="1322"/>
      <c r="K254" s="1323"/>
      <c r="L254" s="1324"/>
      <c r="M254" s="1325"/>
      <c r="N254" s="1325"/>
      <c r="O254" s="1325"/>
      <c r="P254" s="1325"/>
      <c r="Q254" s="1325"/>
      <c r="R254" s="1325"/>
      <c r="S254" s="1325"/>
      <c r="T254" s="1369"/>
      <c r="U254" s="1369"/>
      <c r="V254" s="1369"/>
      <c r="W254" s="1325"/>
      <c r="X254" s="1325">
        <f t="shared" ref="X254" si="32">F254+L254+W254</f>
        <v>0</v>
      </c>
      <c r="Y254" s="1332"/>
      <c r="Z254" s="1327">
        <f t="shared" si="29"/>
        <v>0</v>
      </c>
      <c r="AA254" s="373"/>
      <c r="AB254" s="373"/>
      <c r="AC254" s="1326"/>
      <c r="AD254" s="1456">
        <f t="shared" si="28"/>
        <v>65</v>
      </c>
      <c r="AE254" s="1328"/>
      <c r="AF254" s="1328"/>
      <c r="AG254" s="1328"/>
      <c r="AH254" s="1328"/>
      <c r="AI254" s="1328"/>
      <c r="AJ254" s="1328"/>
      <c r="AK254" s="1328"/>
      <c r="AL254" s="1328"/>
    </row>
    <row r="255" spans="1:38" s="1329" customFormat="1" ht="33" customHeight="1">
      <c r="A255" s="1573" t="s">
        <v>80</v>
      </c>
      <c r="B255" s="2035" t="str">
        <f>TONGHOPCONGDOI!B250:D250</f>
        <v>Đội IV</v>
      </c>
      <c r="C255" s="2035"/>
      <c r="D255" s="2035"/>
      <c r="E255" s="1574">
        <f>SUM(E256:E325)</f>
        <v>2841.86</v>
      </c>
      <c r="F255" s="1574">
        <f t="shared" ref="F255:AA255" si="33">SUM(F256:F325)</f>
        <v>71046500</v>
      </c>
      <c r="G255" s="1574"/>
      <c r="H255" s="1574"/>
      <c r="I255" s="1574"/>
      <c r="J255" s="1574"/>
      <c r="K255" s="1574"/>
      <c r="L255" s="1574"/>
      <c r="M255" s="1574"/>
      <c r="N255" s="1574"/>
      <c r="O255" s="1574"/>
      <c r="P255" s="1574"/>
      <c r="Q255" s="1574"/>
      <c r="R255" s="1574"/>
      <c r="S255" s="1574"/>
      <c r="T255" s="1574"/>
      <c r="U255" s="1574"/>
      <c r="V255" s="1574"/>
      <c r="W255" s="1574"/>
      <c r="X255" s="1574">
        <f t="shared" si="33"/>
        <v>71046500</v>
      </c>
      <c r="Y255" s="1574">
        <f t="shared" si="33"/>
        <v>0</v>
      </c>
      <c r="Z255" s="1574">
        <f t="shared" si="33"/>
        <v>71046500</v>
      </c>
      <c r="AA255" s="1574">
        <f t="shared" si="33"/>
        <v>0</v>
      </c>
      <c r="AB255" s="1574"/>
      <c r="AC255" s="1326"/>
      <c r="AD255" s="1456" t="str">
        <f t="shared" si="28"/>
        <v>D</v>
      </c>
      <c r="AE255" s="1328"/>
      <c r="AF255" s="1328"/>
      <c r="AG255" s="1328"/>
      <c r="AH255" s="1328"/>
      <c r="AI255" s="1328"/>
      <c r="AJ255" s="1328"/>
      <c r="AK255" s="1328"/>
      <c r="AL255" s="1328"/>
    </row>
    <row r="256" spans="1:38" s="1329" customFormat="1" ht="33" hidden="1" customHeight="1">
      <c r="A256" s="1320">
        <v>1</v>
      </c>
      <c r="B256" s="1330" t="str">
        <f>'Chấm công KT'!D240</f>
        <v>03645</v>
      </c>
      <c r="C256" s="1330" t="str">
        <f>TONGHOPCONGDOI!C251</f>
        <v>N. Teo</v>
      </c>
      <c r="D256" s="1330" t="s">
        <v>43</v>
      </c>
      <c r="E256" s="1331"/>
      <c r="F256" s="373"/>
      <c r="G256" s="373"/>
      <c r="H256" s="373"/>
      <c r="I256" s="373"/>
      <c r="J256" s="1322"/>
      <c r="K256" s="1323"/>
      <c r="L256" s="1324"/>
      <c r="M256" s="1325"/>
      <c r="N256" s="1325"/>
      <c r="O256" s="1325"/>
      <c r="P256" s="1325"/>
      <c r="Q256" s="1325"/>
      <c r="R256" s="1325"/>
      <c r="S256" s="1325"/>
      <c r="T256" s="1369"/>
      <c r="U256" s="1369"/>
      <c r="V256" s="1369"/>
      <c r="W256" s="1325"/>
      <c r="X256" s="1325">
        <f t="shared" ref="X256:X287" si="34">F256+L256+W256</f>
        <v>0</v>
      </c>
      <c r="Y256" s="1332"/>
      <c r="Z256" s="1326">
        <f>X256</f>
        <v>0</v>
      </c>
      <c r="AA256" s="1332"/>
      <c r="AB256" s="1332"/>
      <c r="AC256" s="1326"/>
      <c r="AD256" s="1456">
        <f t="shared" si="28"/>
        <v>1</v>
      </c>
      <c r="AE256" s="1328"/>
      <c r="AF256" s="1328"/>
      <c r="AG256" s="1328"/>
      <c r="AH256" s="1328"/>
      <c r="AI256" s="1328"/>
      <c r="AJ256" s="1328"/>
      <c r="AK256" s="1328"/>
      <c r="AL256" s="1328"/>
    </row>
    <row r="257" spans="1:38" s="1329" customFormat="1" ht="33" hidden="1" customHeight="1">
      <c r="A257" s="1320">
        <v>2</v>
      </c>
      <c r="B257" s="1330" t="str">
        <f>'Chấm công KT'!D241</f>
        <v>03646</v>
      </c>
      <c r="C257" s="1330" t="str">
        <f>TONGHOPCONGDOI!C252</f>
        <v>T . Thau</v>
      </c>
      <c r="D257" s="1330" t="s">
        <v>43</v>
      </c>
      <c r="E257" s="1331"/>
      <c r="F257" s="373"/>
      <c r="G257" s="373"/>
      <c r="H257" s="373"/>
      <c r="I257" s="373"/>
      <c r="J257" s="1322"/>
      <c r="K257" s="1323"/>
      <c r="L257" s="1324"/>
      <c r="M257" s="1325"/>
      <c r="N257" s="1325"/>
      <c r="O257" s="1325"/>
      <c r="P257" s="1325"/>
      <c r="Q257" s="1325"/>
      <c r="R257" s="1325"/>
      <c r="S257" s="1325"/>
      <c r="T257" s="1369"/>
      <c r="U257" s="1369"/>
      <c r="V257" s="1369"/>
      <c r="W257" s="1325"/>
      <c r="X257" s="1325">
        <f t="shared" si="34"/>
        <v>0</v>
      </c>
      <c r="Y257" s="1332"/>
      <c r="Z257" s="1326">
        <f t="shared" ref="Z257:Z308" si="35">X257</f>
        <v>0</v>
      </c>
      <c r="AA257" s="1332"/>
      <c r="AB257" s="1332"/>
      <c r="AC257" s="1326"/>
      <c r="AD257" s="1456">
        <f t="shared" si="28"/>
        <v>2</v>
      </c>
      <c r="AE257" s="1328"/>
      <c r="AF257" s="1328"/>
      <c r="AG257" s="1328"/>
      <c r="AH257" s="1328"/>
      <c r="AI257" s="1328"/>
      <c r="AJ257" s="1328"/>
      <c r="AK257" s="1328"/>
      <c r="AL257" s="1328"/>
    </row>
    <row r="258" spans="1:38" s="1329" customFormat="1" ht="33" hidden="1" customHeight="1">
      <c r="A258" s="1320">
        <v>3</v>
      </c>
      <c r="B258" s="1330"/>
      <c r="C258" s="1330" t="str">
        <f>TONGHOPCONGDOI!C253</f>
        <v>T . Vi</v>
      </c>
      <c r="D258" s="1330" t="s">
        <v>43</v>
      </c>
      <c r="E258" s="1331"/>
      <c r="F258" s="373"/>
      <c r="G258" s="373"/>
      <c r="H258" s="373"/>
      <c r="I258" s="373"/>
      <c r="J258" s="1322"/>
      <c r="K258" s="1323"/>
      <c r="L258" s="1324"/>
      <c r="M258" s="1325"/>
      <c r="N258" s="1325"/>
      <c r="O258" s="1325"/>
      <c r="P258" s="1325"/>
      <c r="Q258" s="1325"/>
      <c r="R258" s="1325"/>
      <c r="S258" s="1325"/>
      <c r="T258" s="1369"/>
      <c r="U258" s="1369"/>
      <c r="V258" s="1369"/>
      <c r="W258" s="1325"/>
      <c r="X258" s="1325">
        <f t="shared" si="34"/>
        <v>0</v>
      </c>
      <c r="Y258" s="1332"/>
      <c r="Z258" s="1326">
        <f t="shared" si="35"/>
        <v>0</v>
      </c>
      <c r="AA258" s="1332"/>
      <c r="AB258" s="1332"/>
      <c r="AC258" s="1326"/>
      <c r="AD258" s="1456">
        <f t="shared" si="28"/>
        <v>3</v>
      </c>
      <c r="AE258" s="1328"/>
      <c r="AF258" s="1328"/>
      <c r="AG258" s="1328"/>
      <c r="AH258" s="1328"/>
      <c r="AI258" s="1328"/>
      <c r="AJ258" s="1328"/>
      <c r="AK258" s="1328"/>
      <c r="AL258" s="1328"/>
    </row>
    <row r="259" spans="1:38" s="1329" customFormat="1" ht="33" hidden="1" customHeight="1">
      <c r="A259" s="1320">
        <v>4</v>
      </c>
      <c r="B259" s="1330" t="str">
        <f>'Chấm công KT'!D243</f>
        <v>03648</v>
      </c>
      <c r="C259" s="1330" t="str">
        <f>TONGHOPCONGDOI!C254</f>
        <v>Khâm Đi</v>
      </c>
      <c r="D259" s="1330" t="s">
        <v>43</v>
      </c>
      <c r="E259" s="1331"/>
      <c r="F259" s="373"/>
      <c r="G259" s="373"/>
      <c r="H259" s="373"/>
      <c r="I259" s="373"/>
      <c r="J259" s="1322"/>
      <c r="K259" s="1323"/>
      <c r="L259" s="1324"/>
      <c r="M259" s="1325"/>
      <c r="N259" s="1325"/>
      <c r="O259" s="1325"/>
      <c r="P259" s="1325"/>
      <c r="Q259" s="1325"/>
      <c r="R259" s="1325"/>
      <c r="S259" s="1325"/>
      <c r="T259" s="1369"/>
      <c r="U259" s="1369"/>
      <c r="V259" s="1369"/>
      <c r="W259" s="1325"/>
      <c r="X259" s="1325">
        <f t="shared" si="34"/>
        <v>0</v>
      </c>
      <c r="Y259" s="1332"/>
      <c r="Z259" s="1326">
        <f t="shared" si="35"/>
        <v>0</v>
      </c>
      <c r="AA259" s="1332"/>
      <c r="AB259" s="1332"/>
      <c r="AC259" s="1326"/>
      <c r="AD259" s="1456">
        <f t="shared" si="28"/>
        <v>4</v>
      </c>
      <c r="AE259" s="1328"/>
      <c r="AF259" s="1328"/>
      <c r="AG259" s="1328"/>
      <c r="AH259" s="1328"/>
      <c r="AI259" s="1328"/>
      <c r="AJ259" s="1328"/>
      <c r="AK259" s="1328"/>
      <c r="AL259" s="1328"/>
    </row>
    <row r="260" spans="1:38" s="1329" customFormat="1" ht="33" hidden="1" customHeight="1">
      <c r="A260" s="1320">
        <v>5</v>
      </c>
      <c r="B260" s="1330" t="str">
        <f>'Chấm công KT'!D244</f>
        <v>03649</v>
      </c>
      <c r="C260" s="1330" t="str">
        <f>TONGHOPCONGDOI!C255</f>
        <v>T. Ve</v>
      </c>
      <c r="D260" s="1330" t="s">
        <v>43</v>
      </c>
      <c r="E260" s="1331"/>
      <c r="F260" s="373"/>
      <c r="G260" s="373"/>
      <c r="H260" s="373"/>
      <c r="I260" s="373"/>
      <c r="J260" s="1322"/>
      <c r="K260" s="1323"/>
      <c r="L260" s="1324"/>
      <c r="M260" s="1325"/>
      <c r="N260" s="1325"/>
      <c r="O260" s="1325"/>
      <c r="P260" s="1325"/>
      <c r="Q260" s="1325"/>
      <c r="R260" s="1325"/>
      <c r="S260" s="1325"/>
      <c r="T260" s="1369"/>
      <c r="U260" s="1369"/>
      <c r="V260" s="1369"/>
      <c r="W260" s="1325"/>
      <c r="X260" s="1325">
        <f t="shared" si="34"/>
        <v>0</v>
      </c>
      <c r="Y260" s="1332"/>
      <c r="Z260" s="1326">
        <f t="shared" si="35"/>
        <v>0</v>
      </c>
      <c r="AA260" s="1332"/>
      <c r="AB260" s="1332"/>
      <c r="AC260" s="1326"/>
      <c r="AD260" s="1456">
        <f t="shared" si="28"/>
        <v>5</v>
      </c>
      <c r="AE260" s="1328"/>
      <c r="AF260" s="1328"/>
      <c r="AG260" s="1328"/>
      <c r="AH260" s="1328"/>
      <c r="AI260" s="1328"/>
      <c r="AJ260" s="1328"/>
      <c r="AK260" s="1328"/>
      <c r="AL260" s="1328"/>
    </row>
    <row r="261" spans="1:38" s="1329" customFormat="1" ht="33" hidden="1" customHeight="1">
      <c r="A261" s="1320">
        <v>6</v>
      </c>
      <c r="B261" s="1330" t="str">
        <f>'Chấm công KT'!D245</f>
        <v>03650</v>
      </c>
      <c r="C261" s="1330" t="str">
        <f>TONGHOPCONGDOI!C256</f>
        <v>T. Thèo</v>
      </c>
      <c r="D261" s="1330" t="s">
        <v>43</v>
      </c>
      <c r="E261" s="1331"/>
      <c r="F261" s="373"/>
      <c r="G261" s="373"/>
      <c r="H261" s="373"/>
      <c r="I261" s="373"/>
      <c r="J261" s="1322"/>
      <c r="K261" s="1323"/>
      <c r="L261" s="1324"/>
      <c r="M261" s="1325"/>
      <c r="N261" s="1325"/>
      <c r="O261" s="1325"/>
      <c r="P261" s="1325"/>
      <c r="Q261" s="1325"/>
      <c r="R261" s="1325"/>
      <c r="S261" s="1325"/>
      <c r="T261" s="1369"/>
      <c r="U261" s="1369"/>
      <c r="V261" s="1369"/>
      <c r="W261" s="1325"/>
      <c r="X261" s="1325">
        <f t="shared" si="34"/>
        <v>0</v>
      </c>
      <c r="Y261" s="1332"/>
      <c r="Z261" s="1326">
        <f t="shared" si="35"/>
        <v>0</v>
      </c>
      <c r="AA261" s="1332"/>
      <c r="AB261" s="1332"/>
      <c r="AC261" s="1326"/>
      <c r="AD261" s="1456">
        <f t="shared" si="28"/>
        <v>6</v>
      </c>
      <c r="AE261" s="1328"/>
      <c r="AF261" s="1328"/>
      <c r="AG261" s="1328"/>
      <c r="AH261" s="1328"/>
      <c r="AI261" s="1328"/>
      <c r="AJ261" s="1328"/>
      <c r="AK261" s="1328"/>
      <c r="AL261" s="1328"/>
    </row>
    <row r="262" spans="1:38" s="1329" customFormat="1" ht="33" hidden="1" customHeight="1">
      <c r="A262" s="1320">
        <v>7</v>
      </c>
      <c r="B262" s="1330" t="str">
        <f>'Chấm công KT'!D246</f>
        <v>03651</v>
      </c>
      <c r="C262" s="1330" t="str">
        <f>TONGHOPCONGDOI!C257</f>
        <v>Kèo Xột</v>
      </c>
      <c r="D262" s="1330" t="s">
        <v>43</v>
      </c>
      <c r="E262" s="1331"/>
      <c r="F262" s="373"/>
      <c r="G262" s="373"/>
      <c r="H262" s="373"/>
      <c r="I262" s="373"/>
      <c r="J262" s="1322"/>
      <c r="K262" s="1323"/>
      <c r="L262" s="1324"/>
      <c r="M262" s="1325"/>
      <c r="N262" s="1325"/>
      <c r="O262" s="1325"/>
      <c r="P262" s="1325"/>
      <c r="Q262" s="1325"/>
      <c r="R262" s="1325"/>
      <c r="S262" s="1325"/>
      <c r="T262" s="1369"/>
      <c r="U262" s="1369"/>
      <c r="V262" s="1369"/>
      <c r="W262" s="1325"/>
      <c r="X262" s="1325">
        <f t="shared" si="34"/>
        <v>0</v>
      </c>
      <c r="Y262" s="1332"/>
      <c r="Z262" s="1326">
        <f t="shared" si="35"/>
        <v>0</v>
      </c>
      <c r="AA262" s="1332"/>
      <c r="AB262" s="1332"/>
      <c r="AC262" s="1326"/>
      <c r="AD262" s="1456">
        <f t="shared" si="28"/>
        <v>7</v>
      </c>
      <c r="AE262" s="1328"/>
      <c r="AF262" s="1328"/>
      <c r="AG262" s="1328"/>
      <c r="AH262" s="1328"/>
      <c r="AI262" s="1328"/>
      <c r="AJ262" s="1328"/>
      <c r="AK262" s="1328"/>
      <c r="AL262" s="1328"/>
    </row>
    <row r="263" spans="1:38" s="1329" customFormat="1" ht="33" hidden="1" customHeight="1">
      <c r="A263" s="1320">
        <v>8</v>
      </c>
      <c r="B263" s="1330" t="str">
        <f>'Chấm công KT'!D247</f>
        <v>03652</v>
      </c>
      <c r="C263" s="1330" t="str">
        <f>TONGHOPCONGDOI!C258</f>
        <v>N. Chít</v>
      </c>
      <c r="D263" s="1330" t="s">
        <v>43</v>
      </c>
      <c r="E263" s="1331"/>
      <c r="F263" s="373"/>
      <c r="G263" s="373"/>
      <c r="H263" s="373"/>
      <c r="I263" s="373"/>
      <c r="J263" s="1322"/>
      <c r="K263" s="1323"/>
      <c r="L263" s="1324"/>
      <c r="M263" s="1325"/>
      <c r="N263" s="1325"/>
      <c r="O263" s="1325"/>
      <c r="P263" s="1325"/>
      <c r="Q263" s="1325"/>
      <c r="R263" s="1325"/>
      <c r="S263" s="1325"/>
      <c r="T263" s="1369"/>
      <c r="U263" s="1369"/>
      <c r="V263" s="1369"/>
      <c r="W263" s="1325"/>
      <c r="X263" s="1325">
        <f t="shared" si="34"/>
        <v>0</v>
      </c>
      <c r="Y263" s="1332"/>
      <c r="Z263" s="1326">
        <f t="shared" si="35"/>
        <v>0</v>
      </c>
      <c r="AA263" s="1332"/>
      <c r="AB263" s="1332"/>
      <c r="AC263" s="1326"/>
      <c r="AD263" s="1456">
        <f t="shared" si="28"/>
        <v>8</v>
      </c>
      <c r="AE263" s="1328"/>
      <c r="AF263" s="1328"/>
      <c r="AG263" s="1328"/>
      <c r="AH263" s="1328"/>
      <c r="AI263" s="1328"/>
      <c r="AJ263" s="1328"/>
      <c r="AK263" s="1328"/>
      <c r="AL263" s="1328"/>
    </row>
    <row r="264" spans="1:38" s="1329" customFormat="1" ht="33" hidden="1" customHeight="1">
      <c r="A264" s="1320">
        <v>9</v>
      </c>
      <c r="B264" s="1330" t="str">
        <f>'Chấm công KT'!D248</f>
        <v>03653</v>
      </c>
      <c r="C264" s="1330" t="str">
        <f>TONGHOPCONGDOI!C259</f>
        <v>N. Căn Da</v>
      </c>
      <c r="D264" s="1330" t="s">
        <v>43</v>
      </c>
      <c r="E264" s="1331"/>
      <c r="F264" s="373"/>
      <c r="G264" s="373"/>
      <c r="H264" s="373"/>
      <c r="I264" s="373"/>
      <c r="J264" s="1322"/>
      <c r="K264" s="1323"/>
      <c r="L264" s="1324"/>
      <c r="M264" s="1325"/>
      <c r="N264" s="1325"/>
      <c r="O264" s="1325"/>
      <c r="P264" s="1325"/>
      <c r="Q264" s="1325"/>
      <c r="R264" s="1325"/>
      <c r="S264" s="1325"/>
      <c r="T264" s="1369"/>
      <c r="U264" s="1369"/>
      <c r="V264" s="1369"/>
      <c r="W264" s="1325"/>
      <c r="X264" s="1325">
        <f t="shared" si="34"/>
        <v>0</v>
      </c>
      <c r="Y264" s="1332"/>
      <c r="Z264" s="1326">
        <f t="shared" si="35"/>
        <v>0</v>
      </c>
      <c r="AA264" s="1332"/>
      <c r="AB264" s="1332"/>
      <c r="AC264" s="1326"/>
      <c r="AD264" s="1456">
        <f t="shared" si="28"/>
        <v>9</v>
      </c>
      <c r="AE264" s="1328"/>
      <c r="AF264" s="1328"/>
      <c r="AG264" s="1328"/>
      <c r="AH264" s="1328"/>
      <c r="AI264" s="1328"/>
      <c r="AJ264" s="1328"/>
      <c r="AK264" s="1328"/>
      <c r="AL264" s="1328"/>
    </row>
    <row r="265" spans="1:38" s="1329" customFormat="1" ht="33" hidden="1" customHeight="1">
      <c r="A265" s="1320">
        <v>10</v>
      </c>
      <c r="B265" s="1330" t="str">
        <f>'Chấm công KT'!D249</f>
        <v>03654</v>
      </c>
      <c r="C265" s="1330" t="str">
        <f>TONGHOPCONGDOI!C260</f>
        <v>T. Phim</v>
      </c>
      <c r="D265" s="1330" t="s">
        <v>43</v>
      </c>
      <c r="E265" s="1331"/>
      <c r="F265" s="373"/>
      <c r="G265" s="373"/>
      <c r="H265" s="373"/>
      <c r="I265" s="373"/>
      <c r="J265" s="1322"/>
      <c r="K265" s="1323"/>
      <c r="L265" s="1324"/>
      <c r="M265" s="1325"/>
      <c r="N265" s="1325"/>
      <c r="O265" s="1325"/>
      <c r="P265" s="1325"/>
      <c r="Q265" s="1325"/>
      <c r="R265" s="1325"/>
      <c r="S265" s="1325"/>
      <c r="T265" s="1369"/>
      <c r="U265" s="1369"/>
      <c r="V265" s="1369"/>
      <c r="W265" s="1325"/>
      <c r="X265" s="1325">
        <f t="shared" si="34"/>
        <v>0</v>
      </c>
      <c r="Y265" s="1332"/>
      <c r="Z265" s="1326">
        <f t="shared" si="35"/>
        <v>0</v>
      </c>
      <c r="AA265" s="1332"/>
      <c r="AB265" s="1332"/>
      <c r="AC265" s="1326"/>
      <c r="AD265" s="1456">
        <f t="shared" si="28"/>
        <v>10</v>
      </c>
      <c r="AE265" s="1328"/>
      <c r="AF265" s="1328"/>
      <c r="AG265" s="1328"/>
      <c r="AH265" s="1328"/>
      <c r="AI265" s="1328"/>
      <c r="AJ265" s="1328"/>
      <c r="AK265" s="1328"/>
      <c r="AL265" s="1328"/>
    </row>
    <row r="266" spans="1:38" s="1329" customFormat="1" ht="33" hidden="1" customHeight="1">
      <c r="A266" s="1320">
        <v>11</v>
      </c>
      <c r="B266" s="1330" t="str">
        <f>'Chấm công KT'!D250</f>
        <v>03655</v>
      </c>
      <c r="C266" s="1330" t="str">
        <f>TONGHOPCONGDOI!C261</f>
        <v>T Chăn Thi</v>
      </c>
      <c r="D266" s="1330" t="s">
        <v>43</v>
      </c>
      <c r="E266" s="1331"/>
      <c r="F266" s="373"/>
      <c r="G266" s="373"/>
      <c r="H266" s="373"/>
      <c r="I266" s="373"/>
      <c r="J266" s="1322"/>
      <c r="K266" s="1323"/>
      <c r="L266" s="1324"/>
      <c r="M266" s="1325"/>
      <c r="N266" s="1325"/>
      <c r="O266" s="1325"/>
      <c r="P266" s="1325"/>
      <c r="Q266" s="1325"/>
      <c r="R266" s="1325"/>
      <c r="S266" s="1325"/>
      <c r="T266" s="1369"/>
      <c r="U266" s="1369"/>
      <c r="V266" s="1369"/>
      <c r="W266" s="1325"/>
      <c r="X266" s="1325">
        <f t="shared" si="34"/>
        <v>0</v>
      </c>
      <c r="Y266" s="1332"/>
      <c r="Z266" s="1326">
        <f t="shared" si="35"/>
        <v>0</v>
      </c>
      <c r="AA266" s="1332"/>
      <c r="AB266" s="1332"/>
      <c r="AC266" s="1326"/>
      <c r="AD266" s="1456">
        <f t="shared" si="28"/>
        <v>11</v>
      </c>
      <c r="AE266" s="1328"/>
      <c r="AF266" s="1328"/>
      <c r="AG266" s="1328"/>
      <c r="AH266" s="1328"/>
      <c r="AI266" s="1328"/>
      <c r="AJ266" s="1328"/>
      <c r="AK266" s="1328"/>
      <c r="AL266" s="1328"/>
    </row>
    <row r="267" spans="1:38" s="1329" customFormat="1" ht="33" hidden="1" customHeight="1">
      <c r="A267" s="1320">
        <v>12</v>
      </c>
      <c r="B267" s="1330" t="str">
        <f>'Chấm công KT'!D251</f>
        <v>03656</v>
      </c>
      <c r="C267" s="1330" t="str">
        <f>TONGHOPCONGDOI!C262</f>
        <v>N. Văn Thong</v>
      </c>
      <c r="D267" s="1330" t="s">
        <v>43</v>
      </c>
      <c r="E267" s="1331"/>
      <c r="F267" s="373"/>
      <c r="G267" s="373"/>
      <c r="H267" s="373"/>
      <c r="I267" s="373"/>
      <c r="J267" s="1322"/>
      <c r="K267" s="1323"/>
      <c r="L267" s="1324"/>
      <c r="M267" s="1325"/>
      <c r="N267" s="1325"/>
      <c r="O267" s="1325"/>
      <c r="P267" s="1325"/>
      <c r="Q267" s="1325"/>
      <c r="R267" s="1325"/>
      <c r="S267" s="1325"/>
      <c r="T267" s="1369"/>
      <c r="U267" s="1369"/>
      <c r="V267" s="1369"/>
      <c r="W267" s="1325"/>
      <c r="X267" s="1325">
        <f t="shared" si="34"/>
        <v>0</v>
      </c>
      <c r="Y267" s="1332"/>
      <c r="Z267" s="1326">
        <f t="shared" si="35"/>
        <v>0</v>
      </c>
      <c r="AA267" s="1332"/>
      <c r="AB267" s="1332"/>
      <c r="AC267" s="1326"/>
      <c r="AD267" s="1456">
        <f t="shared" si="28"/>
        <v>12</v>
      </c>
      <c r="AE267" s="1328"/>
      <c r="AF267" s="1328"/>
      <c r="AG267" s="1328"/>
      <c r="AH267" s="1328"/>
      <c r="AI267" s="1328"/>
      <c r="AJ267" s="1328"/>
      <c r="AK267" s="1328"/>
      <c r="AL267" s="1328"/>
    </row>
    <row r="268" spans="1:38" s="1329" customFormat="1" ht="33" hidden="1" customHeight="1">
      <c r="A268" s="1320">
        <v>13</v>
      </c>
      <c r="B268" s="1330" t="str">
        <f>'Chấm công KT'!D252</f>
        <v>03657</v>
      </c>
      <c r="C268" s="1330" t="str">
        <f>TONGHOPCONGDOI!C263</f>
        <v>Cong Khăm</v>
      </c>
      <c r="D268" s="1330" t="s">
        <v>43</v>
      </c>
      <c r="E268" s="1331"/>
      <c r="F268" s="373"/>
      <c r="G268" s="373"/>
      <c r="H268" s="373"/>
      <c r="I268" s="373"/>
      <c r="J268" s="1322"/>
      <c r="K268" s="1323"/>
      <c r="L268" s="1324"/>
      <c r="M268" s="1325"/>
      <c r="N268" s="1325"/>
      <c r="O268" s="1325"/>
      <c r="P268" s="1325"/>
      <c r="Q268" s="1325"/>
      <c r="R268" s="1325"/>
      <c r="S268" s="1325"/>
      <c r="T268" s="1369"/>
      <c r="U268" s="1369"/>
      <c r="V268" s="1369"/>
      <c r="W268" s="1325"/>
      <c r="X268" s="1325">
        <f t="shared" si="34"/>
        <v>0</v>
      </c>
      <c r="Y268" s="1332"/>
      <c r="Z268" s="1326">
        <f t="shared" si="35"/>
        <v>0</v>
      </c>
      <c r="AA268" s="1332"/>
      <c r="AB268" s="1332"/>
      <c r="AC268" s="1326"/>
      <c r="AD268" s="1456">
        <f t="shared" si="28"/>
        <v>13</v>
      </c>
      <c r="AE268" s="1328"/>
      <c r="AF268" s="1328"/>
      <c r="AG268" s="1328"/>
      <c r="AH268" s="1328"/>
      <c r="AI268" s="1328"/>
      <c r="AJ268" s="1328"/>
      <c r="AK268" s="1328"/>
      <c r="AL268" s="1328"/>
    </row>
    <row r="269" spans="1:38" s="1329" customFormat="1" ht="33" hidden="1" customHeight="1">
      <c r="A269" s="1320">
        <v>14</v>
      </c>
      <c r="B269" s="1330" t="str">
        <f>'Chấm công KT'!D253</f>
        <v>03658</v>
      </c>
      <c r="C269" s="1330" t="str">
        <f>TONGHOPCONGDOI!C264</f>
        <v>T. Dở</v>
      </c>
      <c r="D269" s="1330" t="s">
        <v>43</v>
      </c>
      <c r="E269" s="1331"/>
      <c r="F269" s="373"/>
      <c r="G269" s="373"/>
      <c r="H269" s="373"/>
      <c r="I269" s="373"/>
      <c r="J269" s="1322"/>
      <c r="K269" s="1323"/>
      <c r="L269" s="1324"/>
      <c r="M269" s="1325"/>
      <c r="N269" s="1325"/>
      <c r="O269" s="1325"/>
      <c r="P269" s="1325"/>
      <c r="Q269" s="1325"/>
      <c r="R269" s="1325"/>
      <c r="S269" s="1325"/>
      <c r="T269" s="1369"/>
      <c r="U269" s="1369"/>
      <c r="V269" s="1369"/>
      <c r="W269" s="1325"/>
      <c r="X269" s="1325">
        <f t="shared" si="34"/>
        <v>0</v>
      </c>
      <c r="Y269" s="1332"/>
      <c r="Z269" s="1326">
        <f t="shared" si="35"/>
        <v>0</v>
      </c>
      <c r="AA269" s="1332"/>
      <c r="AB269" s="1332"/>
      <c r="AC269" s="1326"/>
      <c r="AD269" s="1456">
        <f t="shared" si="28"/>
        <v>14</v>
      </c>
      <c r="AE269" s="1328"/>
      <c r="AF269" s="1328"/>
      <c r="AG269" s="1328"/>
      <c r="AH269" s="1328"/>
      <c r="AI269" s="1328"/>
      <c r="AJ269" s="1328"/>
      <c r="AK269" s="1328"/>
      <c r="AL269" s="1328"/>
    </row>
    <row r="270" spans="1:38" s="1329" customFormat="1" ht="33" hidden="1" customHeight="1">
      <c r="A270" s="1320">
        <v>15</v>
      </c>
      <c r="B270" s="1330" t="str">
        <f>'Chấm công KT'!D254</f>
        <v>03659</v>
      </c>
      <c r="C270" s="1330" t="str">
        <f>TONGHOPCONGDOI!C265</f>
        <v>N. Sủm</v>
      </c>
      <c r="D270" s="1330" t="s">
        <v>43</v>
      </c>
      <c r="E270" s="1331"/>
      <c r="F270" s="373"/>
      <c r="G270" s="373"/>
      <c r="H270" s="373"/>
      <c r="I270" s="373"/>
      <c r="J270" s="1322"/>
      <c r="K270" s="1323"/>
      <c r="L270" s="1324"/>
      <c r="M270" s="1325"/>
      <c r="N270" s="1325"/>
      <c r="O270" s="1325"/>
      <c r="P270" s="1325"/>
      <c r="Q270" s="1325"/>
      <c r="R270" s="1325"/>
      <c r="S270" s="1325"/>
      <c r="T270" s="1369"/>
      <c r="U270" s="1369"/>
      <c r="V270" s="1369"/>
      <c r="W270" s="1325"/>
      <c r="X270" s="1325">
        <f t="shared" si="34"/>
        <v>0</v>
      </c>
      <c r="Y270" s="1332"/>
      <c r="Z270" s="1326">
        <f t="shared" si="35"/>
        <v>0</v>
      </c>
      <c r="AA270" s="1332"/>
      <c r="AB270" s="1332"/>
      <c r="AC270" s="1326"/>
      <c r="AD270" s="1456">
        <f t="shared" si="28"/>
        <v>15</v>
      </c>
      <c r="AE270" s="1328"/>
      <c r="AF270" s="1328"/>
      <c r="AG270" s="1328"/>
      <c r="AH270" s="1328"/>
      <c r="AI270" s="1328"/>
      <c r="AJ270" s="1328"/>
      <c r="AK270" s="1328"/>
      <c r="AL270" s="1328"/>
    </row>
    <row r="271" spans="1:38" s="1329" customFormat="1" ht="33" hidden="1" customHeight="1">
      <c r="A271" s="1320">
        <v>16</v>
      </c>
      <c r="B271" s="1330" t="str">
        <f>'Chấm công KT'!D255</f>
        <v>03660</v>
      </c>
      <c r="C271" s="1330" t="str">
        <f>TONGHOPCONGDOI!C266</f>
        <v>T. Tắt</v>
      </c>
      <c r="D271" s="1330" t="s">
        <v>43</v>
      </c>
      <c r="E271" s="1331"/>
      <c r="F271" s="373"/>
      <c r="G271" s="373"/>
      <c r="H271" s="373"/>
      <c r="I271" s="373"/>
      <c r="J271" s="1322"/>
      <c r="K271" s="1323"/>
      <c r="L271" s="1324"/>
      <c r="M271" s="1325"/>
      <c r="N271" s="1325"/>
      <c r="O271" s="1325"/>
      <c r="P271" s="1325"/>
      <c r="Q271" s="1325"/>
      <c r="R271" s="1325"/>
      <c r="S271" s="1325"/>
      <c r="T271" s="1369"/>
      <c r="U271" s="1369"/>
      <c r="V271" s="1369"/>
      <c r="W271" s="1325"/>
      <c r="X271" s="1325">
        <f t="shared" si="34"/>
        <v>0</v>
      </c>
      <c r="Y271" s="1332"/>
      <c r="Z271" s="1326">
        <f t="shared" si="35"/>
        <v>0</v>
      </c>
      <c r="AA271" s="1332"/>
      <c r="AB271" s="1332"/>
      <c r="AC271" s="1326"/>
      <c r="AD271" s="1456">
        <f t="shared" si="28"/>
        <v>16</v>
      </c>
      <c r="AE271" s="1328"/>
      <c r="AF271" s="1328"/>
      <c r="AG271" s="1328"/>
      <c r="AH271" s="1328"/>
      <c r="AI271" s="1328"/>
      <c r="AJ271" s="1328"/>
      <c r="AK271" s="1328"/>
      <c r="AL271" s="1328"/>
    </row>
    <row r="272" spans="1:38" s="1329" customFormat="1" ht="33" hidden="1" customHeight="1">
      <c r="A272" s="1320">
        <v>17</v>
      </c>
      <c r="B272" s="1330" t="str">
        <f>'Chấm công KT'!D256</f>
        <v>03661</v>
      </c>
      <c r="C272" s="1330" t="str">
        <f>TONGHOPCONGDOI!C267</f>
        <v>T Viêng</v>
      </c>
      <c r="D272" s="1330" t="s">
        <v>43</v>
      </c>
      <c r="E272" s="1331"/>
      <c r="F272" s="373"/>
      <c r="G272" s="373"/>
      <c r="H272" s="373"/>
      <c r="I272" s="373"/>
      <c r="J272" s="1322"/>
      <c r="K272" s="1323"/>
      <c r="L272" s="1324"/>
      <c r="M272" s="1325"/>
      <c r="N272" s="1325"/>
      <c r="O272" s="1325"/>
      <c r="P272" s="1325"/>
      <c r="Q272" s="1325"/>
      <c r="R272" s="1325"/>
      <c r="S272" s="1325"/>
      <c r="T272" s="1369"/>
      <c r="U272" s="1369"/>
      <c r="V272" s="1369"/>
      <c r="W272" s="1325"/>
      <c r="X272" s="1325">
        <f t="shared" si="34"/>
        <v>0</v>
      </c>
      <c r="Y272" s="1332"/>
      <c r="Z272" s="1326">
        <f t="shared" si="35"/>
        <v>0</v>
      </c>
      <c r="AA272" s="1332"/>
      <c r="AB272" s="1332"/>
      <c r="AC272" s="1326"/>
      <c r="AD272" s="1456">
        <f t="shared" si="28"/>
        <v>17</v>
      </c>
      <c r="AE272" s="1328"/>
      <c r="AF272" s="1328"/>
      <c r="AG272" s="1328"/>
      <c r="AH272" s="1328"/>
      <c r="AI272" s="1328"/>
      <c r="AJ272" s="1328"/>
      <c r="AK272" s="1328"/>
      <c r="AL272" s="1328"/>
    </row>
    <row r="273" spans="1:38" s="1329" customFormat="1" ht="33" hidden="1" customHeight="1">
      <c r="A273" s="1320">
        <v>18</v>
      </c>
      <c r="B273" s="1330" t="str">
        <f>'Chấm công KT'!D257</f>
        <v>03662</v>
      </c>
      <c r="C273" s="1330" t="str">
        <f>TONGHOPCONGDOI!C268</f>
        <v>T.Xê</v>
      </c>
      <c r="D273" s="1330" t="s">
        <v>43</v>
      </c>
      <c r="E273" s="1331"/>
      <c r="F273" s="373"/>
      <c r="G273" s="373"/>
      <c r="H273" s="373"/>
      <c r="I273" s="373"/>
      <c r="J273" s="1322"/>
      <c r="K273" s="1323"/>
      <c r="L273" s="1324"/>
      <c r="M273" s="1325"/>
      <c r="N273" s="1325"/>
      <c r="O273" s="1325"/>
      <c r="P273" s="1325"/>
      <c r="Q273" s="1325"/>
      <c r="R273" s="1325"/>
      <c r="S273" s="1325"/>
      <c r="T273" s="1369"/>
      <c r="U273" s="1369"/>
      <c r="V273" s="1369"/>
      <c r="W273" s="1325"/>
      <c r="X273" s="1325">
        <f t="shared" si="34"/>
        <v>0</v>
      </c>
      <c r="Y273" s="1332"/>
      <c r="Z273" s="1326">
        <f t="shared" si="35"/>
        <v>0</v>
      </c>
      <c r="AA273" s="1332"/>
      <c r="AB273" s="1332"/>
      <c r="AC273" s="1326"/>
      <c r="AD273" s="1456">
        <f t="shared" si="28"/>
        <v>18</v>
      </c>
      <c r="AE273" s="1328"/>
      <c r="AF273" s="1328"/>
      <c r="AG273" s="1328"/>
      <c r="AH273" s="1328"/>
      <c r="AI273" s="1328"/>
      <c r="AJ273" s="1328"/>
      <c r="AK273" s="1328"/>
      <c r="AL273" s="1328"/>
    </row>
    <row r="274" spans="1:38" s="1329" customFormat="1" ht="33" hidden="1" customHeight="1">
      <c r="A274" s="1320">
        <v>19</v>
      </c>
      <c r="B274" s="1330" t="str">
        <f>'Chấm công KT'!D258</f>
        <v>03663</v>
      </c>
      <c r="C274" s="1330" t="str">
        <f>TONGHOPCONGDOI!C269</f>
        <v>T. Hách</v>
      </c>
      <c r="D274" s="1330" t="s">
        <v>43</v>
      </c>
      <c r="E274" s="1331"/>
      <c r="F274" s="373"/>
      <c r="G274" s="373"/>
      <c r="H274" s="373"/>
      <c r="I274" s="373"/>
      <c r="J274" s="1322"/>
      <c r="K274" s="1323"/>
      <c r="L274" s="1324"/>
      <c r="M274" s="1325"/>
      <c r="N274" s="1325"/>
      <c r="O274" s="1325"/>
      <c r="P274" s="1325"/>
      <c r="Q274" s="1325"/>
      <c r="R274" s="1325"/>
      <c r="S274" s="1325"/>
      <c r="T274" s="1369"/>
      <c r="U274" s="1369"/>
      <c r="V274" s="1369"/>
      <c r="W274" s="1325"/>
      <c r="X274" s="1325">
        <f t="shared" si="34"/>
        <v>0</v>
      </c>
      <c r="Y274" s="1332"/>
      <c r="Z274" s="1326">
        <f t="shared" si="35"/>
        <v>0</v>
      </c>
      <c r="AA274" s="1332"/>
      <c r="AB274" s="1332"/>
      <c r="AC274" s="1326"/>
      <c r="AD274" s="1456">
        <f t="shared" si="28"/>
        <v>19</v>
      </c>
      <c r="AE274" s="1328"/>
      <c r="AF274" s="1328"/>
      <c r="AG274" s="1328"/>
      <c r="AH274" s="1328"/>
      <c r="AI274" s="1328"/>
      <c r="AJ274" s="1328"/>
      <c r="AK274" s="1328"/>
      <c r="AL274" s="1328"/>
    </row>
    <row r="275" spans="1:38" s="1329" customFormat="1" ht="33" hidden="1" customHeight="1">
      <c r="A275" s="1320">
        <v>20</v>
      </c>
      <c r="B275" s="1330" t="str">
        <f>'Chấm công KT'!D259</f>
        <v>03664</v>
      </c>
      <c r="C275" s="1330" t="str">
        <f>TONGHOPCONGDOI!C270</f>
        <v>Khay Khăm</v>
      </c>
      <c r="D275" s="1330" t="s">
        <v>43</v>
      </c>
      <c r="E275" s="1331"/>
      <c r="F275" s="373"/>
      <c r="G275" s="373"/>
      <c r="H275" s="373"/>
      <c r="I275" s="373"/>
      <c r="J275" s="1322"/>
      <c r="K275" s="1323"/>
      <c r="L275" s="1324"/>
      <c r="M275" s="1325"/>
      <c r="N275" s="1325"/>
      <c r="O275" s="1325"/>
      <c r="P275" s="1325"/>
      <c r="Q275" s="1325"/>
      <c r="R275" s="1325"/>
      <c r="S275" s="1325"/>
      <c r="T275" s="1369"/>
      <c r="U275" s="1369"/>
      <c r="V275" s="1369"/>
      <c r="W275" s="1325"/>
      <c r="X275" s="1325">
        <f t="shared" si="34"/>
        <v>0</v>
      </c>
      <c r="Y275" s="1332"/>
      <c r="Z275" s="1326">
        <f t="shared" si="35"/>
        <v>0</v>
      </c>
      <c r="AA275" s="1332"/>
      <c r="AB275" s="1332"/>
      <c r="AC275" s="1326"/>
      <c r="AD275" s="1456">
        <f t="shared" si="28"/>
        <v>20</v>
      </c>
      <c r="AE275" s="1328"/>
      <c r="AF275" s="1328"/>
      <c r="AG275" s="1328"/>
      <c r="AH275" s="1328"/>
      <c r="AI275" s="1328"/>
      <c r="AJ275" s="1328"/>
      <c r="AK275" s="1328"/>
      <c r="AL275" s="1328"/>
    </row>
    <row r="276" spans="1:38" s="1329" customFormat="1" ht="33" hidden="1" customHeight="1">
      <c r="A276" s="1320">
        <v>21</v>
      </c>
      <c r="B276" s="1330" t="str">
        <f>'Chấm công KT'!D260</f>
        <v>03665</v>
      </c>
      <c r="C276" s="1330" t="str">
        <f>TONGHOPCONGDOI!C271</f>
        <v>N. Kẻ</v>
      </c>
      <c r="D276" s="1330" t="s">
        <v>43</v>
      </c>
      <c r="E276" s="1331"/>
      <c r="F276" s="373"/>
      <c r="G276" s="373"/>
      <c r="H276" s="373"/>
      <c r="I276" s="373"/>
      <c r="J276" s="1322"/>
      <c r="K276" s="1323"/>
      <c r="L276" s="1324"/>
      <c r="M276" s="1325"/>
      <c r="N276" s="1325"/>
      <c r="O276" s="1325"/>
      <c r="P276" s="1325"/>
      <c r="Q276" s="1325"/>
      <c r="R276" s="1325"/>
      <c r="S276" s="1325"/>
      <c r="T276" s="1369"/>
      <c r="U276" s="1369"/>
      <c r="V276" s="1369"/>
      <c r="W276" s="1325"/>
      <c r="X276" s="1325">
        <f t="shared" si="34"/>
        <v>0</v>
      </c>
      <c r="Y276" s="1332"/>
      <c r="Z276" s="1326">
        <f t="shared" si="35"/>
        <v>0</v>
      </c>
      <c r="AA276" s="1332"/>
      <c r="AB276" s="1332"/>
      <c r="AC276" s="1326"/>
      <c r="AD276" s="1456">
        <f t="shared" si="28"/>
        <v>21</v>
      </c>
      <c r="AE276" s="1328"/>
      <c r="AF276" s="1328"/>
      <c r="AG276" s="1328"/>
      <c r="AH276" s="1328"/>
      <c r="AI276" s="1328"/>
      <c r="AJ276" s="1328"/>
      <c r="AK276" s="1328"/>
      <c r="AL276" s="1328"/>
    </row>
    <row r="277" spans="1:38" s="1329" customFormat="1" ht="33" hidden="1" customHeight="1">
      <c r="A277" s="1320">
        <v>22</v>
      </c>
      <c r="B277" s="1330" t="str">
        <f>'Chấm công KT'!D261</f>
        <v>03666</v>
      </c>
      <c r="C277" s="1330" t="str">
        <f>TONGHOPCONGDOI!C272</f>
        <v>T. Chăn (4)</v>
      </c>
      <c r="D277" s="1330" t="s">
        <v>43</v>
      </c>
      <c r="E277" s="1331"/>
      <c r="F277" s="373"/>
      <c r="G277" s="373"/>
      <c r="H277" s="373"/>
      <c r="I277" s="373"/>
      <c r="J277" s="1322"/>
      <c r="K277" s="1323"/>
      <c r="L277" s="1324"/>
      <c r="M277" s="1325"/>
      <c r="N277" s="1325"/>
      <c r="O277" s="1325"/>
      <c r="P277" s="1325"/>
      <c r="Q277" s="1325"/>
      <c r="R277" s="1325"/>
      <c r="S277" s="1325"/>
      <c r="T277" s="1369"/>
      <c r="U277" s="1369"/>
      <c r="V277" s="1369"/>
      <c r="W277" s="1325"/>
      <c r="X277" s="1325">
        <f t="shared" si="34"/>
        <v>0</v>
      </c>
      <c r="Y277" s="1332"/>
      <c r="Z277" s="1326">
        <f t="shared" si="35"/>
        <v>0</v>
      </c>
      <c r="AA277" s="1332"/>
      <c r="AB277" s="1332"/>
      <c r="AC277" s="1326"/>
      <c r="AD277" s="1456">
        <f t="shared" si="28"/>
        <v>22</v>
      </c>
      <c r="AE277" s="1328"/>
      <c r="AF277" s="1328"/>
      <c r="AG277" s="1328"/>
      <c r="AH277" s="1328"/>
      <c r="AI277" s="1328"/>
      <c r="AJ277" s="1328"/>
      <c r="AK277" s="1328"/>
      <c r="AL277" s="1328"/>
    </row>
    <row r="278" spans="1:38" s="1329" customFormat="1" ht="33" hidden="1" customHeight="1">
      <c r="A278" s="1320">
        <v>23</v>
      </c>
      <c r="B278" s="1330" t="str">
        <f>'Chấm công KT'!D262</f>
        <v>03667</v>
      </c>
      <c r="C278" s="1330" t="str">
        <f>TONGHOPCONGDOI!C273</f>
        <v>T.Mon</v>
      </c>
      <c r="D278" s="1330" t="s">
        <v>43</v>
      </c>
      <c r="E278" s="1331"/>
      <c r="F278" s="373"/>
      <c r="G278" s="373"/>
      <c r="H278" s="373"/>
      <c r="I278" s="373"/>
      <c r="J278" s="1322"/>
      <c r="K278" s="1323"/>
      <c r="L278" s="1324"/>
      <c r="M278" s="1325"/>
      <c r="N278" s="1325"/>
      <c r="O278" s="1325"/>
      <c r="P278" s="1325"/>
      <c r="Q278" s="1325"/>
      <c r="R278" s="1325"/>
      <c r="S278" s="1325"/>
      <c r="T278" s="1369"/>
      <c r="U278" s="1369"/>
      <c r="V278" s="1369"/>
      <c r="W278" s="1325"/>
      <c r="X278" s="1325">
        <f t="shared" si="34"/>
        <v>0</v>
      </c>
      <c r="Y278" s="1332"/>
      <c r="Z278" s="1326">
        <f t="shared" si="35"/>
        <v>0</v>
      </c>
      <c r="AA278" s="1332"/>
      <c r="AB278" s="1332"/>
      <c r="AC278" s="1326"/>
      <c r="AD278" s="1456">
        <f t="shared" si="28"/>
        <v>23</v>
      </c>
      <c r="AE278" s="1328"/>
      <c r="AF278" s="1328"/>
      <c r="AG278" s="1328"/>
      <c r="AH278" s="1328"/>
      <c r="AI278" s="1328"/>
      <c r="AJ278" s="1328"/>
      <c r="AK278" s="1328"/>
      <c r="AL278" s="1328"/>
    </row>
    <row r="279" spans="1:38" s="1329" customFormat="1" ht="33" hidden="1" customHeight="1">
      <c r="A279" s="1320">
        <v>24</v>
      </c>
      <c r="B279" s="1330"/>
      <c r="C279" s="1330" t="str">
        <f>TONGHOPCONGDOI!C274</f>
        <v>N.. Đeng</v>
      </c>
      <c r="D279" s="1330" t="s">
        <v>43</v>
      </c>
      <c r="E279" s="1331"/>
      <c r="F279" s="373"/>
      <c r="G279" s="373"/>
      <c r="H279" s="373"/>
      <c r="I279" s="373"/>
      <c r="J279" s="1322"/>
      <c r="K279" s="1323"/>
      <c r="L279" s="1324"/>
      <c r="M279" s="1325"/>
      <c r="N279" s="1325"/>
      <c r="O279" s="1325"/>
      <c r="P279" s="1325"/>
      <c r="Q279" s="1325"/>
      <c r="R279" s="1325"/>
      <c r="S279" s="1325"/>
      <c r="T279" s="1369"/>
      <c r="U279" s="1369"/>
      <c r="V279" s="1369"/>
      <c r="W279" s="1325"/>
      <c r="X279" s="1325">
        <f t="shared" si="34"/>
        <v>0</v>
      </c>
      <c r="Y279" s="1332"/>
      <c r="Z279" s="1326">
        <f t="shared" si="35"/>
        <v>0</v>
      </c>
      <c r="AA279" s="1332"/>
      <c r="AB279" s="1332"/>
      <c r="AC279" s="1326"/>
      <c r="AD279" s="1456">
        <f t="shared" si="28"/>
        <v>24</v>
      </c>
      <c r="AE279" s="1328"/>
      <c r="AF279" s="1328"/>
      <c r="AG279" s="1328"/>
      <c r="AH279" s="1328"/>
      <c r="AI279" s="1328"/>
      <c r="AJ279" s="1328"/>
      <c r="AK279" s="1328"/>
      <c r="AL279" s="1328"/>
    </row>
    <row r="280" spans="1:38" s="1329" customFormat="1" ht="33" hidden="1" customHeight="1">
      <c r="A280" s="1320">
        <v>25</v>
      </c>
      <c r="B280" s="1330" t="str">
        <f>'Chấm công KT'!D264</f>
        <v>03669</v>
      </c>
      <c r="C280" s="1330" t="str">
        <f>TONGHOPCONGDOI!C275</f>
        <v>T. Cơ</v>
      </c>
      <c r="D280" s="1330" t="s">
        <v>43</v>
      </c>
      <c r="E280" s="1331"/>
      <c r="F280" s="373"/>
      <c r="G280" s="373"/>
      <c r="H280" s="373"/>
      <c r="I280" s="373"/>
      <c r="J280" s="1322"/>
      <c r="K280" s="1323"/>
      <c r="L280" s="1324"/>
      <c r="M280" s="1325"/>
      <c r="N280" s="1325"/>
      <c r="O280" s="1325"/>
      <c r="P280" s="1325"/>
      <c r="Q280" s="1325"/>
      <c r="R280" s="1325"/>
      <c r="S280" s="1325"/>
      <c r="T280" s="1369"/>
      <c r="U280" s="1369"/>
      <c r="V280" s="1369"/>
      <c r="W280" s="1325"/>
      <c r="X280" s="1325">
        <f t="shared" si="34"/>
        <v>0</v>
      </c>
      <c r="Y280" s="1332"/>
      <c r="Z280" s="1326">
        <f t="shared" si="35"/>
        <v>0</v>
      </c>
      <c r="AA280" s="1332"/>
      <c r="AB280" s="1332"/>
      <c r="AC280" s="1326"/>
      <c r="AD280" s="1456">
        <f t="shared" si="28"/>
        <v>25</v>
      </c>
      <c r="AE280" s="1328"/>
      <c r="AF280" s="1328"/>
      <c r="AG280" s="1328"/>
      <c r="AH280" s="1328"/>
      <c r="AI280" s="1328"/>
      <c r="AJ280" s="1328"/>
      <c r="AK280" s="1328"/>
      <c r="AL280" s="1328"/>
    </row>
    <row r="281" spans="1:38" s="1329" customFormat="1" ht="33" hidden="1" customHeight="1">
      <c r="A281" s="1320">
        <v>26</v>
      </c>
      <c r="B281" s="1330" t="str">
        <f>'Chấm công KT'!D265</f>
        <v>03670</v>
      </c>
      <c r="C281" s="1330" t="str">
        <f>TONGHOPCONGDOI!C276</f>
        <v>T Phết</v>
      </c>
      <c r="D281" s="1330" t="s">
        <v>43</v>
      </c>
      <c r="E281" s="1331"/>
      <c r="F281" s="373"/>
      <c r="G281" s="373"/>
      <c r="H281" s="373"/>
      <c r="I281" s="373"/>
      <c r="J281" s="1322"/>
      <c r="K281" s="1323"/>
      <c r="L281" s="1324"/>
      <c r="M281" s="1325"/>
      <c r="N281" s="1325"/>
      <c r="O281" s="1325"/>
      <c r="P281" s="1325"/>
      <c r="Q281" s="1325"/>
      <c r="R281" s="1325"/>
      <c r="S281" s="1325"/>
      <c r="T281" s="1369"/>
      <c r="U281" s="1369"/>
      <c r="V281" s="1369"/>
      <c r="W281" s="1325"/>
      <c r="X281" s="1325">
        <f t="shared" si="34"/>
        <v>0</v>
      </c>
      <c r="Y281" s="1332"/>
      <c r="Z281" s="1326">
        <f t="shared" si="35"/>
        <v>0</v>
      </c>
      <c r="AA281" s="1332"/>
      <c r="AB281" s="1332"/>
      <c r="AC281" s="1326"/>
      <c r="AD281" s="1456">
        <f t="shared" si="28"/>
        <v>26</v>
      </c>
      <c r="AE281" s="1328"/>
      <c r="AF281" s="1328"/>
      <c r="AG281" s="1328"/>
      <c r="AH281" s="1328"/>
      <c r="AI281" s="1328"/>
      <c r="AJ281" s="1328"/>
      <c r="AK281" s="1328"/>
      <c r="AL281" s="1328"/>
    </row>
    <row r="282" spans="1:38" s="1329" customFormat="1" ht="33" hidden="1" customHeight="1">
      <c r="A282" s="1320">
        <v>27</v>
      </c>
      <c r="B282" s="1330" t="str">
        <f>'Chấm công KT'!D266</f>
        <v>03516</v>
      </c>
      <c r="C282" s="1330" t="str">
        <f>TONGHOPCONGDOI!C277</f>
        <v>N. Chay</v>
      </c>
      <c r="D282" s="1330" t="s">
        <v>43</v>
      </c>
      <c r="E282" s="1331"/>
      <c r="F282" s="373"/>
      <c r="G282" s="373"/>
      <c r="H282" s="373"/>
      <c r="I282" s="373"/>
      <c r="J282" s="1322"/>
      <c r="K282" s="1323"/>
      <c r="L282" s="1324"/>
      <c r="M282" s="1325"/>
      <c r="N282" s="1325"/>
      <c r="O282" s="1325"/>
      <c r="P282" s="1325"/>
      <c r="Q282" s="1325"/>
      <c r="R282" s="1325"/>
      <c r="S282" s="1325"/>
      <c r="T282" s="1369"/>
      <c r="U282" s="1369"/>
      <c r="V282" s="1369"/>
      <c r="W282" s="1325"/>
      <c r="X282" s="1325">
        <f t="shared" si="34"/>
        <v>0</v>
      </c>
      <c r="Y282" s="1332"/>
      <c r="Z282" s="1326">
        <f t="shared" si="35"/>
        <v>0</v>
      </c>
      <c r="AA282" s="1332"/>
      <c r="AB282" s="1332"/>
      <c r="AC282" s="1326"/>
      <c r="AD282" s="1456">
        <f t="shared" si="28"/>
        <v>27</v>
      </c>
      <c r="AE282" s="1328"/>
      <c r="AF282" s="1328"/>
      <c r="AG282" s="1328"/>
      <c r="AH282" s="1328"/>
      <c r="AI282" s="1328"/>
      <c r="AJ282" s="1328"/>
      <c r="AK282" s="1328"/>
      <c r="AL282" s="1328"/>
    </row>
    <row r="283" spans="1:38" s="1329" customFormat="1" ht="33" hidden="1" customHeight="1">
      <c r="A283" s="1320">
        <v>28</v>
      </c>
      <c r="B283" s="1330" t="str">
        <f>'Chấm công KT'!D267</f>
        <v>03672</v>
      </c>
      <c r="C283" s="1330" t="str">
        <f>TONGHOPCONGDOI!C278</f>
        <v>T. Sắc</v>
      </c>
      <c r="D283" s="1330" t="s">
        <v>43</v>
      </c>
      <c r="E283" s="1331"/>
      <c r="F283" s="373"/>
      <c r="G283" s="373"/>
      <c r="H283" s="373"/>
      <c r="I283" s="373"/>
      <c r="J283" s="1322"/>
      <c r="K283" s="1323"/>
      <c r="L283" s="1324"/>
      <c r="M283" s="1325"/>
      <c r="N283" s="1325"/>
      <c r="O283" s="1325"/>
      <c r="P283" s="1325"/>
      <c r="Q283" s="1325"/>
      <c r="R283" s="1325"/>
      <c r="S283" s="1325"/>
      <c r="T283" s="1369"/>
      <c r="U283" s="1369"/>
      <c r="V283" s="1369"/>
      <c r="W283" s="1325"/>
      <c r="X283" s="1325">
        <f t="shared" si="34"/>
        <v>0</v>
      </c>
      <c r="Y283" s="1332"/>
      <c r="Z283" s="1326">
        <f t="shared" si="35"/>
        <v>0</v>
      </c>
      <c r="AA283" s="1332"/>
      <c r="AB283" s="1332"/>
      <c r="AC283" s="1326"/>
      <c r="AD283" s="1456">
        <f t="shared" si="28"/>
        <v>28</v>
      </c>
      <c r="AE283" s="1328"/>
      <c r="AF283" s="1328"/>
      <c r="AG283" s="1328"/>
      <c r="AH283" s="1328"/>
      <c r="AI283" s="1328"/>
      <c r="AJ283" s="1328"/>
      <c r="AK283" s="1328"/>
      <c r="AL283" s="1328"/>
    </row>
    <row r="284" spans="1:38" s="1329" customFormat="1" ht="33" hidden="1" customHeight="1">
      <c r="A284" s="1320">
        <v>29</v>
      </c>
      <c r="B284" s="1330" t="str">
        <f>'Chấm công KT'!D268</f>
        <v>03673</v>
      </c>
      <c r="C284" s="1330" t="str">
        <f>TONGHOPCONGDOI!C279</f>
        <v>T. Đông</v>
      </c>
      <c r="D284" s="1330" t="s">
        <v>43</v>
      </c>
      <c r="E284" s="1331"/>
      <c r="F284" s="373"/>
      <c r="G284" s="373"/>
      <c r="H284" s="373"/>
      <c r="I284" s="373"/>
      <c r="J284" s="1322"/>
      <c r="K284" s="1323"/>
      <c r="L284" s="1324"/>
      <c r="M284" s="1325"/>
      <c r="N284" s="1325"/>
      <c r="O284" s="1325"/>
      <c r="P284" s="1325"/>
      <c r="Q284" s="1325"/>
      <c r="R284" s="1325"/>
      <c r="S284" s="1325"/>
      <c r="T284" s="1369"/>
      <c r="U284" s="1369"/>
      <c r="V284" s="1369"/>
      <c r="W284" s="1325"/>
      <c r="X284" s="1325">
        <f t="shared" si="34"/>
        <v>0</v>
      </c>
      <c r="Y284" s="1332"/>
      <c r="Z284" s="1326">
        <f t="shared" si="35"/>
        <v>0</v>
      </c>
      <c r="AA284" s="1332"/>
      <c r="AB284" s="1332"/>
      <c r="AC284" s="1326"/>
      <c r="AD284" s="1456">
        <f t="shared" si="28"/>
        <v>29</v>
      </c>
      <c r="AE284" s="1328"/>
      <c r="AF284" s="1328"/>
      <c r="AG284" s="1328"/>
      <c r="AH284" s="1328"/>
      <c r="AI284" s="1328"/>
      <c r="AJ284" s="1328"/>
      <c r="AK284" s="1328"/>
      <c r="AL284" s="1328"/>
    </row>
    <row r="285" spans="1:38" s="1329" customFormat="1" ht="33" hidden="1" customHeight="1">
      <c r="A285" s="1320">
        <v>30</v>
      </c>
      <c r="B285" s="1330" t="str">
        <f>'Chấm công KT'!D269</f>
        <v>03674</v>
      </c>
      <c r="C285" s="1330" t="str">
        <f>TONGHOPCONGDOI!C280</f>
        <v>N. Lao</v>
      </c>
      <c r="D285" s="1330" t="s">
        <v>43</v>
      </c>
      <c r="E285" s="1331"/>
      <c r="F285" s="373"/>
      <c r="G285" s="373"/>
      <c r="H285" s="373"/>
      <c r="I285" s="373"/>
      <c r="J285" s="1322"/>
      <c r="K285" s="1323"/>
      <c r="L285" s="1324"/>
      <c r="M285" s="1325"/>
      <c r="N285" s="1325"/>
      <c r="O285" s="1325"/>
      <c r="P285" s="1325"/>
      <c r="Q285" s="1325"/>
      <c r="R285" s="1325"/>
      <c r="S285" s="1325"/>
      <c r="T285" s="1369"/>
      <c r="U285" s="1369"/>
      <c r="V285" s="1369"/>
      <c r="W285" s="1325"/>
      <c r="X285" s="1325">
        <f t="shared" si="34"/>
        <v>0</v>
      </c>
      <c r="Y285" s="1332"/>
      <c r="Z285" s="1326">
        <f t="shared" si="35"/>
        <v>0</v>
      </c>
      <c r="AA285" s="1332"/>
      <c r="AB285" s="1332"/>
      <c r="AC285" s="1326"/>
      <c r="AD285" s="1456">
        <f t="shared" si="28"/>
        <v>30</v>
      </c>
      <c r="AE285" s="1328"/>
      <c r="AF285" s="1328"/>
      <c r="AG285" s="1328"/>
      <c r="AH285" s="1328"/>
      <c r="AI285" s="1328"/>
      <c r="AJ285" s="1328"/>
      <c r="AK285" s="1328"/>
      <c r="AL285" s="1328"/>
    </row>
    <row r="286" spans="1:38" s="1329" customFormat="1" ht="33" hidden="1" customHeight="1">
      <c r="A286" s="1320">
        <v>31</v>
      </c>
      <c r="B286" s="1330" t="str">
        <f>'Chấm công KT'!D270</f>
        <v>03675</v>
      </c>
      <c r="C286" s="1330" t="str">
        <f>TONGHOPCONGDOI!C281</f>
        <v>N. Xum Xi</v>
      </c>
      <c r="D286" s="1330" t="s">
        <v>43</v>
      </c>
      <c r="E286" s="1331"/>
      <c r="F286" s="373"/>
      <c r="G286" s="373"/>
      <c r="H286" s="373"/>
      <c r="I286" s="373"/>
      <c r="J286" s="1322"/>
      <c r="K286" s="1323"/>
      <c r="L286" s="1324"/>
      <c r="M286" s="1325"/>
      <c r="N286" s="1325"/>
      <c r="O286" s="1325"/>
      <c r="P286" s="1325"/>
      <c r="Q286" s="1325"/>
      <c r="R286" s="1325"/>
      <c r="S286" s="1325"/>
      <c r="T286" s="1369"/>
      <c r="U286" s="1369"/>
      <c r="V286" s="1369"/>
      <c r="W286" s="1325"/>
      <c r="X286" s="1325">
        <f t="shared" si="34"/>
        <v>0</v>
      </c>
      <c r="Y286" s="1332"/>
      <c r="Z286" s="1326">
        <f t="shared" si="35"/>
        <v>0</v>
      </c>
      <c r="AA286" s="1332"/>
      <c r="AB286" s="1332"/>
      <c r="AC286" s="1326"/>
      <c r="AD286" s="1456">
        <f t="shared" si="28"/>
        <v>31</v>
      </c>
      <c r="AE286" s="1328"/>
      <c r="AF286" s="1328"/>
      <c r="AG286" s="1328"/>
      <c r="AH286" s="1328"/>
      <c r="AI286" s="1328"/>
      <c r="AJ286" s="1328"/>
      <c r="AK286" s="1328"/>
      <c r="AL286" s="1328"/>
    </row>
    <row r="287" spans="1:38" s="1329" customFormat="1" ht="33" hidden="1" customHeight="1">
      <c r="A287" s="1320">
        <v>32</v>
      </c>
      <c r="B287" s="1330" t="str">
        <f>'Chấm công KT'!D271</f>
        <v>03676</v>
      </c>
      <c r="C287" s="1330" t="str">
        <f>TONGHOPCONGDOI!C282</f>
        <v xml:space="preserve">T. Xi </v>
      </c>
      <c r="D287" s="1330" t="s">
        <v>43</v>
      </c>
      <c r="E287" s="1331"/>
      <c r="F287" s="373"/>
      <c r="G287" s="373"/>
      <c r="H287" s="373"/>
      <c r="I287" s="373"/>
      <c r="J287" s="1322"/>
      <c r="K287" s="1323"/>
      <c r="L287" s="1324"/>
      <c r="M287" s="1325"/>
      <c r="N287" s="1325"/>
      <c r="O287" s="1325"/>
      <c r="P287" s="1325"/>
      <c r="Q287" s="1325"/>
      <c r="R287" s="1325"/>
      <c r="S287" s="1325"/>
      <c r="T287" s="1369"/>
      <c r="U287" s="1369"/>
      <c r="V287" s="1369"/>
      <c r="W287" s="1325"/>
      <c r="X287" s="1325">
        <f t="shared" si="34"/>
        <v>0</v>
      </c>
      <c r="Y287" s="1332"/>
      <c r="Z287" s="1326">
        <f t="shared" si="35"/>
        <v>0</v>
      </c>
      <c r="AA287" s="1332"/>
      <c r="AB287" s="1332"/>
      <c r="AC287" s="1326"/>
      <c r="AD287" s="1456">
        <f t="shared" si="28"/>
        <v>32</v>
      </c>
      <c r="AE287" s="1328"/>
      <c r="AF287" s="1328"/>
      <c r="AG287" s="1328"/>
      <c r="AH287" s="1328"/>
      <c r="AI287" s="1328"/>
      <c r="AJ287" s="1328"/>
      <c r="AK287" s="1328"/>
      <c r="AL287" s="1328"/>
    </row>
    <row r="288" spans="1:38" s="1329" customFormat="1" ht="33" hidden="1" customHeight="1">
      <c r="A288" s="1320">
        <v>33</v>
      </c>
      <c r="B288" s="1330" t="str">
        <f>'Chấm công KT'!D272</f>
        <v>03677</v>
      </c>
      <c r="C288" s="1330" t="str">
        <f>TONGHOPCONGDOI!C283</f>
        <v>T Pết</v>
      </c>
      <c r="D288" s="1330" t="s">
        <v>43</v>
      </c>
      <c r="E288" s="1331"/>
      <c r="F288" s="373"/>
      <c r="G288" s="373"/>
      <c r="H288" s="373"/>
      <c r="I288" s="373"/>
      <c r="J288" s="1322"/>
      <c r="K288" s="1323"/>
      <c r="L288" s="1324"/>
      <c r="M288" s="1325"/>
      <c r="N288" s="1325"/>
      <c r="O288" s="1325"/>
      <c r="P288" s="1325"/>
      <c r="Q288" s="1325"/>
      <c r="R288" s="1325"/>
      <c r="S288" s="1325"/>
      <c r="T288" s="1369"/>
      <c r="U288" s="1369"/>
      <c r="V288" s="1369"/>
      <c r="W288" s="1325"/>
      <c r="X288" s="1325">
        <f t="shared" ref="X288:X319" si="36">F288+L288+W288</f>
        <v>0</v>
      </c>
      <c r="Y288" s="1332"/>
      <c r="Z288" s="1326">
        <f t="shared" si="35"/>
        <v>0</v>
      </c>
      <c r="AA288" s="1332"/>
      <c r="AB288" s="1332"/>
      <c r="AC288" s="1326"/>
      <c r="AD288" s="1456">
        <f t="shared" si="28"/>
        <v>33</v>
      </c>
      <c r="AE288" s="1328"/>
      <c r="AF288" s="1328"/>
      <c r="AG288" s="1328"/>
      <c r="AH288" s="1328"/>
      <c r="AI288" s="1328"/>
      <c r="AJ288" s="1328"/>
      <c r="AK288" s="1328"/>
      <c r="AL288" s="1328"/>
    </row>
    <row r="289" spans="1:38" s="1329" customFormat="1" ht="33" hidden="1" customHeight="1">
      <c r="A289" s="1320">
        <v>34</v>
      </c>
      <c r="B289" s="1330" t="str">
        <f>'Chấm công KT'!D273</f>
        <v>03678</v>
      </c>
      <c r="C289" s="1330" t="str">
        <f>TONGHOPCONGDOI!C284</f>
        <v>T. Von</v>
      </c>
      <c r="D289" s="1330" t="s">
        <v>43</v>
      </c>
      <c r="E289" s="1331"/>
      <c r="F289" s="373"/>
      <c r="G289" s="373"/>
      <c r="H289" s="373"/>
      <c r="I289" s="373"/>
      <c r="J289" s="1322"/>
      <c r="K289" s="1323"/>
      <c r="L289" s="1324"/>
      <c r="M289" s="1325"/>
      <c r="N289" s="1325"/>
      <c r="O289" s="1325"/>
      <c r="P289" s="1325"/>
      <c r="Q289" s="1325"/>
      <c r="R289" s="1325"/>
      <c r="S289" s="1325"/>
      <c r="T289" s="1369"/>
      <c r="U289" s="1369"/>
      <c r="V289" s="1369"/>
      <c r="W289" s="1325"/>
      <c r="X289" s="1325">
        <f t="shared" si="36"/>
        <v>0</v>
      </c>
      <c r="Y289" s="1332"/>
      <c r="Z289" s="1326">
        <f t="shared" si="35"/>
        <v>0</v>
      </c>
      <c r="AA289" s="1332"/>
      <c r="AB289" s="1332"/>
      <c r="AC289" s="1326"/>
      <c r="AD289" s="1456">
        <f t="shared" si="28"/>
        <v>34</v>
      </c>
      <c r="AE289" s="1328"/>
      <c r="AF289" s="1328"/>
      <c r="AG289" s="1328"/>
      <c r="AH289" s="1328"/>
      <c r="AI289" s="1328"/>
      <c r="AJ289" s="1328"/>
      <c r="AK289" s="1328"/>
      <c r="AL289" s="1328"/>
    </row>
    <row r="290" spans="1:38" s="1329" customFormat="1" ht="33" hidden="1" customHeight="1">
      <c r="A290" s="1320">
        <v>35</v>
      </c>
      <c r="B290" s="1330" t="str">
        <f>'Chấm công KT'!D274</f>
        <v>03679</v>
      </c>
      <c r="C290" s="1330" t="str">
        <f>TONGHOPCONGDOI!C285</f>
        <v>Khăm Xúc</v>
      </c>
      <c r="D290" s="1330" t="s">
        <v>43</v>
      </c>
      <c r="E290" s="1331"/>
      <c r="F290" s="373"/>
      <c r="G290" s="373"/>
      <c r="H290" s="373"/>
      <c r="I290" s="373"/>
      <c r="J290" s="1322"/>
      <c r="K290" s="1323"/>
      <c r="L290" s="1324"/>
      <c r="M290" s="1325"/>
      <c r="N290" s="1325"/>
      <c r="O290" s="1325"/>
      <c r="P290" s="1325"/>
      <c r="Q290" s="1325"/>
      <c r="R290" s="1325"/>
      <c r="S290" s="1325"/>
      <c r="T290" s="1369"/>
      <c r="U290" s="1369"/>
      <c r="V290" s="1369"/>
      <c r="W290" s="1325"/>
      <c r="X290" s="1325">
        <f t="shared" si="36"/>
        <v>0</v>
      </c>
      <c r="Y290" s="1332"/>
      <c r="Z290" s="1326">
        <f t="shared" si="35"/>
        <v>0</v>
      </c>
      <c r="AA290" s="1332"/>
      <c r="AB290" s="1332"/>
      <c r="AC290" s="1326"/>
      <c r="AD290" s="1456">
        <f t="shared" si="28"/>
        <v>35</v>
      </c>
      <c r="AE290" s="1328"/>
      <c r="AF290" s="1328"/>
      <c r="AG290" s="1328"/>
      <c r="AH290" s="1328"/>
      <c r="AI290" s="1328"/>
      <c r="AJ290" s="1328"/>
      <c r="AK290" s="1328"/>
      <c r="AL290" s="1328"/>
    </row>
    <row r="291" spans="1:38" s="1329" customFormat="1" ht="33" hidden="1" customHeight="1">
      <c r="A291" s="1320">
        <v>36</v>
      </c>
      <c r="B291" s="1330" t="str">
        <f>'Chấm công KT'!D275</f>
        <v>03680</v>
      </c>
      <c r="C291" s="1330" t="str">
        <f>TONGHOPCONGDOI!C286</f>
        <v>T. Phút</v>
      </c>
      <c r="D291" s="1330" t="s">
        <v>43</v>
      </c>
      <c r="E291" s="1331"/>
      <c r="F291" s="373"/>
      <c r="G291" s="373"/>
      <c r="H291" s="373"/>
      <c r="I291" s="373"/>
      <c r="J291" s="1322"/>
      <c r="K291" s="1323"/>
      <c r="L291" s="1324"/>
      <c r="M291" s="1325"/>
      <c r="N291" s="1325"/>
      <c r="O291" s="1325"/>
      <c r="P291" s="1325"/>
      <c r="Q291" s="1325"/>
      <c r="R291" s="1325"/>
      <c r="S291" s="1325"/>
      <c r="T291" s="1369"/>
      <c r="U291" s="1369"/>
      <c r="V291" s="1369"/>
      <c r="W291" s="1325"/>
      <c r="X291" s="1325">
        <f t="shared" si="36"/>
        <v>0</v>
      </c>
      <c r="Y291" s="1332"/>
      <c r="Z291" s="1326">
        <f t="shared" si="35"/>
        <v>0</v>
      </c>
      <c r="AA291" s="1332"/>
      <c r="AB291" s="1332"/>
      <c r="AC291" s="1326"/>
      <c r="AD291" s="1456">
        <f t="shared" si="28"/>
        <v>36</v>
      </c>
      <c r="AE291" s="1328"/>
      <c r="AF291" s="1328"/>
      <c r="AG291" s="1328"/>
      <c r="AH291" s="1328"/>
      <c r="AI291" s="1328"/>
      <c r="AJ291" s="1328"/>
      <c r="AK291" s="1328"/>
      <c r="AL291" s="1328"/>
    </row>
    <row r="292" spans="1:38" s="1329" customFormat="1" ht="33" hidden="1" customHeight="1">
      <c r="A292" s="1320">
        <v>37</v>
      </c>
      <c r="B292" s="1330" t="str">
        <f>'Chấm công KT'!D276</f>
        <v>03681</v>
      </c>
      <c r="C292" s="1330" t="str">
        <f>TONGHOPCONGDOI!C287</f>
        <v>T. Be</v>
      </c>
      <c r="D292" s="1330" t="s">
        <v>43</v>
      </c>
      <c r="E292" s="1331"/>
      <c r="F292" s="373"/>
      <c r="G292" s="373"/>
      <c r="H292" s="373"/>
      <c r="I292" s="373"/>
      <c r="J292" s="1322"/>
      <c r="K292" s="1323"/>
      <c r="L292" s="1324"/>
      <c r="M292" s="1325"/>
      <c r="N292" s="1325"/>
      <c r="O292" s="1325"/>
      <c r="P292" s="1325"/>
      <c r="Q292" s="1325"/>
      <c r="R292" s="1325"/>
      <c r="S292" s="1325"/>
      <c r="T292" s="1369"/>
      <c r="U292" s="1369"/>
      <c r="V292" s="1369"/>
      <c r="W292" s="1325"/>
      <c r="X292" s="1325">
        <f t="shared" si="36"/>
        <v>0</v>
      </c>
      <c r="Y292" s="1332"/>
      <c r="Z292" s="1326">
        <f t="shared" si="35"/>
        <v>0</v>
      </c>
      <c r="AA292" s="1332"/>
      <c r="AB292" s="1332"/>
      <c r="AC292" s="1326"/>
      <c r="AD292" s="1456">
        <f t="shared" si="28"/>
        <v>37</v>
      </c>
      <c r="AE292" s="1328"/>
      <c r="AF292" s="1328"/>
      <c r="AG292" s="1328"/>
      <c r="AH292" s="1328"/>
      <c r="AI292" s="1328"/>
      <c r="AJ292" s="1328"/>
      <c r="AK292" s="1328"/>
      <c r="AL292" s="1328"/>
    </row>
    <row r="293" spans="1:38" s="1329" customFormat="1" ht="33" hidden="1" customHeight="1">
      <c r="A293" s="1320">
        <v>38</v>
      </c>
      <c r="B293" s="1330" t="str">
        <f>'Chấm công KT'!D277</f>
        <v>03682</v>
      </c>
      <c r="C293" s="1330" t="str">
        <f>TONGHOPCONGDOI!C288</f>
        <v>T . Mưn</v>
      </c>
      <c r="D293" s="1330" t="s">
        <v>43</v>
      </c>
      <c r="E293" s="1331"/>
      <c r="F293" s="373"/>
      <c r="G293" s="373"/>
      <c r="H293" s="373"/>
      <c r="I293" s="373"/>
      <c r="J293" s="1322"/>
      <c r="K293" s="1323"/>
      <c r="L293" s="1324"/>
      <c r="M293" s="1325"/>
      <c r="N293" s="1325"/>
      <c r="O293" s="1325"/>
      <c r="P293" s="1325"/>
      <c r="Q293" s="1325"/>
      <c r="R293" s="1325"/>
      <c r="S293" s="1325"/>
      <c r="T293" s="1369"/>
      <c r="U293" s="1369"/>
      <c r="V293" s="1369"/>
      <c r="W293" s="1325"/>
      <c r="X293" s="1325">
        <f t="shared" si="36"/>
        <v>0</v>
      </c>
      <c r="Y293" s="1332"/>
      <c r="Z293" s="1326">
        <f t="shared" si="35"/>
        <v>0</v>
      </c>
      <c r="AA293" s="1332"/>
      <c r="AB293" s="1332"/>
      <c r="AC293" s="1326"/>
      <c r="AD293" s="1456">
        <f t="shared" si="28"/>
        <v>38</v>
      </c>
      <c r="AE293" s="1328"/>
      <c r="AF293" s="1328"/>
      <c r="AG293" s="1328"/>
      <c r="AH293" s="1328"/>
      <c r="AI293" s="1328"/>
      <c r="AJ293" s="1328"/>
      <c r="AK293" s="1328"/>
      <c r="AL293" s="1328"/>
    </row>
    <row r="294" spans="1:38" s="1329" customFormat="1" ht="33" hidden="1" customHeight="1">
      <c r="A294" s="1320">
        <v>39</v>
      </c>
      <c r="B294" s="1330" t="str">
        <f>'Chấm công KT'!D278</f>
        <v>03683</v>
      </c>
      <c r="C294" s="1330" t="str">
        <f>TONGHOPCONGDOI!C289</f>
        <v>T. Ô</v>
      </c>
      <c r="D294" s="1330" t="s">
        <v>43</v>
      </c>
      <c r="E294" s="1331"/>
      <c r="F294" s="373"/>
      <c r="G294" s="373"/>
      <c r="H294" s="373"/>
      <c r="I294" s="373"/>
      <c r="J294" s="1322"/>
      <c r="K294" s="1323"/>
      <c r="L294" s="1324"/>
      <c r="M294" s="1325"/>
      <c r="N294" s="1325"/>
      <c r="O294" s="1325"/>
      <c r="P294" s="1325"/>
      <c r="Q294" s="1325"/>
      <c r="R294" s="1325"/>
      <c r="S294" s="1325"/>
      <c r="T294" s="1369"/>
      <c r="U294" s="1369"/>
      <c r="V294" s="1369"/>
      <c r="W294" s="1325"/>
      <c r="X294" s="1325">
        <f t="shared" si="36"/>
        <v>0</v>
      </c>
      <c r="Y294" s="1332"/>
      <c r="Z294" s="1326">
        <f t="shared" si="35"/>
        <v>0</v>
      </c>
      <c r="AA294" s="1332"/>
      <c r="AB294" s="1332"/>
      <c r="AC294" s="1326"/>
      <c r="AD294" s="1456">
        <f t="shared" si="28"/>
        <v>39</v>
      </c>
      <c r="AE294" s="1328"/>
      <c r="AF294" s="1328"/>
      <c r="AG294" s="1328"/>
      <c r="AH294" s="1328"/>
      <c r="AI294" s="1328"/>
      <c r="AJ294" s="1328"/>
      <c r="AK294" s="1328"/>
      <c r="AL294" s="1328"/>
    </row>
    <row r="295" spans="1:38" s="1329" customFormat="1" ht="33" hidden="1" customHeight="1">
      <c r="A295" s="1320">
        <v>40</v>
      </c>
      <c r="B295" s="1330" t="str">
        <f>'Chấm công KT'!D279</f>
        <v>03684</v>
      </c>
      <c r="C295" s="1330" t="str">
        <f>TONGHOPCONGDOI!C290</f>
        <v>N. Lem</v>
      </c>
      <c r="D295" s="1330" t="s">
        <v>43</v>
      </c>
      <c r="E295" s="1331"/>
      <c r="F295" s="373"/>
      <c r="G295" s="373"/>
      <c r="H295" s="373"/>
      <c r="I295" s="373"/>
      <c r="J295" s="1322"/>
      <c r="K295" s="1323"/>
      <c r="L295" s="1324"/>
      <c r="M295" s="1325"/>
      <c r="N295" s="1325"/>
      <c r="O295" s="1325"/>
      <c r="P295" s="1325"/>
      <c r="Q295" s="1325"/>
      <c r="R295" s="1325"/>
      <c r="S295" s="1325"/>
      <c r="T295" s="1369"/>
      <c r="U295" s="1369"/>
      <c r="V295" s="1369"/>
      <c r="W295" s="1325"/>
      <c r="X295" s="1325">
        <f t="shared" si="36"/>
        <v>0</v>
      </c>
      <c r="Y295" s="1332"/>
      <c r="Z295" s="1326">
        <f t="shared" si="35"/>
        <v>0</v>
      </c>
      <c r="AA295" s="1332"/>
      <c r="AB295" s="1332"/>
      <c r="AC295" s="1326"/>
      <c r="AD295" s="1456">
        <f t="shared" si="28"/>
        <v>40</v>
      </c>
      <c r="AE295" s="1328"/>
      <c r="AF295" s="1328"/>
      <c r="AG295" s="1328"/>
      <c r="AH295" s="1328"/>
      <c r="AI295" s="1328"/>
      <c r="AJ295" s="1328"/>
      <c r="AK295" s="1328"/>
      <c r="AL295" s="1328"/>
    </row>
    <row r="296" spans="1:38" s="1329" customFormat="1" ht="33" hidden="1" customHeight="1">
      <c r="A296" s="1320">
        <v>41</v>
      </c>
      <c r="B296" s="1330" t="str">
        <f>'Chấm công KT'!D280</f>
        <v>03685</v>
      </c>
      <c r="C296" s="1330" t="str">
        <f>TONGHOPCONGDOI!C291</f>
        <v>T. Nọi (4)</v>
      </c>
      <c r="D296" s="1330" t="s">
        <v>43</v>
      </c>
      <c r="E296" s="1331"/>
      <c r="F296" s="373"/>
      <c r="G296" s="373"/>
      <c r="H296" s="373"/>
      <c r="I296" s="373"/>
      <c r="J296" s="1322"/>
      <c r="K296" s="1323"/>
      <c r="L296" s="1324"/>
      <c r="M296" s="1325"/>
      <c r="N296" s="1325"/>
      <c r="O296" s="1325"/>
      <c r="P296" s="1325"/>
      <c r="Q296" s="1325"/>
      <c r="R296" s="1325"/>
      <c r="S296" s="1325"/>
      <c r="T296" s="1369"/>
      <c r="U296" s="1369"/>
      <c r="V296" s="1369"/>
      <c r="W296" s="1325"/>
      <c r="X296" s="1325">
        <f t="shared" si="36"/>
        <v>0</v>
      </c>
      <c r="Y296" s="1332"/>
      <c r="Z296" s="1326">
        <f t="shared" si="35"/>
        <v>0</v>
      </c>
      <c r="AA296" s="1332"/>
      <c r="AB296" s="1332"/>
      <c r="AC296" s="1326"/>
      <c r="AD296" s="1456">
        <f t="shared" si="28"/>
        <v>41</v>
      </c>
      <c r="AE296" s="1328"/>
      <c r="AF296" s="1328"/>
      <c r="AG296" s="1328"/>
      <c r="AH296" s="1328"/>
      <c r="AI296" s="1328"/>
      <c r="AJ296" s="1328"/>
      <c r="AK296" s="1328"/>
      <c r="AL296" s="1328"/>
    </row>
    <row r="297" spans="1:38" s="1329" customFormat="1" ht="33" hidden="1" customHeight="1">
      <c r="A297" s="1320">
        <v>42</v>
      </c>
      <c r="B297" s="1330" t="str">
        <f>'Chấm công KT'!D281</f>
        <v>03556</v>
      </c>
      <c r="C297" s="1330" t="str">
        <f>TONGHOPCONGDOI!C292</f>
        <v>T. Mi</v>
      </c>
      <c r="D297" s="1330" t="s">
        <v>43</v>
      </c>
      <c r="E297" s="1331"/>
      <c r="F297" s="373"/>
      <c r="G297" s="373"/>
      <c r="H297" s="373"/>
      <c r="I297" s="373"/>
      <c r="J297" s="1322"/>
      <c r="K297" s="1323"/>
      <c r="L297" s="1324"/>
      <c r="M297" s="1325"/>
      <c r="N297" s="1325"/>
      <c r="O297" s="1325"/>
      <c r="P297" s="1325"/>
      <c r="Q297" s="1325"/>
      <c r="R297" s="1325"/>
      <c r="S297" s="1325"/>
      <c r="T297" s="1369"/>
      <c r="U297" s="1369"/>
      <c r="V297" s="1369"/>
      <c r="W297" s="1325"/>
      <c r="X297" s="1325">
        <f t="shared" si="36"/>
        <v>0</v>
      </c>
      <c r="Y297" s="1332"/>
      <c r="Z297" s="1326">
        <f t="shared" si="35"/>
        <v>0</v>
      </c>
      <c r="AA297" s="1332"/>
      <c r="AB297" s="1332"/>
      <c r="AC297" s="1326"/>
      <c r="AD297" s="1456">
        <f t="shared" ref="AD297:AD325" si="37">A297</f>
        <v>42</v>
      </c>
      <c r="AE297" s="1328"/>
      <c r="AF297" s="1328"/>
      <c r="AG297" s="1328"/>
      <c r="AH297" s="1328"/>
      <c r="AI297" s="1328"/>
      <c r="AJ297" s="1328"/>
      <c r="AK297" s="1328"/>
      <c r="AL297" s="1328"/>
    </row>
    <row r="298" spans="1:38" s="1329" customFormat="1" ht="33" hidden="1" customHeight="1">
      <c r="A298" s="1320">
        <v>43</v>
      </c>
      <c r="B298" s="1330" t="str">
        <f>'Chấm công KT'!D282</f>
        <v>03687</v>
      </c>
      <c r="C298" s="1330" t="str">
        <f>TONGHOPCONGDOI!C293</f>
        <v>T. Lẹ</v>
      </c>
      <c r="D298" s="1330" t="s">
        <v>43</v>
      </c>
      <c r="E298" s="1331"/>
      <c r="F298" s="373"/>
      <c r="G298" s="373"/>
      <c r="H298" s="373"/>
      <c r="I298" s="373"/>
      <c r="J298" s="1322"/>
      <c r="K298" s="1323"/>
      <c r="L298" s="1324"/>
      <c r="M298" s="1325"/>
      <c r="N298" s="1325"/>
      <c r="O298" s="1325"/>
      <c r="P298" s="1325"/>
      <c r="Q298" s="1325"/>
      <c r="R298" s="1325"/>
      <c r="S298" s="1325"/>
      <c r="T298" s="1369"/>
      <c r="U298" s="1369"/>
      <c r="V298" s="1369"/>
      <c r="W298" s="1325"/>
      <c r="X298" s="1325">
        <f t="shared" si="36"/>
        <v>0</v>
      </c>
      <c r="Y298" s="1332"/>
      <c r="Z298" s="1326">
        <f t="shared" si="35"/>
        <v>0</v>
      </c>
      <c r="AA298" s="1332"/>
      <c r="AB298" s="1332"/>
      <c r="AC298" s="1326"/>
      <c r="AD298" s="1456">
        <f t="shared" si="37"/>
        <v>43</v>
      </c>
      <c r="AE298" s="1328"/>
      <c r="AF298" s="1328"/>
      <c r="AG298" s="1328"/>
      <c r="AH298" s="1328"/>
      <c r="AI298" s="1328"/>
      <c r="AJ298" s="1328"/>
      <c r="AK298" s="1328"/>
      <c r="AL298" s="1328"/>
    </row>
    <row r="299" spans="1:38" s="1329" customFormat="1" ht="33" hidden="1" customHeight="1">
      <c r="A299" s="1320">
        <v>44</v>
      </c>
      <c r="B299" s="1330" t="str">
        <f>'Chấm công KT'!D283</f>
        <v>03688</v>
      </c>
      <c r="C299" s="1330" t="str">
        <f>TONGHOPCONGDOI!C294</f>
        <v>N. Sum Kang</v>
      </c>
      <c r="D299" s="1330" t="s">
        <v>43</v>
      </c>
      <c r="E299" s="1331"/>
      <c r="F299" s="373"/>
      <c r="G299" s="373"/>
      <c r="H299" s="373"/>
      <c r="I299" s="373"/>
      <c r="J299" s="1322"/>
      <c r="K299" s="1323"/>
      <c r="L299" s="1324"/>
      <c r="M299" s="1325"/>
      <c r="N299" s="1325"/>
      <c r="O299" s="1325"/>
      <c r="P299" s="1325"/>
      <c r="Q299" s="1325"/>
      <c r="R299" s="1325"/>
      <c r="S299" s="1325"/>
      <c r="T299" s="1369"/>
      <c r="U299" s="1369"/>
      <c r="V299" s="1369"/>
      <c r="W299" s="1325"/>
      <c r="X299" s="1325">
        <f t="shared" si="36"/>
        <v>0</v>
      </c>
      <c r="Y299" s="1332"/>
      <c r="Z299" s="1326">
        <f t="shared" si="35"/>
        <v>0</v>
      </c>
      <c r="AA299" s="1332"/>
      <c r="AB299" s="1332"/>
      <c r="AC299" s="1326"/>
      <c r="AD299" s="1456">
        <f t="shared" si="37"/>
        <v>44</v>
      </c>
      <c r="AE299" s="1328"/>
      <c r="AF299" s="1328"/>
      <c r="AG299" s="1328"/>
      <c r="AH299" s="1328"/>
      <c r="AI299" s="1328"/>
      <c r="AJ299" s="1328"/>
      <c r="AK299" s="1328"/>
      <c r="AL299" s="1328"/>
    </row>
    <row r="300" spans="1:38" s="1329" customFormat="1" ht="33" hidden="1" customHeight="1">
      <c r="A300" s="1320">
        <v>45</v>
      </c>
      <c r="B300" s="1330" t="str">
        <f>'Chấm công KT'!D284</f>
        <v>02732</v>
      </c>
      <c r="C300" s="1330" t="str">
        <f>TONGHOPCONGDOI!C295</f>
        <v xml:space="preserve">N. Khăm </v>
      </c>
      <c r="D300" s="1330" t="s">
        <v>43</v>
      </c>
      <c r="E300" s="1331"/>
      <c r="F300" s="373"/>
      <c r="G300" s="373"/>
      <c r="H300" s="373"/>
      <c r="I300" s="373"/>
      <c r="J300" s="1322"/>
      <c r="K300" s="1323"/>
      <c r="L300" s="1324"/>
      <c r="M300" s="1325"/>
      <c r="N300" s="1325"/>
      <c r="O300" s="1325"/>
      <c r="P300" s="1325"/>
      <c r="Q300" s="1325"/>
      <c r="R300" s="1325"/>
      <c r="S300" s="1325"/>
      <c r="T300" s="1369"/>
      <c r="U300" s="1369"/>
      <c r="V300" s="1369"/>
      <c r="W300" s="1325"/>
      <c r="X300" s="1325">
        <f t="shared" si="36"/>
        <v>0</v>
      </c>
      <c r="Y300" s="1332"/>
      <c r="Z300" s="1326">
        <f t="shared" si="35"/>
        <v>0</v>
      </c>
      <c r="AA300" s="1332"/>
      <c r="AB300" s="1332"/>
      <c r="AC300" s="1326"/>
      <c r="AD300" s="1456">
        <f t="shared" si="37"/>
        <v>45</v>
      </c>
      <c r="AE300" s="1328"/>
      <c r="AF300" s="1328"/>
      <c r="AG300" s="1328"/>
      <c r="AH300" s="1328"/>
      <c r="AI300" s="1328"/>
      <c r="AJ300" s="1328"/>
      <c r="AK300" s="1328"/>
      <c r="AL300" s="1328"/>
    </row>
    <row r="301" spans="1:38" s="1329" customFormat="1" ht="33" hidden="1" customHeight="1">
      <c r="A301" s="1320">
        <v>46</v>
      </c>
      <c r="B301" s="1330" t="str">
        <f>'Chấm công KT'!D285</f>
        <v>03690</v>
      </c>
      <c r="C301" s="1330" t="str">
        <f>TONGHOPCONGDOI!C296</f>
        <v>T. Xủm</v>
      </c>
      <c r="D301" s="1330" t="s">
        <v>43</v>
      </c>
      <c r="E301" s="1331"/>
      <c r="F301" s="373"/>
      <c r="G301" s="373"/>
      <c r="H301" s="373"/>
      <c r="I301" s="373"/>
      <c r="J301" s="1322"/>
      <c r="K301" s="1323"/>
      <c r="L301" s="1324"/>
      <c r="M301" s="1325"/>
      <c r="N301" s="1325"/>
      <c r="O301" s="1325"/>
      <c r="P301" s="1325"/>
      <c r="Q301" s="1325"/>
      <c r="R301" s="1325"/>
      <c r="S301" s="1325"/>
      <c r="T301" s="1369"/>
      <c r="U301" s="1369"/>
      <c r="V301" s="1369"/>
      <c r="W301" s="1325"/>
      <c r="X301" s="1325">
        <f t="shared" si="36"/>
        <v>0</v>
      </c>
      <c r="Y301" s="1332"/>
      <c r="Z301" s="1326">
        <f t="shared" si="35"/>
        <v>0</v>
      </c>
      <c r="AA301" s="1332"/>
      <c r="AB301" s="1332"/>
      <c r="AC301" s="1326"/>
      <c r="AD301" s="1456">
        <f t="shared" si="37"/>
        <v>46</v>
      </c>
      <c r="AE301" s="1328"/>
      <c r="AF301" s="1328"/>
      <c r="AG301" s="1328"/>
      <c r="AH301" s="1328"/>
      <c r="AI301" s="1328"/>
      <c r="AJ301" s="1328"/>
      <c r="AK301" s="1328"/>
      <c r="AL301" s="1328"/>
    </row>
    <row r="302" spans="1:38" s="1329" customFormat="1" ht="33" hidden="1" customHeight="1">
      <c r="A302" s="1320">
        <v>47</v>
      </c>
      <c r="B302" s="1330" t="str">
        <f>'Chấm công KT'!D286</f>
        <v>03691</v>
      </c>
      <c r="C302" s="1330" t="str">
        <f>TONGHOPCONGDOI!C297</f>
        <v>N. Keo Khăm</v>
      </c>
      <c r="D302" s="1330" t="s">
        <v>43</v>
      </c>
      <c r="E302" s="1331"/>
      <c r="F302" s="373"/>
      <c r="G302" s="373"/>
      <c r="H302" s="373"/>
      <c r="I302" s="373"/>
      <c r="J302" s="1322"/>
      <c r="K302" s="1323"/>
      <c r="L302" s="1324"/>
      <c r="M302" s="1325"/>
      <c r="N302" s="1325"/>
      <c r="O302" s="1325"/>
      <c r="P302" s="1325"/>
      <c r="Q302" s="1325"/>
      <c r="R302" s="1325"/>
      <c r="S302" s="1325"/>
      <c r="T302" s="1369"/>
      <c r="U302" s="1369"/>
      <c r="V302" s="1369"/>
      <c r="W302" s="1325"/>
      <c r="X302" s="1325">
        <f t="shared" si="36"/>
        <v>0</v>
      </c>
      <c r="Y302" s="1332"/>
      <c r="Z302" s="1326">
        <f t="shared" si="35"/>
        <v>0</v>
      </c>
      <c r="AA302" s="1332"/>
      <c r="AB302" s="1332"/>
      <c r="AC302" s="1326"/>
      <c r="AD302" s="1456">
        <f t="shared" si="37"/>
        <v>47</v>
      </c>
      <c r="AE302" s="1328"/>
      <c r="AF302" s="1328"/>
      <c r="AG302" s="1328"/>
      <c r="AH302" s="1328"/>
      <c r="AI302" s="1328"/>
      <c r="AJ302" s="1328"/>
      <c r="AK302" s="1328"/>
      <c r="AL302" s="1328"/>
    </row>
    <row r="303" spans="1:38" s="1329" customFormat="1" ht="33" hidden="1" customHeight="1">
      <c r="A303" s="1320">
        <v>48</v>
      </c>
      <c r="B303" s="1330" t="str">
        <f>'Chấm công KT'!D287</f>
        <v>03692</v>
      </c>
      <c r="C303" s="1330" t="str">
        <f>TONGHOPCONGDOI!C298</f>
        <v>T. Choi</v>
      </c>
      <c r="D303" s="1330" t="s">
        <v>43</v>
      </c>
      <c r="E303" s="1331"/>
      <c r="F303" s="373"/>
      <c r="G303" s="373"/>
      <c r="H303" s="373"/>
      <c r="I303" s="373"/>
      <c r="J303" s="1322"/>
      <c r="K303" s="1323"/>
      <c r="L303" s="1324"/>
      <c r="M303" s="1325"/>
      <c r="N303" s="1325"/>
      <c r="O303" s="1325"/>
      <c r="P303" s="1325"/>
      <c r="Q303" s="1325"/>
      <c r="R303" s="1325"/>
      <c r="S303" s="1325"/>
      <c r="T303" s="1369"/>
      <c r="U303" s="1369"/>
      <c r="V303" s="1369"/>
      <c r="W303" s="1325"/>
      <c r="X303" s="1325">
        <f t="shared" si="36"/>
        <v>0</v>
      </c>
      <c r="Y303" s="1332"/>
      <c r="Z303" s="1326">
        <f t="shared" si="35"/>
        <v>0</v>
      </c>
      <c r="AA303" s="1332"/>
      <c r="AB303" s="1332"/>
      <c r="AC303" s="1326"/>
      <c r="AD303" s="1456">
        <f t="shared" si="37"/>
        <v>48</v>
      </c>
      <c r="AE303" s="1328"/>
      <c r="AF303" s="1328"/>
      <c r="AG303" s="1328"/>
      <c r="AH303" s="1328"/>
      <c r="AI303" s="1328"/>
      <c r="AJ303" s="1328"/>
      <c r="AK303" s="1328"/>
      <c r="AL303" s="1328"/>
    </row>
    <row r="304" spans="1:38" s="1329" customFormat="1" ht="33" hidden="1" customHeight="1">
      <c r="A304" s="1320">
        <v>49</v>
      </c>
      <c r="B304" s="1330" t="str">
        <f>'Chấm công KT'!D288</f>
        <v>03693</v>
      </c>
      <c r="C304" s="1330" t="str">
        <f>TONGHOPCONGDOI!C299</f>
        <v>N. Phút</v>
      </c>
      <c r="D304" s="1330" t="s">
        <v>43</v>
      </c>
      <c r="E304" s="1331"/>
      <c r="F304" s="373"/>
      <c r="G304" s="373"/>
      <c r="H304" s="373"/>
      <c r="I304" s="373"/>
      <c r="J304" s="1322"/>
      <c r="K304" s="1323"/>
      <c r="L304" s="1324"/>
      <c r="M304" s="1325"/>
      <c r="N304" s="1325"/>
      <c r="O304" s="1325"/>
      <c r="P304" s="1325"/>
      <c r="Q304" s="1325"/>
      <c r="R304" s="1325"/>
      <c r="S304" s="1325"/>
      <c r="T304" s="1369"/>
      <c r="U304" s="1369"/>
      <c r="V304" s="1369"/>
      <c r="W304" s="1325"/>
      <c r="X304" s="1325">
        <f t="shared" si="36"/>
        <v>0</v>
      </c>
      <c r="Y304" s="1332"/>
      <c r="Z304" s="1326">
        <f t="shared" si="35"/>
        <v>0</v>
      </c>
      <c r="AA304" s="1332"/>
      <c r="AB304" s="1332"/>
      <c r="AC304" s="1326"/>
      <c r="AD304" s="1456">
        <f t="shared" si="37"/>
        <v>49</v>
      </c>
      <c r="AE304" s="1328"/>
      <c r="AF304" s="1328"/>
      <c r="AG304" s="1328"/>
      <c r="AH304" s="1328"/>
      <c r="AI304" s="1328"/>
      <c r="AJ304" s="1328"/>
      <c r="AK304" s="1328"/>
      <c r="AL304" s="1328"/>
    </row>
    <row r="305" spans="1:38" s="1329" customFormat="1" ht="33" hidden="1" customHeight="1">
      <c r="A305" s="1320">
        <v>50</v>
      </c>
      <c r="B305" s="1330" t="str">
        <f>'Chấm công KT'!D289</f>
        <v>03694</v>
      </c>
      <c r="C305" s="1330" t="str">
        <f>TONGHOPCONGDOI!C300</f>
        <v>Vông Chăn</v>
      </c>
      <c r="D305" s="1330" t="s">
        <v>43</v>
      </c>
      <c r="E305" s="1331"/>
      <c r="F305" s="373"/>
      <c r="G305" s="373"/>
      <c r="H305" s="373"/>
      <c r="I305" s="373"/>
      <c r="J305" s="1322"/>
      <c r="K305" s="1323"/>
      <c r="L305" s="1324"/>
      <c r="M305" s="1325"/>
      <c r="N305" s="1325"/>
      <c r="O305" s="1325"/>
      <c r="P305" s="1325"/>
      <c r="Q305" s="1325"/>
      <c r="R305" s="1325"/>
      <c r="S305" s="1325"/>
      <c r="T305" s="1369"/>
      <c r="U305" s="1369"/>
      <c r="V305" s="1369"/>
      <c r="W305" s="1325"/>
      <c r="X305" s="1325">
        <f t="shared" si="36"/>
        <v>0</v>
      </c>
      <c r="Y305" s="1332"/>
      <c r="Z305" s="1326">
        <f t="shared" si="35"/>
        <v>0</v>
      </c>
      <c r="AA305" s="1332"/>
      <c r="AB305" s="1332"/>
      <c r="AC305" s="1326"/>
      <c r="AD305" s="1456">
        <f t="shared" si="37"/>
        <v>50</v>
      </c>
      <c r="AE305" s="1328"/>
      <c r="AF305" s="1328"/>
      <c r="AG305" s="1328"/>
      <c r="AH305" s="1328"/>
      <c r="AI305" s="1328"/>
      <c r="AJ305" s="1328"/>
      <c r="AK305" s="1328"/>
      <c r="AL305" s="1328"/>
    </row>
    <row r="306" spans="1:38" s="1329" customFormat="1" ht="33" hidden="1" customHeight="1">
      <c r="A306" s="1320">
        <v>51</v>
      </c>
      <c r="B306" s="1330" t="str">
        <f>'Chấm công KT'!D290</f>
        <v>03695</v>
      </c>
      <c r="C306" s="1330" t="str">
        <f>TONGHOPCONGDOI!C301</f>
        <v>T. Mựt</v>
      </c>
      <c r="D306" s="1330" t="s">
        <v>43</v>
      </c>
      <c r="E306" s="1331"/>
      <c r="F306" s="373"/>
      <c r="G306" s="373"/>
      <c r="H306" s="373"/>
      <c r="I306" s="373"/>
      <c r="J306" s="1322"/>
      <c r="K306" s="1323"/>
      <c r="L306" s="1324"/>
      <c r="M306" s="1325"/>
      <c r="N306" s="1325"/>
      <c r="O306" s="1325"/>
      <c r="P306" s="1325"/>
      <c r="Q306" s="1325"/>
      <c r="R306" s="1325"/>
      <c r="S306" s="1325"/>
      <c r="T306" s="1369"/>
      <c r="U306" s="1369"/>
      <c r="V306" s="1369"/>
      <c r="W306" s="1325"/>
      <c r="X306" s="1325">
        <f t="shared" si="36"/>
        <v>0</v>
      </c>
      <c r="Y306" s="1332"/>
      <c r="Z306" s="1326">
        <f t="shared" si="35"/>
        <v>0</v>
      </c>
      <c r="AA306" s="1332"/>
      <c r="AB306" s="1332"/>
      <c r="AC306" s="1326"/>
      <c r="AD306" s="1456">
        <f t="shared" si="37"/>
        <v>51</v>
      </c>
      <c r="AE306" s="1328"/>
      <c r="AF306" s="1328"/>
      <c r="AG306" s="1328"/>
      <c r="AH306" s="1328"/>
      <c r="AI306" s="1328"/>
      <c r="AJ306" s="1328"/>
      <c r="AK306" s="1328"/>
      <c r="AL306" s="1328"/>
    </row>
    <row r="307" spans="1:38" s="1329" customFormat="1" ht="33" hidden="1" customHeight="1">
      <c r="A307" s="1320">
        <v>52</v>
      </c>
      <c r="B307" s="1330" t="str">
        <f>'Chấm công KT'!D291</f>
        <v>03696</v>
      </c>
      <c r="C307" s="1330" t="str">
        <f>TONGHOPCONGDOI!C302</f>
        <v>Bun Lôm</v>
      </c>
      <c r="D307" s="1330" t="s">
        <v>43</v>
      </c>
      <c r="E307" s="1331"/>
      <c r="F307" s="373"/>
      <c r="G307" s="373"/>
      <c r="H307" s="373"/>
      <c r="I307" s="373"/>
      <c r="J307" s="1322"/>
      <c r="K307" s="1323"/>
      <c r="L307" s="1324"/>
      <c r="M307" s="1325"/>
      <c r="N307" s="1325"/>
      <c r="O307" s="1325"/>
      <c r="P307" s="1325"/>
      <c r="Q307" s="1325"/>
      <c r="R307" s="1325"/>
      <c r="S307" s="1325"/>
      <c r="T307" s="1369"/>
      <c r="U307" s="1369"/>
      <c r="V307" s="1369"/>
      <c r="W307" s="1325"/>
      <c r="X307" s="1325">
        <f t="shared" si="36"/>
        <v>0</v>
      </c>
      <c r="Y307" s="1332"/>
      <c r="Z307" s="1326">
        <f t="shared" si="35"/>
        <v>0</v>
      </c>
      <c r="AA307" s="1332"/>
      <c r="AB307" s="1332"/>
      <c r="AC307" s="1326"/>
      <c r="AD307" s="1456">
        <f t="shared" si="37"/>
        <v>52</v>
      </c>
      <c r="AE307" s="1328"/>
      <c r="AF307" s="1328"/>
      <c r="AG307" s="1328"/>
      <c r="AH307" s="1328"/>
      <c r="AI307" s="1328"/>
      <c r="AJ307" s="1328"/>
      <c r="AK307" s="1328"/>
      <c r="AL307" s="1328"/>
    </row>
    <row r="308" spans="1:38" s="1329" customFormat="1" ht="33" hidden="1" customHeight="1">
      <c r="A308" s="1320">
        <v>53</v>
      </c>
      <c r="B308" s="1330" t="str">
        <f>'Chấm công KT'!D292</f>
        <v>03697</v>
      </c>
      <c r="C308" s="1330" t="str">
        <f>TONGHOPCONGDOI!C303</f>
        <v>T. Nhã</v>
      </c>
      <c r="D308" s="1330" t="s">
        <v>43</v>
      </c>
      <c r="E308" s="1331"/>
      <c r="F308" s="373"/>
      <c r="G308" s="373"/>
      <c r="H308" s="373"/>
      <c r="I308" s="373"/>
      <c r="J308" s="1322"/>
      <c r="K308" s="1323"/>
      <c r="L308" s="1324"/>
      <c r="M308" s="1325"/>
      <c r="N308" s="1325"/>
      <c r="O308" s="1325"/>
      <c r="P308" s="1325"/>
      <c r="Q308" s="1325"/>
      <c r="R308" s="1325"/>
      <c r="S308" s="1325"/>
      <c r="T308" s="1369"/>
      <c r="U308" s="1369"/>
      <c r="V308" s="1369"/>
      <c r="W308" s="1325"/>
      <c r="X308" s="1325">
        <f t="shared" si="36"/>
        <v>0</v>
      </c>
      <c r="Y308" s="1332"/>
      <c r="Z308" s="1326">
        <f t="shared" si="35"/>
        <v>0</v>
      </c>
      <c r="AA308" s="1332"/>
      <c r="AB308" s="1332"/>
      <c r="AC308" s="1326"/>
      <c r="AD308" s="1456">
        <f t="shared" si="37"/>
        <v>53</v>
      </c>
      <c r="AE308" s="1328"/>
      <c r="AF308" s="1328"/>
      <c r="AG308" s="1328"/>
      <c r="AH308" s="1328"/>
      <c r="AI308" s="1328"/>
      <c r="AJ308" s="1328"/>
      <c r="AK308" s="1328"/>
      <c r="AL308" s="1328"/>
    </row>
    <row r="309" spans="1:38" s="1329" customFormat="1" ht="33" hidden="1" customHeight="1">
      <c r="A309" s="1320">
        <v>54</v>
      </c>
      <c r="B309" s="1330"/>
      <c r="C309" s="1330" t="str">
        <f>TONGHOPCONGDOI!C304</f>
        <v>Thảo Ỉa</v>
      </c>
      <c r="D309" s="1330" t="s">
        <v>43</v>
      </c>
      <c r="E309" s="1331"/>
      <c r="F309" s="373"/>
      <c r="G309" s="373"/>
      <c r="H309" s="373"/>
      <c r="I309" s="373"/>
      <c r="J309" s="1322"/>
      <c r="K309" s="1323"/>
      <c r="L309" s="1324"/>
      <c r="M309" s="1325"/>
      <c r="N309" s="1325"/>
      <c r="O309" s="1325"/>
      <c r="P309" s="1325"/>
      <c r="Q309" s="1325"/>
      <c r="R309" s="1325"/>
      <c r="S309" s="1325"/>
      <c r="T309" s="1369"/>
      <c r="U309" s="1369"/>
      <c r="V309" s="1369"/>
      <c r="W309" s="1325"/>
      <c r="X309" s="1325">
        <f t="shared" si="36"/>
        <v>0</v>
      </c>
      <c r="Y309" s="1332"/>
      <c r="Z309" s="1326">
        <f t="shared" ref="Z309:Z314" si="38">X309</f>
        <v>0</v>
      </c>
      <c r="AA309" s="1332"/>
      <c r="AB309" s="1332"/>
      <c r="AC309" s="1326"/>
      <c r="AD309" s="1456">
        <f t="shared" si="37"/>
        <v>54</v>
      </c>
      <c r="AE309" s="1328"/>
      <c r="AF309" s="1328"/>
      <c r="AG309" s="1328"/>
      <c r="AH309" s="1328"/>
      <c r="AI309" s="1328"/>
      <c r="AJ309" s="1328"/>
      <c r="AK309" s="1328"/>
      <c r="AL309" s="1328"/>
    </row>
    <row r="310" spans="1:38" s="1329" customFormat="1" ht="33" hidden="1" customHeight="1">
      <c r="A310" s="1320">
        <v>55</v>
      </c>
      <c r="B310" s="1330"/>
      <c r="C310" s="1330" t="str">
        <f>TONGHOPCONGDOI!C305</f>
        <v>Thảo Khăm</v>
      </c>
      <c r="D310" s="1330" t="s">
        <v>43</v>
      </c>
      <c r="E310" s="1331"/>
      <c r="F310" s="373"/>
      <c r="G310" s="373"/>
      <c r="H310" s="373"/>
      <c r="I310" s="373"/>
      <c r="J310" s="1322"/>
      <c r="K310" s="1323"/>
      <c r="L310" s="1324"/>
      <c r="M310" s="1325"/>
      <c r="N310" s="1325"/>
      <c r="O310" s="1325"/>
      <c r="P310" s="1325"/>
      <c r="Q310" s="1325"/>
      <c r="R310" s="1325"/>
      <c r="S310" s="1325"/>
      <c r="T310" s="1369"/>
      <c r="U310" s="1369"/>
      <c r="V310" s="1369"/>
      <c r="W310" s="1325"/>
      <c r="X310" s="1325">
        <f t="shared" si="36"/>
        <v>0</v>
      </c>
      <c r="Y310" s="1332"/>
      <c r="Z310" s="1326">
        <f t="shared" si="38"/>
        <v>0</v>
      </c>
      <c r="AA310" s="1332"/>
      <c r="AB310" s="1332"/>
      <c r="AC310" s="1326"/>
      <c r="AD310" s="1456">
        <f t="shared" si="37"/>
        <v>55</v>
      </c>
      <c r="AE310" s="1328"/>
      <c r="AF310" s="1328"/>
      <c r="AG310" s="1328"/>
      <c r="AH310" s="1328"/>
      <c r="AI310" s="1328"/>
      <c r="AJ310" s="1328"/>
      <c r="AK310" s="1328"/>
      <c r="AL310" s="1328"/>
    </row>
    <row r="311" spans="1:38" s="1329" customFormat="1" ht="33" hidden="1" customHeight="1">
      <c r="A311" s="1320">
        <v>56</v>
      </c>
      <c r="B311" s="1330"/>
      <c r="C311" s="1330" t="str">
        <f>TONGHOPCONGDOI!C306</f>
        <v>Nàng Muôn</v>
      </c>
      <c r="D311" s="1330" t="s">
        <v>43</v>
      </c>
      <c r="E311" s="1331"/>
      <c r="F311" s="373"/>
      <c r="G311" s="373"/>
      <c r="H311" s="373"/>
      <c r="I311" s="373"/>
      <c r="J311" s="1322"/>
      <c r="K311" s="1323"/>
      <c r="L311" s="1324"/>
      <c r="M311" s="1325"/>
      <c r="N311" s="1325"/>
      <c r="O311" s="1325"/>
      <c r="P311" s="1325"/>
      <c r="Q311" s="1325"/>
      <c r="R311" s="1325"/>
      <c r="S311" s="1325"/>
      <c r="T311" s="1369"/>
      <c r="U311" s="1369"/>
      <c r="V311" s="1369"/>
      <c r="W311" s="1325"/>
      <c r="X311" s="1325">
        <f t="shared" si="36"/>
        <v>0</v>
      </c>
      <c r="Y311" s="1332"/>
      <c r="Z311" s="1326">
        <f t="shared" si="38"/>
        <v>0</v>
      </c>
      <c r="AA311" s="1332"/>
      <c r="AB311" s="1332"/>
      <c r="AC311" s="1326"/>
      <c r="AD311" s="1456">
        <f t="shared" si="37"/>
        <v>56</v>
      </c>
      <c r="AE311" s="1328"/>
      <c r="AF311" s="1328"/>
      <c r="AG311" s="1328"/>
      <c r="AH311" s="1328"/>
      <c r="AI311" s="1328"/>
      <c r="AJ311" s="1328"/>
      <c r="AK311" s="1328"/>
      <c r="AL311" s="1328"/>
    </row>
    <row r="312" spans="1:38" s="1329" customFormat="1" ht="33" hidden="1" customHeight="1">
      <c r="A312" s="1320">
        <v>57</v>
      </c>
      <c r="B312" s="1330"/>
      <c r="C312" s="1330" t="str">
        <f>TONGHOPCONGDOI!C307</f>
        <v>Thảo Phu</v>
      </c>
      <c r="D312" s="1330" t="s">
        <v>43</v>
      </c>
      <c r="E312" s="1331"/>
      <c r="F312" s="373"/>
      <c r="G312" s="373"/>
      <c r="H312" s="373"/>
      <c r="I312" s="373"/>
      <c r="J312" s="1322"/>
      <c r="K312" s="1323"/>
      <c r="L312" s="1324"/>
      <c r="M312" s="1325"/>
      <c r="N312" s="1325"/>
      <c r="O312" s="1325"/>
      <c r="P312" s="1325"/>
      <c r="Q312" s="1325"/>
      <c r="R312" s="1325"/>
      <c r="S312" s="1325"/>
      <c r="T312" s="1369"/>
      <c r="U312" s="1369"/>
      <c r="V312" s="1369"/>
      <c r="W312" s="1325"/>
      <c r="X312" s="1325">
        <f t="shared" si="36"/>
        <v>0</v>
      </c>
      <c r="Y312" s="1332"/>
      <c r="Z312" s="1326">
        <f t="shared" si="38"/>
        <v>0</v>
      </c>
      <c r="AA312" s="1332"/>
      <c r="AB312" s="1332"/>
      <c r="AC312" s="1326"/>
      <c r="AD312" s="1456">
        <f t="shared" si="37"/>
        <v>57</v>
      </c>
      <c r="AE312" s="1328"/>
      <c r="AF312" s="1328"/>
      <c r="AG312" s="1328"/>
      <c r="AH312" s="1328"/>
      <c r="AI312" s="1328"/>
      <c r="AJ312" s="1328"/>
      <c r="AK312" s="1328"/>
      <c r="AL312" s="1328"/>
    </row>
    <row r="313" spans="1:38" s="1329" customFormat="1" ht="33" hidden="1" customHeight="1">
      <c r="A313" s="1320">
        <v>58</v>
      </c>
      <c r="B313" s="1330"/>
      <c r="C313" s="1330" t="str">
        <f>TONGHOPCONGDOI!C308</f>
        <v>Thảo Xi</v>
      </c>
      <c r="D313" s="1330" t="s">
        <v>43</v>
      </c>
      <c r="E313" s="1331"/>
      <c r="F313" s="373"/>
      <c r="G313" s="373"/>
      <c r="H313" s="373"/>
      <c r="I313" s="373"/>
      <c r="J313" s="1322"/>
      <c r="K313" s="1323"/>
      <c r="L313" s="1324"/>
      <c r="M313" s="1325"/>
      <c r="N313" s="1325"/>
      <c r="O313" s="1325"/>
      <c r="P313" s="1325"/>
      <c r="Q313" s="1325"/>
      <c r="R313" s="1325"/>
      <c r="S313" s="1325"/>
      <c r="T313" s="1369"/>
      <c r="U313" s="1369"/>
      <c r="V313" s="1369"/>
      <c r="W313" s="1325"/>
      <c r="X313" s="1325">
        <f t="shared" si="36"/>
        <v>0</v>
      </c>
      <c r="Y313" s="1332"/>
      <c r="Z313" s="1326">
        <f t="shared" si="38"/>
        <v>0</v>
      </c>
      <c r="AA313" s="1332"/>
      <c r="AB313" s="1332"/>
      <c r="AC313" s="1326"/>
      <c r="AD313" s="1456">
        <f t="shared" si="37"/>
        <v>58</v>
      </c>
      <c r="AE313" s="1328"/>
      <c r="AF313" s="1328"/>
      <c r="AG313" s="1328"/>
      <c r="AH313" s="1328"/>
      <c r="AI313" s="1328"/>
      <c r="AJ313" s="1328"/>
      <c r="AK313" s="1328"/>
      <c r="AL313" s="1328"/>
    </row>
    <row r="314" spans="1:38" s="1329" customFormat="1" ht="33" hidden="1" customHeight="1">
      <c r="A314" s="1320">
        <v>59</v>
      </c>
      <c r="B314" s="1330"/>
      <c r="C314" s="1330" t="str">
        <f>TONGHOPCONGDOI!C309</f>
        <v>Thảo KaLy</v>
      </c>
      <c r="D314" s="1330" t="s">
        <v>43</v>
      </c>
      <c r="E314" s="1331"/>
      <c r="F314" s="373"/>
      <c r="G314" s="373"/>
      <c r="H314" s="373"/>
      <c r="I314" s="373"/>
      <c r="J314" s="1322"/>
      <c r="K314" s="1323"/>
      <c r="L314" s="1324"/>
      <c r="M314" s="1325"/>
      <c r="N314" s="1325"/>
      <c r="O314" s="1325"/>
      <c r="P314" s="1325"/>
      <c r="Q314" s="1325"/>
      <c r="R314" s="1325"/>
      <c r="S314" s="1325"/>
      <c r="T314" s="1369"/>
      <c r="U314" s="1369"/>
      <c r="V314" s="1369"/>
      <c r="W314" s="1325"/>
      <c r="X314" s="1325">
        <f t="shared" si="36"/>
        <v>0</v>
      </c>
      <c r="Y314" s="1332"/>
      <c r="Z314" s="1326">
        <f t="shared" si="38"/>
        <v>0</v>
      </c>
      <c r="AA314" s="1332"/>
      <c r="AB314" s="1332"/>
      <c r="AC314" s="1326"/>
      <c r="AD314" s="1456">
        <f t="shared" si="37"/>
        <v>59</v>
      </c>
      <c r="AE314" s="1328"/>
      <c r="AF314" s="1328"/>
      <c r="AG314" s="1328"/>
      <c r="AH314" s="1328"/>
      <c r="AI314" s="1328"/>
      <c r="AJ314" s="1328"/>
      <c r="AK314" s="1328"/>
      <c r="AL314" s="1328"/>
    </row>
    <row r="315" spans="1:38" s="1329" customFormat="1" ht="33" hidden="1" customHeight="1">
      <c r="A315" s="1320">
        <v>57</v>
      </c>
      <c r="B315" s="1330"/>
      <c r="C315" s="1330" t="str">
        <f>TONGHOPCONGDOI!C310</f>
        <v>Thảo Lơn</v>
      </c>
      <c r="D315" s="1330" t="s">
        <v>43</v>
      </c>
      <c r="E315" s="1331"/>
      <c r="F315" s="373"/>
      <c r="G315" s="373"/>
      <c r="H315" s="373"/>
      <c r="I315" s="373"/>
      <c r="J315" s="1322"/>
      <c r="K315" s="1323"/>
      <c r="L315" s="1324"/>
      <c r="M315" s="1325"/>
      <c r="N315" s="1325"/>
      <c r="O315" s="1325"/>
      <c r="P315" s="1325"/>
      <c r="Q315" s="1325"/>
      <c r="R315" s="1325"/>
      <c r="S315" s="1325"/>
      <c r="T315" s="1369"/>
      <c r="U315" s="1369"/>
      <c r="V315" s="1369"/>
      <c r="W315" s="1325"/>
      <c r="X315" s="1325">
        <f t="shared" si="36"/>
        <v>0</v>
      </c>
      <c r="Y315" s="1332"/>
      <c r="Z315" s="1326">
        <f t="shared" ref="Z315:Z325" si="39">X315</f>
        <v>0</v>
      </c>
      <c r="AA315" s="1332"/>
      <c r="AB315" s="1332"/>
      <c r="AC315" s="1326"/>
      <c r="AD315" s="1456">
        <f t="shared" si="37"/>
        <v>57</v>
      </c>
      <c r="AE315" s="1328"/>
      <c r="AF315" s="1328"/>
      <c r="AG315" s="1328"/>
      <c r="AH315" s="1328"/>
      <c r="AI315" s="1328"/>
      <c r="AJ315" s="1328"/>
      <c r="AK315" s="1328"/>
      <c r="AL315" s="1328"/>
    </row>
    <row r="316" spans="1:38" s="1329" customFormat="1" ht="33" hidden="1" customHeight="1">
      <c r="A316" s="1320">
        <v>58</v>
      </c>
      <c r="B316" s="1737"/>
      <c r="C316" s="1330" t="str">
        <f>TONGHOPCONGDOI!C311</f>
        <v>Thảo Hung</v>
      </c>
      <c r="D316" s="1330" t="s">
        <v>43</v>
      </c>
      <c r="E316" s="1331"/>
      <c r="F316" s="373"/>
      <c r="G316" s="373"/>
      <c r="H316" s="373"/>
      <c r="I316" s="373"/>
      <c r="J316" s="1322"/>
      <c r="K316" s="1323"/>
      <c r="L316" s="1324"/>
      <c r="M316" s="1325"/>
      <c r="N316" s="1325"/>
      <c r="O316" s="1325"/>
      <c r="P316" s="1325"/>
      <c r="Q316" s="1325"/>
      <c r="R316" s="1325"/>
      <c r="S316" s="1325"/>
      <c r="T316" s="1369"/>
      <c r="U316" s="1369"/>
      <c r="V316" s="1369"/>
      <c r="W316" s="1325"/>
      <c r="X316" s="1325">
        <f t="shared" si="36"/>
        <v>0</v>
      </c>
      <c r="Y316" s="1332"/>
      <c r="Z316" s="1326">
        <f t="shared" si="39"/>
        <v>0</v>
      </c>
      <c r="AA316" s="1332"/>
      <c r="AB316" s="1332"/>
      <c r="AC316" s="1326"/>
      <c r="AD316" s="1456">
        <f t="shared" si="37"/>
        <v>58</v>
      </c>
      <c r="AE316" s="1328">
        <f>T326*25000</f>
        <v>0</v>
      </c>
      <c r="AF316" s="1328"/>
      <c r="AG316" s="1328"/>
      <c r="AH316" s="1328"/>
      <c r="AI316" s="1328"/>
      <c r="AJ316" s="1328"/>
      <c r="AK316" s="1328"/>
      <c r="AL316" s="1328"/>
    </row>
    <row r="317" spans="1:38" s="1329" customFormat="1" ht="33" hidden="1" customHeight="1">
      <c r="A317" s="1320">
        <v>59</v>
      </c>
      <c r="B317" s="1737"/>
      <c r="C317" s="1330" t="str">
        <f>TONGHOPCONGDOI!C312</f>
        <v>Thảo Khẹt</v>
      </c>
      <c r="D317" s="1330" t="s">
        <v>43</v>
      </c>
      <c r="E317" s="1331"/>
      <c r="F317" s="373"/>
      <c r="G317" s="373"/>
      <c r="H317" s="373"/>
      <c r="I317" s="373"/>
      <c r="J317" s="1322"/>
      <c r="K317" s="1323"/>
      <c r="L317" s="1324"/>
      <c r="M317" s="1325"/>
      <c r="N317" s="1325"/>
      <c r="O317" s="1325"/>
      <c r="P317" s="1325"/>
      <c r="Q317" s="1325"/>
      <c r="R317" s="1325"/>
      <c r="S317" s="1325"/>
      <c r="T317" s="1369"/>
      <c r="U317" s="1369"/>
      <c r="V317" s="1369"/>
      <c r="W317" s="1325"/>
      <c r="X317" s="1325">
        <f t="shared" si="36"/>
        <v>0</v>
      </c>
      <c r="Y317" s="1332"/>
      <c r="Z317" s="1326">
        <f t="shared" si="39"/>
        <v>0</v>
      </c>
      <c r="AA317" s="1332"/>
      <c r="AB317" s="1332"/>
      <c r="AC317" s="1326"/>
      <c r="AD317" s="1456">
        <f t="shared" si="37"/>
        <v>59</v>
      </c>
      <c r="AE317" s="1328"/>
      <c r="AF317" s="1328"/>
      <c r="AG317" s="1328"/>
      <c r="AH317" s="1328"/>
      <c r="AI317" s="1328"/>
      <c r="AJ317" s="1328"/>
      <c r="AK317" s="1328"/>
      <c r="AL317" s="1328"/>
    </row>
    <row r="318" spans="1:38" s="1329" customFormat="1" ht="33" hidden="1" customHeight="1">
      <c r="A318" s="1320">
        <v>60</v>
      </c>
      <c r="B318" s="1737"/>
      <c r="C318" s="1330" t="str">
        <f>TONGHOPCONGDOI!C313</f>
        <v>Thảo Dung</v>
      </c>
      <c r="D318" s="1738"/>
      <c r="E318" s="1331"/>
      <c r="F318" s="373"/>
      <c r="G318" s="373"/>
      <c r="H318" s="373"/>
      <c r="I318" s="373"/>
      <c r="J318" s="1322"/>
      <c r="K318" s="1323"/>
      <c r="L318" s="1324"/>
      <c r="M318" s="1325"/>
      <c r="N318" s="1325"/>
      <c r="O318" s="1325"/>
      <c r="P318" s="1325"/>
      <c r="Q318" s="1325"/>
      <c r="R318" s="1325"/>
      <c r="S318" s="1325"/>
      <c r="T318" s="1369"/>
      <c r="U318" s="1369"/>
      <c r="V318" s="1369"/>
      <c r="W318" s="1325"/>
      <c r="X318" s="1325">
        <f t="shared" si="36"/>
        <v>0</v>
      </c>
      <c r="Y318" s="1332"/>
      <c r="Z318" s="1326">
        <f t="shared" si="39"/>
        <v>0</v>
      </c>
      <c r="AA318" s="1332"/>
      <c r="AB318" s="1332"/>
      <c r="AC318" s="1326"/>
      <c r="AD318" s="1456">
        <f t="shared" si="37"/>
        <v>60</v>
      </c>
      <c r="AE318" s="1328"/>
      <c r="AF318" s="1328"/>
      <c r="AG318" s="1328"/>
      <c r="AH318" s="1328"/>
      <c r="AI318" s="1328"/>
      <c r="AJ318" s="1328"/>
      <c r="AK318" s="1328"/>
      <c r="AL318" s="1328"/>
    </row>
    <row r="319" spans="1:38" s="1329" customFormat="1" ht="33" hidden="1" customHeight="1">
      <c r="A319" s="1320">
        <v>61</v>
      </c>
      <c r="B319" s="1737"/>
      <c r="C319" s="1330" t="str">
        <f>TONGHOPCONGDOI!C314</f>
        <v>Thảo Kính</v>
      </c>
      <c r="D319" s="1738"/>
      <c r="E319" s="1331"/>
      <c r="F319" s="373"/>
      <c r="G319" s="373"/>
      <c r="H319" s="373"/>
      <c r="I319" s="373"/>
      <c r="J319" s="1322"/>
      <c r="K319" s="1323"/>
      <c r="L319" s="1324"/>
      <c r="M319" s="1325"/>
      <c r="N319" s="1325"/>
      <c r="O319" s="1325"/>
      <c r="P319" s="1325"/>
      <c r="Q319" s="1325"/>
      <c r="R319" s="1325"/>
      <c r="S319" s="1325"/>
      <c r="T319" s="1369"/>
      <c r="U319" s="1369"/>
      <c r="V319" s="1369"/>
      <c r="W319" s="1325"/>
      <c r="X319" s="1325">
        <f t="shared" si="36"/>
        <v>0</v>
      </c>
      <c r="Y319" s="1332"/>
      <c r="Z319" s="1326">
        <f t="shared" si="39"/>
        <v>0</v>
      </c>
      <c r="AA319" s="1332"/>
      <c r="AB319" s="1332"/>
      <c r="AC319" s="1326"/>
      <c r="AD319" s="1456">
        <f t="shared" si="37"/>
        <v>61</v>
      </c>
      <c r="AE319" s="1328"/>
      <c r="AF319" s="1328"/>
      <c r="AG319" s="1328"/>
      <c r="AH319" s="1328"/>
      <c r="AI319" s="1328"/>
      <c r="AJ319" s="1328"/>
      <c r="AK319" s="1328"/>
      <c r="AL319" s="1328"/>
    </row>
    <row r="320" spans="1:38" s="1329" customFormat="1" ht="33" hidden="1" customHeight="1">
      <c r="A320" s="1320">
        <v>65</v>
      </c>
      <c r="B320" s="1737"/>
      <c r="C320" s="1330" t="str">
        <f>TONGHOPCONGDOI!C315</f>
        <v>Thảo Ly</v>
      </c>
      <c r="D320" s="1738"/>
      <c r="E320" s="1331"/>
      <c r="F320" s="373"/>
      <c r="G320" s="373"/>
      <c r="H320" s="373"/>
      <c r="I320" s="373"/>
      <c r="J320" s="1322"/>
      <c r="K320" s="1323"/>
      <c r="L320" s="1324"/>
      <c r="M320" s="1325"/>
      <c r="N320" s="1325"/>
      <c r="O320" s="1325"/>
      <c r="P320" s="1325"/>
      <c r="Q320" s="1325"/>
      <c r="R320" s="1325"/>
      <c r="S320" s="1325"/>
      <c r="T320" s="1369"/>
      <c r="U320" s="1369"/>
      <c r="V320" s="1369"/>
      <c r="W320" s="1325"/>
      <c r="X320" s="1325">
        <f t="shared" ref="X320:X325" si="40">F320+L320+W320</f>
        <v>0</v>
      </c>
      <c r="Y320" s="1332"/>
      <c r="Z320" s="1326">
        <f t="shared" si="39"/>
        <v>0</v>
      </c>
      <c r="AA320" s="1332"/>
      <c r="AB320" s="1332"/>
      <c r="AC320" s="1326"/>
      <c r="AD320" s="1456">
        <f t="shared" si="37"/>
        <v>65</v>
      </c>
      <c r="AE320" s="1328"/>
      <c r="AF320" s="1328"/>
      <c r="AG320" s="1328"/>
      <c r="AH320" s="1328"/>
      <c r="AI320" s="1328"/>
      <c r="AJ320" s="1328"/>
      <c r="AK320" s="1328"/>
      <c r="AL320" s="1328"/>
    </row>
    <row r="321" spans="1:38" s="1329" customFormat="1" ht="33" hidden="1" customHeight="1">
      <c r="A321" s="1320">
        <v>66</v>
      </c>
      <c r="B321" s="1737"/>
      <c r="C321" s="1330" t="str">
        <f>TONGHOPCONGDOI!C316</f>
        <v>Thảo Linh</v>
      </c>
      <c r="D321" s="1738"/>
      <c r="E321" s="1331"/>
      <c r="F321" s="373"/>
      <c r="G321" s="373"/>
      <c r="H321" s="373"/>
      <c r="I321" s="373"/>
      <c r="J321" s="1322"/>
      <c r="K321" s="1323"/>
      <c r="L321" s="1324"/>
      <c r="M321" s="1325"/>
      <c r="N321" s="1325"/>
      <c r="O321" s="1325"/>
      <c r="P321" s="1325"/>
      <c r="Q321" s="1325"/>
      <c r="R321" s="1325"/>
      <c r="S321" s="1325"/>
      <c r="T321" s="1369"/>
      <c r="U321" s="1369"/>
      <c r="V321" s="1369"/>
      <c r="W321" s="1325"/>
      <c r="X321" s="1325">
        <f t="shared" si="40"/>
        <v>0</v>
      </c>
      <c r="Y321" s="1332"/>
      <c r="Z321" s="1326">
        <f t="shared" si="39"/>
        <v>0</v>
      </c>
      <c r="AA321" s="1332"/>
      <c r="AB321" s="1332"/>
      <c r="AC321" s="1326"/>
      <c r="AD321" s="1456">
        <f t="shared" si="37"/>
        <v>66</v>
      </c>
      <c r="AE321" s="1328"/>
      <c r="AF321" s="1328"/>
      <c r="AG321" s="1328"/>
      <c r="AH321" s="1328"/>
      <c r="AI321" s="1328"/>
      <c r="AJ321" s="1328"/>
      <c r="AK321" s="1328"/>
      <c r="AL321" s="1328"/>
    </row>
    <row r="322" spans="1:38" s="1329" customFormat="1" ht="33" hidden="1" customHeight="1">
      <c r="A322" s="1320">
        <v>67</v>
      </c>
      <c r="B322" s="1737"/>
      <c r="C322" s="1330" t="str">
        <f>TONGHOPCONGDOI!C317</f>
        <v>T. Xinh</v>
      </c>
      <c r="D322" s="1738"/>
      <c r="E322" s="1331"/>
      <c r="F322" s="373"/>
      <c r="G322" s="373"/>
      <c r="H322" s="373"/>
      <c r="I322" s="373"/>
      <c r="J322" s="1322"/>
      <c r="K322" s="1323"/>
      <c r="L322" s="1324"/>
      <c r="M322" s="1325"/>
      <c r="N322" s="1325"/>
      <c r="O322" s="1325"/>
      <c r="P322" s="1325"/>
      <c r="Q322" s="1325"/>
      <c r="R322" s="1325"/>
      <c r="S322" s="1325"/>
      <c r="T322" s="1369"/>
      <c r="U322" s="1369"/>
      <c r="V322" s="1369"/>
      <c r="W322" s="1325"/>
      <c r="X322" s="1325">
        <f t="shared" ref="X322:X323" si="41">F322+L322+W322</f>
        <v>0</v>
      </c>
      <c r="Y322" s="1332"/>
      <c r="Z322" s="1326">
        <f t="shared" ref="Z322:Z323" si="42">X322</f>
        <v>0</v>
      </c>
      <c r="AA322" s="1332"/>
      <c r="AB322" s="1332"/>
      <c r="AC322" s="1326"/>
      <c r="AD322" s="1456"/>
      <c r="AE322" s="1328"/>
      <c r="AF322" s="1328"/>
      <c r="AG322" s="1328"/>
      <c r="AH322" s="1328"/>
      <c r="AI322" s="1328"/>
      <c r="AJ322" s="1328"/>
      <c r="AK322" s="1328"/>
      <c r="AL322" s="1328"/>
    </row>
    <row r="323" spans="1:38" s="1329" customFormat="1" ht="33" hidden="1" customHeight="1">
      <c r="A323" s="1320">
        <v>62</v>
      </c>
      <c r="B323" s="1737"/>
      <c r="C323" s="1330" t="s">
        <v>1021</v>
      </c>
      <c r="D323" s="1738"/>
      <c r="E323" s="1331"/>
      <c r="F323" s="373"/>
      <c r="G323" s="373"/>
      <c r="H323" s="373"/>
      <c r="I323" s="373"/>
      <c r="J323" s="1322"/>
      <c r="K323" s="1323"/>
      <c r="L323" s="1324"/>
      <c r="M323" s="1325"/>
      <c r="N323" s="1325"/>
      <c r="O323" s="1325"/>
      <c r="P323" s="1325"/>
      <c r="Q323" s="1325"/>
      <c r="R323" s="1325"/>
      <c r="S323" s="1325"/>
      <c r="T323" s="1369"/>
      <c r="U323" s="1369"/>
      <c r="V323" s="1369"/>
      <c r="W323" s="1325"/>
      <c r="X323" s="1325">
        <f t="shared" si="41"/>
        <v>0</v>
      </c>
      <c r="Y323" s="1332"/>
      <c r="Z323" s="1326">
        <f t="shared" si="42"/>
        <v>0</v>
      </c>
      <c r="AA323" s="1332"/>
      <c r="AB323" s="1332"/>
      <c r="AC323" s="1326"/>
      <c r="AD323" s="1456"/>
      <c r="AE323" s="1328"/>
      <c r="AF323" s="1328"/>
      <c r="AG323" s="1328"/>
      <c r="AH323" s="1328"/>
      <c r="AI323" s="1328"/>
      <c r="AJ323" s="1328"/>
      <c r="AK323" s="1328"/>
      <c r="AL323" s="1328"/>
    </row>
    <row r="324" spans="1:38" s="1329" customFormat="1" ht="33" customHeight="1">
      <c r="A324" s="1320">
        <v>1</v>
      </c>
      <c r="B324" s="1737"/>
      <c r="C324" s="1330" t="str">
        <f>TONGHOPCONGDOI!C318</f>
        <v>T. Tý</v>
      </c>
      <c r="D324" s="1738"/>
      <c r="E324" s="1331">
        <f>VLOOKUP(C324,TONGHOPCONGDOI!C318:Q364,15,0)</f>
        <v>2841.86</v>
      </c>
      <c r="F324" s="684">
        <f>ROUND(E324*25000,0)</f>
        <v>71046500</v>
      </c>
      <c r="G324" s="373"/>
      <c r="H324" s="373"/>
      <c r="I324" s="373"/>
      <c r="J324" s="1322"/>
      <c r="K324" s="1323"/>
      <c r="L324" s="1324"/>
      <c r="M324" s="1325"/>
      <c r="N324" s="1325"/>
      <c r="O324" s="1325"/>
      <c r="P324" s="1325"/>
      <c r="Q324" s="1325"/>
      <c r="R324" s="1325"/>
      <c r="S324" s="1325"/>
      <c r="T324" s="1369"/>
      <c r="U324" s="1369"/>
      <c r="V324" s="1369"/>
      <c r="W324" s="1325"/>
      <c r="X324" s="1325">
        <f t="shared" si="40"/>
        <v>71046500</v>
      </c>
      <c r="Y324" s="1332"/>
      <c r="Z324" s="1326">
        <f t="shared" si="39"/>
        <v>71046500</v>
      </c>
      <c r="AA324" s="1332"/>
      <c r="AB324" s="1332"/>
      <c r="AC324" s="1326"/>
      <c r="AD324" s="1456">
        <f t="shared" si="37"/>
        <v>1</v>
      </c>
      <c r="AE324" s="1328"/>
      <c r="AF324" s="1328"/>
      <c r="AG324" s="1328"/>
      <c r="AH324" s="1328"/>
      <c r="AI324" s="1328"/>
      <c r="AJ324" s="1328"/>
      <c r="AK324" s="1328"/>
      <c r="AL324" s="1328"/>
    </row>
    <row r="325" spans="1:38" s="1329" customFormat="1" ht="33" hidden="1" customHeight="1">
      <c r="A325" s="1320">
        <v>70</v>
      </c>
      <c r="B325" s="1737"/>
      <c r="C325" s="1330" t="str">
        <f>TONGHOPCONGDOI!C319</f>
        <v>T Mon D4 (Tú)</v>
      </c>
      <c r="D325" s="1738"/>
      <c r="E325" s="1331">
        <f>VLOOKUP(C325,TONGHOPCONGDOI!C318:Q365,15,0)</f>
        <v>0</v>
      </c>
      <c r="F325" s="373">
        <f t="shared" ref="F325" si="43">E325*25000</f>
        <v>0</v>
      </c>
      <c r="G325" s="373"/>
      <c r="H325" s="373"/>
      <c r="I325" s="373"/>
      <c r="J325" s="1322"/>
      <c r="K325" s="1323"/>
      <c r="L325" s="1324"/>
      <c r="M325" s="1325"/>
      <c r="N325" s="1325"/>
      <c r="O325" s="1325"/>
      <c r="P325" s="1325"/>
      <c r="Q325" s="1325"/>
      <c r="R325" s="1325"/>
      <c r="S325" s="1325"/>
      <c r="T325" s="1369"/>
      <c r="U325" s="1369"/>
      <c r="V325" s="1369"/>
      <c r="W325" s="1325"/>
      <c r="X325" s="1325">
        <f t="shared" si="40"/>
        <v>0</v>
      </c>
      <c r="Y325" s="1332"/>
      <c r="Z325" s="1326">
        <f t="shared" si="39"/>
        <v>0</v>
      </c>
      <c r="AA325" s="1332"/>
      <c r="AB325" s="1332"/>
      <c r="AC325" s="1326"/>
      <c r="AD325" s="1456">
        <f t="shared" si="37"/>
        <v>70</v>
      </c>
      <c r="AE325" s="1328"/>
      <c r="AF325" s="1328"/>
      <c r="AG325" s="1328"/>
      <c r="AH325" s="1328"/>
      <c r="AI325" s="1328"/>
      <c r="AJ325" s="1328"/>
      <c r="AK325" s="1328"/>
      <c r="AL325" s="1328"/>
    </row>
    <row r="326" spans="1:38" s="1329" customFormat="1" ht="33" customHeight="1">
      <c r="A326" s="2050" t="s">
        <v>775</v>
      </c>
      <c r="B326" s="2051"/>
      <c r="C326" s="2051"/>
      <c r="D326" s="2052"/>
      <c r="E326" s="1333">
        <f t="shared" ref="E326:F326" si="44">E15+E100+E189+E255</f>
        <v>13726.58</v>
      </c>
      <c r="F326" s="1318">
        <f t="shared" si="44"/>
        <v>343164503</v>
      </c>
      <c r="G326" s="1318"/>
      <c r="H326" s="1318"/>
      <c r="I326" s="1318"/>
      <c r="J326" s="1318"/>
      <c r="K326" s="1318"/>
      <c r="L326" s="1318"/>
      <c r="M326" s="1318"/>
      <c r="N326" s="1318"/>
      <c r="O326" s="1318"/>
      <c r="P326" s="1318"/>
      <c r="Q326" s="1318"/>
      <c r="R326" s="1318"/>
      <c r="S326" s="1318"/>
      <c r="T326" s="1318"/>
      <c r="U326" s="1318"/>
      <c r="V326" s="1318"/>
      <c r="W326" s="1318"/>
      <c r="X326" s="1318">
        <f>X15+X100+X189+X255</f>
        <v>343164503</v>
      </c>
      <c r="Y326" s="1318">
        <f t="shared" ref="Y326:AA326" si="45">Y15+Y100+Y189+Y255</f>
        <v>0</v>
      </c>
      <c r="Z326" s="1318">
        <f t="shared" si="45"/>
        <v>343164503</v>
      </c>
      <c r="AA326" s="1333" t="e">
        <f t="shared" si="45"/>
        <v>#REF!</v>
      </c>
      <c r="AB326" s="1333"/>
      <c r="AC326" s="1334"/>
      <c r="AD326" s="1457"/>
      <c r="AE326" s="591">
        <f>'CNKT Đ1'!Z100+'CNKT Đ2'!Z105+'CNKT Đ3'!Z82+'CNKTĐ4 '!Z85</f>
        <v>343164503</v>
      </c>
      <c r="AF326" s="1328">
        <f>2500634785</f>
        <v>2500634785</v>
      </c>
      <c r="AG326" s="1328"/>
      <c r="AH326" s="1328"/>
      <c r="AI326" s="1328"/>
      <c r="AJ326" s="1328"/>
      <c r="AK326" s="1328"/>
      <c r="AL326" s="1328"/>
    </row>
    <row r="327" spans="1:38" s="1341" customFormat="1" ht="15.75" customHeight="1">
      <c r="A327" s="1335"/>
      <c r="B327" s="1336"/>
      <c r="C327" s="1336"/>
      <c r="D327" s="1336"/>
      <c r="E327" s="1337"/>
      <c r="F327" s="1338"/>
      <c r="G327" s="1338"/>
      <c r="H327" s="1338"/>
      <c r="I327" s="1338"/>
      <c r="J327" s="1339"/>
      <c r="K327" s="1340"/>
      <c r="L327" s="1338"/>
      <c r="M327" s="1338"/>
      <c r="N327" s="1338"/>
      <c r="O327" s="1337"/>
      <c r="P327" s="1337"/>
      <c r="Q327" s="1337"/>
      <c r="R327" s="1337"/>
      <c r="S327" s="1337"/>
      <c r="T327" s="1338"/>
      <c r="U327" s="1338"/>
      <c r="V327" s="1338"/>
      <c r="W327" s="1338"/>
      <c r="X327" s="1338"/>
      <c r="Y327" s="1338"/>
      <c r="Z327" s="1338"/>
      <c r="AA327" s="1338"/>
      <c r="AB327" s="1338"/>
      <c r="AE327" s="1059">
        <v>129900000</v>
      </c>
      <c r="AF327" s="1059">
        <f>AE326-AE327</f>
        <v>213264503</v>
      </c>
      <c r="AG327" s="1059"/>
      <c r="AH327" s="1059"/>
      <c r="AI327" s="1059"/>
      <c r="AJ327" s="1059"/>
      <c r="AK327" s="1059"/>
      <c r="AL327" s="1059"/>
    </row>
    <row r="328" spans="1:38" s="1341" customFormat="1" ht="23.25" customHeight="1">
      <c r="A328" s="1335"/>
      <c r="B328" s="1336"/>
      <c r="C328" s="1336"/>
      <c r="D328" s="1336"/>
      <c r="E328" s="1337"/>
      <c r="F328" s="1338"/>
      <c r="G328" s="1338"/>
      <c r="H328" s="1338"/>
      <c r="I328" s="1338"/>
      <c r="J328" s="1339"/>
      <c r="K328" s="1340"/>
      <c r="L328" s="1338"/>
      <c r="M328" s="1338"/>
      <c r="N328" s="1338"/>
      <c r="O328" s="1337"/>
      <c r="P328" s="1337"/>
      <c r="Q328" s="1337"/>
      <c r="R328" s="1337"/>
      <c r="S328" s="1337"/>
      <c r="T328" s="2054" t="s">
        <v>1144</v>
      </c>
      <c r="U328" s="2054"/>
      <c r="V328" s="2054"/>
      <c r="W328" s="2054"/>
      <c r="X328" s="2054"/>
      <c r="Y328" s="2054"/>
      <c r="Z328" s="2054"/>
      <c r="AA328" s="2054"/>
      <c r="AB328" s="2054"/>
      <c r="AC328" s="2054"/>
      <c r="AD328" s="1829"/>
      <c r="AE328" s="1059"/>
      <c r="AF328" s="1059"/>
      <c r="AG328" s="1059"/>
      <c r="AH328" s="1059"/>
      <c r="AI328" s="1059"/>
      <c r="AJ328" s="1059"/>
      <c r="AK328" s="1059"/>
      <c r="AL328" s="1059"/>
    </row>
    <row r="329" spans="1:38" ht="15.75" customHeight="1">
      <c r="D329" s="1342"/>
      <c r="E329" s="1343"/>
      <c r="S329" s="1344"/>
      <c r="Y329" s="1345" t="s">
        <v>784</v>
      </c>
      <c r="Z329" s="1345"/>
      <c r="AA329" s="1345"/>
      <c r="AB329" s="1345"/>
      <c r="AE329" s="1059" t="s">
        <v>1002</v>
      </c>
      <c r="AF329" s="1059">
        <v>97000000</v>
      </c>
    </row>
    <row r="330" spans="1:38" s="1347" customFormat="1" ht="15.75" customHeight="1">
      <c r="A330" s="1346"/>
      <c r="C330" s="2049" t="s">
        <v>46</v>
      </c>
      <c r="D330" s="2049"/>
      <c r="E330" s="2049"/>
      <c r="G330" s="2049" t="s">
        <v>45</v>
      </c>
      <c r="H330" s="2049"/>
      <c r="I330" s="2049"/>
      <c r="J330" s="2049"/>
      <c r="K330" s="2049"/>
      <c r="L330" s="1296"/>
      <c r="M330" s="2053" t="s">
        <v>101</v>
      </c>
      <c r="N330" s="2053"/>
      <c r="O330" s="2053"/>
      <c r="P330" s="2053"/>
      <c r="Q330" s="2053"/>
      <c r="R330" s="2053"/>
      <c r="S330" s="2053"/>
      <c r="T330" s="2053"/>
      <c r="U330" s="1828"/>
      <c r="V330" s="1828"/>
      <c r="W330" s="1348"/>
      <c r="X330" s="2049" t="s">
        <v>178</v>
      </c>
      <c r="Y330" s="2049"/>
      <c r="Z330" s="2049"/>
      <c r="AA330" s="2049"/>
      <c r="AB330" s="2049"/>
      <c r="AC330" s="2049"/>
      <c r="AD330" s="1827"/>
      <c r="AE330" s="1249" t="s">
        <v>1003</v>
      </c>
      <c r="AF330" s="1249">
        <v>2700000</v>
      </c>
      <c r="AG330" s="1249"/>
      <c r="AH330" s="1249"/>
      <c r="AI330" s="1249"/>
      <c r="AJ330" s="1249"/>
      <c r="AK330" s="1249"/>
      <c r="AL330" s="1249"/>
    </row>
    <row r="331" spans="1:38" s="1347" customFormat="1" ht="15.75" customHeight="1">
      <c r="A331" s="1346"/>
      <c r="C331" s="1827"/>
      <c r="D331" s="1827"/>
      <c r="E331" s="1827"/>
      <c r="F331" s="1827"/>
      <c r="G331" s="1827"/>
      <c r="H331" s="1827"/>
      <c r="I331" s="1827"/>
      <c r="J331" s="1349"/>
      <c r="K331" s="1827"/>
      <c r="L331" s="1296"/>
      <c r="O331" s="1296"/>
      <c r="P331" s="1296"/>
      <c r="Q331" s="1296"/>
      <c r="R331" s="1296"/>
      <c r="S331" s="1296"/>
      <c r="T331" s="1296"/>
      <c r="U331" s="1296"/>
      <c r="V331" s="1296"/>
      <c r="W331" s="1350"/>
      <c r="X331" s="1827"/>
      <c r="Y331" s="1827"/>
      <c r="Z331" s="1827"/>
      <c r="AA331" s="1827"/>
      <c r="AB331" s="1879"/>
      <c r="AE331" s="1249"/>
      <c r="AF331" s="1249">
        <f>AF326-AF327-AF329-AF330</f>
        <v>2187670282</v>
      </c>
      <c r="AG331" s="1249"/>
      <c r="AH331" s="1249"/>
      <c r="AI331" s="1249"/>
      <c r="AJ331" s="1249"/>
      <c r="AK331" s="1249"/>
      <c r="AL331" s="1249"/>
    </row>
    <row r="332" spans="1:38" s="1347" customFormat="1" ht="15.75" customHeight="1">
      <c r="A332" s="1346"/>
      <c r="C332" s="1827"/>
      <c r="D332" s="1827"/>
      <c r="E332" s="1827"/>
      <c r="F332" s="1827"/>
      <c r="G332" s="1827"/>
      <c r="H332" s="1827"/>
      <c r="I332" s="1827"/>
      <c r="J332" s="1349"/>
      <c r="K332" s="1827"/>
      <c r="L332" s="1296"/>
      <c r="O332" s="1296"/>
      <c r="P332" s="1296"/>
      <c r="Q332" s="1296"/>
      <c r="R332" s="1296"/>
      <c r="S332" s="1296"/>
      <c r="T332" s="1296"/>
      <c r="U332" s="1296"/>
      <c r="V332" s="1296"/>
      <c r="W332" s="1350"/>
      <c r="X332" s="1827"/>
      <c r="Y332" s="1827"/>
      <c r="Z332" s="1827"/>
      <c r="AA332" s="1827"/>
      <c r="AB332" s="1879"/>
      <c r="AE332" s="1249"/>
      <c r="AF332" s="1249"/>
      <c r="AG332" s="1249"/>
      <c r="AH332" s="1249"/>
      <c r="AI332" s="1249"/>
      <c r="AJ332" s="1249"/>
      <c r="AK332" s="1249"/>
      <c r="AL332" s="1249"/>
    </row>
    <row r="333" spans="1:38" s="1347" customFormat="1" ht="15.75" customHeight="1">
      <c r="A333" s="1346"/>
      <c r="C333" s="1827"/>
      <c r="D333" s="1827"/>
      <c r="E333" s="1827"/>
      <c r="F333" s="1827"/>
      <c r="G333" s="1827"/>
      <c r="H333" s="1827"/>
      <c r="I333" s="1827"/>
      <c r="J333" s="1349"/>
      <c r="K333" s="1827"/>
      <c r="L333" s="1296"/>
      <c r="O333" s="1296"/>
      <c r="P333" s="1296"/>
      <c r="Q333" s="1296"/>
      <c r="R333" s="1296"/>
      <c r="S333" s="1296"/>
      <c r="T333" s="1296"/>
      <c r="U333" s="1296"/>
      <c r="V333" s="1296"/>
      <c r="W333" s="1350"/>
      <c r="X333" s="1827"/>
      <c r="Y333" s="1827"/>
      <c r="Z333" s="1827"/>
      <c r="AA333" s="1827"/>
      <c r="AB333" s="1879"/>
      <c r="AE333" s="1249"/>
      <c r="AF333" s="1249"/>
      <c r="AG333" s="1249"/>
      <c r="AH333" s="1249"/>
      <c r="AI333" s="1249"/>
      <c r="AJ333" s="1249"/>
      <c r="AK333" s="1249"/>
      <c r="AL333" s="1249"/>
    </row>
    <row r="334" spans="1:38" s="1347" customFormat="1" ht="15.75" customHeight="1">
      <c r="A334" s="1346"/>
      <c r="C334" s="1827"/>
      <c r="D334" s="1827"/>
      <c r="E334" s="1827"/>
      <c r="F334" s="1827"/>
      <c r="G334" s="1827"/>
      <c r="H334" s="1827"/>
      <c r="I334" s="1827"/>
      <c r="J334" s="1349"/>
      <c r="K334" s="1827"/>
      <c r="L334" s="1296"/>
      <c r="O334" s="1296"/>
      <c r="P334" s="1296"/>
      <c r="Q334" s="1296"/>
      <c r="R334" s="1296"/>
      <c r="S334" s="1296"/>
      <c r="T334" s="1296"/>
      <c r="U334" s="1296"/>
      <c r="V334" s="1296"/>
      <c r="W334" s="1350"/>
      <c r="X334" s="1827"/>
      <c r="Y334" s="1827"/>
      <c r="Z334" s="1827"/>
      <c r="AA334" s="1827"/>
      <c r="AB334" s="1879"/>
      <c r="AE334" s="1249"/>
      <c r="AF334" s="1249"/>
      <c r="AG334" s="1249"/>
      <c r="AH334" s="1249"/>
      <c r="AI334" s="1249"/>
      <c r="AJ334" s="1249"/>
      <c r="AK334" s="1249"/>
      <c r="AL334" s="1249"/>
    </row>
    <row r="335" spans="1:38" s="1347" customFormat="1" ht="15.75" customHeight="1">
      <c r="A335" s="1346"/>
      <c r="C335" s="1827"/>
      <c r="D335" s="1827"/>
      <c r="E335" s="1827"/>
      <c r="F335" s="1827"/>
      <c r="G335" s="1827"/>
      <c r="H335" s="1827"/>
      <c r="I335" s="1827"/>
      <c r="J335" s="1349"/>
      <c r="K335" s="1827"/>
      <c r="L335" s="1296"/>
      <c r="O335" s="1351"/>
      <c r="P335" s="1351"/>
      <c r="Q335" s="1351"/>
      <c r="R335" s="1351"/>
      <c r="S335" s="1296"/>
      <c r="T335" s="1296"/>
      <c r="U335" s="1296"/>
      <c r="V335" s="1296"/>
      <c r="W335" s="1350"/>
      <c r="X335" s="1827"/>
      <c r="Y335" s="1827"/>
      <c r="Z335" s="1827"/>
      <c r="AA335" s="1827"/>
      <c r="AB335" s="1879"/>
      <c r="AE335" s="1249"/>
      <c r="AF335" s="1249"/>
      <c r="AG335" s="1249"/>
      <c r="AH335" s="1249"/>
      <c r="AI335" s="1249"/>
      <c r="AJ335" s="1249"/>
      <c r="AK335" s="1249"/>
      <c r="AL335" s="1249"/>
    </row>
    <row r="336" spans="1:38" s="1347" customFormat="1" ht="15.75" customHeight="1">
      <c r="A336" s="1346"/>
      <c r="C336" s="1827"/>
      <c r="D336" s="1827"/>
      <c r="E336" s="1827"/>
      <c r="F336" s="1827"/>
      <c r="G336" s="1827"/>
      <c r="H336" s="1827"/>
      <c r="I336" s="1827"/>
      <c r="J336" s="1349"/>
      <c r="K336" s="1827"/>
      <c r="L336" s="1351"/>
      <c r="O336" s="1296"/>
      <c r="P336" s="1296"/>
      <c r="Q336" s="1296"/>
      <c r="R336" s="1296"/>
      <c r="S336" s="1296"/>
      <c r="T336" s="1296"/>
      <c r="U336" s="1296"/>
      <c r="V336" s="1296"/>
      <c r="W336" s="1296"/>
      <c r="X336" s="1827"/>
      <c r="Y336" s="1827"/>
      <c r="Z336" s="1827"/>
      <c r="AA336" s="1827"/>
      <c r="AB336" s="1879"/>
      <c r="AE336" s="1249"/>
      <c r="AF336" s="1249"/>
      <c r="AG336" s="1249"/>
      <c r="AH336" s="1249"/>
      <c r="AI336" s="1249"/>
      <c r="AJ336" s="1249"/>
      <c r="AK336" s="1249"/>
      <c r="AL336" s="1249"/>
    </row>
    <row r="337" spans="1:38" s="1347" customFormat="1" ht="15.75" customHeight="1">
      <c r="A337" s="1346"/>
      <c r="C337" s="1827"/>
      <c r="D337" s="1827"/>
      <c r="E337" s="1352"/>
      <c r="F337" s="1827"/>
      <c r="G337" s="1827"/>
      <c r="H337" s="1827"/>
      <c r="I337" s="1827"/>
      <c r="J337" s="1349"/>
      <c r="K337" s="1827"/>
      <c r="L337" s="1296"/>
      <c r="O337" s="1296"/>
      <c r="P337" s="1296"/>
      <c r="Q337" s="1296"/>
      <c r="R337" s="1296"/>
      <c r="S337" s="1296"/>
      <c r="T337" s="1296"/>
      <c r="U337" s="1296"/>
      <c r="V337" s="1296"/>
      <c r="W337" s="1350"/>
      <c r="X337" s="1827"/>
      <c r="Y337" s="1827"/>
      <c r="Z337" s="1827"/>
      <c r="AA337" s="1827"/>
      <c r="AB337" s="1879"/>
      <c r="AE337" s="1249"/>
      <c r="AF337" s="1249"/>
      <c r="AG337" s="1249"/>
      <c r="AH337" s="1249"/>
      <c r="AI337" s="1249"/>
      <c r="AJ337" s="1249"/>
      <c r="AK337" s="1249"/>
      <c r="AL337" s="1249"/>
    </row>
    <row r="338" spans="1:38" s="1347" customFormat="1" ht="18.75" customHeight="1">
      <c r="A338" s="1346"/>
      <c r="C338" s="1827"/>
      <c r="D338" s="1353"/>
      <c r="E338" s="1354"/>
      <c r="F338" s="1827"/>
      <c r="G338" s="1827"/>
      <c r="H338" s="1827"/>
      <c r="I338" s="1827"/>
      <c r="J338" s="1349"/>
      <c r="K338" s="1827"/>
      <c r="L338" s="1296"/>
      <c r="O338" s="1296"/>
      <c r="P338" s="1296"/>
      <c r="Q338" s="1296"/>
      <c r="R338" s="1296"/>
      <c r="S338" s="1296"/>
      <c r="T338" s="1296"/>
      <c r="U338" s="1296"/>
      <c r="V338" s="1296"/>
      <c r="W338" s="1350"/>
      <c r="X338" s="1827"/>
      <c r="Y338" s="1827"/>
      <c r="Z338" s="1827"/>
      <c r="AA338" s="1827"/>
      <c r="AB338" s="1879"/>
      <c r="AE338" s="1249"/>
      <c r="AF338" s="1249"/>
      <c r="AG338" s="1249"/>
      <c r="AH338" s="1249"/>
      <c r="AI338" s="1249"/>
      <c r="AJ338" s="1249"/>
      <c r="AK338" s="1249"/>
      <c r="AL338" s="1249"/>
    </row>
    <row r="339" spans="1:38" s="1347" customFormat="1" ht="28.5" customHeight="1">
      <c r="A339" s="1346"/>
      <c r="C339" s="2034" t="s">
        <v>830</v>
      </c>
      <c r="D339" s="2034"/>
      <c r="E339" s="2034"/>
      <c r="F339" s="1830"/>
      <c r="G339" s="2034" t="s">
        <v>828</v>
      </c>
      <c r="H339" s="2034"/>
      <c r="I339" s="2034"/>
      <c r="J339" s="2034"/>
      <c r="K339" s="2034"/>
      <c r="L339" s="1355"/>
      <c r="M339" s="2034" t="s">
        <v>419</v>
      </c>
      <c r="N339" s="2034"/>
      <c r="O339" s="2034"/>
      <c r="P339" s="2034"/>
      <c r="Q339" s="2034"/>
      <c r="R339" s="2034"/>
      <c r="S339" s="2034"/>
      <c r="T339" s="2034"/>
      <c r="U339" s="1830"/>
      <c r="V339" s="1830"/>
      <c r="W339" s="1355"/>
      <c r="X339" s="2034" t="s">
        <v>76</v>
      </c>
      <c r="Y339" s="2034"/>
      <c r="Z339" s="2034"/>
      <c r="AA339" s="2034"/>
      <c r="AB339" s="2034"/>
      <c r="AC339" s="2034"/>
      <c r="AE339" s="1249"/>
      <c r="AF339" s="1249"/>
      <c r="AG339" s="1249"/>
      <c r="AH339" s="1249"/>
      <c r="AI339" s="1249"/>
      <c r="AJ339" s="1249"/>
      <c r="AK339" s="1249"/>
      <c r="AL339" s="1249"/>
    </row>
    <row r="340" spans="1:38" s="1347" customFormat="1" ht="18.75" customHeight="1">
      <c r="A340" s="1346"/>
      <c r="C340" s="1827"/>
      <c r="D340" s="1827"/>
      <c r="E340" s="1351"/>
      <c r="F340" s="1827"/>
      <c r="G340" s="1827"/>
      <c r="H340" s="1827"/>
      <c r="I340" s="1827"/>
      <c r="J340" s="1349"/>
      <c r="K340" s="1308"/>
      <c r="L340" s="1296"/>
      <c r="O340" s="1296"/>
      <c r="P340" s="1296"/>
      <c r="Q340" s="1296"/>
      <c r="R340" s="1296"/>
      <c r="S340" s="1296"/>
      <c r="T340" s="1296"/>
      <c r="U340" s="1296"/>
      <c r="V340" s="1296"/>
      <c r="W340" s="1350"/>
      <c r="X340" s="1353"/>
      <c r="Y340" s="1827"/>
      <c r="Z340" s="1827"/>
      <c r="AA340" s="1827"/>
      <c r="AB340" s="1879"/>
      <c r="AE340" s="1249"/>
      <c r="AF340" s="1249"/>
      <c r="AG340" s="1249"/>
      <c r="AH340" s="1249"/>
      <c r="AI340" s="1249"/>
      <c r="AJ340" s="1249"/>
      <c r="AK340" s="1249"/>
      <c r="AL340" s="1249"/>
    </row>
    <row r="341" spans="1:38" s="1347" customFormat="1" ht="18.75" customHeight="1">
      <c r="A341" s="1346"/>
      <c r="C341" s="1827"/>
      <c r="D341" s="1353"/>
      <c r="E341" s="1351"/>
      <c r="F341" s="1356"/>
      <c r="G341" s="1356"/>
      <c r="H341" s="1356"/>
      <c r="I341" s="1356"/>
      <c r="J341" s="1349"/>
      <c r="K341" s="1308"/>
      <c r="L341" s="1351"/>
      <c r="O341" s="1296"/>
      <c r="P341" s="1296"/>
      <c r="Q341" s="1296"/>
      <c r="R341" s="1296"/>
      <c r="S341" s="1296"/>
      <c r="T341" s="1296"/>
      <c r="U341" s="1296"/>
      <c r="V341" s="1296"/>
      <c r="W341" s="1287"/>
      <c r="X341" s="1357"/>
      <c r="Y341" s="1348"/>
      <c r="Z341" s="1348"/>
      <c r="AA341" s="1348"/>
      <c r="AB341" s="1348"/>
      <c r="AE341" s="1249"/>
      <c r="AF341" s="1249"/>
      <c r="AG341" s="1249"/>
      <c r="AH341" s="1249"/>
      <c r="AI341" s="1249"/>
      <c r="AJ341" s="1249"/>
      <c r="AK341" s="1249"/>
      <c r="AL341" s="1249"/>
    </row>
    <row r="342" spans="1:38" ht="24.75" customHeight="1">
      <c r="B342" s="1287"/>
      <c r="C342" s="1287"/>
      <c r="D342" s="1344"/>
      <c r="E342" s="1344"/>
      <c r="K342" s="1826"/>
      <c r="L342" s="1287"/>
      <c r="Y342" s="1358"/>
      <c r="Z342" s="1358"/>
    </row>
    <row r="343" spans="1:38" ht="24.75" customHeight="1">
      <c r="B343" s="1287"/>
      <c r="C343" s="1359" t="e">
        <f>#REF!+#REF!+#REF!+#REF!</f>
        <v>#REF!</v>
      </c>
      <c r="D343" s="1360"/>
      <c r="E343" s="1361" t="s">
        <v>776</v>
      </c>
      <c r="F343" s="1361"/>
      <c r="G343" s="1361"/>
      <c r="H343" s="1361"/>
      <c r="I343" s="1361"/>
      <c r="J343" s="2059">
        <f>SUMIF($K$16:$K$325,"A",$J$16:$J$325)</f>
        <v>0</v>
      </c>
      <c r="K343" s="2059"/>
      <c r="L343" s="1362">
        <f>(J343*6.1)*$E$11</f>
        <v>0</v>
      </c>
      <c r="M343" s="1362"/>
      <c r="N343" s="1362"/>
      <c r="O343" s="1363"/>
      <c r="P343" s="1363"/>
      <c r="Q343" s="1363"/>
      <c r="R343" s="1363"/>
      <c r="T343" s="1287">
        <f>7.2+0.6+21+5+70</f>
        <v>103.8</v>
      </c>
    </row>
    <row r="344" spans="1:38" ht="24.75" customHeight="1">
      <c r="B344" s="1287"/>
      <c r="C344" s="1287"/>
      <c r="E344" s="1361" t="s">
        <v>777</v>
      </c>
      <c r="F344" s="1361"/>
      <c r="G344" s="1361"/>
      <c r="H344" s="1361"/>
      <c r="I344" s="1361"/>
      <c r="J344" s="2059">
        <f>SUMIF($K$16:$K$325,"B",$J$16:$J$325)</f>
        <v>0</v>
      </c>
      <c r="K344" s="2059"/>
      <c r="L344" s="1362">
        <f>(J344*5.8)*$E$11</f>
        <v>0</v>
      </c>
      <c r="M344" s="1362"/>
      <c r="N344" s="1362"/>
      <c r="O344" s="1344"/>
      <c r="P344" s="1344"/>
      <c r="Q344" s="1344"/>
      <c r="R344" s="1344"/>
    </row>
    <row r="345" spans="1:38" ht="24.75" customHeight="1">
      <c r="B345" s="1287"/>
      <c r="C345" s="1287"/>
      <c r="E345" s="1361" t="s">
        <v>778</v>
      </c>
      <c r="F345" s="1361"/>
      <c r="G345" s="1361"/>
      <c r="H345" s="1361"/>
      <c r="I345" s="1361"/>
      <c r="J345" s="2059">
        <f>SUMIF($K$16:$K$325,"C",$J$16:$J$325)+SUMIF($K$16:$K$325,"C.",$J$16:$J$325)</f>
        <v>0</v>
      </c>
      <c r="K345" s="2059"/>
      <c r="L345" s="1362">
        <f>(J345*5.5)*$E$11</f>
        <v>0</v>
      </c>
      <c r="M345" s="1362"/>
      <c r="N345" s="1362"/>
      <c r="S345" s="1364"/>
      <c r="T345" s="1364"/>
      <c r="U345" s="1364"/>
      <c r="V345" s="1364"/>
      <c r="W345" s="1364"/>
      <c r="X345" s="1364"/>
      <c r="Y345" s="1364"/>
      <c r="Z345" s="1344"/>
    </row>
    <row r="346" spans="1:38" ht="24.75" customHeight="1">
      <c r="B346" s="1287"/>
      <c r="C346" s="1287"/>
      <c r="E346" s="1361" t="s">
        <v>779</v>
      </c>
      <c r="F346" s="1361"/>
      <c r="G346" s="1361"/>
      <c r="H346" s="1361"/>
      <c r="I346" s="1361"/>
      <c r="J346" s="2059">
        <f>SUMIF($K$16:$K$325,"D",$J$16:$J$325)+SUMIF($K$16:$K$325,"D.",$J$16:$J$325)</f>
        <v>0</v>
      </c>
      <c r="K346" s="2059"/>
      <c r="L346" s="1362"/>
      <c r="M346" s="1362"/>
      <c r="N346" s="1362"/>
      <c r="S346" s="1365"/>
      <c r="T346" s="1365"/>
      <c r="U346" s="1365"/>
      <c r="V346" s="1365"/>
      <c r="W346" s="1365"/>
      <c r="X346" s="1365"/>
      <c r="Y346" s="1365"/>
      <c r="Z346" s="1344"/>
    </row>
    <row r="347" spans="1:38" ht="24.75" customHeight="1">
      <c r="B347" s="1287"/>
      <c r="C347" s="1287"/>
      <c r="E347" s="1361" t="s">
        <v>994</v>
      </c>
      <c r="F347" s="1361"/>
      <c r="G347" s="1361"/>
      <c r="H347" s="1361"/>
      <c r="I347" s="1361"/>
      <c r="J347" s="2059">
        <f>'BTH mủ Sỉum'!AJ21</f>
        <v>0</v>
      </c>
      <c r="K347" s="2059"/>
      <c r="L347" s="1362">
        <f>(J347*6.1)*$E$11</f>
        <v>0</v>
      </c>
      <c r="M347" s="1362"/>
      <c r="N347" s="1362"/>
      <c r="S347" s="1365"/>
      <c r="T347" s="1365"/>
      <c r="U347" s="1365"/>
      <c r="V347" s="1365"/>
      <c r="W347" s="1365"/>
      <c r="X347" s="1365"/>
      <c r="Y347" s="1365"/>
      <c r="Z347" s="1344"/>
    </row>
    <row r="348" spans="1:38" ht="24.75" customHeight="1">
      <c r="B348" s="1287"/>
      <c r="C348" s="1287"/>
      <c r="E348" s="1287"/>
      <c r="J348" s="2059">
        <f>SUM(J343:K347)</f>
        <v>0</v>
      </c>
      <c r="K348" s="2059"/>
      <c r="L348" s="1362">
        <f>SUM(L343:L347)</f>
        <v>0</v>
      </c>
      <c r="M348" s="1362"/>
      <c r="N348" s="1362"/>
      <c r="O348" s="2047">
        <f>L348+L358+L359</f>
        <v>751291141.60000002</v>
      </c>
      <c r="P348" s="2047"/>
      <c r="Q348" s="2047"/>
      <c r="R348" s="2047"/>
      <c r="S348" s="2047"/>
      <c r="T348" s="2047"/>
      <c r="U348" s="1826"/>
      <c r="V348" s="1826"/>
      <c r="W348" s="1826"/>
      <c r="Y348" s="1287">
        <f>O348-Z312</f>
        <v>751291141.60000002</v>
      </c>
    </row>
    <row r="349" spans="1:38" ht="24.75" customHeight="1">
      <c r="B349" s="1287"/>
      <c r="C349" s="1287"/>
      <c r="E349" s="1287"/>
      <c r="J349" s="1287"/>
      <c r="K349" s="1287"/>
      <c r="L349" s="1832"/>
      <c r="M349" s="1832"/>
      <c r="N349" s="1832"/>
      <c r="T349" s="1358"/>
      <c r="U349" s="1358"/>
      <c r="V349" s="1358"/>
      <c r="W349" s="1358"/>
      <c r="X349" s="1358"/>
      <c r="Y349" s="1358"/>
    </row>
    <row r="350" spans="1:38" ht="24.75" customHeight="1">
      <c r="B350" s="1287"/>
      <c r="C350" s="1287"/>
      <c r="E350" s="1358" t="s">
        <v>780</v>
      </c>
      <c r="F350" s="1358"/>
      <c r="G350" s="1358"/>
      <c r="H350" s="1358"/>
      <c r="I350" s="1358"/>
      <c r="J350" s="1358"/>
      <c r="K350" s="1287">
        <v>4735</v>
      </c>
      <c r="L350" s="1366">
        <f>(K350*46.1)*$E$11</f>
        <v>143193976</v>
      </c>
      <c r="M350" s="1366"/>
      <c r="N350" s="1366"/>
    </row>
    <row r="351" spans="1:38" ht="24.75" customHeight="1">
      <c r="A351" s="1287"/>
      <c r="E351" s="1287" t="s">
        <v>1062</v>
      </c>
      <c r="F351" s="1358"/>
      <c r="G351" s="1358"/>
      <c r="H351" s="1358"/>
      <c r="I351" s="1358"/>
      <c r="J351" s="1358"/>
      <c r="K351" s="1287">
        <v>10</v>
      </c>
      <c r="L351" s="1366">
        <f>(K351*92.2)*$E$11</f>
        <v>604832</v>
      </c>
      <c r="M351" s="1366"/>
      <c r="N351" s="1366"/>
      <c r="O351" s="1290"/>
      <c r="P351" s="1290"/>
      <c r="Q351" s="1290"/>
      <c r="R351" s="1290"/>
      <c r="Z351" s="1358"/>
      <c r="AA351" s="1358"/>
      <c r="AB351" s="1358"/>
    </row>
    <row r="352" spans="1:38" ht="24.75" customHeight="1">
      <c r="A352" s="1287"/>
      <c r="E352" s="1358" t="s">
        <v>781</v>
      </c>
      <c r="F352" s="1358"/>
      <c r="G352" s="1358"/>
      <c r="H352" s="1358"/>
      <c r="I352" s="1358"/>
      <c r="J352" s="1358"/>
      <c r="K352" s="1287">
        <v>824</v>
      </c>
      <c r="L352" s="1366">
        <f>(K352*76.9)*$E$11</f>
        <v>41567833.600000001</v>
      </c>
      <c r="M352" s="1366"/>
      <c r="N352" s="1366"/>
      <c r="O352" s="1290"/>
      <c r="P352" s="1290"/>
      <c r="Q352" s="1290"/>
      <c r="R352" s="1290"/>
      <c r="Z352" s="1358"/>
      <c r="AA352" s="1358"/>
      <c r="AB352" s="1358"/>
    </row>
    <row r="353" spans="1:28" ht="24.75" customHeight="1">
      <c r="A353" s="1287"/>
      <c r="E353" s="1358" t="s">
        <v>890</v>
      </c>
      <c r="F353" s="1358"/>
      <c r="G353" s="1358"/>
      <c r="H353" s="1358"/>
      <c r="I353" s="1358"/>
      <c r="J353" s="1358"/>
      <c r="K353" s="1287"/>
      <c r="L353" s="1366">
        <f>(K353*153.8)*$E$11</f>
        <v>0</v>
      </c>
      <c r="M353" s="1366"/>
      <c r="N353" s="1366"/>
      <c r="O353" s="1290"/>
      <c r="P353" s="1290"/>
      <c r="Q353" s="1290"/>
      <c r="R353" s="1290"/>
      <c r="Z353" s="1358"/>
      <c r="AA353" s="1358"/>
      <c r="AB353" s="1358"/>
    </row>
    <row r="354" spans="1:28" ht="24.75" customHeight="1">
      <c r="A354" s="1287"/>
      <c r="E354" s="2055" t="s">
        <v>1063</v>
      </c>
      <c r="F354" s="2056"/>
      <c r="G354" s="1358"/>
      <c r="H354" s="1358"/>
      <c r="I354" s="1358"/>
      <c r="J354" s="1358"/>
      <c r="K354" s="1287">
        <v>5569</v>
      </c>
      <c r="L354" s="1366">
        <f>K354*10000</f>
        <v>55690000</v>
      </c>
      <c r="M354" s="1366"/>
      <c r="N354" s="1366"/>
      <c r="O354" s="1290"/>
      <c r="P354" s="1290"/>
      <c r="Q354" s="1290"/>
      <c r="R354" s="1290"/>
      <c r="Z354" s="1358"/>
      <c r="AA354" s="1358"/>
      <c r="AB354" s="1358"/>
    </row>
    <row r="355" spans="1:28" ht="24.75" customHeight="1">
      <c r="A355" s="1287"/>
      <c r="E355" s="2055" t="s">
        <v>1064</v>
      </c>
      <c r="F355" s="2056"/>
      <c r="G355" s="1358"/>
      <c r="H355" s="1358"/>
      <c r="I355" s="1358"/>
      <c r="J355" s="1358"/>
      <c r="K355" s="1287">
        <v>5569</v>
      </c>
      <c r="L355" s="1366">
        <f>K355*20000</f>
        <v>111380000</v>
      </c>
      <c r="M355" s="1366"/>
      <c r="N355" s="1366"/>
      <c r="O355" s="1290"/>
      <c r="P355" s="1290"/>
      <c r="Q355" s="1290"/>
      <c r="R355" s="1290"/>
      <c r="Z355" s="1358"/>
      <c r="AA355" s="1358"/>
      <c r="AB355" s="1358"/>
    </row>
    <row r="356" spans="1:28" ht="24.75" customHeight="1">
      <c r="A356" s="1287"/>
      <c r="E356" s="2055" t="s">
        <v>1063</v>
      </c>
      <c r="F356" s="2056"/>
      <c r="G356" s="1358"/>
      <c r="H356" s="1358"/>
      <c r="I356" s="1358"/>
      <c r="J356" s="1358"/>
      <c r="K356" s="1287">
        <v>5569</v>
      </c>
      <c r="L356" s="1366">
        <f>K356*10000</f>
        <v>55690000</v>
      </c>
      <c r="M356" s="1366"/>
      <c r="N356" s="1366"/>
      <c r="O356" s="1290"/>
      <c r="P356" s="1290"/>
      <c r="Q356" s="1290"/>
      <c r="R356" s="1290"/>
      <c r="Z356" s="1358"/>
      <c r="AA356" s="1358"/>
      <c r="AB356" s="1358"/>
    </row>
    <row r="357" spans="1:28" ht="24.75" customHeight="1">
      <c r="A357" s="1287"/>
      <c r="E357" s="1358" t="s">
        <v>782</v>
      </c>
      <c r="F357" s="1358"/>
      <c r="G357" s="1358"/>
      <c r="H357" s="1358"/>
      <c r="I357" s="1358"/>
      <c r="J357" s="1358"/>
      <c r="K357" s="1287"/>
      <c r="L357" s="1366">
        <f>K357*10000</f>
        <v>0</v>
      </c>
      <c r="M357" s="1366"/>
      <c r="N357" s="2061">
        <f>T326*25000</f>
        <v>0</v>
      </c>
      <c r="O357" s="2061"/>
      <c r="P357" s="1290"/>
      <c r="Q357" s="1290"/>
      <c r="R357" s="1290"/>
      <c r="Z357" s="1826"/>
      <c r="AA357" s="1826"/>
      <c r="AB357" s="1878"/>
    </row>
    <row r="358" spans="1:28" ht="24.75" customHeight="1">
      <c r="A358" s="1287"/>
      <c r="B358" s="1367"/>
      <c r="E358" s="1287"/>
      <c r="J358" s="2047"/>
      <c r="K358" s="2047"/>
      <c r="L358" s="2060">
        <f>SUM(L350:L357)</f>
        <v>408126641.60000002</v>
      </c>
      <c r="M358" s="2060"/>
      <c r="N358" s="1832"/>
      <c r="O358" s="1290"/>
      <c r="P358" s="1290"/>
      <c r="Q358" s="1290"/>
      <c r="R358" s="1290"/>
      <c r="X358" s="2047">
        <f>L358-Y312</f>
        <v>408126641.60000002</v>
      </c>
      <c r="Y358" s="2047"/>
    </row>
    <row r="359" spans="1:28" ht="24.75" customHeight="1">
      <c r="A359" s="1287"/>
      <c r="B359" s="1368"/>
      <c r="E359" s="1358" t="s">
        <v>783</v>
      </c>
      <c r="F359" s="1358"/>
      <c r="G359" s="1358"/>
      <c r="H359" s="1358"/>
      <c r="I359" s="1358"/>
      <c r="J359" s="2057">
        <f>E255+E189+E100+E15</f>
        <v>13726.58</v>
      </c>
      <c r="K359" s="2057"/>
      <c r="L359" s="1366">
        <f>J359*25000</f>
        <v>343164500</v>
      </c>
      <c r="M359" s="1366"/>
      <c r="N359" s="1366"/>
      <c r="O359" s="1290"/>
      <c r="P359" s="1290"/>
      <c r="Q359" s="1290"/>
      <c r="R359" s="1290"/>
    </row>
    <row r="360" spans="1:28" ht="24.75" customHeight="1">
      <c r="E360" s="1287"/>
      <c r="J360" s="1287"/>
      <c r="K360" s="1287"/>
      <c r="L360" s="1289"/>
      <c r="M360" s="1833"/>
      <c r="N360" s="1833"/>
      <c r="O360" s="1290"/>
      <c r="P360" s="1290"/>
      <c r="Q360" s="1290"/>
      <c r="R360" s="1290"/>
    </row>
    <row r="361" spans="1:28" ht="24.75" customHeight="1">
      <c r="A361" s="1287"/>
      <c r="E361" s="1287"/>
      <c r="J361" s="1287"/>
      <c r="K361" s="1287"/>
      <c r="L361" s="2058">
        <f>+Z255+Z189+Z100+Z15</f>
        <v>343164503</v>
      </c>
      <c r="M361" s="2058"/>
      <c r="N361" s="1831"/>
      <c r="O361" s="1290"/>
      <c r="P361" s="1290"/>
      <c r="Q361" s="1290"/>
      <c r="R361" s="1290"/>
    </row>
    <row r="362" spans="1:28" ht="24.75" customHeight="1">
      <c r="E362" s="1287"/>
      <c r="J362" s="1287"/>
      <c r="K362" s="1287"/>
      <c r="L362" s="1289"/>
      <c r="M362" s="1833"/>
      <c r="N362" s="1833"/>
      <c r="O362" s="1290"/>
      <c r="P362" s="1290"/>
      <c r="Q362" s="1290"/>
      <c r="R362" s="1290"/>
    </row>
    <row r="363" spans="1:28" ht="24.75" customHeight="1">
      <c r="A363" s="1287"/>
      <c r="F363" s="1344"/>
      <c r="G363" s="1344"/>
      <c r="H363" s="1344"/>
      <c r="I363" s="1344"/>
      <c r="J363" s="1366"/>
    </row>
    <row r="364" spans="1:28" ht="24.75" customHeight="1">
      <c r="A364" s="1287"/>
      <c r="M364" s="1344"/>
      <c r="N364" s="1344"/>
    </row>
    <row r="365" spans="1:28" ht="24.75" customHeight="1"/>
    <row r="366" spans="1:28" ht="24.75" customHeight="1"/>
    <row r="367" spans="1:28" ht="24.75" customHeight="1"/>
    <row r="368" spans="1:28" ht="24.75" customHeight="1">
      <c r="A368" s="1287"/>
      <c r="F368" s="1344">
        <v>2551.8899999999994</v>
      </c>
      <c r="G368" s="1344"/>
      <c r="H368" s="1344"/>
      <c r="I368" s="1344"/>
    </row>
    <row r="369" spans="1:23" ht="48" customHeight="1">
      <c r="A369" s="1287"/>
      <c r="B369" s="1287"/>
      <c r="C369" s="1287"/>
      <c r="E369" s="1287"/>
      <c r="F369" s="1344">
        <f>+F359-F368</f>
        <v>-2551.8899999999994</v>
      </c>
      <c r="G369" s="1344"/>
      <c r="H369" s="1344"/>
      <c r="I369" s="1344"/>
    </row>
    <row r="375" spans="1:23" ht="48" customHeight="1">
      <c r="A375" s="1287"/>
      <c r="B375" s="1287"/>
      <c r="C375" s="1287"/>
      <c r="E375" s="1287"/>
      <c r="K375" s="1833">
        <v>1678</v>
      </c>
      <c r="L375" s="1290">
        <v>1573</v>
      </c>
      <c r="M375" s="1287">
        <v>1187</v>
      </c>
      <c r="O375" s="1287">
        <v>1183</v>
      </c>
      <c r="W375" s="1287">
        <f>SUM(K375:O375)</f>
        <v>5621</v>
      </c>
    </row>
    <row r="376" spans="1:23" ht="48" customHeight="1">
      <c r="A376" s="1287"/>
      <c r="B376" s="1287"/>
      <c r="C376" s="1287"/>
      <c r="E376" s="1287"/>
      <c r="K376" s="1833">
        <v>257</v>
      </c>
      <c r="L376" s="1290">
        <v>244</v>
      </c>
      <c r="M376" s="1287">
        <v>183</v>
      </c>
      <c r="O376" s="1287">
        <v>182</v>
      </c>
      <c r="W376" s="1287">
        <f>SUM(K376:O376)</f>
        <v>866</v>
      </c>
    </row>
    <row r="377" spans="1:23" ht="48" customHeight="1">
      <c r="A377" s="1287"/>
      <c r="B377" s="1287"/>
      <c r="C377" s="1287"/>
      <c r="E377" s="1287"/>
      <c r="K377" s="1833">
        <v>1935</v>
      </c>
      <c r="L377" s="1290">
        <v>1817</v>
      </c>
      <c r="M377" s="1287">
        <v>1370</v>
      </c>
      <c r="O377" s="1287">
        <v>1365</v>
      </c>
      <c r="W377" s="1287">
        <f>SUM(K377:O377)</f>
        <v>6487</v>
      </c>
    </row>
  </sheetData>
  <autoFilter ref="A6:G7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6">
    <mergeCell ref="E355:F355"/>
    <mergeCell ref="X358:Y358"/>
    <mergeCell ref="J359:K359"/>
    <mergeCell ref="L361:M361"/>
    <mergeCell ref="J343:K343"/>
    <mergeCell ref="J344:K344"/>
    <mergeCell ref="J345:K345"/>
    <mergeCell ref="J346:K346"/>
    <mergeCell ref="O348:T348"/>
    <mergeCell ref="L358:M358"/>
    <mergeCell ref="N357:O357"/>
    <mergeCell ref="J347:K347"/>
    <mergeCell ref="J358:K358"/>
    <mergeCell ref="J348:K348"/>
    <mergeCell ref="E354:F354"/>
    <mergeCell ref="E356:F356"/>
    <mergeCell ref="X330:AC330"/>
    <mergeCell ref="T328:AC328"/>
    <mergeCell ref="C339:E339"/>
    <mergeCell ref="M339:T339"/>
    <mergeCell ref="G330:K330"/>
    <mergeCell ref="G339:K339"/>
    <mergeCell ref="AG6:AH6"/>
    <mergeCell ref="AI6:AJ6"/>
    <mergeCell ref="AK6:AL6"/>
    <mergeCell ref="A7:G7"/>
    <mergeCell ref="A9:AC9"/>
    <mergeCell ref="C11:D11"/>
    <mergeCell ref="X11:Y11"/>
    <mergeCell ref="AE2:AF2"/>
    <mergeCell ref="A3:AC3"/>
    <mergeCell ref="A4:AC4"/>
    <mergeCell ref="A5:AC5"/>
    <mergeCell ref="A6:G6"/>
    <mergeCell ref="AE6:AF6"/>
    <mergeCell ref="A12:A14"/>
    <mergeCell ref="B12:B14"/>
    <mergeCell ref="C12:C14"/>
    <mergeCell ref="D12:D14"/>
    <mergeCell ref="E12:W12"/>
    <mergeCell ref="X339:AC339"/>
    <mergeCell ref="B15:D15"/>
    <mergeCell ref="B100:D100"/>
    <mergeCell ref="B189:D189"/>
    <mergeCell ref="Z12:Z14"/>
    <mergeCell ref="AC12:AC14"/>
    <mergeCell ref="E13:F13"/>
    <mergeCell ref="G13:L13"/>
    <mergeCell ref="M13:W13"/>
    <mergeCell ref="X12:X14"/>
    <mergeCell ref="Y12:Y14"/>
    <mergeCell ref="AB12:AB14"/>
    <mergeCell ref="B255:D255"/>
    <mergeCell ref="A326:D326"/>
    <mergeCell ref="C330:E330"/>
    <mergeCell ref="M330:T330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1:AA28"/>
  <sheetViews>
    <sheetView zoomScale="115" zoomScaleNormal="115" workbookViewId="0">
      <pane ySplit="1" topLeftCell="A11" activePane="bottomLeft" state="frozen"/>
      <selection activeCell="E21" sqref="E21:G21"/>
      <selection pane="bottomLeft" activeCell="E13" sqref="E13"/>
    </sheetView>
  </sheetViews>
  <sheetFormatPr defaultColWidth="9.140625" defaultRowHeight="15"/>
  <cols>
    <col min="1" max="1" width="5" style="1" customWidth="1"/>
    <col min="2" max="2" width="17.5703125" style="1" customWidth="1"/>
    <col min="3" max="3" width="16.28515625" style="1" customWidth="1"/>
    <col min="4" max="4" width="11.42578125" style="1" customWidth="1"/>
    <col min="5" max="5" width="24.7109375" style="1" customWidth="1"/>
    <col min="6" max="6" width="21.5703125" style="1" customWidth="1"/>
    <col min="7" max="7" width="17.42578125" style="1" customWidth="1"/>
    <col min="8" max="8" width="21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71"/>
      <c r="B1" s="171"/>
      <c r="C1" s="171"/>
      <c r="D1" s="171"/>
      <c r="E1" s="171"/>
      <c r="F1" s="171"/>
      <c r="G1" s="171"/>
      <c r="H1" s="171"/>
    </row>
    <row r="2" spans="1:27" ht="16.5">
      <c r="A2" s="2062" t="s">
        <v>90</v>
      </c>
      <c r="B2" s="2062"/>
      <c r="C2" s="2062"/>
      <c r="D2" s="2062"/>
      <c r="E2" s="2062"/>
      <c r="F2" s="2062"/>
      <c r="G2" s="2062"/>
      <c r="H2" s="2062"/>
      <c r="I2" s="15"/>
      <c r="J2" s="15"/>
      <c r="K2" s="15"/>
      <c r="L2" s="12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 ht="16.5">
      <c r="A3" s="2062" t="s">
        <v>56</v>
      </c>
      <c r="B3" s="2062"/>
      <c r="C3" s="2062"/>
      <c r="D3" s="2062"/>
      <c r="E3" s="2062"/>
      <c r="F3" s="2062"/>
      <c r="G3" s="2062"/>
      <c r="H3" s="2062"/>
      <c r="I3" s="16"/>
      <c r="J3" s="16"/>
      <c r="K3" s="16"/>
      <c r="L3" s="10"/>
      <c r="M3" s="7"/>
      <c r="O3" s="10"/>
      <c r="P3" s="10"/>
      <c r="Q3" s="10"/>
      <c r="R3" s="10"/>
      <c r="S3" s="10"/>
      <c r="T3" s="10"/>
      <c r="U3" s="10"/>
      <c r="V3" s="10"/>
      <c r="W3" s="10"/>
      <c r="X3" s="8"/>
    </row>
    <row r="4" spans="1:27" ht="16.5">
      <c r="A4" s="2063" t="s">
        <v>605</v>
      </c>
      <c r="B4" s="2062"/>
      <c r="C4" s="2062"/>
      <c r="D4" s="2062"/>
      <c r="E4" s="2062"/>
      <c r="F4" s="2062"/>
      <c r="G4" s="2062"/>
      <c r="H4" s="2062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9" customHeight="1">
      <c r="A5" s="171"/>
      <c r="B5" s="171"/>
      <c r="C5" s="171"/>
      <c r="D5" s="171"/>
      <c r="E5" s="171"/>
      <c r="F5" s="171"/>
      <c r="G5" s="171"/>
      <c r="H5" s="97"/>
      <c r="I5" s="21"/>
      <c r="J5" s="21"/>
      <c r="K5" s="21"/>
      <c r="L5" s="562"/>
      <c r="M5" s="23"/>
      <c r="N5" s="24"/>
      <c r="O5" s="9"/>
      <c r="P5" s="9"/>
      <c r="Q5" s="9"/>
      <c r="R5" s="9"/>
      <c r="S5" s="9"/>
      <c r="T5" s="9"/>
      <c r="U5" s="9"/>
      <c r="V5" s="9"/>
      <c r="W5" s="9"/>
      <c r="X5" s="8"/>
      <c r="Y5" s="25">
        <f>1372+388</f>
        <v>1760</v>
      </c>
      <c r="Z5" s="1">
        <f>Y5*30000</f>
        <v>52800000</v>
      </c>
      <c r="AA5" s="1" t="e">
        <f>Z5+#REF!+#REF!</f>
        <v>#REF!</v>
      </c>
    </row>
    <row r="6" spans="1:27" ht="15.75">
      <c r="A6" s="2069" t="s">
        <v>5</v>
      </c>
      <c r="B6" s="2069"/>
      <c r="C6" s="2069"/>
      <c r="D6" s="2069"/>
      <c r="E6" s="2069"/>
      <c r="F6" s="141"/>
      <c r="G6" s="141"/>
      <c r="H6" s="97"/>
      <c r="I6" s="21"/>
      <c r="J6" s="21"/>
      <c r="K6" s="21"/>
      <c r="L6" s="562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/>
    </row>
    <row r="7" spans="1:27" ht="18" customHeight="1">
      <c r="A7" s="1978" t="s">
        <v>101</v>
      </c>
      <c r="B7" s="1978"/>
      <c r="C7" s="1978"/>
      <c r="D7" s="1978"/>
      <c r="E7" s="1978"/>
      <c r="F7" s="877"/>
      <c r="G7" s="97"/>
      <c r="H7" s="97"/>
      <c r="I7" s="21"/>
      <c r="J7" s="21"/>
      <c r="K7" s="21"/>
      <c r="L7" s="562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2.75" customHeight="1">
      <c r="A8" s="876"/>
      <c r="B8" s="876"/>
      <c r="C8" s="876"/>
      <c r="D8" s="876"/>
      <c r="E8" s="876"/>
      <c r="F8" s="877"/>
      <c r="G8" s="97"/>
      <c r="H8" s="97"/>
      <c r="I8" s="21"/>
      <c r="J8" s="21"/>
      <c r="K8" s="21"/>
      <c r="L8" s="562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24.75" customHeight="1">
      <c r="A9" s="2064" t="s">
        <v>1143</v>
      </c>
      <c r="B9" s="2065"/>
      <c r="C9" s="2065"/>
      <c r="D9" s="2065"/>
      <c r="E9" s="2065"/>
      <c r="F9" s="2065"/>
      <c r="G9" s="2065"/>
      <c r="H9" s="2065"/>
      <c r="I9" s="33"/>
      <c r="J9" s="33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7" ht="12" customHeight="1">
      <c r="A10" s="30"/>
      <c r="B10" s="31"/>
      <c r="C10" s="31"/>
      <c r="D10" s="30"/>
      <c r="E10" s="30"/>
      <c r="F10" s="30"/>
      <c r="G10" s="30"/>
      <c r="H10" s="31"/>
      <c r="I10" s="26"/>
      <c r="J10" s="27"/>
      <c r="K10" s="28"/>
    </row>
    <row r="11" spans="1:27" ht="15" customHeight="1">
      <c r="A11" s="2066" t="s">
        <v>11</v>
      </c>
      <c r="B11" s="2066" t="s">
        <v>105</v>
      </c>
      <c r="C11" s="2066" t="s">
        <v>19</v>
      </c>
      <c r="D11" s="2066" t="s">
        <v>49</v>
      </c>
      <c r="E11" s="2067" t="s">
        <v>815</v>
      </c>
      <c r="F11" s="2070" t="s">
        <v>814</v>
      </c>
      <c r="G11" s="2066" t="s">
        <v>32</v>
      </c>
      <c r="H11" s="2066" t="s">
        <v>106</v>
      </c>
      <c r="I11" s="565"/>
      <c r="J11" s="153"/>
      <c r="K11" s="154"/>
    </row>
    <row r="12" spans="1:27" ht="19.5" customHeight="1">
      <c r="A12" s="2066"/>
      <c r="B12" s="2066"/>
      <c r="C12" s="2066"/>
      <c r="D12" s="2066"/>
      <c r="E12" s="2067"/>
      <c r="F12" s="2071"/>
      <c r="G12" s="2066"/>
      <c r="H12" s="2066"/>
      <c r="I12" s="155"/>
      <c r="J12" s="153"/>
      <c r="K12" s="154"/>
    </row>
    <row r="13" spans="1:27" ht="25.5" customHeight="1">
      <c r="A13" s="355">
        <v>1</v>
      </c>
      <c r="B13" s="355" t="str">
        <f>'Bảng CC TX, BV  '!B18</f>
        <v>T . Thun</v>
      </c>
      <c r="C13" s="1100"/>
      <c r="D13" s="355">
        <f>'Bảng CC TX, BV  '!AI18</f>
        <v>23</v>
      </c>
      <c r="E13" s="357">
        <f>(2000000/28)*D13</f>
        <v>1642857.142857143</v>
      </c>
      <c r="F13" s="357">
        <f>(600000/28)*D13</f>
        <v>492857.14285714284</v>
      </c>
      <c r="G13" s="951">
        <f t="shared" ref="G13:G16" si="0">E13+F13</f>
        <v>2135714.2857142859</v>
      </c>
      <c r="H13" s="1071"/>
      <c r="I13" s="155"/>
      <c r="J13" s="153"/>
      <c r="K13" s="154"/>
    </row>
    <row r="14" spans="1:27" ht="25.5" customHeight="1">
      <c r="A14" s="355">
        <v>2</v>
      </c>
      <c r="B14" s="355" t="str">
        <f>'Bảng CC TX, BV  '!B19</f>
        <v xml:space="preserve">Khăm Cợt </v>
      </c>
      <c r="C14" s="826"/>
      <c r="D14" s="355">
        <f>'Bảng CC TX, BV  '!AI19</f>
        <v>28</v>
      </c>
      <c r="E14" s="357">
        <f t="shared" ref="E14:E16" si="1">(2000000/28)*D14</f>
        <v>2000000.0000000002</v>
      </c>
      <c r="F14" s="357">
        <f t="shared" ref="F14:F16" si="2">(600000/28)*D14</f>
        <v>600000</v>
      </c>
      <c r="G14" s="951">
        <f t="shared" si="0"/>
        <v>2600000</v>
      </c>
      <c r="H14" s="874"/>
      <c r="I14" s="155"/>
      <c r="J14" s="153"/>
      <c r="K14" s="154"/>
    </row>
    <row r="15" spans="1:27" ht="25.5" customHeight="1">
      <c r="A15" s="355">
        <v>3</v>
      </c>
      <c r="B15" s="355" t="str">
        <f>'Bảng CC TX, BV  '!B20</f>
        <v>Đô La</v>
      </c>
      <c r="C15" s="826"/>
      <c r="D15" s="355">
        <f>'Bảng CC TX, BV  '!AI20</f>
        <v>28</v>
      </c>
      <c r="E15" s="357">
        <f t="shared" si="1"/>
        <v>2000000.0000000002</v>
      </c>
      <c r="F15" s="357">
        <f t="shared" si="2"/>
        <v>600000</v>
      </c>
      <c r="G15" s="951">
        <f t="shared" si="0"/>
        <v>2600000</v>
      </c>
      <c r="H15" s="874"/>
      <c r="I15" s="155"/>
      <c r="J15" s="153"/>
      <c r="K15" s="154"/>
    </row>
    <row r="16" spans="1:27" ht="25.5" customHeight="1">
      <c r="A16" s="355">
        <v>4</v>
      </c>
      <c r="B16" s="355" t="str">
        <f>'Bảng CC TX, BV  '!B21</f>
        <v>T.Bun Ly</v>
      </c>
      <c r="C16" s="826"/>
      <c r="D16" s="355">
        <f>'Bảng CC TX, BV  '!AI21</f>
        <v>28</v>
      </c>
      <c r="E16" s="357">
        <f t="shared" si="1"/>
        <v>2000000.0000000002</v>
      </c>
      <c r="F16" s="357">
        <f t="shared" si="2"/>
        <v>600000</v>
      </c>
      <c r="G16" s="951">
        <f t="shared" si="0"/>
        <v>2600000</v>
      </c>
      <c r="H16" s="874"/>
      <c r="I16" s="155"/>
      <c r="J16" s="153"/>
      <c r="K16" s="154"/>
    </row>
    <row r="17" spans="1:13" ht="23.25" customHeight="1">
      <c r="A17" s="2066" t="s">
        <v>256</v>
      </c>
      <c r="B17" s="2066"/>
      <c r="C17" s="874"/>
      <c r="D17" s="372">
        <f>SUM(D13:D16)</f>
        <v>107</v>
      </c>
      <c r="E17" s="372">
        <f t="shared" ref="E17" si="3">SUM(E13:E16)</f>
        <v>7642857.1428571437</v>
      </c>
      <c r="F17" s="372">
        <f>SUM(F13:F16)</f>
        <v>2292857.1428571427</v>
      </c>
      <c r="G17" s="372">
        <f>SUM(G13:G16)</f>
        <v>9935714.2857142854</v>
      </c>
      <c r="H17" s="355"/>
      <c r="I17" s="155"/>
      <c r="J17" s="156">
        <f>G17/25000</f>
        <v>397.42857142857144</v>
      </c>
      <c r="K17" s="157"/>
    </row>
    <row r="18" spans="1:13" ht="20.25" customHeight="1">
      <c r="A18" s="2072" t="s">
        <v>1171</v>
      </c>
      <c r="B18" s="2073"/>
      <c r="C18" s="2073"/>
      <c r="D18" s="2073"/>
      <c r="E18" s="2073"/>
      <c r="F18" s="2073"/>
      <c r="G18" s="2073"/>
      <c r="H18" s="2074"/>
    </row>
    <row r="19" spans="1:13" ht="18" customHeight="1">
      <c r="A19" s="358"/>
      <c r="B19" s="358"/>
      <c r="C19" s="358"/>
      <c r="D19" s="358"/>
      <c r="E19" s="358"/>
      <c r="F19" s="2068" t="s">
        <v>1142</v>
      </c>
      <c r="G19" s="2068"/>
      <c r="H19" s="2068"/>
      <c r="I19" s="29"/>
      <c r="J19" s="29"/>
      <c r="K19" s="29"/>
      <c r="L19" s="29"/>
      <c r="M19" s="29"/>
    </row>
    <row r="20" spans="1:13" ht="21" customHeight="1">
      <c r="A20" s="359"/>
      <c r="B20" s="875" t="s">
        <v>266</v>
      </c>
      <c r="C20" s="875"/>
      <c r="D20" s="942" t="s">
        <v>804</v>
      </c>
      <c r="F20" s="942" t="s">
        <v>197</v>
      </c>
      <c r="G20" s="942"/>
      <c r="H20" s="1034" t="s">
        <v>826</v>
      </c>
    </row>
    <row r="27" spans="1:13" ht="16.5">
      <c r="B27" s="359" t="s">
        <v>830</v>
      </c>
      <c r="C27" s="358"/>
      <c r="D27" s="359" t="s">
        <v>828</v>
      </c>
      <c r="E27" s="358"/>
      <c r="F27" s="1837" t="s">
        <v>419</v>
      </c>
      <c r="G27" s="942"/>
      <c r="H27" s="942" t="s">
        <v>805</v>
      </c>
    </row>
    <row r="28" spans="1:13">
      <c r="D28" s="1" t="s">
        <v>268</v>
      </c>
    </row>
  </sheetData>
  <mergeCells count="17">
    <mergeCell ref="F19:H19"/>
    <mergeCell ref="A6:E6"/>
    <mergeCell ref="A7:E7"/>
    <mergeCell ref="F11:F12"/>
    <mergeCell ref="A17:B17"/>
    <mergeCell ref="A18:H18"/>
    <mergeCell ref="A2:H2"/>
    <mergeCell ref="A3:H3"/>
    <mergeCell ref="A4:H4"/>
    <mergeCell ref="A9:H9"/>
    <mergeCell ref="A11:A12"/>
    <mergeCell ref="B11:B12"/>
    <mergeCell ref="C11:C12"/>
    <mergeCell ref="D11:D12"/>
    <mergeCell ref="E11:E12"/>
    <mergeCell ref="G11:G12"/>
    <mergeCell ref="H11:H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X48"/>
  <sheetViews>
    <sheetView topLeftCell="A11" zoomScale="70" zoomScaleNormal="70" workbookViewId="0">
      <selection activeCell="T11" sqref="T1:W1048576"/>
    </sheetView>
  </sheetViews>
  <sheetFormatPr defaultColWidth="6.28515625" defaultRowHeight="15.75"/>
  <cols>
    <col min="1" max="1" width="4.7109375" style="1075" customWidth="1"/>
    <col min="2" max="2" width="0" style="1075" hidden="1" customWidth="1"/>
    <col min="3" max="4" width="0" style="100" hidden="1" customWidth="1"/>
    <col min="5" max="5" width="13.7109375" style="102" customWidth="1"/>
    <col min="6" max="6" width="12.7109375" style="99" customWidth="1"/>
    <col min="7" max="7" width="9" style="104" customWidth="1"/>
    <col min="8" max="8" width="8" style="99" customWidth="1"/>
    <col min="9" max="9" width="9.42578125" style="99" customWidth="1"/>
    <col min="10" max="10" width="8" style="99" customWidth="1"/>
    <col min="11" max="11" width="10.140625" style="99" bestFit="1" customWidth="1"/>
    <col min="12" max="12" width="13.42578125" style="99" customWidth="1"/>
    <col min="13" max="13" width="11.5703125" style="103" customWidth="1"/>
    <col min="14" max="14" width="10.42578125" style="103" customWidth="1"/>
    <col min="15" max="15" width="15.42578125" style="101" customWidth="1"/>
    <col min="16" max="16" width="17.140625" style="99" customWidth="1"/>
    <col min="17" max="17" width="12.42578125" style="99" customWidth="1"/>
    <col min="18" max="18" width="14.28515625" style="99" customWidth="1"/>
    <col min="19" max="19" width="17.140625" style="99" customWidth="1"/>
    <col min="20" max="20" width="15.5703125" style="99" hidden="1" customWidth="1"/>
    <col min="21" max="21" width="11.85546875" style="99" hidden="1" customWidth="1"/>
    <col min="22" max="22" width="18.42578125" style="99" hidden="1" customWidth="1"/>
    <col min="23" max="23" width="12.28515625" style="99" hidden="1" customWidth="1"/>
    <col min="24" max="24" width="9.140625" style="99" customWidth="1"/>
    <col min="25" max="25" width="6.5703125" style="99" bestFit="1" customWidth="1"/>
    <col min="26" max="16384" width="6.28515625" style="99"/>
  </cols>
  <sheetData>
    <row r="2" spans="1:24" ht="21.75" customHeight="1">
      <c r="A2" s="2077" t="s">
        <v>90</v>
      </c>
      <c r="B2" s="2077"/>
      <c r="C2" s="2077"/>
      <c r="D2" s="2077"/>
      <c r="E2" s="2077"/>
      <c r="F2" s="2077"/>
      <c r="G2" s="2077"/>
      <c r="H2" s="2077"/>
      <c r="I2" s="2077"/>
      <c r="J2" s="2077"/>
      <c r="K2" s="2077"/>
      <c r="L2" s="2077"/>
      <c r="M2" s="2077"/>
      <c r="N2" s="2077"/>
      <c r="O2" s="2077"/>
      <c r="P2" s="2077"/>
      <c r="Q2" s="2077"/>
      <c r="R2" s="2077"/>
      <c r="S2" s="2077"/>
      <c r="T2" s="377"/>
      <c r="U2" s="377"/>
      <c r="V2" s="377"/>
      <c r="W2" s="377"/>
    </row>
    <row r="3" spans="1:24" ht="21.75" customHeight="1">
      <c r="A3" s="2077" t="s">
        <v>6</v>
      </c>
      <c r="B3" s="2077"/>
      <c r="C3" s="2077"/>
      <c r="D3" s="2077"/>
      <c r="E3" s="2077"/>
      <c r="F3" s="2077"/>
      <c r="G3" s="2077"/>
      <c r="H3" s="2077"/>
      <c r="I3" s="2077"/>
      <c r="J3" s="2077"/>
      <c r="K3" s="2077"/>
      <c r="L3" s="2077"/>
      <c r="M3" s="2077"/>
      <c r="N3" s="2077"/>
      <c r="O3" s="2077"/>
      <c r="P3" s="2077"/>
      <c r="Q3" s="2077"/>
      <c r="R3" s="2077"/>
      <c r="S3" s="2077"/>
      <c r="T3" s="224"/>
      <c r="U3" s="224"/>
      <c r="V3" s="224"/>
      <c r="W3" s="224"/>
    </row>
    <row r="4" spans="1:24" ht="16.5" customHeight="1">
      <c r="A4" s="2078" t="s">
        <v>604</v>
      </c>
      <c r="B4" s="2077"/>
      <c r="C4" s="2077"/>
      <c r="D4" s="2077"/>
      <c r="E4" s="2077"/>
      <c r="F4" s="2077"/>
      <c r="G4" s="2077"/>
      <c r="H4" s="2077"/>
      <c r="I4" s="2077"/>
      <c r="J4" s="2077"/>
      <c r="K4" s="2077"/>
      <c r="L4" s="2077"/>
      <c r="M4" s="2077"/>
      <c r="N4" s="2077"/>
      <c r="O4" s="2077"/>
      <c r="P4" s="2077"/>
      <c r="Q4" s="2077"/>
      <c r="R4" s="2077"/>
      <c r="S4" s="2077"/>
      <c r="T4" s="224"/>
      <c r="U4" s="224"/>
      <c r="V4" s="224"/>
      <c r="W4" s="224"/>
    </row>
    <row r="5" spans="1:24" ht="15.75" customHeight="1"/>
    <row r="6" spans="1:24" ht="20.25" customHeight="1">
      <c r="A6" s="2079" t="s">
        <v>5</v>
      </c>
      <c r="B6" s="2079"/>
      <c r="C6" s="2079"/>
      <c r="D6" s="2079"/>
      <c r="E6" s="2079"/>
      <c r="F6" s="2079"/>
      <c r="G6" s="2079"/>
      <c r="H6" s="2079"/>
      <c r="I6" s="2079"/>
      <c r="J6" s="2079"/>
      <c r="K6" s="2079"/>
      <c r="L6" s="2079"/>
      <c r="M6" s="105"/>
      <c r="N6" s="105"/>
      <c r="O6" s="106"/>
      <c r="P6" s="2080"/>
      <c r="Q6" s="2080"/>
      <c r="R6" s="2080"/>
      <c r="S6" s="3"/>
    </row>
    <row r="7" spans="1:24" ht="21" customHeight="1">
      <c r="A7" s="2081" t="s">
        <v>906</v>
      </c>
      <c r="B7" s="2081"/>
      <c r="C7" s="2081"/>
      <c r="D7" s="2081"/>
      <c r="E7" s="2081"/>
      <c r="F7" s="2081"/>
      <c r="G7" s="2081"/>
      <c r="H7" s="2081"/>
      <c r="I7" s="2081"/>
      <c r="J7" s="2081"/>
      <c r="K7" s="2081"/>
      <c r="L7" s="2081"/>
      <c r="M7" s="105"/>
      <c r="N7" s="105"/>
      <c r="O7" s="106"/>
      <c r="P7" s="1095"/>
      <c r="Q7" s="1095"/>
      <c r="R7" s="1095"/>
      <c r="S7" s="3"/>
    </row>
    <row r="8" spans="1:24" ht="21.75" customHeight="1">
      <c r="A8" s="107"/>
      <c r="B8" s="107"/>
      <c r="C8" s="108"/>
      <c r="D8" s="108"/>
      <c r="E8" s="107"/>
      <c r="F8" s="107"/>
      <c r="G8" s="107"/>
      <c r="H8" s="107"/>
      <c r="I8" s="107"/>
      <c r="J8" s="107"/>
      <c r="K8" s="107"/>
      <c r="L8" s="109"/>
      <c r="M8" s="110"/>
      <c r="N8" s="110"/>
      <c r="O8" s="111"/>
      <c r="P8" s="2082"/>
      <c r="Q8" s="2082"/>
      <c r="R8" s="2082"/>
      <c r="S8" s="4"/>
    </row>
    <row r="9" spans="1:24" ht="25.5">
      <c r="A9" s="2083" t="s">
        <v>1141</v>
      </c>
      <c r="B9" s="2083"/>
      <c r="C9" s="2083"/>
      <c r="D9" s="2083"/>
      <c r="E9" s="2083"/>
      <c r="F9" s="2083"/>
      <c r="G9" s="2083"/>
      <c r="H9" s="2083"/>
      <c r="I9" s="2083"/>
      <c r="J9" s="2083"/>
      <c r="K9" s="2083"/>
      <c r="L9" s="2083"/>
      <c r="M9" s="2083"/>
      <c r="N9" s="2083"/>
      <c r="O9" s="2083"/>
      <c r="P9" s="2083"/>
      <c r="Q9" s="2083"/>
      <c r="R9" s="2083"/>
      <c r="S9" s="2083"/>
    </row>
    <row r="10" spans="1:24" ht="15.75" customHeight="1">
      <c r="A10" s="107"/>
      <c r="B10" s="107"/>
      <c r="C10" s="107"/>
      <c r="D10" s="107"/>
      <c r="E10" s="1069"/>
      <c r="F10" s="1069"/>
      <c r="G10" s="1069"/>
      <c r="H10" s="1131">
        <f>'CNKT '!E11</f>
        <v>656</v>
      </c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</row>
    <row r="11" spans="1:24" ht="16.5">
      <c r="A11" s="1091"/>
      <c r="B11" s="1091"/>
      <c r="C11" s="847"/>
      <c r="D11" s="847"/>
      <c r="E11" s="2084" t="s">
        <v>205</v>
      </c>
      <c r="F11" s="2084"/>
      <c r="G11" s="2085">
        <v>21863</v>
      </c>
      <c r="H11" s="2085"/>
      <c r="I11" s="1076"/>
      <c r="J11" s="1076"/>
      <c r="K11" s="885"/>
      <c r="L11" s="1091"/>
      <c r="M11" s="911"/>
      <c r="N11" s="911"/>
      <c r="O11" s="1091"/>
      <c r="P11" s="2086"/>
      <c r="Q11" s="2086"/>
      <c r="R11" s="1091"/>
      <c r="S11" s="1091"/>
    </row>
    <row r="12" spans="1:24" ht="16.5">
      <c r="A12" s="848"/>
      <c r="B12" s="848"/>
      <c r="C12" s="849"/>
      <c r="D12" s="1077"/>
      <c r="E12" s="2075" t="s">
        <v>62</v>
      </c>
      <c r="F12" s="2075"/>
      <c r="G12" s="2076">
        <v>0.88019999999999998</v>
      </c>
      <c r="H12" s="2076"/>
      <c r="I12" s="1084"/>
      <c r="J12" s="1084"/>
      <c r="K12" s="235"/>
      <c r="L12" s="912"/>
      <c r="M12" s="913"/>
      <c r="N12" s="913"/>
      <c r="O12" s="914"/>
      <c r="P12" s="915"/>
      <c r="Q12" s="915"/>
      <c r="R12" s="916" t="s">
        <v>59</v>
      </c>
      <c r="S12" s="917"/>
      <c r="T12" s="99">
        <f>'Bảng CC TX, BV  '!AK10</f>
        <v>24</v>
      </c>
    </row>
    <row r="13" spans="1:24" ht="26.25" customHeight="1">
      <c r="A13" s="2087" t="s">
        <v>28</v>
      </c>
      <c r="B13" s="2087" t="s">
        <v>210</v>
      </c>
      <c r="C13" s="1048" t="s">
        <v>29</v>
      </c>
      <c r="D13" s="1049"/>
      <c r="E13" s="2089" t="s">
        <v>83</v>
      </c>
      <c r="F13" s="2092" t="s">
        <v>33</v>
      </c>
      <c r="G13" s="2093" t="s">
        <v>34</v>
      </c>
      <c r="H13" s="2094"/>
      <c r="I13" s="2094"/>
      <c r="J13" s="2094"/>
      <c r="K13" s="2094"/>
      <c r="L13" s="2094"/>
      <c r="M13" s="2094"/>
      <c r="N13" s="2094"/>
      <c r="O13" s="2094"/>
      <c r="P13" s="2095"/>
      <c r="Q13" s="2098" t="s">
        <v>212</v>
      </c>
      <c r="R13" s="2096" t="s">
        <v>752</v>
      </c>
      <c r="S13" s="2097" t="s">
        <v>19</v>
      </c>
      <c r="V13" s="99">
        <f>350*8874/26*13</f>
        <v>1552950</v>
      </c>
    </row>
    <row r="14" spans="1:24" ht="26.25" customHeight="1">
      <c r="A14" s="2087"/>
      <c r="B14" s="2087"/>
      <c r="C14" s="1050"/>
      <c r="D14" s="1051"/>
      <c r="E14" s="2090"/>
      <c r="F14" s="2087"/>
      <c r="G14" s="2066" t="s">
        <v>206</v>
      </c>
      <c r="H14" s="2066"/>
      <c r="I14" s="2066"/>
      <c r="J14" s="2066"/>
      <c r="K14" s="2066"/>
      <c r="L14" s="2087" t="s">
        <v>444</v>
      </c>
      <c r="M14" s="2096" t="s">
        <v>756</v>
      </c>
      <c r="N14" s="2096"/>
      <c r="O14" s="2096"/>
      <c r="P14" s="2096" t="s">
        <v>211</v>
      </c>
      <c r="Q14" s="2099"/>
      <c r="R14" s="2096"/>
      <c r="S14" s="2097"/>
    </row>
    <row r="15" spans="1:24" ht="90.75" customHeight="1">
      <c r="A15" s="2088"/>
      <c r="B15" s="2087"/>
      <c r="C15" s="699" t="s">
        <v>39</v>
      </c>
      <c r="D15" s="699" t="s">
        <v>255</v>
      </c>
      <c r="E15" s="2091"/>
      <c r="F15" s="2088"/>
      <c r="G15" s="700" t="s">
        <v>51</v>
      </c>
      <c r="H15" s="1092" t="s">
        <v>404</v>
      </c>
      <c r="I15" s="701" t="s">
        <v>31</v>
      </c>
      <c r="J15" s="701" t="s">
        <v>445</v>
      </c>
      <c r="K15" s="1092" t="s">
        <v>8</v>
      </c>
      <c r="L15" s="2087"/>
      <c r="M15" s="702" t="s">
        <v>208</v>
      </c>
      <c r="N15" s="702" t="s">
        <v>850</v>
      </c>
      <c r="O15" s="1092" t="s">
        <v>851</v>
      </c>
      <c r="P15" s="2096"/>
      <c r="Q15" s="2100"/>
      <c r="R15" s="2096"/>
      <c r="S15" s="2097"/>
      <c r="T15" s="138" t="s">
        <v>242</v>
      </c>
      <c r="V15" s="99">
        <f>1926.19*25000</f>
        <v>48154750</v>
      </c>
      <c r="X15" s="99">
        <f>1050*K11</f>
        <v>0</v>
      </c>
    </row>
    <row r="16" spans="1:24" ht="31.5" customHeight="1">
      <c r="A16" s="1093" t="s">
        <v>114</v>
      </c>
      <c r="B16" s="1083"/>
      <c r="C16" s="699"/>
      <c r="D16" s="699"/>
      <c r="E16" s="2102" t="s">
        <v>755</v>
      </c>
      <c r="F16" s="2103"/>
      <c r="G16" s="2103"/>
      <c r="H16" s="2103"/>
      <c r="I16" s="871"/>
      <c r="J16" s="871"/>
      <c r="K16" s="871"/>
      <c r="L16" s="871"/>
      <c r="M16" s="871"/>
      <c r="N16" s="871"/>
      <c r="O16" s="871"/>
      <c r="P16" s="871"/>
      <c r="Q16" s="871"/>
      <c r="R16" s="871"/>
      <c r="S16" s="872"/>
      <c r="T16" s="138"/>
    </row>
    <row r="17" spans="1:23" s="121" customFormat="1" ht="29.25" customHeight="1">
      <c r="A17" s="585">
        <v>1</v>
      </c>
      <c r="B17" s="703"/>
      <c r="C17" s="703"/>
      <c r="D17" s="704"/>
      <c r="E17" s="420" t="str">
        <f>'Bảng CC TX, BV  '!B13</f>
        <v>Phi Ba Con</v>
      </c>
      <c r="F17" s="420" t="s">
        <v>204</v>
      </c>
      <c r="G17" s="705">
        <f>'Bảng CC TX, BV  '!AI13</f>
        <v>24</v>
      </c>
      <c r="H17" s="706">
        <v>320</v>
      </c>
      <c r="I17" s="706"/>
      <c r="J17" s="706">
        <f>H17</f>
        <v>320</v>
      </c>
      <c r="K17" s="707" t="s">
        <v>27</v>
      </c>
      <c r="L17" s="373">
        <f>ROUND((G17*J17/$T$12*$G$11),0)</f>
        <v>6996160</v>
      </c>
      <c r="M17" s="708"/>
      <c r="N17" s="708"/>
      <c r="O17" s="708"/>
      <c r="P17" s="708">
        <f>L17</f>
        <v>6996160</v>
      </c>
      <c r="Q17" s="1873">
        <f>ROUND(IF(P17&gt;65000000,((P17-65000000)*25%+10685000),IF(P17&gt;25000000,((P17-25000000)*20%+2685000),IF(P17&gt;15000000,((P17-15000000)*15%+1185000),IF(P17&gt;5000000,(P17-5000000)*10%+185000,IF(P17&gt;1300000,(P17-1300000)*5%,0))))),0)</f>
        <v>384616</v>
      </c>
      <c r="R17" s="709">
        <f>P17-Q17</f>
        <v>6611544</v>
      </c>
      <c r="S17" s="711"/>
      <c r="T17" s="139"/>
      <c r="U17" s="122"/>
    </row>
    <row r="18" spans="1:23" s="121" customFormat="1" ht="29.25" customHeight="1">
      <c r="A18" s="585">
        <v>2</v>
      </c>
      <c r="B18" s="703"/>
      <c r="C18" s="703"/>
      <c r="D18" s="704" t="s">
        <v>234</v>
      </c>
      <c r="E18" s="420" t="str">
        <f>'Bảng CC TX, BV  '!B14</f>
        <v>Ca Tăn</v>
      </c>
      <c r="F18" s="420" t="s">
        <v>204</v>
      </c>
      <c r="G18" s="705">
        <f>'Bảng CC TX, BV  '!AI14</f>
        <v>24</v>
      </c>
      <c r="H18" s="706">
        <v>350</v>
      </c>
      <c r="I18" s="706">
        <v>50</v>
      </c>
      <c r="J18" s="706">
        <f>H18+I18</f>
        <v>400</v>
      </c>
      <c r="K18" s="707" t="s">
        <v>27</v>
      </c>
      <c r="L18" s="373">
        <f>ROUND((G18*J18/$T$12*$G$11),0)</f>
        <v>8745200</v>
      </c>
      <c r="M18" s="708"/>
      <c r="N18" s="708"/>
      <c r="O18" s="708"/>
      <c r="P18" s="708">
        <f>L18</f>
        <v>8745200</v>
      </c>
      <c r="Q18" s="1873">
        <f t="shared" ref="Q18:Q20" si="0">ROUND(IF(P18&gt;65000000,((P18-65000000)*25%+10685000),IF(P18&gt;25000000,((P18-25000000)*20%+2685000),IF(P18&gt;15000000,((P18-15000000)*15%+1185000),IF(P18&gt;5000000,(P18-5000000)*10%+185000,IF(P18&gt;1300000,(P18-1300000)*5%,0))))),0)</f>
        <v>559520</v>
      </c>
      <c r="R18" s="709">
        <f>P18-Q18</f>
        <v>8185680</v>
      </c>
      <c r="S18" s="711"/>
      <c r="T18" s="139" t="e">
        <f>VLOOKUP(E18,#REF!,3,0)</f>
        <v>#REF!</v>
      </c>
      <c r="U18" s="122" t="e">
        <f>+D18-T18</f>
        <v>#REF!</v>
      </c>
      <c r="V18" s="121">
        <f>+H18*$K$11</f>
        <v>0</v>
      </c>
    </row>
    <row r="19" spans="1:23" s="121" customFormat="1" ht="29.25" customHeight="1">
      <c r="A19" s="585">
        <v>3</v>
      </c>
      <c r="B19" s="712"/>
      <c r="C19" s="712"/>
      <c r="D19" s="704" t="s">
        <v>273</v>
      </c>
      <c r="E19" s="420" t="str">
        <f>'Bảng CC TX, BV  '!B15</f>
        <v>Đao Tha La</v>
      </c>
      <c r="F19" s="1010" t="s">
        <v>204</v>
      </c>
      <c r="G19" s="705">
        <f>'Bảng CC TX, BV  '!AI15</f>
        <v>24</v>
      </c>
      <c r="H19" s="706">
        <f>350/T12*$G$19</f>
        <v>350</v>
      </c>
      <c r="I19" s="706"/>
      <c r="J19" s="706">
        <f>H19</f>
        <v>350</v>
      </c>
      <c r="K19" s="707" t="s">
        <v>27</v>
      </c>
      <c r="L19" s="373">
        <f t="shared" ref="L19" si="1">ROUND((G19*J19/$T$12*$G$11),0)</f>
        <v>7652050</v>
      </c>
      <c r="M19" s="708"/>
      <c r="N19" s="708"/>
      <c r="O19" s="708"/>
      <c r="P19" s="708">
        <f>L19</f>
        <v>7652050</v>
      </c>
      <c r="Q19" s="1873">
        <f t="shared" si="0"/>
        <v>450205</v>
      </c>
      <c r="R19" s="709">
        <f>P19-Q19</f>
        <v>7201845</v>
      </c>
      <c r="S19" s="375"/>
      <c r="T19" s="139" t="e">
        <f>VLOOKUP(E19,#REF!,3,0)</f>
        <v>#REF!</v>
      </c>
      <c r="U19" s="122" t="e">
        <f>+D19-T19</f>
        <v>#REF!</v>
      </c>
      <c r="V19" s="121">
        <f>+H19*$K$11</f>
        <v>0</v>
      </c>
    </row>
    <row r="20" spans="1:23" s="121" customFormat="1" ht="29.25" customHeight="1">
      <c r="A20" s="585">
        <v>4</v>
      </c>
      <c r="B20" s="712"/>
      <c r="C20" s="712"/>
      <c r="D20" s="704" t="s">
        <v>294</v>
      </c>
      <c r="E20" s="420" t="str">
        <f>'Bảng CC TX, BV  '!B16</f>
        <v>Sum Mai</v>
      </c>
      <c r="F20" s="1010" t="s">
        <v>204</v>
      </c>
      <c r="G20" s="705">
        <f>'Bảng CC TX, BV  '!AI16</f>
        <v>24</v>
      </c>
      <c r="H20" s="706">
        <f>310/T12*$G$20</f>
        <v>310</v>
      </c>
      <c r="I20" s="706"/>
      <c r="J20" s="706">
        <f>H20</f>
        <v>310</v>
      </c>
      <c r="K20" s="707" t="s">
        <v>27</v>
      </c>
      <c r="L20" s="373">
        <f>ROUND((G20*J20/$T$12*$G$11),0)</f>
        <v>6777530</v>
      </c>
      <c r="M20" s="708"/>
      <c r="N20" s="708"/>
      <c r="O20" s="708"/>
      <c r="P20" s="708">
        <f>L20</f>
        <v>6777530</v>
      </c>
      <c r="Q20" s="1873">
        <f t="shared" si="0"/>
        <v>362753</v>
      </c>
      <c r="R20" s="709">
        <f>P20-Q20</f>
        <v>6414777</v>
      </c>
      <c r="S20" s="375"/>
      <c r="T20" s="139"/>
      <c r="U20" s="122"/>
    </row>
    <row r="21" spans="1:23" s="121" customFormat="1" ht="29.25" hidden="1" customHeight="1">
      <c r="A21" s="585" t="s">
        <v>99</v>
      </c>
      <c r="B21" s="712"/>
      <c r="C21" s="712"/>
      <c r="D21" s="704"/>
      <c r="E21" s="2102" t="s">
        <v>757</v>
      </c>
      <c r="F21" s="2103"/>
      <c r="G21" s="2103"/>
      <c r="H21" s="2104"/>
      <c r="I21" s="706"/>
      <c r="J21" s="706"/>
      <c r="K21" s="707"/>
      <c r="L21" s="373"/>
      <c r="M21" s="708"/>
      <c r="N21" s="708"/>
      <c r="O21" s="708"/>
      <c r="P21" s="708"/>
      <c r="Q21" s="1873"/>
      <c r="R21" s="709"/>
      <c r="S21" s="375"/>
      <c r="T21" s="139"/>
      <c r="U21" s="122"/>
    </row>
    <row r="22" spans="1:23" s="121" customFormat="1" ht="29.25" hidden="1" customHeight="1">
      <c r="A22" s="2105" t="s">
        <v>873</v>
      </c>
      <c r="B22" s="2106"/>
      <c r="C22" s="2106"/>
      <c r="D22" s="2106"/>
      <c r="E22" s="2106"/>
      <c r="F22" s="2107"/>
      <c r="G22" s="705"/>
      <c r="H22" s="706"/>
      <c r="I22" s="706"/>
      <c r="J22" s="706"/>
      <c r="K22" s="707"/>
      <c r="L22" s="713"/>
      <c r="M22" s="708"/>
      <c r="N22" s="708"/>
      <c r="O22" s="708"/>
      <c r="P22" s="708"/>
      <c r="Q22" s="714"/>
      <c r="R22" s="709"/>
      <c r="S22" s="375"/>
      <c r="T22" s="139">
        <f>130.79*H10</f>
        <v>85798.239999999991</v>
      </c>
      <c r="U22" s="122"/>
    </row>
    <row r="23" spans="1:23" s="121" customFormat="1" ht="29.25" hidden="1" customHeight="1">
      <c r="A23" s="585">
        <v>5</v>
      </c>
      <c r="B23" s="712"/>
      <c r="C23" s="712"/>
      <c r="D23" s="715" t="s">
        <v>249</v>
      </c>
      <c r="E23" s="420" t="s">
        <v>244</v>
      </c>
      <c r="F23" s="420" t="s">
        <v>296</v>
      </c>
      <c r="G23" s="705"/>
      <c r="H23" s="706"/>
      <c r="I23" s="706"/>
      <c r="J23" s="706"/>
      <c r="K23" s="707"/>
      <c r="L23" s="713"/>
      <c r="M23" s="716">
        <f>VLOOKUP(E23,'Khối lượng TC'!B15:AK26,36,0)</f>
        <v>0</v>
      </c>
      <c r="N23" s="708">
        <f>130.79*$H$10</f>
        <v>85798.239999999991</v>
      </c>
      <c r="O23" s="708">
        <f>M23*N23</f>
        <v>0</v>
      </c>
      <c r="P23" s="708">
        <f>O23</f>
        <v>0</v>
      </c>
      <c r="Q23" s="710"/>
      <c r="R23" s="709">
        <f t="shared" ref="R23:R34" si="2">P23-Q23</f>
        <v>0</v>
      </c>
      <c r="S23" s="375"/>
      <c r="T23" s="139"/>
      <c r="U23" s="122"/>
    </row>
    <row r="24" spans="1:23" s="121" customFormat="1" ht="29.25" hidden="1" customHeight="1">
      <c r="A24" s="585">
        <v>6</v>
      </c>
      <c r="B24" s="712"/>
      <c r="C24" s="712"/>
      <c r="D24" s="715" t="s">
        <v>250</v>
      </c>
      <c r="E24" s="420" t="s">
        <v>214</v>
      </c>
      <c r="F24" s="420" t="s">
        <v>296</v>
      </c>
      <c r="G24" s="705"/>
      <c r="H24" s="706"/>
      <c r="I24" s="706"/>
      <c r="J24" s="706"/>
      <c r="K24" s="707"/>
      <c r="L24" s="713"/>
      <c r="M24" s="716">
        <f>VLOOKUP(E24,'Khối lượng TC'!B16:AK27,36,0)</f>
        <v>0</v>
      </c>
      <c r="N24" s="708">
        <f t="shared" ref="N24:N27" si="3">130.79*$H$10</f>
        <v>85798.239999999991</v>
      </c>
      <c r="O24" s="708">
        <f t="shared" ref="O24:O34" si="4">M24*N24</f>
        <v>0</v>
      </c>
      <c r="P24" s="708">
        <f t="shared" ref="P24:P34" si="5">O24</f>
        <v>0</v>
      </c>
      <c r="Q24" s="710"/>
      <c r="R24" s="709">
        <f t="shared" si="2"/>
        <v>0</v>
      </c>
      <c r="S24" s="375"/>
      <c r="T24" s="139"/>
      <c r="U24" s="122"/>
    </row>
    <row r="25" spans="1:23" s="121" customFormat="1" ht="29.25" hidden="1" customHeight="1">
      <c r="A25" s="585">
        <v>7</v>
      </c>
      <c r="B25" s="712"/>
      <c r="C25" s="712"/>
      <c r="D25" s="715" t="s">
        <v>251</v>
      </c>
      <c r="E25" s="420" t="s">
        <v>245</v>
      </c>
      <c r="F25" s="420" t="s">
        <v>296</v>
      </c>
      <c r="G25" s="705"/>
      <c r="H25" s="706"/>
      <c r="I25" s="706"/>
      <c r="J25" s="706"/>
      <c r="K25" s="707"/>
      <c r="L25" s="713"/>
      <c r="M25" s="716">
        <f>VLOOKUP(E25,'Khối lượng TC'!B17:AK28,36,0)</f>
        <v>0</v>
      </c>
      <c r="N25" s="708">
        <f t="shared" si="3"/>
        <v>85798.239999999991</v>
      </c>
      <c r="O25" s="708">
        <f t="shared" si="4"/>
        <v>0</v>
      </c>
      <c r="P25" s="708">
        <f t="shared" si="5"/>
        <v>0</v>
      </c>
      <c r="Q25" s="710"/>
      <c r="R25" s="709">
        <f t="shared" si="2"/>
        <v>0</v>
      </c>
      <c r="S25" s="375"/>
      <c r="T25" s="139"/>
      <c r="U25" s="122"/>
    </row>
    <row r="26" spans="1:23" s="121" customFormat="1" ht="29.25" hidden="1" customHeight="1">
      <c r="A26" s="585">
        <v>8</v>
      </c>
      <c r="B26" s="712"/>
      <c r="C26" s="712"/>
      <c r="D26" s="715" t="s">
        <v>252</v>
      </c>
      <c r="E26" s="420" t="s">
        <v>246</v>
      </c>
      <c r="F26" s="420" t="s">
        <v>296</v>
      </c>
      <c r="G26" s="705"/>
      <c r="H26" s="706"/>
      <c r="I26" s="706"/>
      <c r="J26" s="706"/>
      <c r="K26" s="707"/>
      <c r="L26" s="713"/>
      <c r="M26" s="716">
        <f>VLOOKUP(E26,'Khối lượng TC'!B18:AK29,36,0)</f>
        <v>0</v>
      </c>
      <c r="N26" s="708">
        <f t="shared" si="3"/>
        <v>85798.239999999991</v>
      </c>
      <c r="O26" s="708">
        <f t="shared" si="4"/>
        <v>0</v>
      </c>
      <c r="P26" s="708">
        <f t="shared" si="5"/>
        <v>0</v>
      </c>
      <c r="Q26" s="710"/>
      <c r="R26" s="709">
        <f t="shared" si="2"/>
        <v>0</v>
      </c>
      <c r="S26" s="375"/>
      <c r="T26" s="139"/>
      <c r="U26" s="122"/>
    </row>
    <row r="27" spans="1:23" s="121" customFormat="1" ht="29.25" hidden="1" customHeight="1">
      <c r="A27" s="585">
        <v>9</v>
      </c>
      <c r="B27" s="712"/>
      <c r="C27" s="712"/>
      <c r="D27" s="715" t="s">
        <v>253</v>
      </c>
      <c r="E27" s="420" t="s">
        <v>247</v>
      </c>
      <c r="F27" s="420" t="s">
        <v>296</v>
      </c>
      <c r="G27" s="705"/>
      <c r="H27" s="706"/>
      <c r="I27" s="706"/>
      <c r="J27" s="706"/>
      <c r="K27" s="707"/>
      <c r="L27" s="713"/>
      <c r="M27" s="716">
        <f>VLOOKUP(E27,'Khối lượng TC'!B19:AK30,36,0)</f>
        <v>0</v>
      </c>
      <c r="N27" s="708">
        <f t="shared" si="3"/>
        <v>85798.239999999991</v>
      </c>
      <c r="O27" s="708">
        <f t="shared" si="4"/>
        <v>0</v>
      </c>
      <c r="P27" s="708">
        <f t="shared" si="5"/>
        <v>0</v>
      </c>
      <c r="Q27" s="710"/>
      <c r="R27" s="709">
        <f t="shared" si="2"/>
        <v>0</v>
      </c>
      <c r="S27" s="375"/>
      <c r="T27" s="139"/>
      <c r="U27" s="122"/>
      <c r="W27" s="1251">
        <f>M35-360</f>
        <v>-360</v>
      </c>
    </row>
    <row r="28" spans="1:23" s="121" customFormat="1" ht="29.25" hidden="1" customHeight="1">
      <c r="A28" s="585">
        <v>10</v>
      </c>
      <c r="B28" s="712"/>
      <c r="C28" s="712"/>
      <c r="D28" s="715" t="s">
        <v>254</v>
      </c>
      <c r="E28" s="420" t="s">
        <v>248</v>
      </c>
      <c r="F28" s="420" t="s">
        <v>296</v>
      </c>
      <c r="G28" s="705"/>
      <c r="H28" s="706"/>
      <c r="I28" s="706"/>
      <c r="J28" s="706"/>
      <c r="K28" s="707"/>
      <c r="L28" s="713"/>
      <c r="M28" s="716">
        <f>VLOOKUP(E28,'Khối lượng TC'!B20:AK31,36,0)</f>
        <v>0</v>
      </c>
      <c r="N28" s="708">
        <f>130.79*$H$10</f>
        <v>85798.239999999991</v>
      </c>
      <c r="O28" s="708">
        <f t="shared" si="4"/>
        <v>0</v>
      </c>
      <c r="P28" s="708">
        <f t="shared" si="5"/>
        <v>0</v>
      </c>
      <c r="Q28" s="710"/>
      <c r="R28" s="709">
        <f t="shared" si="2"/>
        <v>0</v>
      </c>
      <c r="S28" s="375"/>
      <c r="T28" s="139"/>
      <c r="U28" s="122"/>
    </row>
    <row r="29" spans="1:23" s="121" customFormat="1" ht="29.25" hidden="1" customHeight="1">
      <c r="A29" s="585">
        <v>11</v>
      </c>
      <c r="B29" s="712"/>
      <c r="C29" s="712"/>
      <c r="D29" s="715" t="s">
        <v>261</v>
      </c>
      <c r="E29" s="420" t="s">
        <v>257</v>
      </c>
      <c r="F29" s="420" t="s">
        <v>296</v>
      </c>
      <c r="G29" s="705"/>
      <c r="H29" s="706"/>
      <c r="I29" s="706"/>
      <c r="J29" s="706"/>
      <c r="K29" s="707"/>
      <c r="L29" s="713"/>
      <c r="M29" s="716">
        <f>VLOOKUP(E29,'Khối lượng TC'!B21:AK32,36,0)</f>
        <v>0</v>
      </c>
      <c r="N29" s="708">
        <f t="shared" ref="N29:N34" si="6">130.79*$H$10</f>
        <v>85798.239999999991</v>
      </c>
      <c r="O29" s="708">
        <f t="shared" si="4"/>
        <v>0</v>
      </c>
      <c r="P29" s="708">
        <f>O29</f>
        <v>0</v>
      </c>
      <c r="Q29" s="710"/>
      <c r="R29" s="709">
        <f t="shared" si="2"/>
        <v>0</v>
      </c>
      <c r="S29" s="375"/>
      <c r="T29" s="139"/>
      <c r="U29" s="122"/>
    </row>
    <row r="30" spans="1:23" s="121" customFormat="1" ht="29.25" hidden="1" customHeight="1">
      <c r="A30" s="585">
        <v>12</v>
      </c>
      <c r="B30" s="712"/>
      <c r="C30" s="712"/>
      <c r="D30" s="715" t="s">
        <v>262</v>
      </c>
      <c r="E30" s="420" t="s">
        <v>259</v>
      </c>
      <c r="F30" s="420" t="s">
        <v>296</v>
      </c>
      <c r="G30" s="705"/>
      <c r="H30" s="706"/>
      <c r="I30" s="706"/>
      <c r="J30" s="706"/>
      <c r="K30" s="707"/>
      <c r="L30" s="713"/>
      <c r="M30" s="716">
        <f>VLOOKUP(E30,'Khối lượng TC'!B22:AK33,36,0)</f>
        <v>0</v>
      </c>
      <c r="N30" s="708">
        <f t="shared" si="6"/>
        <v>85798.239999999991</v>
      </c>
      <c r="O30" s="708">
        <f t="shared" si="4"/>
        <v>0</v>
      </c>
      <c r="P30" s="708">
        <f t="shared" si="5"/>
        <v>0</v>
      </c>
      <c r="Q30" s="710"/>
      <c r="R30" s="709">
        <f t="shared" si="2"/>
        <v>0</v>
      </c>
      <c r="S30" s="375"/>
      <c r="T30" s="139"/>
      <c r="U30" s="122"/>
    </row>
    <row r="31" spans="1:23" s="121" customFormat="1" ht="29.25" hidden="1" customHeight="1">
      <c r="A31" s="585">
        <v>13</v>
      </c>
      <c r="B31" s="712"/>
      <c r="C31" s="712"/>
      <c r="D31" s="715" t="s">
        <v>263</v>
      </c>
      <c r="E31" s="420" t="s">
        <v>260</v>
      </c>
      <c r="F31" s="420" t="s">
        <v>296</v>
      </c>
      <c r="G31" s="705"/>
      <c r="H31" s="706"/>
      <c r="I31" s="706"/>
      <c r="J31" s="706"/>
      <c r="K31" s="707"/>
      <c r="L31" s="713"/>
      <c r="M31" s="716">
        <f>VLOOKUP(E31,'Khối lượng TC'!B23:AK34,36,0)</f>
        <v>0</v>
      </c>
      <c r="N31" s="708">
        <f t="shared" si="6"/>
        <v>85798.239999999991</v>
      </c>
      <c r="O31" s="708">
        <f t="shared" si="4"/>
        <v>0</v>
      </c>
      <c r="P31" s="708">
        <f t="shared" si="5"/>
        <v>0</v>
      </c>
      <c r="Q31" s="710"/>
      <c r="R31" s="709">
        <f t="shared" si="2"/>
        <v>0</v>
      </c>
      <c r="S31" s="375"/>
      <c r="T31" s="139"/>
      <c r="U31" s="122"/>
    </row>
    <row r="32" spans="1:23" s="121" customFormat="1" ht="29.25" hidden="1" customHeight="1">
      <c r="A32" s="585">
        <v>14</v>
      </c>
      <c r="B32" s="712"/>
      <c r="C32" s="712"/>
      <c r="D32" s="715" t="s">
        <v>264</v>
      </c>
      <c r="E32" s="420" t="s">
        <v>141</v>
      </c>
      <c r="F32" s="420" t="s">
        <v>296</v>
      </c>
      <c r="G32" s="705"/>
      <c r="H32" s="706"/>
      <c r="I32" s="706"/>
      <c r="J32" s="706"/>
      <c r="K32" s="707"/>
      <c r="L32" s="713"/>
      <c r="M32" s="716">
        <f>VLOOKUP(E32,'Khối lượng TC'!B24:AK35,36,0)</f>
        <v>0</v>
      </c>
      <c r="N32" s="708">
        <f t="shared" si="6"/>
        <v>85798.239999999991</v>
      </c>
      <c r="O32" s="708">
        <f t="shared" si="4"/>
        <v>0</v>
      </c>
      <c r="P32" s="708">
        <f t="shared" si="5"/>
        <v>0</v>
      </c>
      <c r="Q32" s="710"/>
      <c r="R32" s="709">
        <f t="shared" si="2"/>
        <v>0</v>
      </c>
      <c r="S32" s="375"/>
      <c r="T32" s="139"/>
      <c r="U32" s="122"/>
    </row>
    <row r="33" spans="1:23" s="121" customFormat="1" ht="29.25" hidden="1" customHeight="1">
      <c r="A33" s="585">
        <v>15</v>
      </c>
      <c r="B33" s="712"/>
      <c r="C33" s="712"/>
      <c r="D33" s="704"/>
      <c r="E33" s="420" t="s">
        <v>4</v>
      </c>
      <c r="F33" s="420" t="s">
        <v>296</v>
      </c>
      <c r="G33" s="705"/>
      <c r="H33" s="706"/>
      <c r="I33" s="706"/>
      <c r="J33" s="706"/>
      <c r="K33" s="707"/>
      <c r="L33" s="713"/>
      <c r="M33" s="716">
        <f>VLOOKUP(E33,'Khối lượng TC'!B25:AK36,36,0)</f>
        <v>0</v>
      </c>
      <c r="N33" s="708">
        <f t="shared" si="6"/>
        <v>85798.239999999991</v>
      </c>
      <c r="O33" s="708">
        <f t="shared" si="4"/>
        <v>0</v>
      </c>
      <c r="P33" s="708">
        <f t="shared" si="5"/>
        <v>0</v>
      </c>
      <c r="Q33" s="710"/>
      <c r="R33" s="709">
        <f t="shared" si="2"/>
        <v>0</v>
      </c>
      <c r="S33" s="375"/>
      <c r="T33" s="139"/>
      <c r="U33" s="122"/>
    </row>
    <row r="34" spans="1:23" s="121" customFormat="1" ht="29.25" hidden="1" customHeight="1">
      <c r="A34" s="585">
        <v>16</v>
      </c>
      <c r="B34" s="712"/>
      <c r="C34" s="712"/>
      <c r="D34" s="704"/>
      <c r="E34" s="420" t="s">
        <v>137</v>
      </c>
      <c r="F34" s="420" t="s">
        <v>296</v>
      </c>
      <c r="G34" s="705"/>
      <c r="H34" s="706"/>
      <c r="I34" s="706"/>
      <c r="J34" s="706"/>
      <c r="K34" s="707"/>
      <c r="L34" s="713"/>
      <c r="M34" s="716">
        <f>VLOOKUP(E34,'Khối lượng TC'!B26:AK37,36,0)</f>
        <v>0</v>
      </c>
      <c r="N34" s="708">
        <f t="shared" si="6"/>
        <v>85798.239999999991</v>
      </c>
      <c r="O34" s="708">
        <f t="shared" si="4"/>
        <v>0</v>
      </c>
      <c r="P34" s="708">
        <f t="shared" si="5"/>
        <v>0</v>
      </c>
      <c r="Q34" s="710"/>
      <c r="R34" s="709">
        <f t="shared" si="2"/>
        <v>0</v>
      </c>
      <c r="S34" s="375"/>
      <c r="T34" s="139"/>
      <c r="U34" s="122"/>
    </row>
    <row r="35" spans="1:23" s="121" customFormat="1" ht="29.25" customHeight="1">
      <c r="A35" s="2108" t="s">
        <v>209</v>
      </c>
      <c r="B35" s="2108"/>
      <c r="C35" s="2108"/>
      <c r="D35" s="2108"/>
      <c r="E35" s="2108"/>
      <c r="F35" s="2108"/>
      <c r="G35" s="717">
        <f>SUM(G17:G34)</f>
        <v>96</v>
      </c>
      <c r="H35" s="717"/>
      <c r="I35" s="717">
        <f>SUM(I17:I21)</f>
        <v>50</v>
      </c>
      <c r="J35" s="717"/>
      <c r="K35" s="717"/>
      <c r="L35" s="717">
        <f>SUM(L17:L21)</f>
        <v>30170940</v>
      </c>
      <c r="M35" s="1039"/>
      <c r="N35" s="717"/>
      <c r="O35" s="717"/>
      <c r="P35" s="1245">
        <f>SUM(P17:P34)</f>
        <v>30170940</v>
      </c>
      <c r="Q35" s="717">
        <f>SUM(Q17:Q34)</f>
        <v>1757094</v>
      </c>
      <c r="R35" s="717">
        <f>SUM(R17:R34)</f>
        <v>28413846</v>
      </c>
      <c r="S35" s="375"/>
      <c r="T35" s="122" t="e">
        <f>+R35-#REF!</f>
        <v>#REF!</v>
      </c>
      <c r="U35" s="303" t="e">
        <f>+P35-Q35-#REF!-#REF!</f>
        <v>#REF!</v>
      </c>
      <c r="V35" s="122">
        <f>+P35-Q35</f>
        <v>28413846</v>
      </c>
      <c r="W35" s="121">
        <f>+M35*60000</f>
        <v>0</v>
      </c>
    </row>
    <row r="36" spans="1:23" ht="33" customHeight="1">
      <c r="A36" s="2109" t="s">
        <v>1177</v>
      </c>
      <c r="B36" s="2109"/>
      <c r="C36" s="2109"/>
      <c r="D36" s="2109"/>
      <c r="E36" s="2109"/>
      <c r="F36" s="2109"/>
      <c r="G36" s="2109"/>
      <c r="H36" s="2109"/>
      <c r="I36" s="2109"/>
      <c r="J36" s="2109"/>
      <c r="K36" s="2109"/>
      <c r="L36" s="2109"/>
      <c r="M36" s="2109"/>
      <c r="N36" s="2109"/>
      <c r="O36" s="2109"/>
      <c r="P36" s="2109"/>
      <c r="Q36" s="2109"/>
      <c r="R36" s="2109"/>
      <c r="S36" s="2109"/>
    </row>
    <row r="37" spans="1:23" ht="12" customHeight="1">
      <c r="A37" s="886"/>
      <c r="B37" s="886"/>
      <c r="C37" s="886"/>
      <c r="D37" s="886"/>
      <c r="E37" s="886"/>
      <c r="F37" s="886"/>
      <c r="G37" s="886"/>
      <c r="H37" s="886"/>
      <c r="I37" s="886"/>
      <c r="J37" s="886"/>
      <c r="K37" s="886"/>
      <c r="L37" s="886"/>
      <c r="M37" s="886"/>
      <c r="N37" s="886"/>
      <c r="O37" s="886"/>
      <c r="P37" s="886"/>
      <c r="Q37" s="886"/>
      <c r="R37" s="886"/>
      <c r="S37" s="886"/>
    </row>
    <row r="38" spans="1:23" ht="16.5">
      <c r="A38" s="1076"/>
      <c r="B38" s="1076"/>
      <c r="C38" s="1078"/>
      <c r="D38" s="1078"/>
      <c r="E38" s="718"/>
      <c r="F38" s="235"/>
      <c r="G38" s="719"/>
      <c r="H38" s="235"/>
      <c r="I38" s="235"/>
      <c r="J38" s="235"/>
      <c r="K38" s="235"/>
      <c r="L38" s="720"/>
      <c r="M38" s="721"/>
      <c r="N38" s="721"/>
      <c r="O38" s="722"/>
      <c r="P38" s="2110" t="s">
        <v>1140</v>
      </c>
      <c r="Q38" s="2110"/>
      <c r="R38" s="2110"/>
      <c r="S38" s="2110"/>
      <c r="T38" s="160" t="e">
        <f>+P35-Q35-#REF!+#REF!-#REF!</f>
        <v>#REF!</v>
      </c>
      <c r="V38" s="95">
        <f>372*60000</f>
        <v>22320000</v>
      </c>
    </row>
    <row r="39" spans="1:23" ht="16.5">
      <c r="A39" s="360"/>
      <c r="B39" s="360"/>
      <c r="C39" s="2111" t="s">
        <v>46</v>
      </c>
      <c r="D39" s="2111"/>
      <c r="E39" s="2111"/>
      <c r="F39" s="2111"/>
      <c r="G39" s="360"/>
      <c r="H39" s="360"/>
      <c r="I39" s="360"/>
      <c r="J39" s="346" t="s">
        <v>45</v>
      </c>
      <c r="K39" s="723"/>
      <c r="M39" s="724"/>
      <c r="N39" s="2111" t="s">
        <v>101</v>
      </c>
      <c r="O39" s="2111"/>
      <c r="Q39" s="2111" t="s">
        <v>841</v>
      </c>
      <c r="R39" s="2111"/>
      <c r="S39" s="2111"/>
    </row>
    <row r="40" spans="1:23" ht="16.5">
      <c r="A40" s="235"/>
      <c r="B40" s="235"/>
      <c r="C40" s="1078"/>
      <c r="D40" s="1078"/>
      <c r="E40" s="725"/>
      <c r="F40" s="235"/>
      <c r="G40" s="720"/>
      <c r="H40" s="235"/>
      <c r="I40" s="235"/>
      <c r="J40" s="235"/>
      <c r="K40" s="235"/>
      <c r="L40" s="726"/>
      <c r="M40" s="721"/>
      <c r="N40" s="727"/>
      <c r="O40" s="728"/>
      <c r="P40" s="728"/>
      <c r="Q40" s="728"/>
      <c r="R40" s="728"/>
      <c r="S40" s="235"/>
      <c r="T40" s="160" t="e">
        <f>+P35-Q35-#REF!-#REF!</f>
        <v>#REF!</v>
      </c>
      <c r="V40" s="160" t="e">
        <f>+P35-Q35-#REF!-#REF!-#REF!</f>
        <v>#REF!</v>
      </c>
    </row>
    <row r="41" spans="1:23" ht="16.5">
      <c r="A41" s="235"/>
      <c r="B41" s="235"/>
      <c r="C41" s="1078"/>
      <c r="D41" s="1078"/>
      <c r="E41" s="235"/>
      <c r="F41" s="235"/>
      <c r="G41" s="729"/>
      <c r="H41" s="730"/>
      <c r="I41" s="730"/>
      <c r="J41" s="730"/>
      <c r="K41" s="235"/>
      <c r="L41" s="730"/>
      <c r="M41" s="731"/>
      <c r="N41" s="727"/>
      <c r="O41" s="732"/>
      <c r="P41" s="725"/>
      <c r="Q41" s="725"/>
      <c r="R41" s="235"/>
      <c r="S41" s="235"/>
      <c r="T41" s="160" t="e">
        <f>+P35-Q35-#REF!</f>
        <v>#REF!</v>
      </c>
      <c r="V41" s="160" t="e">
        <f>+P35-Q35-#REF!-#REF!</f>
        <v>#REF!</v>
      </c>
    </row>
    <row r="42" spans="1:23" ht="16.5">
      <c r="A42" s="235"/>
      <c r="B42" s="235"/>
      <c r="C42" s="1078"/>
      <c r="D42" s="1078"/>
      <c r="E42" s="235"/>
      <c r="F42" s="235"/>
      <c r="G42" s="2112"/>
      <c r="H42" s="2112"/>
      <c r="I42" s="1094"/>
      <c r="J42" s="1094"/>
      <c r="K42" s="235"/>
      <c r="L42" s="730"/>
      <c r="M42" s="731"/>
      <c r="N42" s="727"/>
      <c r="O42" s="376"/>
      <c r="P42" s="1076"/>
      <c r="Q42" s="725"/>
      <c r="R42" s="235"/>
      <c r="S42" s="235"/>
    </row>
    <row r="43" spans="1:23" ht="16.5">
      <c r="A43" s="235"/>
      <c r="B43" s="235"/>
      <c r="C43" s="1078"/>
      <c r="D43" s="1078"/>
      <c r="E43" s="235"/>
      <c r="F43" s="235"/>
      <c r="G43" s="720"/>
      <c r="H43" s="235"/>
      <c r="I43" s="235"/>
      <c r="J43" s="235"/>
      <c r="K43" s="235"/>
      <c r="L43" s="720"/>
      <c r="M43" s="731"/>
      <c r="N43" s="727"/>
      <c r="O43" s="235"/>
      <c r="P43" s="733"/>
      <c r="Q43" s="235"/>
      <c r="R43" s="235"/>
      <c r="S43" s="725"/>
      <c r="V43" s="99">
        <f>O35/25000</f>
        <v>0</v>
      </c>
    </row>
    <row r="44" spans="1:23" ht="16.5">
      <c r="A44" s="1084"/>
      <c r="B44" s="1084"/>
      <c r="C44" s="1077"/>
      <c r="D44" s="1077"/>
      <c r="E44" s="734"/>
      <c r="F44" s="723"/>
      <c r="G44" s="735"/>
      <c r="H44" s="723"/>
      <c r="I44" s="723"/>
      <c r="J44" s="723"/>
      <c r="K44" s="723"/>
      <c r="L44" s="736"/>
      <c r="M44" s="724"/>
      <c r="N44" s="724"/>
      <c r="O44" s="737"/>
      <c r="P44" s="723"/>
      <c r="Q44" s="723"/>
      <c r="R44" s="723"/>
      <c r="S44" s="723"/>
    </row>
    <row r="45" spans="1:23" ht="16.5">
      <c r="A45" s="1084"/>
      <c r="B45" s="1084"/>
      <c r="C45" s="1077"/>
      <c r="D45" s="1077"/>
      <c r="E45" s="2113" t="s">
        <v>830</v>
      </c>
      <c r="F45" s="2113"/>
      <c r="G45" s="1246"/>
      <c r="H45" s="347"/>
      <c r="I45" s="347"/>
      <c r="J45" s="1896" t="s">
        <v>828</v>
      </c>
      <c r="K45" s="1896"/>
      <c r="L45" s="723"/>
      <c r="M45" s="724"/>
      <c r="N45" s="2101" t="s">
        <v>419</v>
      </c>
      <c r="O45" s="2101"/>
      <c r="Q45" s="2101" t="s">
        <v>76</v>
      </c>
      <c r="R45" s="2101"/>
      <c r="S45" s="2101"/>
    </row>
    <row r="46" spans="1:23" ht="16.5">
      <c r="A46" s="1084"/>
      <c r="B46" s="1084"/>
      <c r="C46" s="1077"/>
      <c r="D46" s="1077"/>
      <c r="E46" s="734"/>
      <c r="F46" s="723"/>
      <c r="G46" s="735"/>
      <c r="H46" s="723"/>
      <c r="I46" s="723"/>
      <c r="J46" s="723"/>
      <c r="K46" s="723"/>
      <c r="L46" s="736"/>
      <c r="M46" s="724"/>
      <c r="N46" s="724"/>
      <c r="O46" s="737"/>
      <c r="P46" s="723"/>
      <c r="Q46" s="723"/>
      <c r="R46" s="723"/>
      <c r="S46" s="723"/>
    </row>
    <row r="47" spans="1:23">
      <c r="L47" s="162"/>
    </row>
    <row r="48" spans="1:23">
      <c r="S48" s="160"/>
    </row>
  </sheetData>
  <mergeCells count="39">
    <mergeCell ref="N45:O45"/>
    <mergeCell ref="Q45:S45"/>
    <mergeCell ref="E16:H16"/>
    <mergeCell ref="E21:H21"/>
    <mergeCell ref="A22:F22"/>
    <mergeCell ref="A35:F35"/>
    <mergeCell ref="A36:S36"/>
    <mergeCell ref="P38:S38"/>
    <mergeCell ref="C39:F39"/>
    <mergeCell ref="N39:O39"/>
    <mergeCell ref="Q39:S39"/>
    <mergeCell ref="G42:H42"/>
    <mergeCell ref="E45:F45"/>
    <mergeCell ref="J45:K45"/>
    <mergeCell ref="R13:R15"/>
    <mergeCell ref="S13:S15"/>
    <mergeCell ref="G14:K14"/>
    <mergeCell ref="L14:L15"/>
    <mergeCell ref="M14:O14"/>
    <mergeCell ref="P14:P15"/>
    <mergeCell ref="Q13:Q15"/>
    <mergeCell ref="A13:A15"/>
    <mergeCell ref="B13:B15"/>
    <mergeCell ref="E13:E15"/>
    <mergeCell ref="F13:F15"/>
    <mergeCell ref="G13:P13"/>
    <mergeCell ref="E12:F12"/>
    <mergeCell ref="G12:H12"/>
    <mergeCell ref="A2:S2"/>
    <mergeCell ref="A3:S3"/>
    <mergeCell ref="A4:S4"/>
    <mergeCell ref="A6:L6"/>
    <mergeCell ref="P6:R6"/>
    <mergeCell ref="A7:L7"/>
    <mergeCell ref="P8:R8"/>
    <mergeCell ref="A9:S9"/>
    <mergeCell ref="E11:F11"/>
    <mergeCell ref="G11:H11"/>
    <mergeCell ref="P11:Q11"/>
  </mergeCells>
  <printOptions horizontalCentered="1"/>
  <pageMargins left="0.31496062992126" right="0.196850393700787" top="0.35433070866141703" bottom="0.27559055118110198" header="0.196850393700787" footer="0.196850393700787"/>
  <pageSetup paperSize="9" scale="7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32"/>
  <sheetViews>
    <sheetView workbookViewId="0">
      <pane ySplit="1" topLeftCell="A23" activePane="bottomLeft" state="frozen"/>
      <selection activeCell="E21" sqref="E21:G21"/>
      <selection pane="bottomLeft" activeCell="J1" sqref="J1:K1048576"/>
    </sheetView>
  </sheetViews>
  <sheetFormatPr defaultColWidth="9.140625" defaultRowHeight="16.5"/>
  <cols>
    <col min="1" max="1" width="5" style="358" customWidth="1"/>
    <col min="2" max="2" width="21.7109375" style="358" customWidth="1"/>
    <col min="3" max="3" width="19.85546875" style="358" customWidth="1"/>
    <col min="4" max="4" width="10.42578125" style="358" customWidth="1"/>
    <col min="5" max="5" width="15.28515625" style="358" customWidth="1"/>
    <col min="6" max="6" width="16.28515625" style="358" customWidth="1"/>
    <col min="7" max="7" width="24" style="358" customWidth="1"/>
    <col min="8" max="8" width="13.7109375" style="358" customWidth="1"/>
    <col min="9" max="9" width="19.85546875" style="358" customWidth="1"/>
    <col min="10" max="10" width="8.42578125" style="358" hidden="1" customWidth="1"/>
    <col min="11" max="11" width="12.85546875" style="358" hidden="1" customWidth="1"/>
    <col min="12" max="12" width="13.42578125" style="358" customWidth="1"/>
    <col min="13" max="14" width="7.85546875" style="358" customWidth="1"/>
    <col min="15" max="15" width="7.28515625" style="358" customWidth="1"/>
    <col min="16" max="16" width="7.42578125" style="358" customWidth="1"/>
    <col min="17" max="17" width="6.28515625" style="358" customWidth="1"/>
    <col min="18" max="18" width="5.7109375" style="358" customWidth="1"/>
    <col min="19" max="19" width="6" style="358" customWidth="1"/>
    <col min="20" max="20" width="4.85546875" style="358" customWidth="1"/>
    <col min="21" max="21" width="6" style="358" customWidth="1"/>
    <col min="22" max="22" width="6.5703125" style="358" customWidth="1"/>
    <col min="23" max="23" width="8.140625" style="358" customWidth="1"/>
    <col min="24" max="24" width="6" style="358" customWidth="1"/>
    <col min="25" max="25" width="8.140625" style="358" customWidth="1"/>
    <col min="26" max="26" width="15" style="358" bestFit="1" customWidth="1"/>
    <col min="27" max="27" width="17.85546875" style="358" bestFit="1" customWidth="1"/>
    <col min="28" max="28" width="12.85546875" style="358" bestFit="1" customWidth="1"/>
    <col min="29" max="16384" width="9.140625" style="358"/>
  </cols>
  <sheetData>
    <row r="1" spans="1:28">
      <c r="A1" s="169"/>
      <c r="B1" s="169"/>
      <c r="C1" s="169"/>
      <c r="D1" s="169"/>
      <c r="E1" s="169"/>
      <c r="F1" s="169"/>
      <c r="G1" s="169"/>
      <c r="H1" s="169"/>
      <c r="I1" s="169"/>
    </row>
    <row r="2" spans="1:28">
      <c r="A2" s="2062" t="s">
        <v>90</v>
      </c>
      <c r="B2" s="2062"/>
      <c r="C2" s="2062"/>
      <c r="D2" s="2062"/>
      <c r="E2" s="2062"/>
      <c r="F2" s="2062"/>
      <c r="G2" s="2062"/>
      <c r="H2" s="2062"/>
      <c r="I2" s="2062"/>
      <c r="J2" s="15"/>
      <c r="K2" s="15"/>
      <c r="L2" s="15"/>
      <c r="M2" s="623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2062" t="s">
        <v>56</v>
      </c>
      <c r="B3" s="2062"/>
      <c r="C3" s="2062"/>
      <c r="D3" s="2062"/>
      <c r="E3" s="2062"/>
      <c r="F3" s="2062"/>
      <c r="G3" s="2062"/>
      <c r="H3" s="2062"/>
      <c r="I3" s="2062"/>
      <c r="J3" s="16"/>
      <c r="K3" s="16"/>
      <c r="L3" s="16"/>
      <c r="M3" s="16"/>
      <c r="N3" s="624"/>
      <c r="P3" s="16"/>
      <c r="Q3" s="16"/>
      <c r="R3" s="16"/>
      <c r="S3" s="16"/>
      <c r="T3" s="16"/>
      <c r="U3" s="16"/>
      <c r="V3" s="16"/>
      <c r="W3" s="16"/>
      <c r="X3" s="16"/>
      <c r="Y3" s="624"/>
    </row>
    <row r="4" spans="1:28">
      <c r="A4" s="2063" t="s">
        <v>605</v>
      </c>
      <c r="B4" s="2062"/>
      <c r="C4" s="2062"/>
      <c r="D4" s="2062"/>
      <c r="E4" s="2062"/>
      <c r="F4" s="2062"/>
      <c r="G4" s="2062"/>
      <c r="H4" s="2062"/>
      <c r="I4" s="2062"/>
      <c r="J4" s="16"/>
      <c r="K4" s="16"/>
      <c r="L4" s="16"/>
      <c r="M4" s="16"/>
      <c r="N4" s="624"/>
      <c r="P4" s="16"/>
      <c r="Q4" s="16"/>
      <c r="R4" s="16"/>
      <c r="S4" s="16"/>
      <c r="T4" s="16"/>
      <c r="U4" s="16"/>
      <c r="V4" s="16"/>
      <c r="W4" s="16"/>
      <c r="X4" s="16"/>
      <c r="Y4" s="624"/>
    </row>
    <row r="5" spans="1:28" ht="9.75" customHeight="1">
      <c r="A5" s="169"/>
      <c r="B5" s="169"/>
      <c r="C5" s="169"/>
      <c r="D5" s="169"/>
      <c r="E5" s="169"/>
      <c r="F5" s="169"/>
      <c r="G5" s="169"/>
      <c r="H5" s="169"/>
      <c r="I5" s="169"/>
      <c r="J5" s="626"/>
      <c r="K5" s="626"/>
      <c r="L5" s="626"/>
      <c r="M5" s="627"/>
      <c r="N5" s="628"/>
      <c r="O5" s="629"/>
      <c r="P5" s="630"/>
      <c r="Q5" s="630"/>
      <c r="R5" s="630"/>
      <c r="S5" s="630"/>
      <c r="T5" s="630"/>
      <c r="U5" s="630"/>
      <c r="V5" s="630"/>
      <c r="W5" s="630"/>
      <c r="X5" s="630"/>
      <c r="Y5" s="624"/>
      <c r="Z5" s="631">
        <f>1372+388</f>
        <v>1760</v>
      </c>
      <c r="AA5" s="358">
        <f>Z5*30000</f>
        <v>52800000</v>
      </c>
      <c r="AB5" s="358" t="e">
        <f>AA5+#REF!+#REF!</f>
        <v>#REF!</v>
      </c>
    </row>
    <row r="6" spans="1:28">
      <c r="A6" s="1892" t="s">
        <v>5</v>
      </c>
      <c r="B6" s="1892"/>
      <c r="C6" s="1892"/>
      <c r="D6" s="1892"/>
      <c r="E6" s="1892"/>
      <c r="F6" s="237"/>
      <c r="G6" s="237"/>
      <c r="H6" s="237"/>
      <c r="I6" s="237"/>
      <c r="J6" s="626"/>
      <c r="K6" s="626"/>
      <c r="L6" s="626"/>
      <c r="M6" s="627"/>
      <c r="N6" s="628"/>
      <c r="O6" s="629"/>
      <c r="P6" s="630"/>
      <c r="Q6" s="630"/>
      <c r="R6" s="630"/>
      <c r="S6" s="630"/>
      <c r="T6" s="630"/>
      <c r="U6" s="630"/>
      <c r="V6" s="630"/>
      <c r="W6" s="630"/>
      <c r="X6" s="630"/>
      <c r="Y6" s="624"/>
      <c r="Z6" s="631"/>
    </row>
    <row r="7" spans="1:28">
      <c r="A7" s="2111" t="s">
        <v>101</v>
      </c>
      <c r="B7" s="2111"/>
      <c r="C7" s="2111"/>
      <c r="D7" s="2111"/>
      <c r="E7" s="2111"/>
      <c r="F7" s="878"/>
      <c r="G7" s="625"/>
      <c r="H7" s="625"/>
      <c r="I7" s="625"/>
      <c r="J7" s="626"/>
      <c r="K7" s="626"/>
      <c r="L7" s="626"/>
      <c r="M7" s="627"/>
      <c r="N7" s="628"/>
      <c r="O7" s="629"/>
      <c r="P7" s="630"/>
      <c r="Q7" s="630"/>
      <c r="R7" s="630"/>
      <c r="S7" s="630"/>
      <c r="T7" s="630"/>
      <c r="U7" s="630"/>
      <c r="V7" s="630"/>
      <c r="W7" s="630"/>
      <c r="X7" s="630"/>
      <c r="Y7" s="624"/>
      <c r="Z7" s="631"/>
    </row>
    <row r="8" spans="1:28" ht="12.75" customHeight="1">
      <c r="A8" s="873"/>
      <c r="B8" s="873"/>
      <c r="C8" s="873"/>
      <c r="D8" s="873"/>
      <c r="E8" s="873"/>
      <c r="F8" s="878"/>
      <c r="G8" s="625"/>
      <c r="H8" s="625"/>
      <c r="I8" s="625"/>
      <c r="J8" s="626"/>
      <c r="K8" s="626"/>
      <c r="L8" s="626"/>
      <c r="M8" s="627"/>
      <c r="N8" s="628"/>
      <c r="O8" s="629"/>
      <c r="P8" s="630"/>
      <c r="Q8" s="630"/>
      <c r="R8" s="630"/>
      <c r="S8" s="630"/>
      <c r="T8" s="630"/>
      <c r="U8" s="630"/>
      <c r="V8" s="630"/>
      <c r="W8" s="630"/>
      <c r="X8" s="630"/>
      <c r="Y8" s="624"/>
      <c r="Z8" s="631"/>
    </row>
    <row r="9" spans="1:28" ht="27" customHeight="1">
      <c r="A9" s="2122" t="s">
        <v>1139</v>
      </c>
      <c r="B9" s="2123"/>
      <c r="C9" s="2123"/>
      <c r="D9" s="2123"/>
      <c r="E9" s="2123"/>
      <c r="F9" s="2123"/>
      <c r="G9" s="2123"/>
      <c r="H9" s="2123"/>
      <c r="I9" s="2123"/>
      <c r="J9" s="632"/>
      <c r="K9" s="632"/>
      <c r="L9" s="632"/>
      <c r="M9" s="632"/>
      <c r="N9" s="633"/>
      <c r="O9" s="633"/>
      <c r="P9" s="633"/>
      <c r="Q9" s="633"/>
      <c r="R9" s="633"/>
      <c r="S9" s="633"/>
      <c r="T9" s="633"/>
      <c r="U9" s="633"/>
      <c r="V9" s="633"/>
      <c r="W9" s="633"/>
      <c r="X9" s="633"/>
      <c r="Y9" s="633"/>
    </row>
    <row r="10" spans="1:28">
      <c r="A10" s="880"/>
      <c r="B10" s="634"/>
      <c r="C10" s="634"/>
      <c r="D10" s="880"/>
      <c r="E10" s="880"/>
      <c r="F10" s="880"/>
      <c r="G10" s="880"/>
      <c r="H10" s="880"/>
      <c r="I10" s="905" t="s">
        <v>772</v>
      </c>
      <c r="J10" s="635"/>
      <c r="K10" s="636"/>
      <c r="L10" s="637"/>
    </row>
    <row r="11" spans="1:28" ht="16.5" customHeight="1">
      <c r="A11" s="2066" t="s">
        <v>11</v>
      </c>
      <c r="B11" s="2066" t="s">
        <v>105</v>
      </c>
      <c r="C11" s="2066" t="s">
        <v>19</v>
      </c>
      <c r="D11" s="2115" t="s">
        <v>49</v>
      </c>
      <c r="E11" s="2087" t="s">
        <v>625</v>
      </c>
      <c r="F11" s="2067" t="s">
        <v>1181</v>
      </c>
      <c r="G11" s="2066" t="s">
        <v>445</v>
      </c>
      <c r="H11" s="2036" t="s">
        <v>275</v>
      </c>
      <c r="I11" s="2036" t="s">
        <v>752</v>
      </c>
      <c r="J11" s="638"/>
      <c r="K11" s="639"/>
      <c r="L11" s="640"/>
    </row>
    <row r="12" spans="1:28" ht="39.75" customHeight="1">
      <c r="A12" s="2066"/>
      <c r="B12" s="2066"/>
      <c r="C12" s="2066"/>
      <c r="D12" s="2116"/>
      <c r="E12" s="2087"/>
      <c r="F12" s="2067"/>
      <c r="G12" s="2066"/>
      <c r="H12" s="2036"/>
      <c r="I12" s="2036"/>
      <c r="J12" s="641"/>
      <c r="K12" s="639"/>
      <c r="L12" s="640"/>
    </row>
    <row r="13" spans="1:28" ht="20.25" customHeight="1">
      <c r="A13" s="2118" t="s">
        <v>794</v>
      </c>
      <c r="B13" s="2119"/>
      <c r="C13" s="901"/>
      <c r="D13" s="906">
        <f>SUM(D14:D17)</f>
        <v>112</v>
      </c>
      <c r="E13" s="1021">
        <f t="shared" ref="E13:I13" si="0">SUM(E14:E17)</f>
        <v>12000000</v>
      </c>
      <c r="F13" s="1021">
        <f t="shared" si="0"/>
        <v>7979866</v>
      </c>
      <c r="G13" s="1021">
        <f>SUM(G14:G17)</f>
        <v>19979866</v>
      </c>
      <c r="H13" s="1021">
        <f>SUM(H14:H17)</f>
        <v>746489.3</v>
      </c>
      <c r="I13" s="1021">
        <f t="shared" si="0"/>
        <v>19233376.699999999</v>
      </c>
      <c r="J13" s="641"/>
      <c r="K13" s="639"/>
      <c r="L13" s="640"/>
    </row>
    <row r="14" spans="1:28" ht="20.25" customHeight="1">
      <c r="A14" s="355">
        <v>1</v>
      </c>
      <c r="B14" s="879" t="str">
        <f>'Bảng ĐP - BV  '!B13</f>
        <v>Thảo Văn Vông</v>
      </c>
      <c r="C14" s="355"/>
      <c r="D14" s="355">
        <f>'Bảng ĐP - BV  '!AI13</f>
        <v>28</v>
      </c>
      <c r="E14" s="1017">
        <f>'Tỉ lệ hoàn thành '!I18</f>
        <v>3000000</v>
      </c>
      <c r="F14" s="1017">
        <f>'Tỉ lệ hoàn thành '!J18</f>
        <v>2034209</v>
      </c>
      <c r="G14" s="1022">
        <f>E14+F14</f>
        <v>5034209</v>
      </c>
      <c r="H14" s="1023">
        <f>IF(G14&gt;65000000,((G14-65000000)*25%+10685000),IF(G14&gt;25000000,((G14-25000000)*20%+2685000),IF(G14&gt;15000000,((G14-15000000)*15%+1185000),IF(G14&gt;5000000,(G14-5000000)*10%+185000,IF(G14&gt;1300000,(G14-1300000)*5%,0)))))</f>
        <v>188420.9</v>
      </c>
      <c r="I14" s="1015">
        <f>G14-H14</f>
        <v>4845788.0999999996</v>
      </c>
      <c r="J14" s="641"/>
      <c r="K14" s="639"/>
      <c r="L14" s="640"/>
    </row>
    <row r="15" spans="1:28" ht="20.25" customHeight="1">
      <c r="A15" s="355">
        <v>2</v>
      </c>
      <c r="B15" s="1010" t="str">
        <f>'Bảng ĐP - BV  '!B14</f>
        <v>A lane Xaykhamsouk</v>
      </c>
      <c r="C15" s="355"/>
      <c r="D15" s="355">
        <f>'Bảng ĐP - BV  '!AI14</f>
        <v>28</v>
      </c>
      <c r="E15" s="1017">
        <f>'Tỉ lệ hoàn thành '!I19</f>
        <v>3000000</v>
      </c>
      <c r="F15" s="1017">
        <f>'Tỉ lệ hoàn thành '!J19</f>
        <v>2055256</v>
      </c>
      <c r="G15" s="1022">
        <f>E15+F15</f>
        <v>5055256</v>
      </c>
      <c r="H15" s="1023">
        <f t="shared" ref="H15:H21" si="1">IF(G15&gt;65000000,((G15-65000000)*25%+10685000),IF(G15&gt;25000000,((G15-25000000)*20%+2685000),IF(G15&gt;15000000,((G15-15000000)*15%+1185000),IF(G15&gt;5000000,(G15-5000000)*10%+185000,IF(G15&gt;1300000,(G15-1300000)*5%,0)))))</f>
        <v>190525.6</v>
      </c>
      <c r="I15" s="1015">
        <f t="shared" ref="I15:I17" si="2">G15-H15</f>
        <v>4864730.4000000004</v>
      </c>
      <c r="J15" s="641"/>
      <c r="K15" s="879" t="e">
        <f>#REF!</f>
        <v>#REF!</v>
      </c>
      <c r="L15" s="640"/>
    </row>
    <row r="16" spans="1:28" ht="20.25" customHeight="1">
      <c r="A16" s="355">
        <v>3</v>
      </c>
      <c r="B16" s="1010" t="str">
        <f>'Bảng ĐP - BV  '!B15</f>
        <v>Thảo Phôn Chay</v>
      </c>
      <c r="C16" s="355"/>
      <c r="D16" s="355">
        <f>'Bảng ĐP - BV  '!AI15</f>
        <v>28</v>
      </c>
      <c r="E16" s="1017">
        <f>'Tỉ lệ hoàn thành '!I20</f>
        <v>3000000</v>
      </c>
      <c r="F16" s="1017">
        <f>'Tỉ lệ hoàn thành '!J20</f>
        <v>1829946</v>
      </c>
      <c r="G16" s="1022">
        <f>E16+F16</f>
        <v>4829946</v>
      </c>
      <c r="H16" s="1023">
        <f t="shared" si="1"/>
        <v>176497.30000000002</v>
      </c>
      <c r="I16" s="1015">
        <f>G16-H16</f>
        <v>4653448.7</v>
      </c>
      <c r="J16" s="641"/>
      <c r="K16" s="639"/>
      <c r="L16" s="640"/>
    </row>
    <row r="17" spans="1:14" ht="20.25" customHeight="1">
      <c r="A17" s="355">
        <v>4</v>
      </c>
      <c r="B17" s="1010" t="str">
        <f>'Bảng ĐP - BV  '!B16</f>
        <v>Bun Khưn</v>
      </c>
      <c r="C17" s="355"/>
      <c r="D17" s="355">
        <f>'Bảng ĐP - BV  '!AI16</f>
        <v>28</v>
      </c>
      <c r="E17" s="1017">
        <f>'Tỉ lệ hoàn thành '!I21</f>
        <v>3000000</v>
      </c>
      <c r="F17" s="1017">
        <f>'Tỉ lệ hoàn thành '!J21</f>
        <v>2060455</v>
      </c>
      <c r="G17" s="1022">
        <f>E17+F17</f>
        <v>5060455</v>
      </c>
      <c r="H17" s="1023">
        <f t="shared" si="1"/>
        <v>191045.5</v>
      </c>
      <c r="I17" s="1015">
        <f t="shared" si="2"/>
        <v>4869409.5</v>
      </c>
      <c r="J17" s="641"/>
      <c r="K17" s="639"/>
      <c r="L17" s="640"/>
    </row>
    <row r="18" spans="1:14" ht="20.25" customHeight="1">
      <c r="A18" s="2120" t="s">
        <v>795</v>
      </c>
      <c r="B18" s="2121"/>
      <c r="C18" s="355"/>
      <c r="D18" s="1012">
        <f>D19</f>
        <v>28</v>
      </c>
      <c r="E18" s="1020">
        <f>SUM(E19)</f>
        <v>1700000</v>
      </c>
      <c r="F18" s="1016"/>
      <c r="G18" s="1016">
        <f t="shared" ref="G18:H18" si="3">G19</f>
        <v>1700000</v>
      </c>
      <c r="H18" s="1016">
        <f t="shared" si="3"/>
        <v>20000</v>
      </c>
      <c r="I18" s="1016">
        <f t="shared" ref="I18" si="4">I19</f>
        <v>1680000</v>
      </c>
      <c r="J18" s="641"/>
      <c r="K18" s="639"/>
      <c r="L18" s="640"/>
    </row>
    <row r="19" spans="1:14" ht="20.25" customHeight="1">
      <c r="A19" s="1014">
        <v>1</v>
      </c>
      <c r="B19" s="1011" t="str">
        <f>'Bảng ĐP - BV  '!B18</f>
        <v>Thảo Mét (VP)</v>
      </c>
      <c r="C19" s="355"/>
      <c r="D19" s="355">
        <f>'Bảng ĐP - BV  '!AI18</f>
        <v>28</v>
      </c>
      <c r="E19" s="1017">
        <v>1700000</v>
      </c>
      <c r="F19" s="1017"/>
      <c r="G19" s="1018">
        <f>E19</f>
        <v>1700000</v>
      </c>
      <c r="H19" s="1023">
        <f t="shared" si="1"/>
        <v>20000</v>
      </c>
      <c r="I19" s="1015">
        <f>G19-H19</f>
        <v>1680000</v>
      </c>
      <c r="J19" s="641"/>
      <c r="K19" s="639"/>
      <c r="L19" s="640"/>
    </row>
    <row r="20" spans="1:14" s="910" customFormat="1" ht="20.25" customHeight="1">
      <c r="A20" s="2120" t="s">
        <v>833</v>
      </c>
      <c r="B20" s="2121"/>
      <c r="C20" s="903"/>
      <c r="D20" s="1012">
        <f>D21</f>
        <v>28</v>
      </c>
      <c r="E20" s="1016">
        <f t="shared" ref="E20:I20" si="5">E21</f>
        <v>1700000</v>
      </c>
      <c r="F20" s="1016"/>
      <c r="G20" s="1016">
        <f t="shared" si="5"/>
        <v>1700000</v>
      </c>
      <c r="H20" s="1016">
        <f t="shared" si="5"/>
        <v>20000</v>
      </c>
      <c r="I20" s="1016">
        <f t="shared" si="5"/>
        <v>1680000</v>
      </c>
      <c r="J20" s="907"/>
      <c r="K20" s="908"/>
      <c r="L20" s="909"/>
    </row>
    <row r="21" spans="1:14" ht="20.25" customHeight="1">
      <c r="A21" s="355">
        <v>1</v>
      </c>
      <c r="B21" s="902" t="str">
        <f>'Bảng ĐP - BV  '!B20</f>
        <v>N. Nhung  ( VP)</v>
      </c>
      <c r="C21" s="355"/>
      <c r="D21" s="355">
        <f>'Bảng ĐP - BV  '!AI20</f>
        <v>28</v>
      </c>
      <c r="E21" s="1017">
        <f>(1700000/D21)*28</f>
        <v>1700000</v>
      </c>
      <c r="F21" s="1017"/>
      <c r="G21" s="1018">
        <f>E21</f>
        <v>1700000</v>
      </c>
      <c r="H21" s="1023">
        <f t="shared" si="1"/>
        <v>20000</v>
      </c>
      <c r="I21" s="1015">
        <f>G21-H21</f>
        <v>1680000</v>
      </c>
      <c r="J21" s="641"/>
      <c r="K21" s="639"/>
      <c r="L21" s="640"/>
    </row>
    <row r="22" spans="1:14" ht="20.25" customHeight="1">
      <c r="A22" s="2066" t="s">
        <v>256</v>
      </c>
      <c r="B22" s="2066"/>
      <c r="C22" s="874"/>
      <c r="D22" s="372">
        <f>D13+D18+D20</f>
        <v>168</v>
      </c>
      <c r="E22" s="567">
        <f t="shared" ref="E22:F22" si="6">E13+E18+E20</f>
        <v>15400000</v>
      </c>
      <c r="F22" s="567">
        <f t="shared" si="6"/>
        <v>7979866</v>
      </c>
      <c r="G22" s="1276">
        <f>G13+G18+G20</f>
        <v>23379866</v>
      </c>
      <c r="H22" s="567">
        <f>H13+H18+H20</f>
        <v>786489.3</v>
      </c>
      <c r="I22" s="567">
        <f>I13+I18+I20</f>
        <v>22593376.699999999</v>
      </c>
      <c r="J22" s="641"/>
      <c r="K22" s="642"/>
      <c r="L22" s="643"/>
    </row>
    <row r="23" spans="1:14" ht="21.75" customHeight="1">
      <c r="A23" s="2072" t="s">
        <v>1182</v>
      </c>
      <c r="B23" s="2073"/>
      <c r="C23" s="2073"/>
      <c r="D23" s="2073"/>
      <c r="E23" s="2073"/>
      <c r="F23" s="2073"/>
      <c r="G23" s="2073"/>
      <c r="H23" s="2073"/>
      <c r="I23" s="2074"/>
    </row>
    <row r="24" spans="1:14" ht="17.25">
      <c r="F24" s="2068" t="s">
        <v>1138</v>
      </c>
      <c r="G24" s="2068"/>
      <c r="H24" s="2068"/>
      <c r="I24" s="2068"/>
      <c r="J24" s="644"/>
      <c r="K24" s="644"/>
      <c r="L24" s="644"/>
      <c r="M24" s="644"/>
      <c r="N24" s="644"/>
    </row>
    <row r="25" spans="1:14">
      <c r="A25" s="359"/>
      <c r="B25" s="875" t="s">
        <v>266</v>
      </c>
      <c r="C25" s="2114" t="s">
        <v>267</v>
      </c>
      <c r="D25" s="2114"/>
      <c r="E25" s="2114"/>
      <c r="F25" s="2114" t="s">
        <v>101</v>
      </c>
      <c r="G25" s="2114"/>
      <c r="H25" s="2114" t="s">
        <v>841</v>
      </c>
      <c r="I25" s="2114"/>
    </row>
    <row r="31" spans="1:14">
      <c r="B31" s="359" t="s">
        <v>830</v>
      </c>
      <c r="C31" s="2114" t="s">
        <v>828</v>
      </c>
      <c r="D31" s="2114"/>
      <c r="E31" s="2114"/>
      <c r="F31" s="2117" t="s">
        <v>419</v>
      </c>
      <c r="G31" s="2117"/>
      <c r="H31" s="2114" t="s">
        <v>771</v>
      </c>
      <c r="I31" s="2114"/>
    </row>
    <row r="32" spans="1:14">
      <c r="D32" s="358" t="s">
        <v>268</v>
      </c>
    </row>
  </sheetData>
  <mergeCells count="27">
    <mergeCell ref="A13:B13"/>
    <mergeCell ref="A20:B20"/>
    <mergeCell ref="A9:I9"/>
    <mergeCell ref="A11:A12"/>
    <mergeCell ref="B11:B12"/>
    <mergeCell ref="A18:B18"/>
    <mergeCell ref="A2:I2"/>
    <mergeCell ref="A3:I3"/>
    <mergeCell ref="A4:I4"/>
    <mergeCell ref="A6:E6"/>
    <mergeCell ref="A7:E7"/>
    <mergeCell ref="C31:E31"/>
    <mergeCell ref="H11:H12"/>
    <mergeCell ref="I11:I12"/>
    <mergeCell ref="A23:I23"/>
    <mergeCell ref="A22:B22"/>
    <mergeCell ref="C11:C12"/>
    <mergeCell ref="D11:D12"/>
    <mergeCell ref="E11:E12"/>
    <mergeCell ref="F11:F12"/>
    <mergeCell ref="G11:G12"/>
    <mergeCell ref="F24:I24"/>
    <mergeCell ref="F25:G25"/>
    <mergeCell ref="F31:G31"/>
    <mergeCell ref="H25:I25"/>
    <mergeCell ref="H31:I31"/>
    <mergeCell ref="C25:E25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415"/>
  <sheetViews>
    <sheetView topLeftCell="A362" zoomScale="85" zoomScaleNormal="85" workbookViewId="0">
      <selection activeCell="O362" sqref="O1:O1048576"/>
    </sheetView>
  </sheetViews>
  <sheetFormatPr defaultColWidth="9.140625" defaultRowHeight="15"/>
  <cols>
    <col min="1" max="1" width="4.28515625" style="1710" customWidth="1"/>
    <col min="2" max="2" width="9.85546875" style="113" customWidth="1"/>
    <col min="3" max="3" width="6.5703125" style="173" hidden="1" customWidth="1"/>
    <col min="4" max="4" width="20.140625" style="2" customWidth="1"/>
    <col min="5" max="5" width="11" style="2" customWidth="1"/>
    <col min="6" max="6" width="13.140625" style="55" customWidth="1"/>
    <col min="7" max="7" width="17.140625" style="2" customWidth="1"/>
    <col min="8" max="8" width="13.5703125" style="2" customWidth="1"/>
    <col min="9" max="9" width="17.85546875" style="2" customWidth="1"/>
    <col min="10" max="10" width="14.28515625" style="2" customWidth="1"/>
    <col min="11" max="11" width="18" style="2" customWidth="1"/>
    <col min="12" max="12" width="9.140625" style="2" hidden="1" customWidth="1"/>
    <col min="13" max="13" width="16.5703125" style="2" customWidth="1"/>
    <col min="14" max="14" width="15" style="13" customWidth="1"/>
    <col min="15" max="15" width="22.7109375" style="2" hidden="1" customWidth="1"/>
    <col min="16" max="16" width="16.5703125" style="2" bestFit="1" customWidth="1"/>
    <col min="17" max="16384" width="9.140625" style="2"/>
  </cols>
  <sheetData>
    <row r="1" spans="1:18" ht="22.5">
      <c r="A1" s="2046" t="s">
        <v>90</v>
      </c>
      <c r="B1" s="2046"/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  <c r="O1" s="1576"/>
      <c r="P1" s="1576"/>
      <c r="Q1" s="1576"/>
      <c r="R1" s="1576"/>
    </row>
    <row r="2" spans="1:18" ht="22.5">
      <c r="A2" s="2046" t="s">
        <v>56</v>
      </c>
      <c r="B2" s="2046"/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  <c r="O2" s="1576"/>
      <c r="P2" s="1576"/>
      <c r="Q2" s="1576"/>
      <c r="R2" s="1576"/>
    </row>
    <row r="3" spans="1:18" ht="22.5">
      <c r="A3" s="2141" t="s">
        <v>604</v>
      </c>
      <c r="B3" s="2141"/>
      <c r="C3" s="2141"/>
      <c r="D3" s="2141"/>
      <c r="E3" s="2141"/>
      <c r="F3" s="2141"/>
      <c r="G3" s="2141"/>
      <c r="H3" s="2141"/>
      <c r="I3" s="2141"/>
      <c r="J3" s="2141"/>
      <c r="K3" s="2141"/>
      <c r="L3" s="2141"/>
      <c r="M3" s="2141"/>
      <c r="N3" s="2141"/>
      <c r="O3" s="1576"/>
      <c r="P3" s="1576"/>
      <c r="Q3" s="1576"/>
      <c r="R3" s="1576"/>
    </row>
    <row r="5" spans="1:18" s="235" customFormat="1" ht="16.5">
      <c r="A5" s="1892" t="s">
        <v>5</v>
      </c>
      <c r="B5" s="1892"/>
      <c r="C5" s="1892"/>
      <c r="D5" s="1892"/>
      <c r="E5" s="1892"/>
      <c r="F5" s="1892"/>
      <c r="G5" s="1892"/>
      <c r="H5" s="1892"/>
      <c r="I5" s="1892"/>
      <c r="J5" s="168"/>
      <c r="K5" s="168"/>
      <c r="L5" s="168"/>
      <c r="M5" s="168"/>
      <c r="N5" s="168"/>
    </row>
    <row r="6" spans="1:18" s="235" customFormat="1" ht="16.5">
      <c r="A6" s="2111" t="s">
        <v>189</v>
      </c>
      <c r="B6" s="2111"/>
      <c r="C6" s="2111"/>
      <c r="D6" s="2111"/>
      <c r="E6" s="2111"/>
      <c r="F6" s="2111"/>
      <c r="G6" s="2111"/>
      <c r="H6" s="2111"/>
      <c r="I6" s="2111"/>
      <c r="J6" s="168"/>
      <c r="K6" s="168"/>
      <c r="L6" s="168"/>
      <c r="M6" s="168"/>
      <c r="N6" s="168"/>
    </row>
    <row r="7" spans="1:18" s="235" customFormat="1" ht="16.5">
      <c r="F7" s="243"/>
      <c r="N7" s="13"/>
    </row>
    <row r="8" spans="1:18" s="235" customFormat="1" ht="20.25">
      <c r="A8" s="2142" t="s">
        <v>1137</v>
      </c>
      <c r="B8" s="2142"/>
      <c r="C8" s="2142"/>
      <c r="D8" s="2142"/>
      <c r="E8" s="2142"/>
      <c r="F8" s="2142"/>
      <c r="G8" s="2142"/>
      <c r="H8" s="2142"/>
      <c r="I8" s="2142"/>
      <c r="J8" s="2142"/>
      <c r="K8" s="2142"/>
      <c r="L8" s="2142"/>
      <c r="M8" s="2142"/>
      <c r="N8" s="2142"/>
    </row>
    <row r="9" spans="1:18" ht="18.75">
      <c r="A9" s="2126"/>
      <c r="B9" s="2126"/>
      <c r="C9" s="2126"/>
      <c r="D9" s="2126"/>
      <c r="E9" s="2126"/>
      <c r="F9" s="2126"/>
      <c r="G9" s="2126"/>
      <c r="H9" s="2126"/>
      <c r="I9" s="2126"/>
      <c r="J9" s="2126"/>
      <c r="K9" s="2126"/>
      <c r="L9" s="2126"/>
      <c r="M9" s="2126"/>
      <c r="N9" s="2126"/>
    </row>
    <row r="10" spans="1:18">
      <c r="A10" s="1713"/>
      <c r="B10" s="172"/>
      <c r="D10" s="13"/>
      <c r="E10" s="13"/>
      <c r="F10" s="174"/>
      <c r="G10" s="13"/>
      <c r="H10" s="13"/>
      <c r="I10" s="13"/>
      <c r="J10" s="13"/>
      <c r="K10" s="13"/>
      <c r="L10" s="13"/>
      <c r="M10" s="13"/>
    </row>
    <row r="11" spans="1:18" ht="29.25" customHeight="1">
      <c r="A11" s="2066" t="s">
        <v>11</v>
      </c>
      <c r="B11" s="2087" t="s">
        <v>145</v>
      </c>
      <c r="C11" s="2066" t="s">
        <v>12</v>
      </c>
      <c r="D11" s="2066"/>
      <c r="E11" s="2066" t="s">
        <v>15</v>
      </c>
      <c r="F11" s="2066" t="s">
        <v>766</v>
      </c>
      <c r="G11" s="2066"/>
      <c r="H11" s="2066"/>
      <c r="I11" s="2087" t="s">
        <v>786</v>
      </c>
      <c r="J11" s="2087" t="s">
        <v>20</v>
      </c>
      <c r="K11" s="2087" t="s">
        <v>752</v>
      </c>
      <c r="L11" s="2087" t="s">
        <v>21</v>
      </c>
      <c r="M11" s="2087" t="s">
        <v>25</v>
      </c>
      <c r="N11" s="2087" t="s">
        <v>106</v>
      </c>
    </row>
    <row r="12" spans="1:18" ht="36.75" customHeight="1">
      <c r="A12" s="2066"/>
      <c r="B12" s="2087"/>
      <c r="C12" s="1705" t="s">
        <v>13</v>
      </c>
      <c r="D12" s="1705" t="s">
        <v>14</v>
      </c>
      <c r="E12" s="2066"/>
      <c r="F12" s="1577" t="s">
        <v>36</v>
      </c>
      <c r="G12" s="1706" t="s">
        <v>37</v>
      </c>
      <c r="H12" s="1706" t="s">
        <v>58</v>
      </c>
      <c r="I12" s="2066"/>
      <c r="J12" s="2087"/>
      <c r="K12" s="2087"/>
      <c r="L12" s="2066"/>
      <c r="M12" s="2066"/>
      <c r="N12" s="2066"/>
    </row>
    <row r="13" spans="1:18" ht="24.75" customHeight="1">
      <c r="A13" s="2066" t="s">
        <v>219</v>
      </c>
      <c r="B13" s="2066"/>
      <c r="C13" s="2066"/>
      <c r="D13" s="2066"/>
      <c r="E13" s="374"/>
      <c r="F13" s="1578">
        <f>SUM(F14:F97)</f>
        <v>95339251</v>
      </c>
      <c r="G13" s="1578">
        <f t="shared" ref="G13:M13" si="0">SUM(G14:G97)</f>
        <v>0</v>
      </c>
      <c r="H13" s="1578">
        <f t="shared" si="0"/>
        <v>0</v>
      </c>
      <c r="I13" s="1578">
        <f t="shared" si="0"/>
        <v>95339251</v>
      </c>
      <c r="J13" s="1578">
        <f t="shared" si="0"/>
        <v>0</v>
      </c>
      <c r="K13" s="1578">
        <f t="shared" si="0"/>
        <v>95339251</v>
      </c>
      <c r="L13" s="1578">
        <f t="shared" si="0"/>
        <v>0</v>
      </c>
      <c r="M13" s="1578">
        <f t="shared" si="0"/>
        <v>95339251</v>
      </c>
      <c r="N13" s="1705"/>
    </row>
    <row r="14" spans="1:18" s="180" customFormat="1" ht="21.75" hidden="1" customHeight="1">
      <c r="A14" s="355">
        <v>1</v>
      </c>
      <c r="B14" s="1579" t="str">
        <f>'Chấm công KT'!D11</f>
        <v>03456</v>
      </c>
      <c r="C14" s="1580" t="s">
        <v>241</v>
      </c>
      <c r="D14" s="1334" t="str">
        <f>'CNKT '!C16</f>
        <v>T. Vôn</v>
      </c>
      <c r="E14" s="1334" t="s">
        <v>43</v>
      </c>
      <c r="F14" s="1325">
        <f>VLOOKUP(D14,'CNKT '!$C$16:$F$93,4,0)</f>
        <v>0</v>
      </c>
      <c r="G14" s="1325">
        <f>VLOOKUP(D14,'CNKT '!$C$16:$L$93,10,0)</f>
        <v>0</v>
      </c>
      <c r="H14" s="1325">
        <f>VLOOKUP(D14,'CNKT '!$C$16:$W$93,21,0)</f>
        <v>0</v>
      </c>
      <c r="I14" s="1325">
        <f>SUM(F14:H14)</f>
        <v>0</v>
      </c>
      <c r="J14" s="1325"/>
      <c r="K14" s="1325">
        <f>VLOOKUP(D14,'CNKT '!$C$16:$Z$93,24,0)</f>
        <v>0</v>
      </c>
      <c r="L14" s="1325"/>
      <c r="M14" s="1327">
        <f>K14-L14</f>
        <v>0</v>
      </c>
      <c r="N14" s="420"/>
      <c r="O14" s="179"/>
    </row>
    <row r="15" spans="1:18" s="180" customFormat="1" ht="21.75" hidden="1" customHeight="1">
      <c r="A15" s="355">
        <v>2</v>
      </c>
      <c r="B15" s="1579"/>
      <c r="C15" s="1580"/>
      <c r="D15" s="1334" t="str">
        <f>'CNKT '!C17</f>
        <v>T. Feng</v>
      </c>
      <c r="E15" s="1334" t="s">
        <v>43</v>
      </c>
      <c r="F15" s="1325">
        <f>VLOOKUP(D15,'CNKT '!$C$16:$F$93,4,0)</f>
        <v>0</v>
      </c>
      <c r="G15" s="1325">
        <f>VLOOKUP(D15,'CNKT '!$C$16:$L$93,10,0)</f>
        <v>0</v>
      </c>
      <c r="H15" s="1325">
        <f>VLOOKUP(D15,'CNKT '!$C$16:$W$93,21,0)</f>
        <v>0</v>
      </c>
      <c r="I15" s="1325">
        <f t="shared" ref="I15:I78" si="1">SUM(F15:H15)</f>
        <v>0</v>
      </c>
      <c r="J15" s="1325"/>
      <c r="K15" s="1325">
        <f>VLOOKUP(D15,'CNKT '!$C$16:$Z$93,24,0)</f>
        <v>0</v>
      </c>
      <c r="L15" s="1325"/>
      <c r="M15" s="1327">
        <f t="shared" ref="M15:M78" si="2">K15-L15</f>
        <v>0</v>
      </c>
      <c r="N15" s="420"/>
      <c r="O15" s="179"/>
    </row>
    <row r="16" spans="1:18" s="180" customFormat="1" ht="21.75" hidden="1" customHeight="1">
      <c r="A16" s="355">
        <v>3</v>
      </c>
      <c r="B16" s="1579" t="str">
        <f>'Chấm công KT'!D13</f>
        <v>02725</v>
      </c>
      <c r="C16" s="1580"/>
      <c r="D16" s="1334" t="str">
        <f>'CNKT '!C18</f>
        <v>T. Sa Văn</v>
      </c>
      <c r="E16" s="1334" t="s">
        <v>43</v>
      </c>
      <c r="F16" s="1325">
        <f>VLOOKUP(D16,'CNKT '!$C$16:$F$93,4,0)</f>
        <v>0</v>
      </c>
      <c r="G16" s="1325">
        <f>VLOOKUP(D16,'CNKT '!$C$16:$L$93,10,0)</f>
        <v>0</v>
      </c>
      <c r="H16" s="1325">
        <f>VLOOKUP(D16,'CNKT '!$C$16:$W$93,21,0)</f>
        <v>0</v>
      </c>
      <c r="I16" s="1325">
        <f t="shared" si="1"/>
        <v>0</v>
      </c>
      <c r="J16" s="1325"/>
      <c r="K16" s="1325">
        <f>VLOOKUP(D16,'CNKT '!$C$16:$Z$93,24,0)</f>
        <v>0</v>
      </c>
      <c r="L16" s="1325"/>
      <c r="M16" s="1327">
        <f t="shared" si="2"/>
        <v>0</v>
      </c>
      <c r="N16" s="420"/>
      <c r="O16" s="179"/>
    </row>
    <row r="17" spans="1:15" s="180" customFormat="1" ht="21.75" hidden="1" customHeight="1">
      <c r="A17" s="355">
        <v>4</v>
      </c>
      <c r="B17" s="1579" t="str">
        <f>'Chấm công KT'!D14</f>
        <v>03458</v>
      </c>
      <c r="C17" s="1580"/>
      <c r="D17" s="1334" t="str">
        <f>'CNKT '!C19</f>
        <v>N. Pheng Mi</v>
      </c>
      <c r="E17" s="1334" t="s">
        <v>43</v>
      </c>
      <c r="F17" s="1325">
        <f>VLOOKUP(D17,'CNKT '!$C$16:$F$93,4,0)</f>
        <v>0</v>
      </c>
      <c r="G17" s="1325">
        <f>VLOOKUP(D17,'CNKT '!$C$16:$L$93,10,0)</f>
        <v>0</v>
      </c>
      <c r="H17" s="1325">
        <f>VLOOKUP(D17,'CNKT '!$C$16:$W$93,21,0)</f>
        <v>0</v>
      </c>
      <c r="I17" s="1325">
        <f t="shared" si="1"/>
        <v>0</v>
      </c>
      <c r="J17" s="1325"/>
      <c r="K17" s="1325">
        <f>VLOOKUP(D17,'CNKT '!$C$16:$Z$93,24,0)</f>
        <v>0</v>
      </c>
      <c r="L17" s="1325"/>
      <c r="M17" s="1327">
        <f t="shared" si="2"/>
        <v>0</v>
      </c>
      <c r="N17" s="420"/>
      <c r="O17" s="179"/>
    </row>
    <row r="18" spans="1:15" s="180" customFormat="1" ht="21.75" hidden="1" customHeight="1">
      <c r="A18" s="355">
        <v>5</v>
      </c>
      <c r="B18" s="1579" t="str">
        <f>'Chấm công KT'!D15</f>
        <v>03459</v>
      </c>
      <c r="C18" s="1580"/>
      <c r="D18" s="1334" t="str">
        <f>'CNKT '!C20</f>
        <v>N. Vạt</v>
      </c>
      <c r="E18" s="1334" t="s">
        <v>43</v>
      </c>
      <c r="F18" s="1325">
        <f>VLOOKUP(D18,'CNKT '!$C$16:$F$93,4,0)</f>
        <v>0</v>
      </c>
      <c r="G18" s="1325">
        <f>VLOOKUP(D18,'CNKT '!$C$16:$L$93,10,0)</f>
        <v>0</v>
      </c>
      <c r="H18" s="1325">
        <f>VLOOKUP(D18,'CNKT '!$C$16:$W$93,21,0)</f>
        <v>0</v>
      </c>
      <c r="I18" s="1325">
        <f t="shared" si="1"/>
        <v>0</v>
      </c>
      <c r="J18" s="1325"/>
      <c r="K18" s="1325">
        <f>VLOOKUP(D18,'CNKT '!$C$16:$Z$93,24,0)</f>
        <v>0</v>
      </c>
      <c r="L18" s="1325"/>
      <c r="M18" s="1327">
        <f t="shared" si="2"/>
        <v>0</v>
      </c>
      <c r="N18" s="420"/>
      <c r="O18" s="179"/>
    </row>
    <row r="19" spans="1:15" s="180" customFormat="1" ht="21.75" hidden="1" customHeight="1">
      <c r="A19" s="355">
        <v>6</v>
      </c>
      <c r="B19" s="1579" t="str">
        <f>'Chấm công KT'!D16</f>
        <v>03460</v>
      </c>
      <c r="C19" s="1580"/>
      <c r="D19" s="1334" t="str">
        <f>'CNKT '!C21</f>
        <v>T. Tích</v>
      </c>
      <c r="E19" s="1334" t="s">
        <v>43</v>
      </c>
      <c r="F19" s="1325">
        <f>VLOOKUP(D19,'CNKT '!$C$16:$F$93,4,0)</f>
        <v>0</v>
      </c>
      <c r="G19" s="1325">
        <f>VLOOKUP(D19,'CNKT '!$C$16:$L$93,10,0)</f>
        <v>0</v>
      </c>
      <c r="H19" s="1325">
        <f>VLOOKUP(D19,'CNKT '!$C$16:$W$93,21,0)</f>
        <v>0</v>
      </c>
      <c r="I19" s="1325">
        <f t="shared" si="1"/>
        <v>0</v>
      </c>
      <c r="J19" s="1325"/>
      <c r="K19" s="1325">
        <f>VLOOKUP(D19,'CNKT '!$C$16:$Z$93,24,0)</f>
        <v>0</v>
      </c>
      <c r="L19" s="1325"/>
      <c r="M19" s="1327">
        <f t="shared" si="2"/>
        <v>0</v>
      </c>
      <c r="N19" s="420"/>
      <c r="O19" s="179"/>
    </row>
    <row r="20" spans="1:15" s="180" customFormat="1" ht="21.75" hidden="1" customHeight="1">
      <c r="A20" s="355">
        <v>7</v>
      </c>
      <c r="B20" s="1579" t="str">
        <f>'Chấm công KT'!D17</f>
        <v>03461</v>
      </c>
      <c r="C20" s="1580"/>
      <c r="D20" s="1334" t="str">
        <f>'CNKT '!C22</f>
        <v>T. Bi Ly</v>
      </c>
      <c r="E20" s="1334" t="s">
        <v>43</v>
      </c>
      <c r="F20" s="1325">
        <f>VLOOKUP(D20,'CNKT '!$C$16:$F$93,4,0)</f>
        <v>0</v>
      </c>
      <c r="G20" s="1325">
        <f>VLOOKUP(D20,'CNKT '!$C$16:$L$93,10,0)</f>
        <v>0</v>
      </c>
      <c r="H20" s="1325">
        <f>VLOOKUP(D20,'CNKT '!$C$16:$W$93,21,0)</f>
        <v>0</v>
      </c>
      <c r="I20" s="1325">
        <f t="shared" si="1"/>
        <v>0</v>
      </c>
      <c r="J20" s="1325"/>
      <c r="K20" s="1325">
        <f>VLOOKUP(D20,'CNKT '!$C$16:$Z$93,24,0)</f>
        <v>0</v>
      </c>
      <c r="L20" s="1325"/>
      <c r="M20" s="1327">
        <f t="shared" si="2"/>
        <v>0</v>
      </c>
      <c r="N20" s="420"/>
      <c r="O20" s="179"/>
    </row>
    <row r="21" spans="1:15" s="180" customFormat="1" ht="21.75" hidden="1" customHeight="1">
      <c r="A21" s="355">
        <v>8</v>
      </c>
      <c r="B21" s="1579" t="str">
        <f>'Chấm công KT'!D18</f>
        <v>03462</v>
      </c>
      <c r="C21" s="1580"/>
      <c r="D21" s="1334" t="str">
        <f>'CNKT '!C23</f>
        <v>T . Bua Ngân</v>
      </c>
      <c r="E21" s="1334" t="s">
        <v>43</v>
      </c>
      <c r="F21" s="1325">
        <f>VLOOKUP(D21,'CNKT '!$C$16:$F$93,4,0)</f>
        <v>0</v>
      </c>
      <c r="G21" s="1325">
        <f>VLOOKUP(D21,'CNKT '!$C$16:$L$93,10,0)</f>
        <v>0</v>
      </c>
      <c r="H21" s="1325">
        <f>VLOOKUP(D21,'CNKT '!$C$16:$W$93,21,0)</f>
        <v>0</v>
      </c>
      <c r="I21" s="1325">
        <f t="shared" si="1"/>
        <v>0</v>
      </c>
      <c r="J21" s="1325"/>
      <c r="K21" s="1325">
        <f>VLOOKUP(D21,'CNKT '!$C$16:$Z$93,24,0)</f>
        <v>0</v>
      </c>
      <c r="L21" s="1325"/>
      <c r="M21" s="1327">
        <f t="shared" si="2"/>
        <v>0</v>
      </c>
      <c r="N21" s="420"/>
      <c r="O21" s="179"/>
    </row>
    <row r="22" spans="1:15" s="180" customFormat="1" ht="21.75" hidden="1" customHeight="1">
      <c r="A22" s="355">
        <v>9</v>
      </c>
      <c r="B22" s="1579" t="str">
        <f>'Chấm công KT'!D19</f>
        <v>03463</v>
      </c>
      <c r="C22" s="1580"/>
      <c r="D22" s="1334" t="str">
        <f>'CNKT '!C24</f>
        <v>T Căng</v>
      </c>
      <c r="E22" s="1334" t="s">
        <v>43</v>
      </c>
      <c r="F22" s="1325">
        <f>VLOOKUP(D22,'CNKT '!$C$16:$F$93,4,0)</f>
        <v>0</v>
      </c>
      <c r="G22" s="1325">
        <f>VLOOKUP(D22,'CNKT '!$C$16:$L$93,10,0)</f>
        <v>0</v>
      </c>
      <c r="H22" s="1325">
        <f>VLOOKUP(D22,'CNKT '!$C$16:$W$93,21,0)</f>
        <v>0</v>
      </c>
      <c r="I22" s="1325">
        <f t="shared" si="1"/>
        <v>0</v>
      </c>
      <c r="J22" s="1325"/>
      <c r="K22" s="1325">
        <f>VLOOKUP(D22,'CNKT '!$C$16:$Z$93,24,0)</f>
        <v>0</v>
      </c>
      <c r="L22" s="1325"/>
      <c r="M22" s="1327">
        <f t="shared" si="2"/>
        <v>0</v>
      </c>
      <c r="N22" s="420"/>
      <c r="O22" s="179"/>
    </row>
    <row r="23" spans="1:15" s="180" customFormat="1" ht="21.75" hidden="1" customHeight="1">
      <c r="A23" s="355">
        <v>10</v>
      </c>
      <c r="B23" s="1579" t="str">
        <f>'Chấm công KT'!D20</f>
        <v>03464</v>
      </c>
      <c r="C23" s="1580"/>
      <c r="D23" s="1334" t="str">
        <f>'CNKT '!C25</f>
        <v>N. Phôn 1</v>
      </c>
      <c r="E23" s="1334" t="s">
        <v>43</v>
      </c>
      <c r="F23" s="1325">
        <f>VLOOKUP(D23,'CNKT '!$C$16:$F$93,4,0)</f>
        <v>0</v>
      </c>
      <c r="G23" s="1325">
        <f>VLOOKUP(D23,'CNKT '!$C$16:$L$93,10,0)</f>
        <v>0</v>
      </c>
      <c r="H23" s="1325">
        <f>VLOOKUP(D23,'CNKT '!$C$16:$W$93,21,0)</f>
        <v>0</v>
      </c>
      <c r="I23" s="1325">
        <f t="shared" si="1"/>
        <v>0</v>
      </c>
      <c r="J23" s="1325"/>
      <c r="K23" s="1325">
        <f>VLOOKUP(D23,'CNKT '!$C$16:$Z$93,24,0)</f>
        <v>0</v>
      </c>
      <c r="L23" s="1325"/>
      <c r="M23" s="1327">
        <f t="shared" si="2"/>
        <v>0</v>
      </c>
      <c r="N23" s="420"/>
      <c r="O23" s="179"/>
    </row>
    <row r="24" spans="1:15" s="180" customFormat="1" ht="21.75" hidden="1" customHeight="1">
      <c r="A24" s="355">
        <v>11</v>
      </c>
      <c r="B24" s="1579" t="str">
        <f>'Chấm công KT'!D21</f>
        <v>03465</v>
      </c>
      <c r="C24" s="1580"/>
      <c r="D24" s="1334" t="str">
        <f>'CNKT '!C26</f>
        <v>T. In Păn</v>
      </c>
      <c r="E24" s="1334" t="s">
        <v>43</v>
      </c>
      <c r="F24" s="1325">
        <f>VLOOKUP(D24,'CNKT '!$C$16:$F$93,4,0)</f>
        <v>0</v>
      </c>
      <c r="G24" s="1325">
        <f>VLOOKUP(D24,'CNKT '!$C$16:$L$93,10,0)</f>
        <v>0</v>
      </c>
      <c r="H24" s="1325">
        <f>VLOOKUP(D24,'CNKT '!$C$16:$W$93,21,0)</f>
        <v>0</v>
      </c>
      <c r="I24" s="1325">
        <f t="shared" si="1"/>
        <v>0</v>
      </c>
      <c r="J24" s="1325"/>
      <c r="K24" s="1325">
        <f>VLOOKUP(D24,'CNKT '!$C$16:$Z$93,24,0)</f>
        <v>0</v>
      </c>
      <c r="L24" s="1325"/>
      <c r="M24" s="1327">
        <f t="shared" si="2"/>
        <v>0</v>
      </c>
      <c r="N24" s="420"/>
      <c r="O24" s="179"/>
    </row>
    <row r="25" spans="1:15" s="180" customFormat="1" ht="21.75" hidden="1" customHeight="1">
      <c r="A25" s="355">
        <v>12</v>
      </c>
      <c r="B25" s="1579" t="str">
        <f>'Chấm công KT'!D22</f>
        <v>03466</v>
      </c>
      <c r="C25" s="1580"/>
      <c r="D25" s="1334" t="str">
        <f>'CNKT '!C27</f>
        <v>N. Keo</v>
      </c>
      <c r="E25" s="1334" t="s">
        <v>43</v>
      </c>
      <c r="F25" s="1325">
        <f>VLOOKUP(D25,'CNKT '!$C$16:$F$93,4,0)</f>
        <v>0</v>
      </c>
      <c r="G25" s="1325">
        <f>VLOOKUP(D25,'CNKT '!$C$16:$L$93,10,0)</f>
        <v>0</v>
      </c>
      <c r="H25" s="1325">
        <f>VLOOKUP(D25,'CNKT '!$C$16:$W$93,21,0)</f>
        <v>0</v>
      </c>
      <c r="I25" s="1325">
        <f t="shared" si="1"/>
        <v>0</v>
      </c>
      <c r="J25" s="1325"/>
      <c r="K25" s="1325">
        <f>VLOOKUP(D25,'CNKT '!$C$16:$Z$93,24,0)</f>
        <v>0</v>
      </c>
      <c r="L25" s="1325"/>
      <c r="M25" s="1327">
        <f t="shared" si="2"/>
        <v>0</v>
      </c>
      <c r="N25" s="420"/>
      <c r="O25" s="179"/>
    </row>
    <row r="26" spans="1:15" s="180" customFormat="1" ht="21.75" hidden="1" customHeight="1">
      <c r="A26" s="355">
        <v>13</v>
      </c>
      <c r="B26" s="1579" t="str">
        <f>'Chấm công KT'!D23</f>
        <v>02727</v>
      </c>
      <c r="C26" s="1580"/>
      <c r="D26" s="1334" t="str">
        <f>'CNKT '!C28</f>
        <v>T. Thong Đon</v>
      </c>
      <c r="E26" s="1334" t="s">
        <v>43</v>
      </c>
      <c r="F26" s="1325">
        <f>VLOOKUP(D26,'CNKT '!$C$16:$F$93,4,0)</f>
        <v>0</v>
      </c>
      <c r="G26" s="1325">
        <f>VLOOKUP(D26,'CNKT '!$C$16:$L$93,10,0)</f>
        <v>0</v>
      </c>
      <c r="H26" s="1325">
        <f>VLOOKUP(D26,'CNKT '!$C$16:$W$93,21,0)</f>
        <v>0</v>
      </c>
      <c r="I26" s="1325">
        <f t="shared" si="1"/>
        <v>0</v>
      </c>
      <c r="J26" s="1325"/>
      <c r="K26" s="1325">
        <f>VLOOKUP(D26,'CNKT '!$C$16:$Z$93,24,0)</f>
        <v>0</v>
      </c>
      <c r="L26" s="1325"/>
      <c r="M26" s="1327">
        <f t="shared" si="2"/>
        <v>0</v>
      </c>
      <c r="N26" s="420"/>
      <c r="O26" s="179"/>
    </row>
    <row r="27" spans="1:15" s="180" customFormat="1" ht="21.75" hidden="1" customHeight="1">
      <c r="A27" s="355">
        <v>14</v>
      </c>
      <c r="B27" s="1579" t="str">
        <f>'Chấm công KT'!D24</f>
        <v>03467</v>
      </c>
      <c r="C27" s="1580"/>
      <c r="D27" s="1334" t="str">
        <f>'CNKT '!C29</f>
        <v>T. Hin</v>
      </c>
      <c r="E27" s="1334" t="s">
        <v>43</v>
      </c>
      <c r="F27" s="1325">
        <f>VLOOKUP(D27,'CNKT '!$C$16:$F$93,4,0)</f>
        <v>0</v>
      </c>
      <c r="G27" s="1325">
        <f>VLOOKUP(D27,'CNKT '!$C$16:$L$93,10,0)</f>
        <v>0</v>
      </c>
      <c r="H27" s="1325">
        <f>VLOOKUP(D27,'CNKT '!$C$16:$W$93,21,0)</f>
        <v>0</v>
      </c>
      <c r="I27" s="1325">
        <f t="shared" si="1"/>
        <v>0</v>
      </c>
      <c r="J27" s="1325"/>
      <c r="K27" s="1325">
        <f>VLOOKUP(D27,'CNKT '!$C$16:$Z$93,24,0)</f>
        <v>0</v>
      </c>
      <c r="L27" s="1325"/>
      <c r="M27" s="1327">
        <f t="shared" si="2"/>
        <v>0</v>
      </c>
      <c r="N27" s="420"/>
      <c r="O27" s="179"/>
    </row>
    <row r="28" spans="1:15" s="180" customFormat="1" ht="21.75" hidden="1" customHeight="1">
      <c r="A28" s="355">
        <v>15</v>
      </c>
      <c r="B28" s="1579" t="str">
        <f>'Chấm công KT'!D25</f>
        <v>03468</v>
      </c>
      <c r="C28" s="1580"/>
      <c r="D28" s="1334" t="str">
        <f>'CNKT '!C30</f>
        <v>T. Son</v>
      </c>
      <c r="E28" s="1334" t="s">
        <v>43</v>
      </c>
      <c r="F28" s="1325">
        <f>VLOOKUP(D28,'CNKT '!$C$16:$F$93,4,0)</f>
        <v>0</v>
      </c>
      <c r="G28" s="1325">
        <f>VLOOKUP(D28,'CNKT '!$C$16:$L$93,10,0)</f>
        <v>0</v>
      </c>
      <c r="H28" s="1325">
        <f>VLOOKUP(D28,'CNKT '!$C$16:$W$93,21,0)</f>
        <v>0</v>
      </c>
      <c r="I28" s="1325">
        <f t="shared" si="1"/>
        <v>0</v>
      </c>
      <c r="J28" s="1325"/>
      <c r="K28" s="1325">
        <f>VLOOKUP(D28,'CNKT '!$C$16:$Z$93,24,0)</f>
        <v>0</v>
      </c>
      <c r="L28" s="1325"/>
      <c r="M28" s="1327">
        <f t="shared" si="2"/>
        <v>0</v>
      </c>
      <c r="N28" s="420"/>
      <c r="O28" s="179"/>
    </row>
    <row r="29" spans="1:15" s="180" customFormat="1" ht="21.75" hidden="1" customHeight="1">
      <c r="A29" s="355">
        <v>16</v>
      </c>
      <c r="B29" s="1579" t="str">
        <f>'Chấm công KT'!D26</f>
        <v>03469</v>
      </c>
      <c r="C29" s="1580"/>
      <c r="D29" s="1334" t="str">
        <f>'CNKT '!C31</f>
        <v>T. Xôm Va Nít</v>
      </c>
      <c r="E29" s="1334" t="s">
        <v>43</v>
      </c>
      <c r="F29" s="1325">
        <f>VLOOKUP(D29,'CNKT '!$C$16:$F$93,4,0)</f>
        <v>0</v>
      </c>
      <c r="G29" s="1325">
        <f>VLOOKUP(D29,'CNKT '!$C$16:$L$93,10,0)</f>
        <v>0</v>
      </c>
      <c r="H29" s="1325">
        <f>VLOOKUP(D29,'CNKT '!$C$16:$W$93,21,0)</f>
        <v>0</v>
      </c>
      <c r="I29" s="1325">
        <f t="shared" si="1"/>
        <v>0</v>
      </c>
      <c r="J29" s="1325"/>
      <c r="K29" s="1325">
        <f>VLOOKUP(D29,'CNKT '!$C$16:$Z$93,24,0)</f>
        <v>0</v>
      </c>
      <c r="L29" s="1325"/>
      <c r="M29" s="1327">
        <f t="shared" si="2"/>
        <v>0</v>
      </c>
      <c r="N29" s="420"/>
      <c r="O29" s="179"/>
    </row>
    <row r="30" spans="1:15" s="180" customFormat="1" ht="21.75" hidden="1" customHeight="1">
      <c r="A30" s="355">
        <v>17</v>
      </c>
      <c r="B30" s="1579" t="str">
        <f>'Chấm công KT'!D27</f>
        <v>03470</v>
      </c>
      <c r="C30" s="1580"/>
      <c r="D30" s="1334" t="str">
        <f>'CNKT '!C32</f>
        <v>T. Lọi</v>
      </c>
      <c r="E30" s="1334" t="s">
        <v>43</v>
      </c>
      <c r="F30" s="1325">
        <f>VLOOKUP(D30,'CNKT '!$C$16:$F$93,4,0)</f>
        <v>0</v>
      </c>
      <c r="G30" s="1325">
        <f>VLOOKUP(D30,'CNKT '!$C$16:$L$93,10,0)</f>
        <v>0</v>
      </c>
      <c r="H30" s="1325">
        <f>VLOOKUP(D30,'CNKT '!$C$16:$W$93,21,0)</f>
        <v>0</v>
      </c>
      <c r="I30" s="1325">
        <f t="shared" si="1"/>
        <v>0</v>
      </c>
      <c r="J30" s="1325"/>
      <c r="K30" s="1325">
        <f>VLOOKUP(D30,'CNKT '!$C$16:$Z$93,24,0)</f>
        <v>0</v>
      </c>
      <c r="L30" s="1325"/>
      <c r="M30" s="1327">
        <f t="shared" si="2"/>
        <v>0</v>
      </c>
      <c r="N30" s="420"/>
      <c r="O30" s="179"/>
    </row>
    <row r="31" spans="1:15" s="180" customFormat="1" ht="21.75" hidden="1" customHeight="1">
      <c r="A31" s="355">
        <v>18</v>
      </c>
      <c r="B31" s="1579" t="str">
        <f>'Chấm công KT'!D28</f>
        <v>03471</v>
      </c>
      <c r="C31" s="1580"/>
      <c r="D31" s="1334" t="str">
        <f>'CNKT '!C33</f>
        <v>T. Phô Thong</v>
      </c>
      <c r="E31" s="1334" t="s">
        <v>43</v>
      </c>
      <c r="F31" s="1325">
        <f>VLOOKUP(D31,'CNKT '!$C$16:$F$93,4,0)</f>
        <v>0</v>
      </c>
      <c r="G31" s="1325">
        <f>VLOOKUP(D31,'CNKT '!$C$16:$L$93,10,0)</f>
        <v>0</v>
      </c>
      <c r="H31" s="1325">
        <f>VLOOKUP(D31,'CNKT '!$C$16:$W$93,21,0)</f>
        <v>0</v>
      </c>
      <c r="I31" s="1325">
        <f t="shared" si="1"/>
        <v>0</v>
      </c>
      <c r="J31" s="1325"/>
      <c r="K31" s="1325">
        <f>VLOOKUP(D31,'CNKT '!$C$16:$Z$93,24,0)</f>
        <v>0</v>
      </c>
      <c r="L31" s="1325"/>
      <c r="M31" s="1327">
        <f t="shared" si="2"/>
        <v>0</v>
      </c>
      <c r="N31" s="420"/>
      <c r="O31" s="179"/>
    </row>
    <row r="32" spans="1:15" s="180" customFormat="1" ht="21.75" hidden="1" customHeight="1">
      <c r="A32" s="355">
        <v>19</v>
      </c>
      <c r="B32" s="1579" t="str">
        <f>'Chấm công KT'!D29</f>
        <v>03472</v>
      </c>
      <c r="C32" s="1580"/>
      <c r="D32" s="1334" t="str">
        <f>'CNKT '!C34</f>
        <v>N. Soi</v>
      </c>
      <c r="E32" s="1334" t="s">
        <v>43</v>
      </c>
      <c r="F32" s="1325">
        <f>VLOOKUP(D32,'CNKT '!$C$16:$F$93,4,0)</f>
        <v>0</v>
      </c>
      <c r="G32" s="1325">
        <f>VLOOKUP(D32,'CNKT '!$C$16:$L$93,10,0)</f>
        <v>0</v>
      </c>
      <c r="H32" s="1325">
        <f>VLOOKUP(D32,'CNKT '!$C$16:$W$93,21,0)</f>
        <v>0</v>
      </c>
      <c r="I32" s="1325">
        <f t="shared" si="1"/>
        <v>0</v>
      </c>
      <c r="J32" s="1325"/>
      <c r="K32" s="1325">
        <f>VLOOKUP(D32,'CNKT '!$C$16:$Z$93,24,0)</f>
        <v>0</v>
      </c>
      <c r="L32" s="1325"/>
      <c r="M32" s="1327">
        <f t="shared" si="2"/>
        <v>0</v>
      </c>
      <c r="N32" s="420"/>
      <c r="O32" s="179"/>
    </row>
    <row r="33" spans="1:15" s="180" customFormat="1" ht="21.75" hidden="1" customHeight="1">
      <c r="A33" s="355">
        <v>20</v>
      </c>
      <c r="B33" s="1579" t="str">
        <f>'Chấm công KT'!D30</f>
        <v>03473</v>
      </c>
      <c r="C33" s="1580"/>
      <c r="D33" s="1334" t="str">
        <f>'CNKT '!C35</f>
        <v>N. Me Kha La</v>
      </c>
      <c r="E33" s="1334" t="s">
        <v>43</v>
      </c>
      <c r="F33" s="1325">
        <f>VLOOKUP(D33,'CNKT '!$C$16:$F$93,4,0)</f>
        <v>0</v>
      </c>
      <c r="G33" s="1325">
        <f>VLOOKUP(D33,'CNKT '!$C$16:$L$93,10,0)</f>
        <v>0</v>
      </c>
      <c r="H33" s="1325">
        <f>VLOOKUP(D33,'CNKT '!$C$16:$W$93,21,0)</f>
        <v>0</v>
      </c>
      <c r="I33" s="1325">
        <f t="shared" si="1"/>
        <v>0</v>
      </c>
      <c r="J33" s="1325"/>
      <c r="K33" s="1325">
        <f>VLOOKUP(D33,'CNKT '!$C$16:$Z$93,24,0)</f>
        <v>0</v>
      </c>
      <c r="L33" s="1325"/>
      <c r="M33" s="1327">
        <f t="shared" si="2"/>
        <v>0</v>
      </c>
      <c r="N33" s="420"/>
      <c r="O33" s="179"/>
    </row>
    <row r="34" spans="1:15" s="180" customFormat="1" ht="21.75" hidden="1" customHeight="1">
      <c r="A34" s="355">
        <v>21</v>
      </c>
      <c r="B34" s="1579" t="str">
        <f>'Chấm công KT'!D31</f>
        <v>03474</v>
      </c>
      <c r="C34" s="1580"/>
      <c r="D34" s="1334" t="str">
        <f>'CNKT '!C36</f>
        <v>N. Mon Khăm</v>
      </c>
      <c r="E34" s="1334" t="s">
        <v>43</v>
      </c>
      <c r="F34" s="1325">
        <f>VLOOKUP(D34,'CNKT '!$C$16:$F$93,4,0)</f>
        <v>0</v>
      </c>
      <c r="G34" s="1325">
        <f>VLOOKUP(D34,'CNKT '!$C$16:$L$93,10,0)</f>
        <v>0</v>
      </c>
      <c r="H34" s="1325">
        <f>VLOOKUP(D34,'CNKT '!$C$16:$W$93,21,0)</f>
        <v>0</v>
      </c>
      <c r="I34" s="1325">
        <f t="shared" si="1"/>
        <v>0</v>
      </c>
      <c r="J34" s="1325"/>
      <c r="K34" s="1325">
        <f>VLOOKUP(D34,'CNKT '!$C$16:$Z$93,24,0)</f>
        <v>0</v>
      </c>
      <c r="L34" s="1325"/>
      <c r="M34" s="1327">
        <f t="shared" si="2"/>
        <v>0</v>
      </c>
      <c r="N34" s="420"/>
      <c r="O34" s="179"/>
    </row>
    <row r="35" spans="1:15" s="180" customFormat="1" ht="21.75" hidden="1" customHeight="1">
      <c r="A35" s="355">
        <v>22</v>
      </c>
      <c r="B35" s="1579" t="str">
        <f>'Chấm công KT'!D32</f>
        <v>03475</v>
      </c>
      <c r="C35" s="1580"/>
      <c r="D35" s="1334" t="str">
        <f>'CNKT '!C37</f>
        <v>T. In</v>
      </c>
      <c r="E35" s="1334" t="s">
        <v>43</v>
      </c>
      <c r="F35" s="1325">
        <f>VLOOKUP(D35,'CNKT '!$C$16:$F$93,4,0)</f>
        <v>0</v>
      </c>
      <c r="G35" s="1325">
        <f>VLOOKUP(D35,'CNKT '!$C$16:$L$93,10,0)</f>
        <v>0</v>
      </c>
      <c r="H35" s="1325">
        <f>VLOOKUP(D35,'CNKT '!$C$16:$W$93,21,0)</f>
        <v>0</v>
      </c>
      <c r="I35" s="1325">
        <f t="shared" si="1"/>
        <v>0</v>
      </c>
      <c r="J35" s="1325"/>
      <c r="K35" s="1325">
        <f>VLOOKUP(D35,'CNKT '!$C$16:$Z$93,24,0)</f>
        <v>0</v>
      </c>
      <c r="L35" s="1325"/>
      <c r="M35" s="1327">
        <f t="shared" si="2"/>
        <v>0</v>
      </c>
      <c r="N35" s="420"/>
      <c r="O35" s="179"/>
    </row>
    <row r="36" spans="1:15" s="180" customFormat="1" ht="21.75" hidden="1" customHeight="1">
      <c r="A36" s="355">
        <v>23</v>
      </c>
      <c r="B36" s="1579" t="str">
        <f>'Chấm công KT'!D33</f>
        <v>03476</v>
      </c>
      <c r="C36" s="1580"/>
      <c r="D36" s="1334" t="str">
        <f>'CNKT '!C38</f>
        <v>T. Bin Ly.</v>
      </c>
      <c r="E36" s="1334" t="s">
        <v>43</v>
      </c>
      <c r="F36" s="1325">
        <f>VLOOKUP(D36,'CNKT '!$C$16:$F$93,4,0)</f>
        <v>0</v>
      </c>
      <c r="G36" s="1325">
        <f>VLOOKUP(D36,'CNKT '!$C$16:$L$93,10,0)</f>
        <v>0</v>
      </c>
      <c r="H36" s="1325">
        <f>VLOOKUP(D36,'CNKT '!$C$16:$W$93,21,0)</f>
        <v>0</v>
      </c>
      <c r="I36" s="1325">
        <f t="shared" si="1"/>
        <v>0</v>
      </c>
      <c r="J36" s="1325"/>
      <c r="K36" s="1325">
        <f>VLOOKUP(D36,'CNKT '!$C$16:$Z$93,24,0)</f>
        <v>0</v>
      </c>
      <c r="L36" s="1325"/>
      <c r="M36" s="1327">
        <f t="shared" si="2"/>
        <v>0</v>
      </c>
      <c r="N36" s="420"/>
      <c r="O36" s="179"/>
    </row>
    <row r="37" spans="1:15" s="180" customFormat="1" ht="21.75" hidden="1" customHeight="1">
      <c r="A37" s="355">
        <v>24</v>
      </c>
      <c r="B37" s="1579" t="str">
        <f>'Chấm công KT'!D34</f>
        <v>03477</v>
      </c>
      <c r="C37" s="1580"/>
      <c r="D37" s="1334" t="str">
        <f>'CNKT '!C39</f>
        <v>N. Phim Phon.</v>
      </c>
      <c r="E37" s="1334" t="s">
        <v>43</v>
      </c>
      <c r="F37" s="1325">
        <f>VLOOKUP(D37,'CNKT '!$C$16:$F$93,4,0)</f>
        <v>0</v>
      </c>
      <c r="G37" s="1325">
        <f>VLOOKUP(D37,'CNKT '!$C$16:$L$93,10,0)</f>
        <v>0</v>
      </c>
      <c r="H37" s="1325">
        <f>VLOOKUP(D37,'CNKT '!$C$16:$W$93,21,0)</f>
        <v>0</v>
      </c>
      <c r="I37" s="1325">
        <f t="shared" si="1"/>
        <v>0</v>
      </c>
      <c r="J37" s="1325"/>
      <c r="K37" s="1325">
        <f>VLOOKUP(D37,'CNKT '!$C$16:$Z$93,24,0)</f>
        <v>0</v>
      </c>
      <c r="L37" s="1325"/>
      <c r="M37" s="1327">
        <f t="shared" si="2"/>
        <v>0</v>
      </c>
      <c r="N37" s="420"/>
      <c r="O37" s="179"/>
    </row>
    <row r="38" spans="1:15" s="180" customFormat="1" ht="21.75" hidden="1" customHeight="1">
      <c r="A38" s="355">
        <v>25</v>
      </c>
      <c r="B38" s="1579" t="str">
        <f>'Chấm công KT'!D35</f>
        <v>03478</v>
      </c>
      <c r="C38" s="1580"/>
      <c r="D38" s="1334" t="str">
        <f>'CNKT '!C40</f>
        <v>N. Nong</v>
      </c>
      <c r="E38" s="1334" t="s">
        <v>43</v>
      </c>
      <c r="F38" s="1325">
        <f>VLOOKUP(D38,'CNKT '!$C$16:$F$93,4,0)</f>
        <v>0</v>
      </c>
      <c r="G38" s="1325">
        <f>VLOOKUP(D38,'CNKT '!$C$16:$L$93,10,0)</f>
        <v>0</v>
      </c>
      <c r="H38" s="1325">
        <f>VLOOKUP(D38,'CNKT '!$C$16:$W$93,21,0)</f>
        <v>0</v>
      </c>
      <c r="I38" s="1325">
        <f t="shared" si="1"/>
        <v>0</v>
      </c>
      <c r="J38" s="1325"/>
      <c r="K38" s="1325">
        <f>VLOOKUP(D38,'CNKT '!$C$16:$Z$93,24,0)</f>
        <v>0</v>
      </c>
      <c r="L38" s="1325"/>
      <c r="M38" s="1327">
        <f t="shared" si="2"/>
        <v>0</v>
      </c>
      <c r="N38" s="420"/>
      <c r="O38" s="179"/>
    </row>
    <row r="39" spans="1:15" s="180" customFormat="1" ht="21.75" hidden="1" customHeight="1">
      <c r="A39" s="355">
        <v>26</v>
      </c>
      <c r="B39" s="1579" t="str">
        <f>'Chấm công KT'!D36</f>
        <v>03479</v>
      </c>
      <c r="C39" s="1580"/>
      <c r="D39" s="1334" t="str">
        <f>'CNKT '!C41</f>
        <v>N. Tun 1</v>
      </c>
      <c r="E39" s="1334" t="s">
        <v>43</v>
      </c>
      <c r="F39" s="1325">
        <f>VLOOKUP(D39,'CNKT '!$C$16:$F$93,4,0)</f>
        <v>0</v>
      </c>
      <c r="G39" s="1325">
        <f>VLOOKUP(D39,'CNKT '!$C$16:$L$93,10,0)</f>
        <v>0</v>
      </c>
      <c r="H39" s="1325">
        <f>VLOOKUP(D39,'CNKT '!$C$16:$W$93,21,0)</f>
        <v>0</v>
      </c>
      <c r="I39" s="1325">
        <f t="shared" si="1"/>
        <v>0</v>
      </c>
      <c r="J39" s="1325"/>
      <c r="K39" s="1325">
        <f>VLOOKUP(D39,'CNKT '!$C$16:$Z$93,24,0)</f>
        <v>0</v>
      </c>
      <c r="L39" s="1325"/>
      <c r="M39" s="1327">
        <f t="shared" si="2"/>
        <v>0</v>
      </c>
      <c r="N39" s="420"/>
      <c r="O39" s="179"/>
    </row>
    <row r="40" spans="1:15" s="180" customFormat="1" ht="21.75" hidden="1" customHeight="1">
      <c r="A40" s="355">
        <v>27</v>
      </c>
      <c r="B40" s="1579" t="str">
        <f>'Chấm công KT'!D37</f>
        <v>03480</v>
      </c>
      <c r="C40" s="1580"/>
      <c r="D40" s="1334" t="str">
        <f>'CNKT '!C42</f>
        <v>T . Lốc</v>
      </c>
      <c r="E40" s="1334" t="s">
        <v>43</v>
      </c>
      <c r="F40" s="1325">
        <f>VLOOKUP(D40,'CNKT '!$C$16:$F$93,4,0)</f>
        <v>0</v>
      </c>
      <c r="G40" s="1325">
        <f>VLOOKUP(D40,'CNKT '!$C$16:$L$93,10,0)</f>
        <v>0</v>
      </c>
      <c r="H40" s="1325">
        <f>VLOOKUP(D40,'CNKT '!$C$16:$W$93,21,0)</f>
        <v>0</v>
      </c>
      <c r="I40" s="1325">
        <f t="shared" si="1"/>
        <v>0</v>
      </c>
      <c r="J40" s="1325"/>
      <c r="K40" s="1325">
        <f>VLOOKUP(D40,'CNKT '!$C$16:$Z$93,24,0)</f>
        <v>0</v>
      </c>
      <c r="L40" s="1325"/>
      <c r="M40" s="1327">
        <f t="shared" si="2"/>
        <v>0</v>
      </c>
      <c r="N40" s="420"/>
      <c r="O40" s="179"/>
    </row>
    <row r="41" spans="1:15" s="180" customFormat="1" ht="21.75" hidden="1" customHeight="1">
      <c r="A41" s="355">
        <v>28</v>
      </c>
      <c r="B41" s="1579" t="str">
        <f>'Chấm công KT'!D38</f>
        <v>03481</v>
      </c>
      <c r="C41" s="1580"/>
      <c r="D41" s="1334" t="str">
        <f>'CNKT '!C43</f>
        <v>N . Khâm (1)</v>
      </c>
      <c r="E41" s="1334" t="s">
        <v>43</v>
      </c>
      <c r="F41" s="1325">
        <f>VLOOKUP(D41,'CNKT '!$C$16:$F$93,4,0)</f>
        <v>0</v>
      </c>
      <c r="G41" s="1325">
        <f>VLOOKUP(D41,'CNKT '!$C$16:$L$93,10,0)</f>
        <v>0</v>
      </c>
      <c r="H41" s="1325">
        <f>VLOOKUP(D41,'CNKT '!$C$16:$W$93,21,0)</f>
        <v>0</v>
      </c>
      <c r="I41" s="1325">
        <f t="shared" si="1"/>
        <v>0</v>
      </c>
      <c r="J41" s="1325"/>
      <c r="K41" s="1325">
        <f>VLOOKUP(D41,'CNKT '!$C$16:$Z$93,24,0)</f>
        <v>0</v>
      </c>
      <c r="L41" s="1325"/>
      <c r="M41" s="1327">
        <f t="shared" si="2"/>
        <v>0</v>
      </c>
      <c r="N41" s="420"/>
      <c r="O41" s="179"/>
    </row>
    <row r="42" spans="1:15" s="180" customFormat="1" ht="21.75" hidden="1" customHeight="1">
      <c r="A42" s="355">
        <v>29</v>
      </c>
      <c r="B42" s="1579" t="str">
        <f>'Chấm công KT'!D39</f>
        <v>03482</v>
      </c>
      <c r="C42" s="1580"/>
      <c r="D42" s="1334" t="str">
        <f>'CNKT '!C44</f>
        <v>T . Phết</v>
      </c>
      <c r="E42" s="1334" t="s">
        <v>43</v>
      </c>
      <c r="F42" s="1325">
        <f>VLOOKUP(D42,'CNKT '!$C$16:$F$93,4,0)</f>
        <v>0</v>
      </c>
      <c r="G42" s="1325">
        <f>VLOOKUP(D42,'CNKT '!$C$16:$L$93,10,0)</f>
        <v>0</v>
      </c>
      <c r="H42" s="1325">
        <f>VLOOKUP(D42,'CNKT '!$C$16:$W$93,21,0)</f>
        <v>0</v>
      </c>
      <c r="I42" s="1325">
        <f t="shared" si="1"/>
        <v>0</v>
      </c>
      <c r="J42" s="1325"/>
      <c r="K42" s="1325">
        <f>VLOOKUP(D42,'CNKT '!$C$16:$Z$93,24,0)</f>
        <v>0</v>
      </c>
      <c r="L42" s="1325"/>
      <c r="M42" s="1327">
        <f t="shared" si="2"/>
        <v>0</v>
      </c>
      <c r="N42" s="420"/>
      <c r="O42" s="179"/>
    </row>
    <row r="43" spans="1:15" s="180" customFormat="1" ht="21.75" hidden="1" customHeight="1">
      <c r="A43" s="355">
        <v>30</v>
      </c>
      <c r="B43" s="1579" t="str">
        <f>'Chấm công KT'!D40</f>
        <v>03483</v>
      </c>
      <c r="C43" s="1580"/>
      <c r="D43" s="1334" t="str">
        <f>'CNKT '!C45</f>
        <v>T. Viêng Sa Văn</v>
      </c>
      <c r="E43" s="1334" t="s">
        <v>43</v>
      </c>
      <c r="F43" s="1325">
        <f>VLOOKUP(D43,'CNKT '!$C$16:$F$93,4,0)</f>
        <v>0</v>
      </c>
      <c r="G43" s="1325">
        <f>VLOOKUP(D43,'CNKT '!$C$16:$L$93,10,0)</f>
        <v>0</v>
      </c>
      <c r="H43" s="1325">
        <f>VLOOKUP(D43,'CNKT '!$C$16:$W$93,21,0)</f>
        <v>0</v>
      </c>
      <c r="I43" s="1325">
        <f t="shared" si="1"/>
        <v>0</v>
      </c>
      <c r="J43" s="1325"/>
      <c r="K43" s="1325">
        <f>VLOOKUP(D43,'CNKT '!$C$16:$Z$93,24,0)</f>
        <v>0</v>
      </c>
      <c r="L43" s="1325"/>
      <c r="M43" s="1327">
        <f t="shared" si="2"/>
        <v>0</v>
      </c>
      <c r="N43" s="420"/>
      <c r="O43" s="179"/>
    </row>
    <row r="44" spans="1:15" s="180" customFormat="1" ht="21.75" hidden="1" customHeight="1">
      <c r="A44" s="355">
        <v>31</v>
      </c>
      <c r="B44" s="1579" t="str">
        <f>'Chấm công KT'!D41</f>
        <v>03484</v>
      </c>
      <c r="C44" s="1580"/>
      <c r="D44" s="1334" t="str">
        <f>'CNKT '!C46</f>
        <v>T. Ca Te</v>
      </c>
      <c r="E44" s="1334" t="s">
        <v>43</v>
      </c>
      <c r="F44" s="1325">
        <f>VLOOKUP(D44,'CNKT '!$C$16:$F$93,4,0)</f>
        <v>0</v>
      </c>
      <c r="G44" s="1325">
        <f>VLOOKUP(D44,'CNKT '!$C$16:$L$93,10,0)</f>
        <v>0</v>
      </c>
      <c r="H44" s="1325">
        <f>VLOOKUP(D44,'CNKT '!$C$16:$W$93,21,0)</f>
        <v>0</v>
      </c>
      <c r="I44" s="1325">
        <f t="shared" si="1"/>
        <v>0</v>
      </c>
      <c r="J44" s="1325"/>
      <c r="K44" s="1325">
        <f>VLOOKUP(D44,'CNKT '!$C$16:$Z$93,24,0)</f>
        <v>0</v>
      </c>
      <c r="L44" s="1325"/>
      <c r="M44" s="1327">
        <f t="shared" si="2"/>
        <v>0</v>
      </c>
      <c r="N44" s="420"/>
      <c r="O44" s="179"/>
    </row>
    <row r="45" spans="1:15" s="180" customFormat="1" ht="21.75" hidden="1" customHeight="1">
      <c r="A45" s="355">
        <v>32</v>
      </c>
      <c r="B45" s="1579" t="str">
        <f>'Chấm công KT'!D42</f>
        <v>03485</v>
      </c>
      <c r="C45" s="1580"/>
      <c r="D45" s="1334" t="str">
        <f>'CNKT '!C47</f>
        <v>T. Lâm Phon</v>
      </c>
      <c r="E45" s="1334" t="s">
        <v>43</v>
      </c>
      <c r="F45" s="1325">
        <f>VLOOKUP(D45,'CNKT '!$C$16:$F$93,4,0)</f>
        <v>0</v>
      </c>
      <c r="G45" s="1325">
        <f>VLOOKUP(D45,'CNKT '!$C$16:$L$93,10,0)</f>
        <v>0</v>
      </c>
      <c r="H45" s="1325">
        <f>VLOOKUP(D45,'CNKT '!$C$16:$W$93,21,0)</f>
        <v>0</v>
      </c>
      <c r="I45" s="1325">
        <f t="shared" si="1"/>
        <v>0</v>
      </c>
      <c r="J45" s="1325"/>
      <c r="K45" s="1325">
        <f>VLOOKUP(D45,'CNKT '!$C$16:$Z$93,24,0)</f>
        <v>0</v>
      </c>
      <c r="L45" s="1325"/>
      <c r="M45" s="1327">
        <f t="shared" si="2"/>
        <v>0</v>
      </c>
      <c r="N45" s="420"/>
      <c r="O45" s="179"/>
    </row>
    <row r="46" spans="1:15" s="180" customFormat="1" ht="21.75" hidden="1" customHeight="1">
      <c r="A46" s="355">
        <v>33</v>
      </c>
      <c r="B46" s="1579" t="str">
        <f>'Chấm công KT'!D43</f>
        <v>02712</v>
      </c>
      <c r="C46" s="1580"/>
      <c r="D46" s="1334" t="str">
        <f>'CNKT '!C48</f>
        <v>T. Sô Đa</v>
      </c>
      <c r="E46" s="1334" t="s">
        <v>43</v>
      </c>
      <c r="F46" s="1325">
        <f>VLOOKUP(D46,'CNKT '!$C$16:$F$93,4,0)</f>
        <v>0</v>
      </c>
      <c r="G46" s="1325">
        <f>VLOOKUP(D46,'CNKT '!$C$16:$L$93,10,0)</f>
        <v>0</v>
      </c>
      <c r="H46" s="1325">
        <f>VLOOKUP(D46,'CNKT '!$C$16:$W$93,21,0)</f>
        <v>0</v>
      </c>
      <c r="I46" s="1325">
        <f t="shared" si="1"/>
        <v>0</v>
      </c>
      <c r="J46" s="1325"/>
      <c r="K46" s="1325">
        <f>VLOOKUP(D46,'CNKT '!$C$16:$Z$93,24,0)</f>
        <v>0</v>
      </c>
      <c r="L46" s="1325"/>
      <c r="M46" s="1327">
        <f t="shared" si="2"/>
        <v>0</v>
      </c>
      <c r="N46" s="420"/>
      <c r="O46" s="179"/>
    </row>
    <row r="47" spans="1:15" s="180" customFormat="1" ht="21.75" hidden="1" customHeight="1">
      <c r="A47" s="355">
        <v>34</v>
      </c>
      <c r="B47" s="1579" t="str">
        <f>'Chấm công KT'!D44</f>
        <v>02722</v>
      </c>
      <c r="C47" s="1580"/>
      <c r="D47" s="1334" t="str">
        <f>'CNKT '!C49</f>
        <v>T. Phu Ngân</v>
      </c>
      <c r="E47" s="1334" t="s">
        <v>43</v>
      </c>
      <c r="F47" s="1325">
        <f>VLOOKUP(D47,'CNKT '!$C$16:$F$93,4,0)</f>
        <v>0</v>
      </c>
      <c r="G47" s="1325">
        <f>VLOOKUP(D47,'CNKT '!$C$16:$L$93,10,0)</f>
        <v>0</v>
      </c>
      <c r="H47" s="1325">
        <f>VLOOKUP(D47,'CNKT '!$C$16:$W$93,21,0)</f>
        <v>0</v>
      </c>
      <c r="I47" s="1325">
        <f t="shared" si="1"/>
        <v>0</v>
      </c>
      <c r="J47" s="1325"/>
      <c r="K47" s="1325">
        <f>VLOOKUP(D47,'CNKT '!$C$16:$Z$93,24,0)</f>
        <v>0</v>
      </c>
      <c r="L47" s="1325"/>
      <c r="M47" s="1327">
        <f t="shared" si="2"/>
        <v>0</v>
      </c>
      <c r="N47" s="420"/>
      <c r="O47" s="179"/>
    </row>
    <row r="48" spans="1:15" s="180" customFormat="1" ht="21.75" hidden="1" customHeight="1">
      <c r="A48" s="355">
        <v>35</v>
      </c>
      <c r="B48" s="1579" t="str">
        <f>'Chấm công KT'!D45</f>
        <v>02714</v>
      </c>
      <c r="C48" s="1580"/>
      <c r="D48" s="1334" t="str">
        <f>'CNKT '!C50</f>
        <v>N. Tủn</v>
      </c>
      <c r="E48" s="1334" t="s">
        <v>43</v>
      </c>
      <c r="F48" s="1325">
        <f>VLOOKUP(D48,'CNKT '!$C$16:$F$93,4,0)</f>
        <v>0</v>
      </c>
      <c r="G48" s="1325">
        <f>VLOOKUP(D48,'CNKT '!$C$16:$L$93,10,0)</f>
        <v>0</v>
      </c>
      <c r="H48" s="1325">
        <f>VLOOKUP(D48,'CNKT '!$C$16:$W$93,21,0)</f>
        <v>0</v>
      </c>
      <c r="I48" s="1325">
        <f t="shared" si="1"/>
        <v>0</v>
      </c>
      <c r="J48" s="1325"/>
      <c r="K48" s="1325">
        <f>VLOOKUP(D48,'CNKT '!$C$16:$Z$93,24,0)</f>
        <v>0</v>
      </c>
      <c r="L48" s="1325"/>
      <c r="M48" s="1327">
        <f t="shared" si="2"/>
        <v>0</v>
      </c>
      <c r="N48" s="420"/>
      <c r="O48" s="179"/>
    </row>
    <row r="49" spans="1:15" s="180" customFormat="1" ht="21.75" hidden="1" customHeight="1">
      <c r="A49" s="355">
        <v>36</v>
      </c>
      <c r="B49" s="1579" t="str">
        <f>'Chấm công KT'!D46</f>
        <v>02713</v>
      </c>
      <c r="C49" s="1580"/>
      <c r="D49" s="1334" t="str">
        <f>'CNKT '!C51</f>
        <v>T. Lung</v>
      </c>
      <c r="E49" s="1334" t="s">
        <v>43</v>
      </c>
      <c r="F49" s="1325">
        <f>VLOOKUP(D49,'CNKT '!$C$16:$F$93,4,0)</f>
        <v>0</v>
      </c>
      <c r="G49" s="1325">
        <f>VLOOKUP(D49,'CNKT '!$C$16:$L$93,10,0)</f>
        <v>0</v>
      </c>
      <c r="H49" s="1325">
        <f>VLOOKUP(D49,'CNKT '!$C$16:$W$93,21,0)</f>
        <v>0</v>
      </c>
      <c r="I49" s="1325">
        <f t="shared" si="1"/>
        <v>0</v>
      </c>
      <c r="J49" s="1325"/>
      <c r="K49" s="1325">
        <f>VLOOKUP(D49,'CNKT '!$C$16:$Z$93,24,0)</f>
        <v>0</v>
      </c>
      <c r="L49" s="1325"/>
      <c r="M49" s="1327">
        <f t="shared" si="2"/>
        <v>0</v>
      </c>
      <c r="N49" s="420"/>
      <c r="O49" s="179"/>
    </row>
    <row r="50" spans="1:15" s="180" customFormat="1" ht="21.75" hidden="1" customHeight="1">
      <c r="A50" s="355">
        <v>37</v>
      </c>
      <c r="B50" s="1579" t="str">
        <f>'Chấm công KT'!D47</f>
        <v>03486</v>
      </c>
      <c r="C50" s="1580"/>
      <c r="D50" s="1334" t="str">
        <f>'CNKT '!C52</f>
        <v>N. Tinh</v>
      </c>
      <c r="E50" s="1334" t="s">
        <v>43</v>
      </c>
      <c r="F50" s="1325">
        <f>VLOOKUP(D50,'CNKT '!$C$16:$F$93,4,0)</f>
        <v>0</v>
      </c>
      <c r="G50" s="1325">
        <f>VLOOKUP(D50,'CNKT '!$C$16:$L$93,10,0)</f>
        <v>0</v>
      </c>
      <c r="H50" s="1325">
        <f>VLOOKUP(D50,'CNKT '!$C$16:$W$93,21,0)</f>
        <v>0</v>
      </c>
      <c r="I50" s="1325">
        <f t="shared" si="1"/>
        <v>0</v>
      </c>
      <c r="J50" s="1325"/>
      <c r="K50" s="1325">
        <f>VLOOKUP(D50,'CNKT '!$C$16:$Z$93,24,0)</f>
        <v>0</v>
      </c>
      <c r="L50" s="1325"/>
      <c r="M50" s="1327">
        <f t="shared" si="2"/>
        <v>0</v>
      </c>
      <c r="N50" s="420"/>
      <c r="O50" s="179"/>
    </row>
    <row r="51" spans="1:15" s="180" customFormat="1" ht="21.75" hidden="1" customHeight="1">
      <c r="A51" s="355">
        <v>38</v>
      </c>
      <c r="B51" s="1579" t="str">
        <f>'Chấm công KT'!D48</f>
        <v>03487</v>
      </c>
      <c r="C51" s="1580"/>
      <c r="D51" s="1334" t="str">
        <f>'CNKT '!C53</f>
        <v>N. Ba Say</v>
      </c>
      <c r="E51" s="1334" t="s">
        <v>43</v>
      </c>
      <c r="F51" s="1325">
        <f>VLOOKUP(D51,'CNKT '!$C$16:$F$93,4,0)</f>
        <v>0</v>
      </c>
      <c r="G51" s="1325">
        <f>VLOOKUP(D51,'CNKT '!$C$16:$L$93,10,0)</f>
        <v>0</v>
      </c>
      <c r="H51" s="1325">
        <f>VLOOKUP(D51,'CNKT '!$C$16:$W$93,21,0)</f>
        <v>0</v>
      </c>
      <c r="I51" s="1325">
        <f t="shared" si="1"/>
        <v>0</v>
      </c>
      <c r="J51" s="1325"/>
      <c r="K51" s="1325">
        <f>VLOOKUP(D51,'CNKT '!$C$16:$Z$93,24,0)</f>
        <v>0</v>
      </c>
      <c r="L51" s="1325"/>
      <c r="M51" s="1327">
        <f t="shared" si="2"/>
        <v>0</v>
      </c>
      <c r="N51" s="420"/>
      <c r="O51" s="179"/>
    </row>
    <row r="52" spans="1:15" s="180" customFormat="1" ht="21.75" hidden="1" customHeight="1">
      <c r="A52" s="355">
        <v>39</v>
      </c>
      <c r="B52" s="1579" t="str">
        <f>'Chấm công KT'!D49</f>
        <v>03488</v>
      </c>
      <c r="C52" s="1580"/>
      <c r="D52" s="1334" t="str">
        <f>'CNKT '!C54</f>
        <v>N. Đeng</v>
      </c>
      <c r="E52" s="1334" t="s">
        <v>43</v>
      </c>
      <c r="F52" s="1325">
        <f>VLOOKUP(D52,'CNKT '!$C$16:$F$93,4,0)</f>
        <v>0</v>
      </c>
      <c r="G52" s="1325">
        <f>VLOOKUP(D52,'CNKT '!$C$16:$L$93,10,0)</f>
        <v>0</v>
      </c>
      <c r="H52" s="1325">
        <f>VLOOKUP(D52,'CNKT '!$C$16:$W$93,21,0)</f>
        <v>0</v>
      </c>
      <c r="I52" s="1325">
        <f t="shared" si="1"/>
        <v>0</v>
      </c>
      <c r="J52" s="1325"/>
      <c r="K52" s="1325">
        <f>VLOOKUP(D52,'CNKT '!$C$16:$Z$93,24,0)</f>
        <v>0</v>
      </c>
      <c r="L52" s="1325"/>
      <c r="M52" s="1327">
        <f t="shared" si="2"/>
        <v>0</v>
      </c>
      <c r="N52" s="420"/>
      <c r="O52" s="179"/>
    </row>
    <row r="53" spans="1:15" s="180" customFormat="1" ht="21.75" hidden="1" customHeight="1">
      <c r="A53" s="355">
        <v>40</v>
      </c>
      <c r="B53" s="1579" t="str">
        <f>'Chấm công KT'!D50</f>
        <v>03489</v>
      </c>
      <c r="C53" s="1580"/>
      <c r="D53" s="1334" t="str">
        <f>'CNKT '!C55</f>
        <v>T. Tinh</v>
      </c>
      <c r="E53" s="1334" t="s">
        <v>43</v>
      </c>
      <c r="F53" s="1325">
        <f>VLOOKUP(D53,'CNKT '!$C$16:$F$93,4,0)</f>
        <v>0</v>
      </c>
      <c r="G53" s="1325">
        <f>VLOOKUP(D53,'CNKT '!$C$16:$L$93,10,0)</f>
        <v>0</v>
      </c>
      <c r="H53" s="1325">
        <f>VLOOKUP(D53,'CNKT '!$C$16:$W$93,21,0)</f>
        <v>0</v>
      </c>
      <c r="I53" s="1325">
        <f t="shared" si="1"/>
        <v>0</v>
      </c>
      <c r="J53" s="1325"/>
      <c r="K53" s="1325">
        <f>VLOOKUP(D53,'CNKT '!$C$16:$Z$93,24,0)</f>
        <v>0</v>
      </c>
      <c r="L53" s="1325"/>
      <c r="M53" s="1327">
        <f t="shared" si="2"/>
        <v>0</v>
      </c>
      <c r="N53" s="420"/>
      <c r="O53" s="179"/>
    </row>
    <row r="54" spans="1:15" s="180" customFormat="1" ht="21.75" hidden="1" customHeight="1">
      <c r="A54" s="355">
        <v>41</v>
      </c>
      <c r="B54" s="1579">
        <f>'Chấm công KT'!D51</f>
        <v>0</v>
      </c>
      <c r="C54" s="1580"/>
      <c r="D54" s="1334" t="str">
        <f>'CNKT '!C56</f>
        <v>T. Khăm Pỏi</v>
      </c>
      <c r="E54" s="1334" t="s">
        <v>43</v>
      </c>
      <c r="F54" s="1325">
        <f>VLOOKUP(D54,'CNKT '!$C$16:$F$93,4,0)</f>
        <v>0</v>
      </c>
      <c r="G54" s="1325">
        <f>VLOOKUP(D54,'CNKT '!$C$16:$L$93,10,0)</f>
        <v>0</v>
      </c>
      <c r="H54" s="1325">
        <f>VLOOKUP(D54,'CNKT '!$C$16:$W$93,21,0)</f>
        <v>0</v>
      </c>
      <c r="I54" s="1325">
        <f t="shared" si="1"/>
        <v>0</v>
      </c>
      <c r="J54" s="1325"/>
      <c r="K54" s="1325">
        <f>VLOOKUP(D54,'CNKT '!$C$16:$Z$93,24,0)</f>
        <v>0</v>
      </c>
      <c r="L54" s="1325"/>
      <c r="M54" s="1327">
        <f t="shared" si="2"/>
        <v>0</v>
      </c>
      <c r="N54" s="420"/>
      <c r="O54" s="179"/>
    </row>
    <row r="55" spans="1:15" s="180" customFormat="1" ht="21.75" hidden="1" customHeight="1">
      <c r="A55" s="355">
        <v>42</v>
      </c>
      <c r="B55" s="1579" t="str">
        <f>'Chấm công KT'!D52</f>
        <v>03491</v>
      </c>
      <c r="C55" s="1580"/>
      <c r="D55" s="1334" t="str">
        <f>'CNKT '!C57</f>
        <v>Lăm Ngân</v>
      </c>
      <c r="E55" s="1334" t="s">
        <v>43</v>
      </c>
      <c r="F55" s="1325">
        <f>VLOOKUP(D55,'CNKT '!$C$16:$F$93,4,0)</f>
        <v>0</v>
      </c>
      <c r="G55" s="1325">
        <f>VLOOKUP(D55,'CNKT '!$C$16:$L$93,10,0)</f>
        <v>0</v>
      </c>
      <c r="H55" s="1325">
        <f>VLOOKUP(D55,'CNKT '!$C$16:$W$93,21,0)</f>
        <v>0</v>
      </c>
      <c r="I55" s="1325">
        <f t="shared" si="1"/>
        <v>0</v>
      </c>
      <c r="J55" s="1325"/>
      <c r="K55" s="1325">
        <f>VLOOKUP(D55,'CNKT '!$C$16:$Z$93,24,0)</f>
        <v>0</v>
      </c>
      <c r="L55" s="1325"/>
      <c r="M55" s="1327">
        <f t="shared" si="2"/>
        <v>0</v>
      </c>
      <c r="N55" s="420"/>
      <c r="O55" s="179"/>
    </row>
    <row r="56" spans="1:15" s="180" customFormat="1" ht="21.75" hidden="1" customHeight="1">
      <c r="A56" s="355">
        <v>43</v>
      </c>
      <c r="B56" s="1579" t="str">
        <f>'Chấm công KT'!D53</f>
        <v>02715</v>
      </c>
      <c r="C56" s="1580"/>
      <c r="D56" s="1334" t="str">
        <f>'CNKT '!C58</f>
        <v>N. Ting</v>
      </c>
      <c r="E56" s="1334" t="s">
        <v>43</v>
      </c>
      <c r="F56" s="1325">
        <f>VLOOKUP(D56,'CNKT '!$C$16:$F$93,4,0)</f>
        <v>0</v>
      </c>
      <c r="G56" s="1325">
        <f>VLOOKUP(D56,'CNKT '!$C$16:$L$93,10,0)</f>
        <v>0</v>
      </c>
      <c r="H56" s="1325">
        <f>VLOOKUP(D56,'CNKT '!$C$16:$W$93,21,0)</f>
        <v>0</v>
      </c>
      <c r="I56" s="1325">
        <f t="shared" si="1"/>
        <v>0</v>
      </c>
      <c r="J56" s="1325"/>
      <c r="K56" s="1325">
        <f>VLOOKUP(D56,'CNKT '!$C$16:$Z$93,24,0)</f>
        <v>0</v>
      </c>
      <c r="L56" s="1325"/>
      <c r="M56" s="1327">
        <f t="shared" si="2"/>
        <v>0</v>
      </c>
      <c r="N56" s="420"/>
      <c r="O56" s="179"/>
    </row>
    <row r="57" spans="1:15" s="180" customFormat="1" ht="21.75" hidden="1" customHeight="1">
      <c r="A57" s="355">
        <v>44</v>
      </c>
      <c r="B57" s="1579" t="str">
        <f>'Chấm công KT'!D54</f>
        <v>03492</v>
      </c>
      <c r="C57" s="1580"/>
      <c r="D57" s="1334" t="str">
        <f>'CNKT '!C59</f>
        <v>T. Lem</v>
      </c>
      <c r="E57" s="1334" t="s">
        <v>43</v>
      </c>
      <c r="F57" s="1325">
        <f>VLOOKUP(D57,'CNKT '!$C$16:$F$93,4,0)</f>
        <v>0</v>
      </c>
      <c r="G57" s="1325">
        <f>VLOOKUP(D57,'CNKT '!$C$16:$L$93,10,0)</f>
        <v>0</v>
      </c>
      <c r="H57" s="1325">
        <f>VLOOKUP(D57,'CNKT '!$C$16:$W$93,21,0)</f>
        <v>0</v>
      </c>
      <c r="I57" s="1325">
        <f t="shared" si="1"/>
        <v>0</v>
      </c>
      <c r="J57" s="1325"/>
      <c r="K57" s="1325">
        <f>VLOOKUP(D57,'CNKT '!$C$16:$Z$93,24,0)</f>
        <v>0</v>
      </c>
      <c r="L57" s="1325"/>
      <c r="M57" s="1327">
        <f t="shared" si="2"/>
        <v>0</v>
      </c>
      <c r="N57" s="420"/>
      <c r="O57" s="179"/>
    </row>
    <row r="58" spans="1:15" s="180" customFormat="1" ht="21.75" hidden="1" customHeight="1">
      <c r="A58" s="355">
        <v>45</v>
      </c>
      <c r="B58" s="1579" t="str">
        <f>'Chấm công KT'!D55</f>
        <v>03493</v>
      </c>
      <c r="C58" s="1580"/>
      <c r="D58" s="1334" t="str">
        <f>'CNKT '!C60</f>
        <v>T. Pông</v>
      </c>
      <c r="E58" s="1334" t="s">
        <v>43</v>
      </c>
      <c r="F58" s="1325">
        <f>VLOOKUP(D58,'CNKT '!$C$16:$F$93,4,0)</f>
        <v>0</v>
      </c>
      <c r="G58" s="1325">
        <f>VLOOKUP(D58,'CNKT '!$C$16:$L$93,10,0)</f>
        <v>0</v>
      </c>
      <c r="H58" s="1325">
        <f>VLOOKUP(D58,'CNKT '!$C$16:$W$93,21,0)</f>
        <v>0</v>
      </c>
      <c r="I58" s="1325">
        <f t="shared" si="1"/>
        <v>0</v>
      </c>
      <c r="J58" s="1325"/>
      <c r="K58" s="1325">
        <f>VLOOKUP(D58,'CNKT '!$C$16:$Z$93,24,0)</f>
        <v>0</v>
      </c>
      <c r="L58" s="1325"/>
      <c r="M58" s="1327">
        <f t="shared" si="2"/>
        <v>0</v>
      </c>
      <c r="N58" s="420"/>
      <c r="O58" s="179"/>
    </row>
    <row r="59" spans="1:15" s="180" customFormat="1" ht="21.75" hidden="1" customHeight="1">
      <c r="A59" s="355">
        <v>46</v>
      </c>
      <c r="B59" s="1579" t="str">
        <f>'Chấm công KT'!D56</f>
        <v>02721</v>
      </c>
      <c r="C59" s="1580"/>
      <c r="D59" s="1334" t="str">
        <f>'CNKT '!C61</f>
        <v>T. Chít</v>
      </c>
      <c r="E59" s="1334" t="s">
        <v>43</v>
      </c>
      <c r="F59" s="1325">
        <f>VLOOKUP(D59,'CNKT '!$C$16:$F$93,4,0)</f>
        <v>0</v>
      </c>
      <c r="G59" s="1325">
        <f>VLOOKUP(D59,'CNKT '!$C$16:$L$93,10,0)</f>
        <v>0</v>
      </c>
      <c r="H59" s="1325">
        <f>VLOOKUP(D59,'CNKT '!$C$16:$W$93,21,0)</f>
        <v>0</v>
      </c>
      <c r="I59" s="1325">
        <f t="shared" si="1"/>
        <v>0</v>
      </c>
      <c r="J59" s="1325"/>
      <c r="K59" s="1325">
        <f>VLOOKUP(D59,'CNKT '!$C$16:$Z$93,24,0)</f>
        <v>0</v>
      </c>
      <c r="L59" s="1325"/>
      <c r="M59" s="1327">
        <f t="shared" si="2"/>
        <v>0</v>
      </c>
      <c r="N59" s="420"/>
      <c r="O59" s="179"/>
    </row>
    <row r="60" spans="1:15" s="180" customFormat="1" ht="21.75" hidden="1" customHeight="1">
      <c r="A60" s="355">
        <v>47</v>
      </c>
      <c r="B60" s="1579" t="str">
        <f>'Chấm công KT'!D57</f>
        <v>02720</v>
      </c>
      <c r="C60" s="1580"/>
      <c r="D60" s="1334" t="str">
        <f>'CNKT '!C62</f>
        <v>N. La</v>
      </c>
      <c r="E60" s="1334" t="s">
        <v>43</v>
      </c>
      <c r="F60" s="1325">
        <f>VLOOKUP(D60,'CNKT '!$C$16:$F$93,4,0)</f>
        <v>0</v>
      </c>
      <c r="G60" s="1325">
        <f>VLOOKUP(D60,'CNKT '!$C$16:$L$93,10,0)</f>
        <v>0</v>
      </c>
      <c r="H60" s="1325">
        <f>VLOOKUP(D60,'CNKT '!$C$16:$W$93,21,0)</f>
        <v>0</v>
      </c>
      <c r="I60" s="1325">
        <f t="shared" si="1"/>
        <v>0</v>
      </c>
      <c r="J60" s="1325"/>
      <c r="K60" s="1325">
        <f>VLOOKUP(D60,'CNKT '!$C$16:$Z$93,24,0)</f>
        <v>0</v>
      </c>
      <c r="L60" s="1325"/>
      <c r="M60" s="1327">
        <f t="shared" si="2"/>
        <v>0</v>
      </c>
      <c r="N60" s="420"/>
      <c r="O60" s="179"/>
    </row>
    <row r="61" spans="1:15" s="180" customFormat="1" ht="21.75" hidden="1" customHeight="1">
      <c r="A61" s="355">
        <v>48</v>
      </c>
      <c r="B61" s="1579" t="str">
        <f>'Chấm công KT'!D58</f>
        <v>03494</v>
      </c>
      <c r="C61" s="1580"/>
      <c r="D61" s="1334" t="str">
        <f>'CNKT '!C63</f>
        <v>T. Đi</v>
      </c>
      <c r="E61" s="1334" t="s">
        <v>43</v>
      </c>
      <c r="F61" s="1325">
        <f>VLOOKUP(D61,'CNKT '!$C$16:$F$93,4,0)</f>
        <v>0</v>
      </c>
      <c r="G61" s="1325">
        <f>VLOOKUP(D61,'CNKT '!$C$16:$L$93,10,0)</f>
        <v>0</v>
      </c>
      <c r="H61" s="1325">
        <f>VLOOKUP(D61,'CNKT '!$C$16:$W$93,21,0)</f>
        <v>0</v>
      </c>
      <c r="I61" s="1325">
        <f t="shared" si="1"/>
        <v>0</v>
      </c>
      <c r="J61" s="1325"/>
      <c r="K61" s="1325">
        <f>VLOOKUP(D61,'CNKT '!$C$16:$Z$93,24,0)</f>
        <v>0</v>
      </c>
      <c r="L61" s="1325"/>
      <c r="M61" s="1327">
        <f t="shared" si="2"/>
        <v>0</v>
      </c>
      <c r="N61" s="420"/>
      <c r="O61" s="179"/>
    </row>
    <row r="62" spans="1:15" s="180" customFormat="1" ht="21.75" hidden="1" customHeight="1">
      <c r="A62" s="355">
        <v>49</v>
      </c>
      <c r="B62" s="1579" t="str">
        <f>'Chấm công KT'!D59</f>
        <v>03495</v>
      </c>
      <c r="C62" s="1580"/>
      <c r="D62" s="1334" t="str">
        <f>'CNKT '!C64</f>
        <v>N. On Xi</v>
      </c>
      <c r="E62" s="1334" t="s">
        <v>43</v>
      </c>
      <c r="F62" s="1325">
        <f>VLOOKUP(D62,'CNKT '!$C$16:$F$93,4,0)</f>
        <v>0</v>
      </c>
      <c r="G62" s="1325">
        <f>VLOOKUP(D62,'CNKT '!$C$16:$L$93,10,0)</f>
        <v>0</v>
      </c>
      <c r="H62" s="1325">
        <f>VLOOKUP(D62,'CNKT '!$C$16:$W$93,21,0)</f>
        <v>0</v>
      </c>
      <c r="I62" s="1325">
        <f t="shared" si="1"/>
        <v>0</v>
      </c>
      <c r="J62" s="1325"/>
      <c r="K62" s="1325">
        <f>VLOOKUP(D62,'CNKT '!$C$16:$Z$93,24,0)</f>
        <v>0</v>
      </c>
      <c r="L62" s="1325"/>
      <c r="M62" s="1327">
        <f t="shared" si="2"/>
        <v>0</v>
      </c>
      <c r="N62" s="420"/>
      <c r="O62" s="179"/>
    </row>
    <row r="63" spans="1:15" s="180" customFormat="1" ht="21.75" hidden="1" customHeight="1">
      <c r="A63" s="355">
        <v>50</v>
      </c>
      <c r="B63" s="1579" t="str">
        <f>'Chấm công KT'!D60</f>
        <v>03496</v>
      </c>
      <c r="C63" s="1580"/>
      <c r="D63" s="1334" t="str">
        <f>'CNKT '!C65</f>
        <v>T. Lốp</v>
      </c>
      <c r="E63" s="1334" t="s">
        <v>43</v>
      </c>
      <c r="F63" s="1325">
        <f>VLOOKUP(D63,'CNKT '!$C$16:$F$93,4,0)</f>
        <v>0</v>
      </c>
      <c r="G63" s="1325">
        <f>VLOOKUP(D63,'CNKT '!$C$16:$L$93,10,0)</f>
        <v>0</v>
      </c>
      <c r="H63" s="1325">
        <f>VLOOKUP(D63,'CNKT '!$C$16:$W$93,21,0)</f>
        <v>0</v>
      </c>
      <c r="I63" s="1325">
        <f t="shared" si="1"/>
        <v>0</v>
      </c>
      <c r="J63" s="1325"/>
      <c r="K63" s="1325">
        <f>VLOOKUP(D63,'CNKT '!$C$16:$Z$93,24,0)</f>
        <v>0</v>
      </c>
      <c r="L63" s="1325"/>
      <c r="M63" s="1327">
        <f t="shared" si="2"/>
        <v>0</v>
      </c>
      <c r="N63" s="420"/>
      <c r="O63" s="179"/>
    </row>
    <row r="64" spans="1:15" s="180" customFormat="1" ht="21.75" hidden="1" customHeight="1">
      <c r="A64" s="355">
        <v>51</v>
      </c>
      <c r="B64" s="1579" t="str">
        <f>'Chấm công KT'!D61</f>
        <v>03497</v>
      </c>
      <c r="C64" s="1580"/>
      <c r="D64" s="1334" t="str">
        <f>'CNKT '!C66</f>
        <v>T. Son Xay</v>
      </c>
      <c r="E64" s="1334" t="s">
        <v>43</v>
      </c>
      <c r="F64" s="1325">
        <f>VLOOKUP(D64,'CNKT '!$C$16:$F$93,4,0)</f>
        <v>0</v>
      </c>
      <c r="G64" s="1325">
        <f>VLOOKUP(D64,'CNKT '!$C$16:$L$93,10,0)</f>
        <v>0</v>
      </c>
      <c r="H64" s="1325">
        <f>VLOOKUP(D64,'CNKT '!$C$16:$W$93,21,0)</f>
        <v>0</v>
      </c>
      <c r="I64" s="1325">
        <f t="shared" si="1"/>
        <v>0</v>
      </c>
      <c r="J64" s="1325"/>
      <c r="K64" s="1325">
        <f>VLOOKUP(D64,'CNKT '!$C$16:$Z$93,24,0)</f>
        <v>0</v>
      </c>
      <c r="L64" s="1325"/>
      <c r="M64" s="1327">
        <f t="shared" si="2"/>
        <v>0</v>
      </c>
      <c r="N64" s="420"/>
      <c r="O64" s="179"/>
    </row>
    <row r="65" spans="1:15" s="180" customFormat="1" ht="21.75" hidden="1" customHeight="1">
      <c r="A65" s="355">
        <v>52</v>
      </c>
      <c r="B65" s="1579" t="str">
        <f>'Chấm công KT'!D62</f>
        <v>03498</v>
      </c>
      <c r="C65" s="1580"/>
      <c r="D65" s="1334" t="str">
        <f>'CNKT '!C67</f>
        <v>N. Lăm Phay</v>
      </c>
      <c r="E65" s="1334" t="s">
        <v>43</v>
      </c>
      <c r="F65" s="1325">
        <f>VLOOKUP(D65,'CNKT '!$C$16:$F$93,4,0)</f>
        <v>0</v>
      </c>
      <c r="G65" s="1325">
        <f>VLOOKUP(D65,'CNKT '!$C$16:$L$93,10,0)</f>
        <v>0</v>
      </c>
      <c r="H65" s="1325">
        <f>VLOOKUP(D65,'CNKT '!$C$16:$W$93,21,0)</f>
        <v>0</v>
      </c>
      <c r="I65" s="1325">
        <f t="shared" si="1"/>
        <v>0</v>
      </c>
      <c r="J65" s="1325"/>
      <c r="K65" s="1325">
        <f>VLOOKUP(D65,'CNKT '!$C$16:$Z$93,24,0)</f>
        <v>0</v>
      </c>
      <c r="L65" s="1325"/>
      <c r="M65" s="1327">
        <f t="shared" si="2"/>
        <v>0</v>
      </c>
      <c r="N65" s="420"/>
      <c r="O65" s="179"/>
    </row>
    <row r="66" spans="1:15" s="180" customFormat="1" ht="21.75" hidden="1" customHeight="1">
      <c r="A66" s="355">
        <v>53</v>
      </c>
      <c r="B66" s="1579" t="str">
        <f>'Chấm công KT'!D63</f>
        <v>02706</v>
      </c>
      <c r="C66" s="1580"/>
      <c r="D66" s="1334" t="str">
        <f>'CNKT '!C68</f>
        <v>T. Nhung</v>
      </c>
      <c r="E66" s="1334" t="s">
        <v>43</v>
      </c>
      <c r="F66" s="1325">
        <f>VLOOKUP(D66,'CNKT '!$C$16:$F$93,4,0)</f>
        <v>0</v>
      </c>
      <c r="G66" s="1325">
        <f>VLOOKUP(D66,'CNKT '!$C$16:$L$93,10,0)</f>
        <v>0</v>
      </c>
      <c r="H66" s="1325">
        <f>VLOOKUP(D66,'CNKT '!$C$16:$W$93,21,0)</f>
        <v>0</v>
      </c>
      <c r="I66" s="1325">
        <f t="shared" si="1"/>
        <v>0</v>
      </c>
      <c r="J66" s="1325"/>
      <c r="K66" s="1325">
        <f>VLOOKUP(D66,'CNKT '!$C$16:$Z$93,24,0)</f>
        <v>0</v>
      </c>
      <c r="L66" s="1325"/>
      <c r="M66" s="1327">
        <f t="shared" si="2"/>
        <v>0</v>
      </c>
      <c r="N66" s="420"/>
      <c r="O66" s="179"/>
    </row>
    <row r="67" spans="1:15" s="180" customFormat="1" ht="21.75" hidden="1" customHeight="1">
      <c r="A67" s="355">
        <v>54</v>
      </c>
      <c r="B67" s="1579" t="str">
        <f>'Chấm công KT'!D64</f>
        <v>03499</v>
      </c>
      <c r="C67" s="1580"/>
      <c r="D67" s="1334" t="str">
        <f>'CNKT '!C69</f>
        <v>N. In Ton</v>
      </c>
      <c r="E67" s="1334" t="s">
        <v>43</v>
      </c>
      <c r="F67" s="1325">
        <f>VLOOKUP(D67,'CNKT '!$C$16:$F$93,4,0)</f>
        <v>0</v>
      </c>
      <c r="G67" s="1325">
        <f>VLOOKUP(D67,'CNKT '!$C$16:$L$93,10,0)</f>
        <v>0</v>
      </c>
      <c r="H67" s="1325">
        <f>VLOOKUP(D67,'CNKT '!$C$16:$W$93,21,0)</f>
        <v>0</v>
      </c>
      <c r="I67" s="1325">
        <f t="shared" si="1"/>
        <v>0</v>
      </c>
      <c r="J67" s="1325"/>
      <c r="K67" s="1325">
        <f>VLOOKUP(D67,'CNKT '!$C$16:$Z$93,24,0)</f>
        <v>0</v>
      </c>
      <c r="L67" s="1325"/>
      <c r="M67" s="1327">
        <f t="shared" si="2"/>
        <v>0</v>
      </c>
      <c r="N67" s="420"/>
      <c r="O67" s="179"/>
    </row>
    <row r="68" spans="1:15" s="180" customFormat="1" ht="21.75" hidden="1" customHeight="1">
      <c r="A68" s="355">
        <v>55</v>
      </c>
      <c r="B68" s="1579"/>
      <c r="C68" s="1580"/>
      <c r="D68" s="1334" t="str">
        <f>'CNKT '!C70</f>
        <v>N. Khay Chăn</v>
      </c>
      <c r="E68" s="1334" t="s">
        <v>43</v>
      </c>
      <c r="F68" s="1325">
        <f>VLOOKUP(D68,'CNKT '!$C$16:$F$93,4,0)</f>
        <v>0</v>
      </c>
      <c r="G68" s="1325">
        <f>VLOOKUP(D68,'CNKT '!$C$16:$L$93,10,0)</f>
        <v>0</v>
      </c>
      <c r="H68" s="1325">
        <f>VLOOKUP(D68,'CNKT '!$C$16:$W$93,21,0)</f>
        <v>0</v>
      </c>
      <c r="I68" s="1325">
        <f t="shared" si="1"/>
        <v>0</v>
      </c>
      <c r="J68" s="1325"/>
      <c r="K68" s="1325">
        <f>VLOOKUP(D68,'CNKT '!$C$16:$Z$93,24,0)</f>
        <v>0</v>
      </c>
      <c r="L68" s="1325"/>
      <c r="M68" s="1327">
        <f t="shared" si="2"/>
        <v>0</v>
      </c>
      <c r="N68" s="420"/>
      <c r="O68" s="179"/>
    </row>
    <row r="69" spans="1:15" s="180" customFormat="1" ht="21.75" hidden="1" customHeight="1">
      <c r="A69" s="355">
        <v>56</v>
      </c>
      <c r="B69" s="1579" t="str">
        <f>'Chấm công KT'!D66</f>
        <v>03501</v>
      </c>
      <c r="C69" s="1580"/>
      <c r="D69" s="1334" t="str">
        <f>'CNKT '!C71</f>
        <v>T Dăn</v>
      </c>
      <c r="E69" s="1334" t="s">
        <v>43</v>
      </c>
      <c r="F69" s="1325">
        <f>VLOOKUP(D69,'CNKT '!$C$16:$F$93,4,0)</f>
        <v>0</v>
      </c>
      <c r="G69" s="1325">
        <f>VLOOKUP(D69,'CNKT '!$C$16:$L$93,10,0)</f>
        <v>0</v>
      </c>
      <c r="H69" s="1325">
        <f>VLOOKUP(D69,'CNKT '!$C$16:$W$93,21,0)</f>
        <v>0</v>
      </c>
      <c r="I69" s="1325">
        <f t="shared" si="1"/>
        <v>0</v>
      </c>
      <c r="J69" s="1325"/>
      <c r="K69" s="1325">
        <f>VLOOKUP(D69,'CNKT '!$C$16:$Z$93,24,0)</f>
        <v>0</v>
      </c>
      <c r="L69" s="1325"/>
      <c r="M69" s="1327">
        <f t="shared" si="2"/>
        <v>0</v>
      </c>
      <c r="N69" s="420"/>
      <c r="O69" s="179"/>
    </row>
    <row r="70" spans="1:15" s="180" customFormat="1" ht="21.75" hidden="1" customHeight="1">
      <c r="A70" s="355">
        <v>57</v>
      </c>
      <c r="B70" s="1579" t="str">
        <f>'Chấm công KT'!D67</f>
        <v>03502</v>
      </c>
      <c r="C70" s="1580"/>
      <c r="D70" s="1334" t="str">
        <f>'CNKT '!C72</f>
        <v>T. Xợt</v>
      </c>
      <c r="E70" s="1334" t="s">
        <v>43</v>
      </c>
      <c r="F70" s="1325">
        <f>VLOOKUP(D70,'CNKT '!$C$16:$F$93,4,0)</f>
        <v>0</v>
      </c>
      <c r="G70" s="1325">
        <f>VLOOKUP(D70,'CNKT '!$C$16:$L$93,10,0)</f>
        <v>0</v>
      </c>
      <c r="H70" s="1325">
        <f>VLOOKUP(D70,'CNKT '!$C$16:$W$93,21,0)</f>
        <v>0</v>
      </c>
      <c r="I70" s="1325">
        <f t="shared" si="1"/>
        <v>0</v>
      </c>
      <c r="J70" s="1325"/>
      <c r="K70" s="1325">
        <f>VLOOKUP(D70,'CNKT '!$C$16:$Z$93,24,0)</f>
        <v>0</v>
      </c>
      <c r="L70" s="1325"/>
      <c r="M70" s="1327">
        <f t="shared" si="2"/>
        <v>0</v>
      </c>
      <c r="N70" s="420"/>
      <c r="O70" s="179"/>
    </row>
    <row r="71" spans="1:15" s="180" customFormat="1" ht="21.75" hidden="1" customHeight="1">
      <c r="A71" s="355">
        <v>58</v>
      </c>
      <c r="B71" s="1579" t="e">
        <f>'Chấm công KT'!D68</f>
        <v>#N/A</v>
      </c>
      <c r="C71" s="1580"/>
      <c r="D71" s="1334" t="str">
        <f>'CNKT '!C73</f>
        <v>N. Phết 2</v>
      </c>
      <c r="E71" s="1334" t="s">
        <v>43</v>
      </c>
      <c r="F71" s="1325">
        <f>VLOOKUP(D71,'CNKT '!$C$16:$F$93,4,0)</f>
        <v>0</v>
      </c>
      <c r="G71" s="1325">
        <f>VLOOKUP(D71,'CNKT '!$C$16:$L$93,10,0)</f>
        <v>0</v>
      </c>
      <c r="H71" s="1325">
        <f>VLOOKUP(D71,'CNKT '!$C$16:$W$93,21,0)</f>
        <v>0</v>
      </c>
      <c r="I71" s="1325">
        <f t="shared" si="1"/>
        <v>0</v>
      </c>
      <c r="J71" s="1325"/>
      <c r="K71" s="1325">
        <f>VLOOKUP(D71,'CNKT '!$C$16:$Z$93,24,0)</f>
        <v>0</v>
      </c>
      <c r="L71" s="1325"/>
      <c r="M71" s="1327">
        <f t="shared" si="2"/>
        <v>0</v>
      </c>
      <c r="N71" s="420"/>
      <c r="O71" s="179"/>
    </row>
    <row r="72" spans="1:15" s="180" customFormat="1" ht="21.75" hidden="1" customHeight="1">
      <c r="A72" s="355">
        <v>59</v>
      </c>
      <c r="B72" s="1579" t="str">
        <f>'Chấm công KT'!D69</f>
        <v>03504</v>
      </c>
      <c r="C72" s="1580"/>
      <c r="D72" s="1334" t="str">
        <f>'CNKT '!C74</f>
        <v>T. Cạp</v>
      </c>
      <c r="E72" s="1334" t="s">
        <v>43</v>
      </c>
      <c r="F72" s="1325">
        <f>VLOOKUP(D72,'CNKT '!$C$16:$F$93,4,0)</f>
        <v>0</v>
      </c>
      <c r="G72" s="1325">
        <f>VLOOKUP(D72,'CNKT '!$C$16:$L$93,10,0)</f>
        <v>0</v>
      </c>
      <c r="H72" s="1325">
        <f>VLOOKUP(D72,'CNKT '!$C$16:$W$93,21,0)</f>
        <v>0</v>
      </c>
      <c r="I72" s="1325">
        <f t="shared" si="1"/>
        <v>0</v>
      </c>
      <c r="J72" s="1325"/>
      <c r="K72" s="1325">
        <f>VLOOKUP(D72,'CNKT '!$C$16:$Z$93,24,0)</f>
        <v>0</v>
      </c>
      <c r="L72" s="1325"/>
      <c r="M72" s="1327">
        <f t="shared" si="2"/>
        <v>0</v>
      </c>
      <c r="N72" s="420"/>
      <c r="O72" s="179"/>
    </row>
    <row r="73" spans="1:15" s="180" customFormat="1" ht="21.75" hidden="1" customHeight="1">
      <c r="A73" s="355">
        <v>60</v>
      </c>
      <c r="B73" s="1579" t="str">
        <f>'Chấm công KT'!D70</f>
        <v>03505</v>
      </c>
      <c r="C73" s="1580"/>
      <c r="D73" s="1334" t="str">
        <f>'CNKT '!C75</f>
        <v>N. Phết</v>
      </c>
      <c r="E73" s="1334" t="s">
        <v>43</v>
      </c>
      <c r="F73" s="1325">
        <f>VLOOKUP(D73,'CNKT '!$C$16:$F$93,4,0)</f>
        <v>0</v>
      </c>
      <c r="G73" s="1325">
        <f>VLOOKUP(D73,'CNKT '!$C$16:$L$93,10,0)</f>
        <v>0</v>
      </c>
      <c r="H73" s="1325">
        <f>VLOOKUP(D73,'CNKT '!$C$16:$W$93,21,0)</f>
        <v>0</v>
      </c>
      <c r="I73" s="1325">
        <f t="shared" si="1"/>
        <v>0</v>
      </c>
      <c r="J73" s="1325"/>
      <c r="K73" s="1325">
        <f>VLOOKUP(D73,'CNKT '!$C$16:$Z$93,24,0)</f>
        <v>0</v>
      </c>
      <c r="L73" s="1325"/>
      <c r="M73" s="1327">
        <f t="shared" si="2"/>
        <v>0</v>
      </c>
      <c r="N73" s="420"/>
      <c r="O73" s="179"/>
    </row>
    <row r="74" spans="1:15" s="180" customFormat="1" ht="21.75" hidden="1" customHeight="1">
      <c r="A74" s="355">
        <v>61</v>
      </c>
      <c r="B74" s="1579" t="str">
        <f>'Chấm công KT'!D71</f>
        <v>03506</v>
      </c>
      <c r="C74" s="1580"/>
      <c r="D74" s="1334" t="str">
        <f>'CNKT '!C76</f>
        <v>N. Bua Hom</v>
      </c>
      <c r="E74" s="1334" t="s">
        <v>43</v>
      </c>
      <c r="F74" s="1325">
        <f>VLOOKUP(D74,'CNKT '!$C$16:$F$93,4,0)</f>
        <v>0</v>
      </c>
      <c r="G74" s="1325">
        <f>VLOOKUP(D74,'CNKT '!$C$16:$L$93,10,0)</f>
        <v>0</v>
      </c>
      <c r="H74" s="1325">
        <f>VLOOKUP(D74,'CNKT '!$C$16:$W$93,21,0)</f>
        <v>0</v>
      </c>
      <c r="I74" s="1325">
        <f t="shared" si="1"/>
        <v>0</v>
      </c>
      <c r="J74" s="1325"/>
      <c r="K74" s="1325">
        <f>VLOOKUP(D74,'CNKT '!$C$16:$Z$93,24,0)</f>
        <v>0</v>
      </c>
      <c r="L74" s="1325"/>
      <c r="M74" s="1327">
        <f t="shared" si="2"/>
        <v>0</v>
      </c>
      <c r="N74" s="420"/>
      <c r="O74" s="179"/>
    </row>
    <row r="75" spans="1:15" s="180" customFormat="1" ht="21.75" hidden="1" customHeight="1">
      <c r="A75" s="355">
        <v>62</v>
      </c>
      <c r="B75" s="1579" t="str">
        <f>'Chấm công KT'!D72</f>
        <v>03507</v>
      </c>
      <c r="C75" s="1580"/>
      <c r="D75" s="1334" t="str">
        <f>'CNKT '!C77</f>
        <v>N. Không</v>
      </c>
      <c r="E75" s="1334" t="s">
        <v>43</v>
      </c>
      <c r="F75" s="1325">
        <f>VLOOKUP(D75,'CNKT '!$C$16:$F$93,4,0)</f>
        <v>0</v>
      </c>
      <c r="G75" s="1325">
        <f>VLOOKUP(D75,'CNKT '!$C$16:$L$93,10,0)</f>
        <v>0</v>
      </c>
      <c r="H75" s="1325">
        <f>VLOOKUP(D75,'CNKT '!$C$16:$W$93,21,0)</f>
        <v>0</v>
      </c>
      <c r="I75" s="1325">
        <f t="shared" si="1"/>
        <v>0</v>
      </c>
      <c r="J75" s="1325"/>
      <c r="K75" s="1325">
        <f>VLOOKUP(D75,'CNKT '!$C$16:$Z$93,24,0)</f>
        <v>0</v>
      </c>
      <c r="L75" s="1325"/>
      <c r="M75" s="1327">
        <f t="shared" si="2"/>
        <v>0</v>
      </c>
      <c r="N75" s="420"/>
      <c r="O75" s="179"/>
    </row>
    <row r="76" spans="1:15" s="180" customFormat="1" ht="21.75" hidden="1" customHeight="1">
      <c r="A76" s="355">
        <v>63</v>
      </c>
      <c r="B76" s="1579" t="str">
        <f>'Chấm công KT'!D73</f>
        <v>03508</v>
      </c>
      <c r="C76" s="1580"/>
      <c r="D76" s="1334" t="str">
        <f>'CNKT '!C78</f>
        <v>T. Đèng</v>
      </c>
      <c r="E76" s="1334" t="s">
        <v>43</v>
      </c>
      <c r="F76" s="1325">
        <f>VLOOKUP(D76,'CNKT '!$C$16:$F$93,4,0)</f>
        <v>0</v>
      </c>
      <c r="G76" s="1325">
        <f>VLOOKUP(D76,'CNKT '!$C$16:$L$93,10,0)</f>
        <v>0</v>
      </c>
      <c r="H76" s="1325">
        <f>VLOOKUP(D76,'CNKT '!$C$16:$W$93,21,0)</f>
        <v>0</v>
      </c>
      <c r="I76" s="1325">
        <f t="shared" si="1"/>
        <v>0</v>
      </c>
      <c r="J76" s="1325"/>
      <c r="K76" s="1325">
        <f>VLOOKUP(D76,'CNKT '!$C$16:$Z$93,24,0)</f>
        <v>0</v>
      </c>
      <c r="L76" s="1325"/>
      <c r="M76" s="1327">
        <f t="shared" si="2"/>
        <v>0</v>
      </c>
      <c r="N76" s="420"/>
      <c r="O76" s="179"/>
    </row>
    <row r="77" spans="1:15" s="180" customFormat="1" ht="21.75" hidden="1" customHeight="1">
      <c r="A77" s="355">
        <v>64</v>
      </c>
      <c r="B77" s="1579" t="str">
        <f>'Chấm công KT'!D74</f>
        <v>03509</v>
      </c>
      <c r="C77" s="1580"/>
      <c r="D77" s="1334" t="str">
        <f>'CNKT '!C79</f>
        <v>T. May</v>
      </c>
      <c r="E77" s="1334" t="s">
        <v>43</v>
      </c>
      <c r="F77" s="1325">
        <f>VLOOKUP(D77,'CNKT '!$C$16:$F$93,4,0)</f>
        <v>0</v>
      </c>
      <c r="G77" s="1325">
        <f>VLOOKUP(D77,'CNKT '!$C$16:$L$93,10,0)</f>
        <v>0</v>
      </c>
      <c r="H77" s="1325">
        <f>VLOOKUP(D77,'CNKT '!$C$16:$W$93,21,0)</f>
        <v>0</v>
      </c>
      <c r="I77" s="1325">
        <f t="shared" si="1"/>
        <v>0</v>
      </c>
      <c r="J77" s="1325"/>
      <c r="K77" s="1325">
        <f>VLOOKUP(D77,'CNKT '!$C$16:$Z$93,24,0)</f>
        <v>0</v>
      </c>
      <c r="L77" s="1325"/>
      <c r="M77" s="1327">
        <f t="shared" si="2"/>
        <v>0</v>
      </c>
      <c r="N77" s="420"/>
      <c r="O77" s="179"/>
    </row>
    <row r="78" spans="1:15" s="180" customFormat="1" ht="21.75" hidden="1" customHeight="1">
      <c r="A78" s="355">
        <v>65</v>
      </c>
      <c r="B78" s="1579"/>
      <c r="C78" s="1580"/>
      <c r="D78" s="1334" t="str">
        <f>'CNKT '!C80</f>
        <v xml:space="preserve">T. La </v>
      </c>
      <c r="E78" s="1334" t="s">
        <v>43</v>
      </c>
      <c r="F78" s="1325">
        <f>VLOOKUP(D78,'CNKT '!$C$16:$F$93,4,0)</f>
        <v>0</v>
      </c>
      <c r="G78" s="1325">
        <f>VLOOKUP(D78,'CNKT '!$C$16:$L$93,10,0)</f>
        <v>0</v>
      </c>
      <c r="H78" s="1325">
        <f>VLOOKUP(D78,'CNKT '!$C$16:$W$93,21,0)</f>
        <v>0</v>
      </c>
      <c r="I78" s="1325">
        <f t="shared" si="1"/>
        <v>0</v>
      </c>
      <c r="J78" s="1325"/>
      <c r="K78" s="1325">
        <f>VLOOKUP(D78,'CNKT '!$C$16:$Z$93,24,0)</f>
        <v>0</v>
      </c>
      <c r="L78" s="1325"/>
      <c r="M78" s="1327">
        <f t="shared" si="2"/>
        <v>0</v>
      </c>
      <c r="N78" s="420"/>
      <c r="O78" s="179"/>
    </row>
    <row r="79" spans="1:15" s="180" customFormat="1" ht="21.75" hidden="1" customHeight="1">
      <c r="A79" s="355">
        <v>66</v>
      </c>
      <c r="B79" s="1579"/>
      <c r="C79" s="1580"/>
      <c r="D79" s="1334" t="str">
        <f>'CNKT '!C81</f>
        <v>T. Bờm</v>
      </c>
      <c r="E79" s="1334" t="s">
        <v>43</v>
      </c>
      <c r="F79" s="1325">
        <f>VLOOKUP(D79,'CNKT '!$C$16:$F$93,4,0)</f>
        <v>0</v>
      </c>
      <c r="G79" s="1325">
        <f>VLOOKUP(D79,'CNKT '!$C$16:$L$93,10,0)</f>
        <v>0</v>
      </c>
      <c r="H79" s="1325">
        <f>VLOOKUP(D79,'CNKT '!$C$16:$W$93,21,0)</f>
        <v>0</v>
      </c>
      <c r="I79" s="1325">
        <f t="shared" ref="I79:I97" si="3">SUM(F79:H79)</f>
        <v>0</v>
      </c>
      <c r="J79" s="1325"/>
      <c r="K79" s="1325">
        <f>VLOOKUP(D79,'CNKT '!$C$16:$Z$93,24,0)</f>
        <v>0</v>
      </c>
      <c r="L79" s="1325"/>
      <c r="M79" s="1327">
        <f t="shared" ref="M79:M84" si="4">K79-L79</f>
        <v>0</v>
      </c>
      <c r="N79" s="420"/>
      <c r="O79" s="179"/>
    </row>
    <row r="80" spans="1:15" s="180" customFormat="1" ht="21.75" hidden="1" customHeight="1">
      <c r="A80" s="355">
        <v>67</v>
      </c>
      <c r="B80" s="1579" t="str">
        <f>'Chấm công KT'!D77</f>
        <v>03512</v>
      </c>
      <c r="C80" s="1580"/>
      <c r="D80" s="1334" t="str">
        <f>'CNKT '!C82</f>
        <v>N. Đon</v>
      </c>
      <c r="E80" s="1334" t="s">
        <v>43</v>
      </c>
      <c r="F80" s="1325">
        <f>VLOOKUP(D80,'CNKT '!$C$16:$F$93,4,0)</f>
        <v>0</v>
      </c>
      <c r="G80" s="1325">
        <f>VLOOKUP(D80,'CNKT '!$C$16:$L$93,10,0)</f>
        <v>0</v>
      </c>
      <c r="H80" s="1325">
        <f>VLOOKUP(D80,'CNKT '!$C$16:$W$93,21,0)</f>
        <v>0</v>
      </c>
      <c r="I80" s="1325">
        <f t="shared" si="3"/>
        <v>0</v>
      </c>
      <c r="J80" s="1325"/>
      <c r="K80" s="1325">
        <f>VLOOKUP(D80,'CNKT '!$C$16:$Z$93,24,0)</f>
        <v>0</v>
      </c>
      <c r="L80" s="1325"/>
      <c r="M80" s="1327">
        <f t="shared" si="4"/>
        <v>0</v>
      </c>
      <c r="N80" s="420"/>
      <c r="O80" s="179"/>
    </row>
    <row r="81" spans="1:15" s="180" customFormat="1" ht="21.75" hidden="1" customHeight="1">
      <c r="A81" s="355">
        <v>68</v>
      </c>
      <c r="B81" s="1579" t="str">
        <f>'Chấm công KT'!D78</f>
        <v>03513</v>
      </c>
      <c r="C81" s="1580"/>
      <c r="D81" s="1334" t="str">
        <f>'CNKT '!C83</f>
        <v>T. Keo Ma Ni Son</v>
      </c>
      <c r="E81" s="1334" t="s">
        <v>43</v>
      </c>
      <c r="F81" s="1325">
        <f>VLOOKUP(D81,'CNKT '!$C$16:$F$93,4,0)</f>
        <v>0</v>
      </c>
      <c r="G81" s="1325">
        <f>VLOOKUP(D81,'CNKT '!$C$16:$L$93,10,0)</f>
        <v>0</v>
      </c>
      <c r="H81" s="1325">
        <f>VLOOKUP(D81,'CNKT '!$C$16:$W$93,21,0)</f>
        <v>0</v>
      </c>
      <c r="I81" s="1325">
        <f t="shared" si="3"/>
        <v>0</v>
      </c>
      <c r="J81" s="1325"/>
      <c r="K81" s="1325">
        <f>VLOOKUP(D81,'CNKT '!$C$16:$Z$93,24,0)</f>
        <v>0</v>
      </c>
      <c r="L81" s="1325"/>
      <c r="M81" s="1327">
        <f t="shared" si="4"/>
        <v>0</v>
      </c>
      <c r="N81" s="420"/>
      <c r="O81" s="179"/>
    </row>
    <row r="82" spans="1:15" s="180" customFormat="1" ht="21.75" hidden="1" customHeight="1">
      <c r="A82" s="355">
        <v>69</v>
      </c>
      <c r="B82" s="1579"/>
      <c r="C82" s="1580"/>
      <c r="D82" s="1334" t="str">
        <f>'CNKT '!C84</f>
        <v>T Bun</v>
      </c>
      <c r="E82" s="1334" t="s">
        <v>43</v>
      </c>
      <c r="F82" s="1325">
        <f>VLOOKUP(D82,'CNKT '!$C$16:$F$93,4,0)</f>
        <v>0</v>
      </c>
      <c r="G82" s="1325">
        <f>VLOOKUP(D82,'CNKT '!$C$16:$L$93,10,0)</f>
        <v>0</v>
      </c>
      <c r="H82" s="1325">
        <f>VLOOKUP(D82,'CNKT '!$C$16:$W$93,21,0)</f>
        <v>0</v>
      </c>
      <c r="I82" s="1325">
        <f t="shared" si="3"/>
        <v>0</v>
      </c>
      <c r="J82" s="1325"/>
      <c r="K82" s="1325">
        <f>VLOOKUP(D82,'CNKT '!$C$16:$Z$93,24,0)</f>
        <v>0</v>
      </c>
      <c r="L82" s="1325"/>
      <c r="M82" s="1327">
        <f t="shared" si="4"/>
        <v>0</v>
      </c>
      <c r="N82" s="420"/>
      <c r="O82" s="179"/>
    </row>
    <row r="83" spans="1:15" s="180" customFormat="1" ht="21.75" hidden="1" customHeight="1">
      <c r="A83" s="355">
        <v>70</v>
      </c>
      <c r="B83" s="1579" t="str">
        <f>'Chấm công KT'!D80</f>
        <v>03515</v>
      </c>
      <c r="C83" s="1580"/>
      <c r="D83" s="1334" t="str">
        <f>'CNKT '!C85</f>
        <v>N. Xi</v>
      </c>
      <c r="E83" s="1334" t="s">
        <v>43</v>
      </c>
      <c r="F83" s="1325">
        <f>VLOOKUP(D83,'CNKT '!$C$16:$F$93,4,0)</f>
        <v>0</v>
      </c>
      <c r="G83" s="1325">
        <f>VLOOKUP(D83,'CNKT '!$C$16:$L$93,10,0)</f>
        <v>0</v>
      </c>
      <c r="H83" s="1325">
        <f>VLOOKUP(D83,'CNKT '!$C$16:$W$93,21,0)</f>
        <v>0</v>
      </c>
      <c r="I83" s="1325">
        <f t="shared" si="3"/>
        <v>0</v>
      </c>
      <c r="J83" s="1325"/>
      <c r="K83" s="1325">
        <f>VLOOKUP(D83,'CNKT '!$C$16:$Z$93,24,0)</f>
        <v>0</v>
      </c>
      <c r="L83" s="1325"/>
      <c r="M83" s="1327">
        <f t="shared" si="4"/>
        <v>0</v>
      </c>
      <c r="N83" s="420"/>
      <c r="O83" s="179"/>
    </row>
    <row r="84" spans="1:15" s="180" customFormat="1" ht="21.75" hidden="1" customHeight="1">
      <c r="A84" s="355">
        <v>71</v>
      </c>
      <c r="B84" s="1579" t="str">
        <f>'Chấm công KT'!D81</f>
        <v>03516</v>
      </c>
      <c r="C84" s="1580"/>
      <c r="D84" s="1334" t="str">
        <f>'CNKT '!C86</f>
        <v>N. Chay</v>
      </c>
      <c r="E84" s="1334" t="s">
        <v>43</v>
      </c>
      <c r="F84" s="1325">
        <f>VLOOKUP(D84,'CNKT '!$C$16:$F$93,4,0)</f>
        <v>0</v>
      </c>
      <c r="G84" s="1325">
        <f>VLOOKUP(D84,'CNKT '!$C$16:$L$93,10,0)</f>
        <v>0</v>
      </c>
      <c r="H84" s="1325">
        <f>VLOOKUP(D84,'CNKT '!$C$16:$W$93,21,0)</f>
        <v>0</v>
      </c>
      <c r="I84" s="1325">
        <f t="shared" si="3"/>
        <v>0</v>
      </c>
      <c r="J84" s="1325"/>
      <c r="K84" s="1325">
        <f>VLOOKUP(D84,'CNKT '!$C$16:$Z$93,24,0)</f>
        <v>0</v>
      </c>
      <c r="L84" s="1325"/>
      <c r="M84" s="1327">
        <f t="shared" si="4"/>
        <v>0</v>
      </c>
      <c r="N84" s="420"/>
      <c r="O84" s="179"/>
    </row>
    <row r="85" spans="1:15" s="180" customFormat="1" ht="21.75" hidden="1" customHeight="1">
      <c r="A85" s="355">
        <v>72</v>
      </c>
      <c r="B85" s="1579" t="str">
        <f>'Chấm công KT'!D82</f>
        <v>02732</v>
      </c>
      <c r="C85" s="1580"/>
      <c r="D85" s="1334" t="str">
        <f>'CNKT '!C87</f>
        <v xml:space="preserve">N. Khăm </v>
      </c>
      <c r="E85" s="1334" t="s">
        <v>43</v>
      </c>
      <c r="F85" s="1325">
        <f>VLOOKUP(D85,'CNKT '!$C$16:$F$93,4,0)</f>
        <v>0</v>
      </c>
      <c r="G85" s="1325">
        <f>VLOOKUP(D85,'CNKT '!$C$16:$L$93,10,0)</f>
        <v>0</v>
      </c>
      <c r="H85" s="1325">
        <f>VLOOKUP(D85,'CNKT '!$C$16:$W$93,21,0)</f>
        <v>0</v>
      </c>
      <c r="I85" s="1325">
        <f t="shared" si="3"/>
        <v>0</v>
      </c>
      <c r="J85" s="1325"/>
      <c r="K85" s="1325">
        <f>VLOOKUP(D85,'CNKT '!$C$16:$Z$93,24,0)</f>
        <v>0</v>
      </c>
      <c r="L85" s="1325"/>
      <c r="M85" s="1327">
        <f t="shared" ref="M85:M97" si="5">K85-L85</f>
        <v>0</v>
      </c>
      <c r="N85" s="420"/>
      <c r="O85" s="179"/>
    </row>
    <row r="86" spans="1:15" s="180" customFormat="1" ht="21.75" hidden="1" customHeight="1">
      <c r="A86" s="355">
        <v>73</v>
      </c>
      <c r="B86" s="1579" t="str">
        <f>'Chấm công KT'!D83</f>
        <v>02733</v>
      </c>
      <c r="C86" s="1580"/>
      <c r="D86" s="1334" t="str">
        <f>'CNKT '!C88</f>
        <v>N. Phôn</v>
      </c>
      <c r="E86" s="1334" t="s">
        <v>43</v>
      </c>
      <c r="F86" s="1325">
        <f>VLOOKUP(D86,'CNKT '!$C$16:$F$93,4,0)</f>
        <v>0</v>
      </c>
      <c r="G86" s="1325">
        <f>VLOOKUP(D86,'CNKT '!$C$16:$L$93,10,0)</f>
        <v>0</v>
      </c>
      <c r="H86" s="1325">
        <f>VLOOKUP(D86,'CNKT '!$C$16:$W$93,21,0)</f>
        <v>0</v>
      </c>
      <c r="I86" s="1325">
        <f>SUM(F86:H86)</f>
        <v>0</v>
      </c>
      <c r="J86" s="1325"/>
      <c r="K86" s="1325">
        <f>VLOOKUP(D86,'CNKT '!$C$16:$Z$93,24,0)</f>
        <v>0</v>
      </c>
      <c r="L86" s="1325"/>
      <c r="M86" s="1327">
        <f t="shared" si="5"/>
        <v>0</v>
      </c>
      <c r="N86" s="420"/>
      <c r="O86" s="179"/>
    </row>
    <row r="87" spans="1:15" s="180" customFormat="1" ht="21.75" hidden="1" customHeight="1">
      <c r="A87" s="355">
        <v>74</v>
      </c>
      <c r="B87" s="1579"/>
      <c r="C87" s="1580"/>
      <c r="D87" s="1334" t="str">
        <f>'CNKT '!C89</f>
        <v>T. Xem</v>
      </c>
      <c r="E87" s="1334" t="s">
        <v>43</v>
      </c>
      <c r="F87" s="1325">
        <f>VLOOKUP(D87,'CNKT '!$C$16:$F$93,4,0)</f>
        <v>0</v>
      </c>
      <c r="G87" s="1325">
        <f>VLOOKUP(D87,'CNKT '!$C$16:$L$93,10,0)</f>
        <v>0</v>
      </c>
      <c r="H87" s="1325">
        <f>VLOOKUP(D87,'CNKT '!$C$16:$W$93,21,0)</f>
        <v>0</v>
      </c>
      <c r="I87" s="1325">
        <f t="shared" si="3"/>
        <v>0</v>
      </c>
      <c r="J87" s="1325"/>
      <c r="K87" s="1325">
        <f>VLOOKUP(D87,'CNKT '!$C$16:$Z$93,24,0)</f>
        <v>0</v>
      </c>
      <c r="L87" s="1325"/>
      <c r="M87" s="1327">
        <f t="shared" si="5"/>
        <v>0</v>
      </c>
      <c r="N87" s="420"/>
      <c r="O87" s="179"/>
    </row>
    <row r="88" spans="1:15" s="180" customFormat="1" ht="21.75" hidden="1" customHeight="1">
      <c r="A88" s="355">
        <v>75</v>
      </c>
      <c r="B88" s="1579"/>
      <c r="C88" s="1580"/>
      <c r="D88" s="1334" t="str">
        <f>'CNKT '!C90</f>
        <v>T.Trí</v>
      </c>
      <c r="E88" s="1334" t="s">
        <v>43</v>
      </c>
      <c r="F88" s="1325">
        <f>VLOOKUP(D88,'CNKT '!$C$16:$F$93,4,0)</f>
        <v>0</v>
      </c>
      <c r="G88" s="1325">
        <f>VLOOKUP(D88,'CNKT '!$C$16:$L$93,10,0)</f>
        <v>0</v>
      </c>
      <c r="H88" s="1325">
        <f>VLOOKUP(D88,'CNKT '!$C$16:$W$93,21,0)</f>
        <v>0</v>
      </c>
      <c r="I88" s="1325">
        <f t="shared" si="3"/>
        <v>0</v>
      </c>
      <c r="J88" s="1325"/>
      <c r="K88" s="1325">
        <f>VLOOKUP(D88,'CNKT '!$C$16:$Z$93,24,0)</f>
        <v>0</v>
      </c>
      <c r="L88" s="1325"/>
      <c r="M88" s="1327">
        <f t="shared" si="5"/>
        <v>0</v>
      </c>
      <c r="N88" s="420"/>
      <c r="O88" s="179"/>
    </row>
    <row r="89" spans="1:15" s="180" customFormat="1" ht="21.75" hidden="1" customHeight="1">
      <c r="A89" s="355">
        <v>76</v>
      </c>
      <c r="B89" s="1579"/>
      <c r="C89" s="1580"/>
      <c r="D89" s="1334" t="str">
        <f>'CNKT '!C91</f>
        <v>T. Ngân</v>
      </c>
      <c r="E89" s="1334" t="s">
        <v>43</v>
      </c>
      <c r="F89" s="1325">
        <f>VLOOKUP(D89,'CNKT '!$C$16:$F$93,4,0)</f>
        <v>0</v>
      </c>
      <c r="G89" s="1325">
        <f>VLOOKUP(D89,'CNKT '!$C$16:$L$93,10,0)</f>
        <v>0</v>
      </c>
      <c r="H89" s="1325">
        <f>VLOOKUP(D89,'CNKT '!$C$16:$W$93,21,0)</f>
        <v>0</v>
      </c>
      <c r="I89" s="1325">
        <f t="shared" si="3"/>
        <v>0</v>
      </c>
      <c r="J89" s="1325"/>
      <c r="K89" s="1325">
        <f>VLOOKUP(D89,'CNKT '!$C$16:$Z$93,24,0)</f>
        <v>0</v>
      </c>
      <c r="L89" s="1325"/>
      <c r="M89" s="1327">
        <f t="shared" si="5"/>
        <v>0</v>
      </c>
      <c r="N89" s="420"/>
      <c r="O89" s="179"/>
    </row>
    <row r="90" spans="1:15" s="180" customFormat="1" ht="21.75" hidden="1" customHeight="1">
      <c r="A90" s="355">
        <v>77</v>
      </c>
      <c r="B90" s="1579"/>
      <c r="C90" s="1580"/>
      <c r="D90" s="1334" t="str">
        <f>'CNKT '!C92</f>
        <v>T.Pu</v>
      </c>
      <c r="E90" s="1334" t="s">
        <v>43</v>
      </c>
      <c r="F90" s="1325">
        <f>VLOOKUP(D90,'CNKT '!$C$16:$F$93,4,0)</f>
        <v>0</v>
      </c>
      <c r="G90" s="1325">
        <f>VLOOKUP(D90,'CNKT '!$C$16:$L$93,10,0)</f>
        <v>0</v>
      </c>
      <c r="H90" s="1325">
        <f>VLOOKUP(D90,'CNKT '!$C$16:$W$93,21,0)</f>
        <v>0</v>
      </c>
      <c r="I90" s="1325">
        <f t="shared" si="3"/>
        <v>0</v>
      </c>
      <c r="J90" s="1325"/>
      <c r="K90" s="1325">
        <f>VLOOKUP(D90,'CNKT '!$C$16:$Z$93,24,0)</f>
        <v>0</v>
      </c>
      <c r="L90" s="1325"/>
      <c r="M90" s="1327">
        <f t="shared" si="5"/>
        <v>0</v>
      </c>
      <c r="N90" s="420"/>
      <c r="O90" s="179"/>
    </row>
    <row r="91" spans="1:15" s="180" customFormat="1" ht="21.75" hidden="1" customHeight="1">
      <c r="A91" s="355">
        <v>78</v>
      </c>
      <c r="B91" s="1579"/>
      <c r="C91" s="1580"/>
      <c r="D91" s="1334" t="str">
        <f>'CNKT '!C93</f>
        <v>T.Ta</v>
      </c>
      <c r="E91" s="1334" t="s">
        <v>43</v>
      </c>
      <c r="F91" s="1325">
        <f>VLOOKUP(D91,'CNKT '!$C$16:$F$93,4,0)</f>
        <v>0</v>
      </c>
      <c r="G91" s="1325">
        <f>VLOOKUP(D91,'CNKT '!$C$16:$L$93,10,0)</f>
        <v>0</v>
      </c>
      <c r="H91" s="1325">
        <f>VLOOKUP(D91,'CNKT '!$C$16:$W$93,21,0)</f>
        <v>0</v>
      </c>
      <c r="I91" s="1325">
        <f t="shared" si="3"/>
        <v>0</v>
      </c>
      <c r="J91" s="1325"/>
      <c r="K91" s="1325">
        <f>VLOOKUP(D91,'CNKT '!$C$16:$Z$93,24,0)</f>
        <v>0</v>
      </c>
      <c r="L91" s="1325"/>
      <c r="M91" s="1327">
        <f t="shared" si="5"/>
        <v>0</v>
      </c>
      <c r="N91" s="420"/>
      <c r="O91" s="179"/>
    </row>
    <row r="92" spans="1:15" s="180" customFormat="1" ht="21.75" hidden="1" customHeight="1">
      <c r="A92" s="355">
        <v>79</v>
      </c>
      <c r="B92" s="1579"/>
      <c r="C92" s="1580"/>
      <c r="D92" s="1334" t="str">
        <f>'CNKT '!C94</f>
        <v>N.Nang</v>
      </c>
      <c r="E92" s="1334" t="s">
        <v>43</v>
      </c>
      <c r="F92" s="1325">
        <f>VLOOKUP(D92,'CNKT '!$C$16:$F$98,4,0)</f>
        <v>0</v>
      </c>
      <c r="G92" s="1325">
        <f>VLOOKUP(D92,'CNKT '!$C$16:$L$99,10,0)</f>
        <v>0</v>
      </c>
      <c r="H92" s="1325">
        <f>VLOOKUP(D92,'CNKT '!$C$16:$W$99,21,0)</f>
        <v>0</v>
      </c>
      <c r="I92" s="1325">
        <f t="shared" si="3"/>
        <v>0</v>
      </c>
      <c r="J92" s="1325"/>
      <c r="K92" s="1325">
        <f>VLOOKUP(D92,'CNKT '!$C$16:$Z$99,24,0)</f>
        <v>0</v>
      </c>
      <c r="L92" s="1325"/>
      <c r="M92" s="1327">
        <f t="shared" si="5"/>
        <v>0</v>
      </c>
      <c r="N92" s="420"/>
      <c r="O92" s="179"/>
    </row>
    <row r="93" spans="1:15" s="180" customFormat="1" ht="21.75" hidden="1" customHeight="1">
      <c r="A93" s="355">
        <v>80</v>
      </c>
      <c r="B93" s="1579"/>
      <c r="C93" s="1580"/>
      <c r="D93" s="1334" t="str">
        <f>'CNKT '!C95</f>
        <v>T. Tan</v>
      </c>
      <c r="E93" s="1334" t="s">
        <v>43</v>
      </c>
      <c r="F93" s="1325">
        <f>VLOOKUP(D93,'CNKT '!$C$16:$F$98,4,0)</f>
        <v>0</v>
      </c>
      <c r="G93" s="1325">
        <f>VLOOKUP(D93,'CNKT '!$C$16:$L$99,10,0)</f>
        <v>0</v>
      </c>
      <c r="H93" s="1325">
        <f>VLOOKUP(D93,'CNKT '!$C$16:$W$99,21,0)</f>
        <v>0</v>
      </c>
      <c r="I93" s="1325">
        <f t="shared" si="3"/>
        <v>0</v>
      </c>
      <c r="J93" s="1325"/>
      <c r="K93" s="1325">
        <f>VLOOKUP(D93,'CNKT '!$C$16:$Z$99,24,0)</f>
        <v>0</v>
      </c>
      <c r="L93" s="1325"/>
      <c r="M93" s="1327">
        <f t="shared" si="5"/>
        <v>0</v>
      </c>
      <c r="N93" s="420"/>
      <c r="O93" s="179"/>
    </row>
    <row r="94" spans="1:15" s="180" customFormat="1" ht="21.75" hidden="1" customHeight="1">
      <c r="A94" s="355">
        <v>75</v>
      </c>
      <c r="B94" s="1579"/>
      <c r="C94" s="1580"/>
      <c r="D94" s="1334" t="str">
        <f>'CNKT '!C96</f>
        <v>Mủ Xi Rum</v>
      </c>
      <c r="E94" s="1334" t="s">
        <v>43</v>
      </c>
      <c r="F94" s="1325">
        <f>VLOOKUP(D94,'CNKT '!$C$16:$F$98,4,0)</f>
        <v>0</v>
      </c>
      <c r="G94" s="1325">
        <f>VLOOKUP(D94,'CNKT '!$C$16:$L$99,10,0)</f>
        <v>0</v>
      </c>
      <c r="H94" s="1325">
        <f>VLOOKUP(D94,'CNKT '!$C$16:$W$99,21,0)</f>
        <v>0</v>
      </c>
      <c r="I94" s="1325">
        <f t="shared" si="3"/>
        <v>0</v>
      </c>
      <c r="J94" s="1325"/>
      <c r="K94" s="1325">
        <f>VLOOKUP(D94,'CNKT '!$C$16:$Z$99,24,0)</f>
        <v>0</v>
      </c>
      <c r="L94" s="1325"/>
      <c r="M94" s="1327">
        <f t="shared" si="5"/>
        <v>0</v>
      </c>
      <c r="N94" s="420"/>
      <c r="O94" s="179"/>
    </row>
    <row r="95" spans="1:15" s="180" customFormat="1" ht="21.75" customHeight="1">
      <c r="A95" s="355">
        <v>1</v>
      </c>
      <c r="B95" s="1579"/>
      <c r="C95" s="1580"/>
      <c r="D95" s="1334" t="str">
        <f>'CNKT '!C97</f>
        <v>T . Say</v>
      </c>
      <c r="E95" s="1334" t="s">
        <v>43</v>
      </c>
      <c r="F95" s="1325">
        <f>VLOOKUP(D95,'CNKT '!$C$16:$F$98,4,0)</f>
        <v>95339251</v>
      </c>
      <c r="G95" s="1325">
        <f>VLOOKUP(D95,'CNKT '!$C$16:$L$99,10,0)</f>
        <v>0</v>
      </c>
      <c r="H95" s="1325">
        <f>VLOOKUP(D95,'CNKT '!$C$16:$W$99,21,0)</f>
        <v>0</v>
      </c>
      <c r="I95" s="1325">
        <f t="shared" si="3"/>
        <v>95339251</v>
      </c>
      <c r="J95" s="1325"/>
      <c r="K95" s="1325">
        <f>VLOOKUP(D95,'CNKT '!$C$16:$Z$99,24,0)</f>
        <v>95339251</v>
      </c>
      <c r="L95" s="1325"/>
      <c r="M95" s="1327">
        <f t="shared" si="5"/>
        <v>95339251</v>
      </c>
      <c r="N95" s="420"/>
      <c r="O95" s="179"/>
    </row>
    <row r="96" spans="1:15" s="180" customFormat="1" ht="21.75" hidden="1" customHeight="1">
      <c r="A96" s="355">
        <v>83</v>
      </c>
      <c r="B96" s="1579"/>
      <c r="C96" s="1580"/>
      <c r="D96" s="1334" t="str">
        <f>'CNKT '!C98</f>
        <v>A Xít</v>
      </c>
      <c r="E96" s="1334" t="s">
        <v>765</v>
      </c>
      <c r="F96" s="1325">
        <f>VLOOKUP(D96,'CNKT '!$C$16:$F$98,4,0)</f>
        <v>0</v>
      </c>
      <c r="G96" s="1325">
        <f>VLOOKUP(D96,'CNKT '!$C$16:$L$99,10,0)</f>
        <v>0</v>
      </c>
      <c r="H96" s="1325">
        <f>VLOOKUP(D96,'CNKT '!$C$16:$W$99,21,0)</f>
        <v>0</v>
      </c>
      <c r="I96" s="1325">
        <f t="shared" si="3"/>
        <v>0</v>
      </c>
      <c r="J96" s="1325"/>
      <c r="K96" s="1325">
        <f>VLOOKUP(D96,'CNKT '!$C$16:$Z$99,24,0)</f>
        <v>0</v>
      </c>
      <c r="L96" s="1325"/>
      <c r="M96" s="1327">
        <f t="shared" si="5"/>
        <v>0</v>
      </c>
      <c r="N96" s="420"/>
      <c r="O96" s="179"/>
    </row>
    <row r="97" spans="1:16" s="180" customFormat="1" ht="21.75" hidden="1" customHeight="1">
      <c r="A97" s="355">
        <v>84</v>
      </c>
      <c r="B97" s="1579"/>
      <c r="C97" s="1580"/>
      <c r="D97" s="1334" t="str">
        <f>'CNKT '!C99</f>
        <v>T. Tý</v>
      </c>
      <c r="E97" s="1334" t="s">
        <v>765</v>
      </c>
      <c r="F97" s="1325">
        <f>VLOOKUP(D97,'CNKT '!$C$16:$F$99,4,0)</f>
        <v>0</v>
      </c>
      <c r="G97" s="1325">
        <f>VLOOKUP(D97,'CNKT '!$C$16:$L$99,10,0)</f>
        <v>0</v>
      </c>
      <c r="H97" s="1325">
        <f>VLOOKUP(D97,'CNKT '!$C$16:$W$99,21,0)</f>
        <v>0</v>
      </c>
      <c r="I97" s="1325">
        <f t="shared" si="3"/>
        <v>0</v>
      </c>
      <c r="J97" s="1325"/>
      <c r="K97" s="1325">
        <f>VLOOKUP(D97,'CNKT '!$C$16:$Z$99,24,0)</f>
        <v>0</v>
      </c>
      <c r="L97" s="1325"/>
      <c r="M97" s="1327">
        <f t="shared" si="5"/>
        <v>0</v>
      </c>
      <c r="N97" s="420"/>
      <c r="O97" s="179"/>
    </row>
    <row r="98" spans="1:16" s="180" customFormat="1" ht="21.75" customHeight="1">
      <c r="A98" s="2066" t="s">
        <v>175</v>
      </c>
      <c r="B98" s="2066"/>
      <c r="C98" s="2066"/>
      <c r="D98" s="2066"/>
      <c r="E98" s="374"/>
      <c r="F98" s="1578">
        <f>SUM(F99:F186)</f>
        <v>96324751</v>
      </c>
      <c r="G98" s="1578">
        <f t="shared" ref="G98:M98" si="6">SUM(G99:G186)</f>
        <v>0</v>
      </c>
      <c r="H98" s="1578">
        <f t="shared" si="6"/>
        <v>0</v>
      </c>
      <c r="I98" s="1578">
        <f t="shared" si="6"/>
        <v>96324751</v>
      </c>
      <c r="J98" s="1578">
        <f t="shared" si="6"/>
        <v>0</v>
      </c>
      <c r="K98" s="1578">
        <f t="shared" si="6"/>
        <v>96324751</v>
      </c>
      <c r="L98" s="1578">
        <f t="shared" si="6"/>
        <v>0</v>
      </c>
      <c r="M98" s="1578">
        <f t="shared" si="6"/>
        <v>96324751</v>
      </c>
      <c r="N98" s="1581"/>
      <c r="O98" s="179" t="e">
        <f>I98-#REF!-#REF!-L98</f>
        <v>#REF!</v>
      </c>
      <c r="P98" s="182"/>
    </row>
    <row r="99" spans="1:16" s="180" customFormat="1" ht="21.75" hidden="1" customHeight="1">
      <c r="A99" s="355">
        <v>1</v>
      </c>
      <c r="B99" s="1582"/>
      <c r="C99" s="1580"/>
      <c r="D99" s="1326" t="str">
        <f>'CNKT '!C101</f>
        <v>T. Lê</v>
      </c>
      <c r="E99" s="1334" t="s">
        <v>43</v>
      </c>
      <c r="F99" s="1325">
        <f>VLOOKUP(D99,'CNKT '!$C$101:$F$182,4,0)</f>
        <v>0</v>
      </c>
      <c r="G99" s="1325">
        <f>VLOOKUP(D99,'CNKT '!$C$101:$L$182,10,0)</f>
        <v>0</v>
      </c>
      <c r="H99" s="1325">
        <f>VLOOKUP(D99,'CNKT '!$C$101:$W$182,21,0)</f>
        <v>0</v>
      </c>
      <c r="I99" s="1325">
        <f>SUM(F99:H99)</f>
        <v>0</v>
      </c>
      <c r="J99" s="1325"/>
      <c r="K99" s="1325">
        <f>VLOOKUP(D99,'CNKT '!$C$101:$Z$182,24,0)</f>
        <v>0</v>
      </c>
      <c r="L99" s="1325"/>
      <c r="M99" s="1327">
        <f>K99-J99</f>
        <v>0</v>
      </c>
      <c r="N99" s="420"/>
      <c r="O99" s="183"/>
      <c r="P99" s="182"/>
    </row>
    <row r="100" spans="1:16" s="180" customFormat="1" ht="21.75" hidden="1" customHeight="1">
      <c r="A100" s="355">
        <v>2</v>
      </c>
      <c r="B100" s="1582" t="str">
        <f>'Chấm công KT'!D93</f>
        <v>02735</v>
      </c>
      <c r="C100" s="1580"/>
      <c r="D100" s="1326" t="str">
        <f>'CNKT '!C102</f>
        <v xml:space="preserve">Nang On Teng </v>
      </c>
      <c r="E100" s="1334" t="s">
        <v>43</v>
      </c>
      <c r="F100" s="1325">
        <f>VLOOKUP(D100,'CNKT '!$C$101:$F$182,4,0)</f>
        <v>0</v>
      </c>
      <c r="G100" s="1325">
        <f>VLOOKUP(D100,'CNKT '!$C$101:$L$182,10,0)</f>
        <v>0</v>
      </c>
      <c r="H100" s="1325">
        <f>VLOOKUP(D100,'CNKT '!$C$101:$W$182,21,0)</f>
        <v>0</v>
      </c>
      <c r="I100" s="1325">
        <f t="shared" ref="I100:I163" si="7">SUM(F100:H100)</f>
        <v>0</v>
      </c>
      <c r="J100" s="1325"/>
      <c r="K100" s="1325">
        <f>VLOOKUP(D100,'CNKT '!$C$101:$Z$182,24,0)</f>
        <v>0</v>
      </c>
      <c r="L100" s="1325"/>
      <c r="M100" s="1327">
        <f t="shared" ref="M100:M163" si="8">K100-J100</f>
        <v>0</v>
      </c>
      <c r="N100" s="420"/>
      <c r="O100" s="183"/>
      <c r="P100" s="182"/>
    </row>
    <row r="101" spans="1:16" s="180" customFormat="1" ht="21.75" hidden="1" customHeight="1">
      <c r="A101" s="355">
        <v>3</v>
      </c>
      <c r="B101" s="1582" t="str">
        <f>'Chấm công KT'!D94</f>
        <v>03518</v>
      </c>
      <c r="C101" s="1580"/>
      <c r="D101" s="1326" t="str">
        <f>'CNKT '!C103</f>
        <v>T. Đôn Ma</v>
      </c>
      <c r="E101" s="1334" t="s">
        <v>43</v>
      </c>
      <c r="F101" s="1325">
        <f>VLOOKUP(D101,'CNKT '!$C$101:$F$182,4,0)</f>
        <v>0</v>
      </c>
      <c r="G101" s="1325">
        <f>VLOOKUP(D101,'CNKT '!$C$101:$L$182,10,0)</f>
        <v>0</v>
      </c>
      <c r="H101" s="1325">
        <f>VLOOKUP(D101,'CNKT '!$C$101:$W$182,21,0)</f>
        <v>0</v>
      </c>
      <c r="I101" s="1325">
        <f t="shared" si="7"/>
        <v>0</v>
      </c>
      <c r="J101" s="1325"/>
      <c r="K101" s="1325">
        <f>VLOOKUP(D101,'CNKT '!$C$101:$Z$182,24,0)</f>
        <v>0</v>
      </c>
      <c r="L101" s="1325"/>
      <c r="M101" s="1327">
        <f t="shared" si="8"/>
        <v>0</v>
      </c>
      <c r="N101" s="420"/>
      <c r="O101" s="183"/>
      <c r="P101" s="182"/>
    </row>
    <row r="102" spans="1:16" s="180" customFormat="1" ht="21.75" hidden="1" customHeight="1">
      <c r="A102" s="355">
        <v>4</v>
      </c>
      <c r="B102" s="1582" t="str">
        <f>'Chấm công KT'!D95</f>
        <v>03519</v>
      </c>
      <c r="C102" s="1580"/>
      <c r="D102" s="1326" t="str">
        <f>'CNKT '!C104</f>
        <v>T Nôn</v>
      </c>
      <c r="E102" s="1334" t="s">
        <v>43</v>
      </c>
      <c r="F102" s="1325">
        <f>VLOOKUP(D102,'CNKT '!$C$101:$F$182,4,0)</f>
        <v>0</v>
      </c>
      <c r="G102" s="1325">
        <f>VLOOKUP(D102,'CNKT '!$C$101:$L$182,10,0)</f>
        <v>0</v>
      </c>
      <c r="H102" s="1325">
        <f>VLOOKUP(D102,'CNKT '!$C$101:$W$182,21,0)</f>
        <v>0</v>
      </c>
      <c r="I102" s="1325">
        <f t="shared" si="7"/>
        <v>0</v>
      </c>
      <c r="J102" s="1325"/>
      <c r="K102" s="1325">
        <f>VLOOKUP(D102,'CNKT '!$C$101:$Z$182,24,0)</f>
        <v>0</v>
      </c>
      <c r="L102" s="1325"/>
      <c r="M102" s="1327">
        <f t="shared" si="8"/>
        <v>0</v>
      </c>
      <c r="N102" s="420"/>
      <c r="O102" s="183"/>
      <c r="P102" s="182"/>
    </row>
    <row r="103" spans="1:16" s="180" customFormat="1" ht="21.75" hidden="1" customHeight="1">
      <c r="A103" s="355">
        <v>5</v>
      </c>
      <c r="B103" s="1582" t="str">
        <f>'Chấm công KT'!D96</f>
        <v>03520</v>
      </c>
      <c r="C103" s="1580"/>
      <c r="D103" s="1326" t="str">
        <f>'CNKT '!C105</f>
        <v>N. Khăm..</v>
      </c>
      <c r="E103" s="1334" t="s">
        <v>43</v>
      </c>
      <c r="F103" s="1325">
        <f>VLOOKUP(D103,'CNKT '!$C$101:$F$182,4,0)</f>
        <v>0</v>
      </c>
      <c r="G103" s="1325">
        <f>VLOOKUP(D103,'CNKT '!$C$101:$L$182,10,0)</f>
        <v>0</v>
      </c>
      <c r="H103" s="1325">
        <f>VLOOKUP(D103,'CNKT '!$C$101:$W$182,21,0)</f>
        <v>0</v>
      </c>
      <c r="I103" s="1325">
        <f t="shared" si="7"/>
        <v>0</v>
      </c>
      <c r="J103" s="1325"/>
      <c r="K103" s="1325">
        <f>VLOOKUP(D103,'CNKT '!$C$101:$Z$182,24,0)</f>
        <v>0</v>
      </c>
      <c r="L103" s="1325"/>
      <c r="M103" s="1327">
        <f t="shared" si="8"/>
        <v>0</v>
      </c>
      <c r="N103" s="420"/>
      <c r="O103" s="183"/>
      <c r="P103" s="182"/>
    </row>
    <row r="104" spans="1:16" s="180" customFormat="1" ht="21.75" hidden="1" customHeight="1">
      <c r="A104" s="355">
        <v>6</v>
      </c>
      <c r="B104" s="1582" t="str">
        <f>'Chấm công KT'!D97</f>
        <v>03521</v>
      </c>
      <c r="C104" s="1580"/>
      <c r="D104" s="1326" t="str">
        <f>'CNKT '!C106</f>
        <v>Nang La Ty</v>
      </c>
      <c r="E104" s="1334" t="s">
        <v>43</v>
      </c>
      <c r="F104" s="1325">
        <f>VLOOKUP(D104,'CNKT '!$C$101:$F$182,4,0)</f>
        <v>0</v>
      </c>
      <c r="G104" s="1325">
        <f>VLOOKUP(D104,'CNKT '!$C$101:$L$182,10,0)</f>
        <v>0</v>
      </c>
      <c r="H104" s="1325">
        <f>VLOOKUP(D104,'CNKT '!$C$101:$W$182,21,0)</f>
        <v>0</v>
      </c>
      <c r="I104" s="1325">
        <f t="shared" si="7"/>
        <v>0</v>
      </c>
      <c r="J104" s="1325"/>
      <c r="K104" s="1325">
        <f>VLOOKUP(D104,'CNKT '!$C$101:$Z$182,24,0)</f>
        <v>0</v>
      </c>
      <c r="L104" s="1325"/>
      <c r="M104" s="1327">
        <f t="shared" si="8"/>
        <v>0</v>
      </c>
      <c r="N104" s="420"/>
      <c r="O104" s="183"/>
      <c r="P104" s="182"/>
    </row>
    <row r="105" spans="1:16" s="180" customFormat="1" ht="21.75" hidden="1" customHeight="1">
      <c r="A105" s="355">
        <v>7</v>
      </c>
      <c r="B105" s="1582" t="str">
        <f>'Chấm công KT'!D98</f>
        <v>03522</v>
      </c>
      <c r="C105" s="1580"/>
      <c r="D105" s="1326" t="str">
        <f>'CNKT '!C107</f>
        <v>N.T.T Trang (1)</v>
      </c>
      <c r="E105" s="1334" t="s">
        <v>43</v>
      </c>
      <c r="F105" s="1325">
        <f>VLOOKUP(D105,'CNKT '!$C$101:$F$182,4,0)</f>
        <v>0</v>
      </c>
      <c r="G105" s="1325">
        <f>VLOOKUP(D105,'CNKT '!$C$101:$L$182,10,0)</f>
        <v>0</v>
      </c>
      <c r="H105" s="1325">
        <f>VLOOKUP(D105,'CNKT '!$C$101:$W$182,21,0)</f>
        <v>0</v>
      </c>
      <c r="I105" s="1325">
        <f t="shared" si="7"/>
        <v>0</v>
      </c>
      <c r="J105" s="1325"/>
      <c r="K105" s="1325">
        <f>VLOOKUP(D105,'CNKT '!$C$101:$Z$182,24,0)</f>
        <v>0</v>
      </c>
      <c r="L105" s="1325"/>
      <c r="M105" s="1327">
        <f t="shared" si="8"/>
        <v>0</v>
      </c>
      <c r="N105" s="420"/>
      <c r="O105" s="183"/>
      <c r="P105" s="182"/>
    </row>
    <row r="106" spans="1:16" s="180" customFormat="1" ht="21.75" hidden="1" customHeight="1">
      <c r="A106" s="355">
        <v>8</v>
      </c>
      <c r="B106" s="1582" t="str">
        <f>'Chấm công KT'!D99</f>
        <v>03523</v>
      </c>
      <c r="C106" s="1580"/>
      <c r="D106" s="1326" t="str">
        <f>'CNKT '!C108</f>
        <v>T. Ni On</v>
      </c>
      <c r="E106" s="1334" t="s">
        <v>43</v>
      </c>
      <c r="F106" s="1325">
        <f>VLOOKUP(D106,'CNKT '!$C$101:$F$182,4,0)</f>
        <v>0</v>
      </c>
      <c r="G106" s="1325">
        <f>VLOOKUP(D106,'CNKT '!$C$101:$L$182,10,0)</f>
        <v>0</v>
      </c>
      <c r="H106" s="1325">
        <f>VLOOKUP(D106,'CNKT '!$C$101:$W$182,21,0)</f>
        <v>0</v>
      </c>
      <c r="I106" s="1325">
        <f t="shared" si="7"/>
        <v>0</v>
      </c>
      <c r="J106" s="1325"/>
      <c r="K106" s="1325">
        <f>VLOOKUP(D106,'CNKT '!$C$101:$Z$182,24,0)</f>
        <v>0</v>
      </c>
      <c r="L106" s="1325"/>
      <c r="M106" s="1327">
        <f t="shared" si="8"/>
        <v>0</v>
      </c>
      <c r="N106" s="420"/>
      <c r="O106" s="183"/>
      <c r="P106" s="182"/>
    </row>
    <row r="107" spans="1:16" s="180" customFormat="1" ht="21.75" hidden="1" customHeight="1">
      <c r="A107" s="355">
        <v>9</v>
      </c>
      <c r="B107" s="1582" t="str">
        <f>'Chấm công KT'!D100</f>
        <v>02739</v>
      </c>
      <c r="C107" s="1580"/>
      <c r="D107" s="1326" t="str">
        <f>'CNKT '!C109</f>
        <v>Thảo Lẹ</v>
      </c>
      <c r="E107" s="1334" t="s">
        <v>43</v>
      </c>
      <c r="F107" s="1325">
        <f>VLOOKUP(D107,'CNKT '!$C$101:$F$182,4,0)</f>
        <v>0</v>
      </c>
      <c r="G107" s="1325">
        <f>VLOOKUP(D107,'CNKT '!$C$101:$L$182,10,0)</f>
        <v>0</v>
      </c>
      <c r="H107" s="1325">
        <f>VLOOKUP(D107,'CNKT '!$C$101:$W$182,21,0)</f>
        <v>0</v>
      </c>
      <c r="I107" s="1325">
        <f t="shared" si="7"/>
        <v>0</v>
      </c>
      <c r="J107" s="1325"/>
      <c r="K107" s="1325">
        <f>VLOOKUP(D107,'CNKT '!$C$101:$Z$182,24,0)</f>
        <v>0</v>
      </c>
      <c r="L107" s="1325"/>
      <c r="M107" s="1327">
        <f t="shared" si="8"/>
        <v>0</v>
      </c>
      <c r="N107" s="420"/>
      <c r="O107" s="183"/>
      <c r="P107" s="182"/>
    </row>
    <row r="108" spans="1:16" s="180" customFormat="1" ht="21.75" hidden="1" customHeight="1">
      <c r="A108" s="355">
        <v>10</v>
      </c>
      <c r="B108" s="1582" t="str">
        <f>'Chấm công KT'!D101</f>
        <v>03524</v>
      </c>
      <c r="C108" s="1580"/>
      <c r="D108" s="1326" t="str">
        <f>'CNKT '!C110</f>
        <v>T. Nả</v>
      </c>
      <c r="E108" s="1334" t="s">
        <v>43</v>
      </c>
      <c r="F108" s="1325">
        <f>VLOOKUP(D108,'CNKT '!$C$101:$F$182,4,0)</f>
        <v>0</v>
      </c>
      <c r="G108" s="1325">
        <f>VLOOKUP(D108,'CNKT '!$C$101:$L$182,10,0)</f>
        <v>0</v>
      </c>
      <c r="H108" s="1325">
        <f>VLOOKUP(D108,'CNKT '!$C$101:$W$182,21,0)</f>
        <v>0</v>
      </c>
      <c r="I108" s="1325">
        <f t="shared" si="7"/>
        <v>0</v>
      </c>
      <c r="J108" s="1325"/>
      <c r="K108" s="1325">
        <f>VLOOKUP(D108,'CNKT '!$C$101:$Z$182,24,0)</f>
        <v>0</v>
      </c>
      <c r="L108" s="1325"/>
      <c r="M108" s="1327">
        <f t="shared" si="8"/>
        <v>0</v>
      </c>
      <c r="N108" s="420"/>
      <c r="O108" s="183"/>
      <c r="P108" s="182"/>
    </row>
    <row r="109" spans="1:16" s="180" customFormat="1" ht="21.75" hidden="1" customHeight="1">
      <c r="A109" s="355">
        <v>11</v>
      </c>
      <c r="B109" s="1582" t="str">
        <f>'Chấm công KT'!D102</f>
        <v>03525</v>
      </c>
      <c r="C109" s="1580"/>
      <c r="D109" s="1326" t="str">
        <f>'CNKT '!C111</f>
        <v>N. Sa Văn</v>
      </c>
      <c r="E109" s="1334" t="s">
        <v>43</v>
      </c>
      <c r="F109" s="1325">
        <f>VLOOKUP(D109,'CNKT '!$C$101:$F$182,4,0)</f>
        <v>0</v>
      </c>
      <c r="G109" s="1325">
        <f>VLOOKUP(D109,'CNKT '!$C$101:$L$182,10,0)</f>
        <v>0</v>
      </c>
      <c r="H109" s="1325">
        <f>VLOOKUP(D109,'CNKT '!$C$101:$W$182,21,0)</f>
        <v>0</v>
      </c>
      <c r="I109" s="1325">
        <f t="shared" si="7"/>
        <v>0</v>
      </c>
      <c r="J109" s="1325"/>
      <c r="K109" s="1325">
        <f>VLOOKUP(D109,'CNKT '!$C$101:$Z$182,24,0)</f>
        <v>0</v>
      </c>
      <c r="L109" s="1325"/>
      <c r="M109" s="1327">
        <f t="shared" si="8"/>
        <v>0</v>
      </c>
      <c r="N109" s="420"/>
      <c r="O109" s="183"/>
      <c r="P109" s="182"/>
    </row>
    <row r="110" spans="1:16" s="180" customFormat="1" ht="21.75" hidden="1" customHeight="1">
      <c r="A110" s="355">
        <v>12</v>
      </c>
      <c r="B110" s="1582" t="str">
        <f>'Chấm công KT'!D103</f>
        <v>03526</v>
      </c>
      <c r="C110" s="1580"/>
      <c r="D110" s="1326" t="str">
        <f>'CNKT '!C112</f>
        <v>N. Chăn</v>
      </c>
      <c r="E110" s="1334" t="s">
        <v>43</v>
      </c>
      <c r="F110" s="1325">
        <f>VLOOKUP(D110,'CNKT '!$C$101:$F$182,4,0)</f>
        <v>0</v>
      </c>
      <c r="G110" s="1325">
        <f>VLOOKUP(D110,'CNKT '!$C$101:$L$182,10,0)</f>
        <v>0</v>
      </c>
      <c r="H110" s="1325">
        <f>VLOOKUP(D110,'CNKT '!$C$101:$W$182,21,0)</f>
        <v>0</v>
      </c>
      <c r="I110" s="1325">
        <f t="shared" si="7"/>
        <v>0</v>
      </c>
      <c r="J110" s="1325"/>
      <c r="K110" s="1325">
        <f>VLOOKUP(D110,'CNKT '!$C$101:$Z$182,24,0)</f>
        <v>0</v>
      </c>
      <c r="L110" s="1325"/>
      <c r="M110" s="1327">
        <f t="shared" si="8"/>
        <v>0</v>
      </c>
      <c r="N110" s="420"/>
      <c r="O110" s="183"/>
      <c r="P110" s="182"/>
    </row>
    <row r="111" spans="1:16" s="180" customFormat="1" ht="21.75" hidden="1" customHeight="1">
      <c r="A111" s="355">
        <v>13</v>
      </c>
      <c r="B111" s="1582" t="str">
        <f>'Chấm công KT'!D104</f>
        <v>03527</v>
      </c>
      <c r="C111" s="1580"/>
      <c r="D111" s="1326" t="str">
        <f>'CNKT '!C113</f>
        <v>T Núc</v>
      </c>
      <c r="E111" s="1334" t="s">
        <v>43</v>
      </c>
      <c r="F111" s="1325">
        <f>VLOOKUP(D111,'CNKT '!$C$101:$F$182,4,0)</f>
        <v>0</v>
      </c>
      <c r="G111" s="1325">
        <f>VLOOKUP(D111,'CNKT '!$C$101:$L$182,10,0)</f>
        <v>0</v>
      </c>
      <c r="H111" s="1325">
        <f>VLOOKUP(D111,'CNKT '!$C$101:$W$182,21,0)</f>
        <v>0</v>
      </c>
      <c r="I111" s="1325">
        <f t="shared" si="7"/>
        <v>0</v>
      </c>
      <c r="J111" s="1325"/>
      <c r="K111" s="1325">
        <f>VLOOKUP(D111,'CNKT '!$C$101:$Z$182,24,0)</f>
        <v>0</v>
      </c>
      <c r="L111" s="1325"/>
      <c r="M111" s="1327">
        <f t="shared" si="8"/>
        <v>0</v>
      </c>
      <c r="N111" s="420"/>
      <c r="O111" s="183"/>
      <c r="P111" s="182"/>
    </row>
    <row r="112" spans="1:16" s="180" customFormat="1" ht="21.75" hidden="1" customHeight="1">
      <c r="A112" s="355">
        <v>14</v>
      </c>
      <c r="B112" s="1582" t="str">
        <f>'Chấm công KT'!D105</f>
        <v>03528</v>
      </c>
      <c r="C112" s="1580"/>
      <c r="D112" s="1326" t="str">
        <f>'CNKT '!C114</f>
        <v>T. Cô</v>
      </c>
      <c r="E112" s="1334" t="s">
        <v>43</v>
      </c>
      <c r="F112" s="1325">
        <f>VLOOKUP(D112,'CNKT '!$C$101:$F$182,4,0)</f>
        <v>0</v>
      </c>
      <c r="G112" s="1325">
        <f>VLOOKUP(D112,'CNKT '!$C$101:$L$182,10,0)</f>
        <v>0</v>
      </c>
      <c r="H112" s="1325">
        <f>VLOOKUP(D112,'CNKT '!$C$101:$W$182,21,0)</f>
        <v>0</v>
      </c>
      <c r="I112" s="1325">
        <f t="shared" si="7"/>
        <v>0</v>
      </c>
      <c r="J112" s="1325"/>
      <c r="K112" s="1325">
        <f>VLOOKUP(D112,'CNKT '!$C$101:$Z$182,24,0)</f>
        <v>0</v>
      </c>
      <c r="L112" s="1325"/>
      <c r="M112" s="1327">
        <f t="shared" si="8"/>
        <v>0</v>
      </c>
      <c r="N112" s="420"/>
      <c r="O112" s="183"/>
      <c r="P112" s="182"/>
    </row>
    <row r="113" spans="1:16" s="180" customFormat="1" ht="21.75" hidden="1" customHeight="1">
      <c r="A113" s="355">
        <v>15</v>
      </c>
      <c r="B113" s="1582" t="str">
        <f>'Chấm công KT'!D106</f>
        <v>03529</v>
      </c>
      <c r="C113" s="1580"/>
      <c r="D113" s="1326" t="str">
        <f>'CNKT '!C115</f>
        <v>N. Khoăn Ta</v>
      </c>
      <c r="E113" s="1334" t="s">
        <v>43</v>
      </c>
      <c r="F113" s="1325">
        <f>VLOOKUP(D113,'CNKT '!$C$101:$F$182,4,0)</f>
        <v>0</v>
      </c>
      <c r="G113" s="1325">
        <f>VLOOKUP(D113,'CNKT '!$C$101:$L$182,10,0)</f>
        <v>0</v>
      </c>
      <c r="H113" s="1325">
        <f>VLOOKUP(D113,'CNKT '!$C$101:$W$182,21,0)</f>
        <v>0</v>
      </c>
      <c r="I113" s="1325">
        <f t="shared" si="7"/>
        <v>0</v>
      </c>
      <c r="J113" s="1325"/>
      <c r="K113" s="1325">
        <f>VLOOKUP(D113,'CNKT '!$C$101:$Z$182,24,0)</f>
        <v>0</v>
      </c>
      <c r="L113" s="1325"/>
      <c r="M113" s="1327">
        <f t="shared" si="8"/>
        <v>0</v>
      </c>
      <c r="N113" s="420"/>
      <c r="O113" s="183"/>
      <c r="P113" s="182"/>
    </row>
    <row r="114" spans="1:16" s="180" customFormat="1" ht="21.75" hidden="1" customHeight="1">
      <c r="A114" s="355">
        <v>16</v>
      </c>
      <c r="B114" s="1582" t="str">
        <f>'Chấm công KT'!D107</f>
        <v>03530</v>
      </c>
      <c r="C114" s="1580"/>
      <c r="D114" s="1326" t="str">
        <f>'CNKT '!C116</f>
        <v>T . Tom</v>
      </c>
      <c r="E114" s="1334" t="s">
        <v>43</v>
      </c>
      <c r="F114" s="1325">
        <f>VLOOKUP(D114,'CNKT '!$C$101:$F$182,4,0)</f>
        <v>0</v>
      </c>
      <c r="G114" s="1325">
        <f>VLOOKUP(D114,'CNKT '!$C$101:$L$182,10,0)</f>
        <v>0</v>
      </c>
      <c r="H114" s="1325">
        <f>VLOOKUP(D114,'CNKT '!$C$101:$W$182,21,0)</f>
        <v>0</v>
      </c>
      <c r="I114" s="1325">
        <f t="shared" si="7"/>
        <v>0</v>
      </c>
      <c r="J114" s="1325"/>
      <c r="K114" s="1325">
        <f>VLOOKUP(D114,'CNKT '!$C$101:$Z$182,24,0)</f>
        <v>0</v>
      </c>
      <c r="L114" s="1325"/>
      <c r="M114" s="1327">
        <f t="shared" si="8"/>
        <v>0</v>
      </c>
      <c r="N114" s="420"/>
      <c r="O114" s="183"/>
      <c r="P114" s="182"/>
    </row>
    <row r="115" spans="1:16" s="180" customFormat="1" ht="21.75" hidden="1" customHeight="1">
      <c r="A115" s="355">
        <v>17</v>
      </c>
      <c r="B115" s="1582" t="str">
        <f>'Chấm công KT'!D108</f>
        <v>03531</v>
      </c>
      <c r="C115" s="1580"/>
      <c r="D115" s="1326" t="str">
        <f>'CNKT '!C117</f>
        <v>T. Son Sa May</v>
      </c>
      <c r="E115" s="1334" t="s">
        <v>43</v>
      </c>
      <c r="F115" s="1325">
        <f>VLOOKUP(D115,'CNKT '!$C$101:$F$182,4,0)</f>
        <v>0</v>
      </c>
      <c r="G115" s="1325">
        <f>VLOOKUP(D115,'CNKT '!$C$101:$L$182,10,0)</f>
        <v>0</v>
      </c>
      <c r="H115" s="1325">
        <f>VLOOKUP(D115,'CNKT '!$C$101:$W$182,21,0)</f>
        <v>0</v>
      </c>
      <c r="I115" s="1325">
        <f t="shared" si="7"/>
        <v>0</v>
      </c>
      <c r="J115" s="1325"/>
      <c r="K115" s="1325">
        <f>VLOOKUP(D115,'CNKT '!$C$101:$Z$182,24,0)</f>
        <v>0</v>
      </c>
      <c r="L115" s="1325"/>
      <c r="M115" s="1327">
        <f t="shared" si="8"/>
        <v>0</v>
      </c>
      <c r="N115" s="420"/>
      <c r="O115" s="183"/>
      <c r="P115" s="182"/>
    </row>
    <row r="116" spans="1:16" s="180" customFormat="1" ht="21.75" hidden="1" customHeight="1">
      <c r="A116" s="355">
        <v>18</v>
      </c>
      <c r="B116" s="1582" t="str">
        <f>'Chấm công KT'!D109</f>
        <v>03532</v>
      </c>
      <c r="C116" s="1580"/>
      <c r="D116" s="1326" t="str">
        <f>'CNKT '!C118</f>
        <v>N. Túc</v>
      </c>
      <c r="E116" s="1334" t="s">
        <v>43</v>
      </c>
      <c r="F116" s="1325">
        <f>VLOOKUP(D116,'CNKT '!$C$101:$F$182,4,0)</f>
        <v>0</v>
      </c>
      <c r="G116" s="1325">
        <f>VLOOKUP(D116,'CNKT '!$C$101:$L$182,10,0)</f>
        <v>0</v>
      </c>
      <c r="H116" s="1325">
        <f>VLOOKUP(D116,'CNKT '!$C$101:$W$182,21,0)</f>
        <v>0</v>
      </c>
      <c r="I116" s="1325">
        <f t="shared" si="7"/>
        <v>0</v>
      </c>
      <c r="J116" s="1325"/>
      <c r="K116" s="1325">
        <f>VLOOKUP(D116,'CNKT '!$C$101:$Z$182,24,0)</f>
        <v>0</v>
      </c>
      <c r="L116" s="1325"/>
      <c r="M116" s="1327">
        <f t="shared" si="8"/>
        <v>0</v>
      </c>
      <c r="N116" s="420"/>
      <c r="O116" s="183"/>
      <c r="P116" s="182"/>
    </row>
    <row r="117" spans="1:16" s="180" customFormat="1" ht="21.75" hidden="1" customHeight="1">
      <c r="A117" s="355">
        <v>19</v>
      </c>
      <c r="B117" s="1582" t="str">
        <f>'Chấm công KT'!D110</f>
        <v xml:space="preserve">02709 </v>
      </c>
      <c r="C117" s="1580"/>
      <c r="D117" s="1326" t="str">
        <f>'CNKT '!C119</f>
        <v>T. Say</v>
      </c>
      <c r="E117" s="1334" t="s">
        <v>43</v>
      </c>
      <c r="F117" s="1325">
        <f>VLOOKUP(D117,'CNKT '!$C$101:$F$182,4,0)</f>
        <v>0</v>
      </c>
      <c r="G117" s="1325">
        <f>VLOOKUP(D117,'CNKT '!$C$101:$L$182,10,0)</f>
        <v>0</v>
      </c>
      <c r="H117" s="1325">
        <f>VLOOKUP(D117,'CNKT '!$C$101:$W$182,21,0)</f>
        <v>0</v>
      </c>
      <c r="I117" s="1325">
        <f t="shared" si="7"/>
        <v>0</v>
      </c>
      <c r="J117" s="1325"/>
      <c r="K117" s="1325">
        <f>VLOOKUP(D117,'CNKT '!$C$101:$Z$182,24,0)</f>
        <v>0</v>
      </c>
      <c r="L117" s="1325"/>
      <c r="M117" s="1327">
        <f t="shared" si="8"/>
        <v>0</v>
      </c>
      <c r="N117" s="420"/>
      <c r="O117" s="183"/>
      <c r="P117" s="182"/>
    </row>
    <row r="118" spans="1:16" s="180" customFormat="1" ht="21.75" hidden="1" customHeight="1">
      <c r="A118" s="355">
        <v>20</v>
      </c>
      <c r="B118" s="1582" t="str">
        <f>'Chấm công KT'!D111</f>
        <v>03533</v>
      </c>
      <c r="C118" s="1580"/>
      <c r="D118" s="1326" t="str">
        <f>'CNKT '!C120</f>
        <v>T. Pha Đi</v>
      </c>
      <c r="E118" s="1334" t="s">
        <v>43</v>
      </c>
      <c r="F118" s="1325">
        <f>VLOOKUP(D118,'CNKT '!$C$101:$F$182,4,0)</f>
        <v>0</v>
      </c>
      <c r="G118" s="1325">
        <f>VLOOKUP(D118,'CNKT '!$C$101:$L$182,10,0)</f>
        <v>0</v>
      </c>
      <c r="H118" s="1325">
        <f>VLOOKUP(D118,'CNKT '!$C$101:$W$182,21,0)</f>
        <v>0</v>
      </c>
      <c r="I118" s="1325">
        <f t="shared" si="7"/>
        <v>0</v>
      </c>
      <c r="J118" s="1325"/>
      <c r="K118" s="1325">
        <f>VLOOKUP(D118,'CNKT '!$C$101:$Z$182,24,0)</f>
        <v>0</v>
      </c>
      <c r="L118" s="1325"/>
      <c r="M118" s="1327">
        <f t="shared" si="8"/>
        <v>0</v>
      </c>
      <c r="N118" s="420"/>
      <c r="O118" s="183"/>
      <c r="P118" s="182"/>
    </row>
    <row r="119" spans="1:16" s="180" customFormat="1" ht="21.75" hidden="1" customHeight="1">
      <c r="A119" s="355">
        <v>21</v>
      </c>
      <c r="B119" s="1582" t="str">
        <f>'Chấm công KT'!D112</f>
        <v>03534</v>
      </c>
      <c r="C119" s="1580"/>
      <c r="D119" s="1326" t="str">
        <f>'CNKT '!C121</f>
        <v>T. Un</v>
      </c>
      <c r="E119" s="1334" t="s">
        <v>43</v>
      </c>
      <c r="F119" s="1325">
        <f>VLOOKUP(D119,'CNKT '!$C$101:$F$182,4,0)</f>
        <v>0</v>
      </c>
      <c r="G119" s="1325">
        <f>VLOOKUP(D119,'CNKT '!$C$101:$L$182,10,0)</f>
        <v>0</v>
      </c>
      <c r="H119" s="1325">
        <f>VLOOKUP(D119,'CNKT '!$C$101:$W$182,21,0)</f>
        <v>0</v>
      </c>
      <c r="I119" s="1325">
        <f t="shared" si="7"/>
        <v>0</v>
      </c>
      <c r="J119" s="1325"/>
      <c r="K119" s="1325">
        <f>VLOOKUP(D119,'CNKT '!$C$101:$Z$182,24,0)</f>
        <v>0</v>
      </c>
      <c r="L119" s="1325"/>
      <c r="M119" s="1327">
        <f t="shared" si="8"/>
        <v>0</v>
      </c>
      <c r="N119" s="420"/>
      <c r="O119" s="183"/>
      <c r="P119" s="182"/>
    </row>
    <row r="120" spans="1:16" s="180" customFormat="1" ht="21.75" hidden="1" customHeight="1">
      <c r="A120" s="355">
        <v>22</v>
      </c>
      <c r="B120" s="1582" t="str">
        <f>'Chấm công KT'!D113</f>
        <v>03535</v>
      </c>
      <c r="C120" s="1580"/>
      <c r="D120" s="1326" t="str">
        <f>'CNKT '!C122</f>
        <v>T. Ôn</v>
      </c>
      <c r="E120" s="1334" t="s">
        <v>43</v>
      </c>
      <c r="F120" s="1325">
        <f>VLOOKUP(D120,'CNKT '!$C$101:$F$182,4,0)</f>
        <v>0</v>
      </c>
      <c r="G120" s="1325">
        <f>VLOOKUP(D120,'CNKT '!$C$101:$L$182,10,0)</f>
        <v>0</v>
      </c>
      <c r="H120" s="1325">
        <f>VLOOKUP(D120,'CNKT '!$C$101:$W$182,21,0)</f>
        <v>0</v>
      </c>
      <c r="I120" s="1325">
        <f t="shared" si="7"/>
        <v>0</v>
      </c>
      <c r="J120" s="1325"/>
      <c r="K120" s="1325">
        <f>VLOOKUP(D120,'CNKT '!$C$101:$Z$182,24,0)</f>
        <v>0</v>
      </c>
      <c r="L120" s="1325"/>
      <c r="M120" s="1327">
        <f t="shared" si="8"/>
        <v>0</v>
      </c>
      <c r="N120" s="420"/>
      <c r="O120" s="183"/>
      <c r="P120" s="182"/>
    </row>
    <row r="121" spans="1:16" s="180" customFormat="1" ht="21.75" hidden="1" customHeight="1">
      <c r="A121" s="355">
        <v>23</v>
      </c>
      <c r="B121" s="1582"/>
      <c r="C121" s="1580"/>
      <c r="D121" s="1326" t="str">
        <f>'CNKT '!C123</f>
        <v>N. Không</v>
      </c>
      <c r="E121" s="1334" t="s">
        <v>43</v>
      </c>
      <c r="F121" s="1325">
        <f>VLOOKUP(D121,'CNKT '!$C$101:$F$182,4,0)</f>
        <v>0</v>
      </c>
      <c r="G121" s="1325">
        <f>VLOOKUP(D121,'CNKT '!$C$101:$L$182,10,0)</f>
        <v>0</v>
      </c>
      <c r="H121" s="1325">
        <f>VLOOKUP(D121,'CNKT '!$C$101:$W$182,21,0)</f>
        <v>0</v>
      </c>
      <c r="I121" s="1325">
        <f t="shared" si="7"/>
        <v>0</v>
      </c>
      <c r="J121" s="1325"/>
      <c r="K121" s="1325">
        <f>VLOOKUP(D121,'CNKT '!$C$101:$Z$182,24,0)</f>
        <v>0</v>
      </c>
      <c r="L121" s="1325"/>
      <c r="M121" s="1327">
        <f t="shared" si="8"/>
        <v>0</v>
      </c>
      <c r="N121" s="420"/>
      <c r="O121" s="183"/>
      <c r="P121" s="182"/>
    </row>
    <row r="122" spans="1:16" s="180" customFormat="1" ht="21.75" hidden="1" customHeight="1">
      <c r="A122" s="355">
        <v>24</v>
      </c>
      <c r="B122" s="1582" t="str">
        <f>'Chấm công KT'!D115</f>
        <v>03537</v>
      </c>
      <c r="C122" s="1580"/>
      <c r="D122" s="1326" t="str">
        <f>'CNKT '!C124</f>
        <v>Văn Đi</v>
      </c>
      <c r="E122" s="1334" t="s">
        <v>43</v>
      </c>
      <c r="F122" s="1325">
        <f>VLOOKUP(D122,'CNKT '!$C$101:$F$182,4,0)</f>
        <v>0</v>
      </c>
      <c r="G122" s="1325">
        <f>VLOOKUP(D122,'CNKT '!$C$101:$L$182,10,0)</f>
        <v>0</v>
      </c>
      <c r="H122" s="1325">
        <f>VLOOKUP(D122,'CNKT '!$C$101:$W$182,21,0)</f>
        <v>0</v>
      </c>
      <c r="I122" s="1325">
        <f t="shared" si="7"/>
        <v>0</v>
      </c>
      <c r="J122" s="1325"/>
      <c r="K122" s="1325">
        <f>VLOOKUP(D122,'CNKT '!$C$101:$Z$182,24,0)</f>
        <v>0</v>
      </c>
      <c r="L122" s="1325"/>
      <c r="M122" s="1327">
        <f t="shared" si="8"/>
        <v>0</v>
      </c>
      <c r="N122" s="420"/>
      <c r="O122" s="183"/>
      <c r="P122" s="182"/>
    </row>
    <row r="123" spans="1:16" s="180" customFormat="1" ht="21.75" hidden="1" customHeight="1">
      <c r="A123" s="355">
        <v>25</v>
      </c>
      <c r="B123" s="1582" t="str">
        <f>'Chấm công KT'!D116</f>
        <v>03538</v>
      </c>
      <c r="C123" s="1580"/>
      <c r="D123" s="1326" t="str">
        <f>'CNKT '!C125</f>
        <v>T. U Đôm</v>
      </c>
      <c r="E123" s="1334" t="s">
        <v>43</v>
      </c>
      <c r="F123" s="1325">
        <f>VLOOKUP(D123,'CNKT '!$C$101:$F$182,4,0)</f>
        <v>0</v>
      </c>
      <c r="G123" s="1325">
        <f>VLOOKUP(D123,'CNKT '!$C$101:$L$182,10,0)</f>
        <v>0</v>
      </c>
      <c r="H123" s="1325">
        <f>VLOOKUP(D123,'CNKT '!$C$101:$W$182,21,0)</f>
        <v>0</v>
      </c>
      <c r="I123" s="1325">
        <f t="shared" si="7"/>
        <v>0</v>
      </c>
      <c r="J123" s="1325"/>
      <c r="K123" s="1325">
        <f>VLOOKUP(D123,'CNKT '!$C$101:$Z$182,24,0)</f>
        <v>0</v>
      </c>
      <c r="L123" s="1325"/>
      <c r="M123" s="1327">
        <f t="shared" si="8"/>
        <v>0</v>
      </c>
      <c r="N123" s="420"/>
      <c r="O123" s="183"/>
      <c r="P123" s="182"/>
    </row>
    <row r="124" spans="1:16" s="180" customFormat="1" ht="21.75" hidden="1" customHeight="1">
      <c r="A124" s="355">
        <v>26</v>
      </c>
      <c r="B124" s="1582"/>
      <c r="C124" s="1580"/>
      <c r="D124" s="1326" t="str">
        <f>'CNKT '!C126</f>
        <v>N. Lăm Thong</v>
      </c>
      <c r="E124" s="1334" t="s">
        <v>43</v>
      </c>
      <c r="F124" s="1325">
        <f>VLOOKUP(D124,'CNKT '!$C$101:$F$182,4,0)</f>
        <v>0</v>
      </c>
      <c r="G124" s="1325">
        <f>VLOOKUP(D124,'CNKT '!$C$101:$L$182,10,0)</f>
        <v>0</v>
      </c>
      <c r="H124" s="1325">
        <f>VLOOKUP(D124,'CNKT '!$C$101:$W$182,21,0)</f>
        <v>0</v>
      </c>
      <c r="I124" s="1325">
        <f t="shared" si="7"/>
        <v>0</v>
      </c>
      <c r="J124" s="1325"/>
      <c r="K124" s="1325">
        <f>VLOOKUP(D124,'CNKT '!$C$101:$Z$182,24,0)</f>
        <v>0</v>
      </c>
      <c r="L124" s="1325"/>
      <c r="M124" s="1327">
        <f t="shared" si="8"/>
        <v>0</v>
      </c>
      <c r="N124" s="420"/>
      <c r="O124" s="183"/>
      <c r="P124" s="182"/>
    </row>
    <row r="125" spans="1:16" s="180" customFormat="1" ht="21.75" hidden="1" customHeight="1">
      <c r="A125" s="355">
        <v>27</v>
      </c>
      <c r="B125" s="1582" t="str">
        <f>'Chấm công KT'!D118</f>
        <v>03540</v>
      </c>
      <c r="C125" s="1580"/>
      <c r="D125" s="1326" t="str">
        <f>'CNKT '!C127</f>
        <v>N. Seng</v>
      </c>
      <c r="E125" s="1334" t="s">
        <v>43</v>
      </c>
      <c r="F125" s="1325">
        <f>VLOOKUP(D125,'CNKT '!$C$101:$F$182,4,0)</f>
        <v>0</v>
      </c>
      <c r="G125" s="1325">
        <f>VLOOKUP(D125,'CNKT '!$C$101:$L$182,10,0)</f>
        <v>0</v>
      </c>
      <c r="H125" s="1325">
        <f>VLOOKUP(D125,'CNKT '!$C$101:$W$182,21,0)</f>
        <v>0</v>
      </c>
      <c r="I125" s="1325">
        <f t="shared" si="7"/>
        <v>0</v>
      </c>
      <c r="J125" s="1325"/>
      <c r="K125" s="1325">
        <f>VLOOKUP(D125,'CNKT '!$C$101:$Z$182,24,0)</f>
        <v>0</v>
      </c>
      <c r="L125" s="1325"/>
      <c r="M125" s="1327">
        <f t="shared" si="8"/>
        <v>0</v>
      </c>
      <c r="N125" s="420"/>
      <c r="O125" s="183"/>
      <c r="P125" s="182"/>
    </row>
    <row r="126" spans="1:16" s="180" customFormat="1" ht="21.75" hidden="1" customHeight="1">
      <c r="A126" s="355">
        <v>28</v>
      </c>
      <c r="B126" s="1582" t="str">
        <f>'Chấm công KT'!D119</f>
        <v>03541</v>
      </c>
      <c r="C126" s="1580"/>
      <c r="D126" s="1326" t="str">
        <f>'CNKT '!C128</f>
        <v>T Đeng</v>
      </c>
      <c r="E126" s="1334" t="s">
        <v>43</v>
      </c>
      <c r="F126" s="1325">
        <f>VLOOKUP(D126,'CNKT '!$C$101:$F$182,4,0)</f>
        <v>0</v>
      </c>
      <c r="G126" s="1325">
        <f>VLOOKUP(D126,'CNKT '!$C$101:$L$182,10,0)</f>
        <v>0</v>
      </c>
      <c r="H126" s="1325">
        <f>VLOOKUP(D126,'CNKT '!$C$101:$W$182,21,0)</f>
        <v>0</v>
      </c>
      <c r="I126" s="1325">
        <f t="shared" si="7"/>
        <v>0</v>
      </c>
      <c r="J126" s="1325"/>
      <c r="K126" s="1325">
        <f>VLOOKUP(D126,'CNKT '!$C$101:$Z$182,24,0)</f>
        <v>0</v>
      </c>
      <c r="L126" s="1325"/>
      <c r="M126" s="1327">
        <f t="shared" si="8"/>
        <v>0</v>
      </c>
      <c r="N126" s="420"/>
      <c r="O126" s="183"/>
      <c r="P126" s="182"/>
    </row>
    <row r="127" spans="1:16" s="180" customFormat="1" ht="21.75" hidden="1" customHeight="1">
      <c r="A127" s="355">
        <v>29</v>
      </c>
      <c r="B127" s="1582" t="str">
        <f>'Chấm công KT'!D120</f>
        <v>03542</v>
      </c>
      <c r="C127" s="1580"/>
      <c r="D127" s="1326" t="str">
        <f>'CNKT '!C129</f>
        <v>T . Keo</v>
      </c>
      <c r="E127" s="1334" t="s">
        <v>43</v>
      </c>
      <c r="F127" s="1325">
        <f>VLOOKUP(D127,'CNKT '!$C$101:$F$182,4,0)</f>
        <v>0</v>
      </c>
      <c r="G127" s="1325">
        <f>VLOOKUP(D127,'CNKT '!$C$101:$L$182,10,0)</f>
        <v>0</v>
      </c>
      <c r="H127" s="1325">
        <f>VLOOKUP(D127,'CNKT '!$C$101:$W$182,21,0)</f>
        <v>0</v>
      </c>
      <c r="I127" s="1325">
        <f t="shared" si="7"/>
        <v>0</v>
      </c>
      <c r="J127" s="1325"/>
      <c r="K127" s="1325">
        <f>VLOOKUP(D127,'CNKT '!$C$101:$Z$182,24,0)</f>
        <v>0</v>
      </c>
      <c r="L127" s="1325"/>
      <c r="M127" s="1327">
        <f t="shared" si="8"/>
        <v>0</v>
      </c>
      <c r="N127" s="420"/>
      <c r="O127" s="183"/>
      <c r="P127" s="182"/>
    </row>
    <row r="128" spans="1:16" s="180" customFormat="1" ht="21.75" hidden="1" customHeight="1">
      <c r="A128" s="355">
        <v>30</v>
      </c>
      <c r="B128" s="1582" t="str">
        <f>'Chấm công KT'!D121</f>
        <v>03543</v>
      </c>
      <c r="C128" s="1580"/>
      <c r="D128" s="1326" t="str">
        <f>'CNKT '!C130</f>
        <v>Văn Na Nọi</v>
      </c>
      <c r="E128" s="1334" t="s">
        <v>43</v>
      </c>
      <c r="F128" s="1325">
        <f>VLOOKUP(D128,'CNKT '!$C$101:$F$182,4,0)</f>
        <v>0</v>
      </c>
      <c r="G128" s="1325">
        <f>VLOOKUP(D128,'CNKT '!$C$101:$L$182,10,0)</f>
        <v>0</v>
      </c>
      <c r="H128" s="1325">
        <f>VLOOKUP(D128,'CNKT '!$C$101:$W$182,21,0)</f>
        <v>0</v>
      </c>
      <c r="I128" s="1325">
        <f t="shared" si="7"/>
        <v>0</v>
      </c>
      <c r="J128" s="1325"/>
      <c r="K128" s="1325">
        <f>VLOOKUP(D128,'CNKT '!$C$101:$Z$182,24,0)</f>
        <v>0</v>
      </c>
      <c r="L128" s="1325"/>
      <c r="M128" s="1327">
        <f t="shared" si="8"/>
        <v>0</v>
      </c>
      <c r="N128" s="420"/>
      <c r="O128" s="183"/>
      <c r="P128" s="182"/>
    </row>
    <row r="129" spans="1:16" s="180" customFormat="1" ht="21.75" hidden="1" customHeight="1">
      <c r="A129" s="355">
        <v>31</v>
      </c>
      <c r="B129" s="1582" t="str">
        <f>'Chấm công KT'!D122</f>
        <v>03544</v>
      </c>
      <c r="C129" s="1580"/>
      <c r="D129" s="1326" t="str">
        <f>'CNKT '!C131</f>
        <v>T. Ta</v>
      </c>
      <c r="E129" s="1334" t="s">
        <v>43</v>
      </c>
      <c r="F129" s="1325">
        <f>VLOOKUP(D129,'CNKT '!$C$101:$F$182,4,0)</f>
        <v>0</v>
      </c>
      <c r="G129" s="1325">
        <f>VLOOKUP(D129,'CNKT '!$C$101:$L$182,10,0)</f>
        <v>0</v>
      </c>
      <c r="H129" s="1325">
        <f>VLOOKUP(D129,'CNKT '!$C$101:$W$182,21,0)</f>
        <v>0</v>
      </c>
      <c r="I129" s="1325">
        <f t="shared" si="7"/>
        <v>0</v>
      </c>
      <c r="J129" s="1325"/>
      <c r="K129" s="1325">
        <f>VLOOKUP(D129,'CNKT '!$C$101:$Z$182,24,0)</f>
        <v>0</v>
      </c>
      <c r="L129" s="1325"/>
      <c r="M129" s="1327">
        <f t="shared" si="8"/>
        <v>0</v>
      </c>
      <c r="N129" s="420"/>
      <c r="O129" s="183"/>
      <c r="P129" s="182"/>
    </row>
    <row r="130" spans="1:16" s="180" customFormat="1" ht="21.75" hidden="1" customHeight="1">
      <c r="A130" s="355">
        <v>32</v>
      </c>
      <c r="B130" s="1582" t="str">
        <f>'Chấm công KT'!D123</f>
        <v>03545</v>
      </c>
      <c r="C130" s="1580"/>
      <c r="D130" s="1326" t="str">
        <f>'CNKT '!C132</f>
        <v>Phon Xa Văn</v>
      </c>
      <c r="E130" s="1334" t="s">
        <v>43</v>
      </c>
      <c r="F130" s="1325">
        <f>VLOOKUP(D130,'CNKT '!$C$101:$F$182,4,0)</f>
        <v>0</v>
      </c>
      <c r="G130" s="1325">
        <f>VLOOKUP(D130,'CNKT '!$C$101:$L$182,10,0)</f>
        <v>0</v>
      </c>
      <c r="H130" s="1325">
        <f>VLOOKUP(D130,'CNKT '!$C$101:$W$182,21,0)</f>
        <v>0</v>
      </c>
      <c r="I130" s="1325">
        <f t="shared" si="7"/>
        <v>0</v>
      </c>
      <c r="J130" s="1325"/>
      <c r="K130" s="1325">
        <f>VLOOKUP(D130,'CNKT '!$C$101:$Z$182,24,0)</f>
        <v>0</v>
      </c>
      <c r="L130" s="1325"/>
      <c r="M130" s="1327">
        <f t="shared" si="8"/>
        <v>0</v>
      </c>
      <c r="N130" s="420"/>
      <c r="O130" s="183"/>
      <c r="P130" s="182"/>
    </row>
    <row r="131" spans="1:16" s="180" customFormat="1" ht="21.75" hidden="1" customHeight="1">
      <c r="A131" s="355">
        <v>33</v>
      </c>
      <c r="B131" s="1582" t="str">
        <f>'Chấm công KT'!D124</f>
        <v>03546</v>
      </c>
      <c r="C131" s="1580"/>
      <c r="D131" s="1326" t="str">
        <f>'CNKT '!C133</f>
        <v>T. Nọi</v>
      </c>
      <c r="E131" s="1334" t="s">
        <v>43</v>
      </c>
      <c r="F131" s="1325">
        <f>VLOOKUP(D131,'CNKT '!$C$101:$F$182,4,0)</f>
        <v>0</v>
      </c>
      <c r="G131" s="1325">
        <f>VLOOKUP(D131,'CNKT '!$C$101:$L$182,10,0)</f>
        <v>0</v>
      </c>
      <c r="H131" s="1325">
        <f>VLOOKUP(D131,'CNKT '!$C$101:$W$182,21,0)</f>
        <v>0</v>
      </c>
      <c r="I131" s="1325">
        <f t="shared" si="7"/>
        <v>0</v>
      </c>
      <c r="J131" s="1325"/>
      <c r="K131" s="1325">
        <f>VLOOKUP(D131,'CNKT '!$C$101:$Z$182,24,0)</f>
        <v>0</v>
      </c>
      <c r="L131" s="1325"/>
      <c r="M131" s="1327">
        <f t="shared" si="8"/>
        <v>0</v>
      </c>
      <c r="N131" s="420"/>
      <c r="O131" s="183"/>
      <c r="P131" s="182"/>
    </row>
    <row r="132" spans="1:16" s="180" customFormat="1" ht="21.75" hidden="1" customHeight="1">
      <c r="A132" s="355">
        <v>34</v>
      </c>
      <c r="B132" s="1582" t="str">
        <f>'Chấm công KT'!D125</f>
        <v>03547</v>
      </c>
      <c r="C132" s="1580"/>
      <c r="D132" s="1326" t="str">
        <f>'CNKT '!C134</f>
        <v>N. Nôn</v>
      </c>
      <c r="E132" s="1334" t="s">
        <v>43</v>
      </c>
      <c r="F132" s="1325">
        <f>VLOOKUP(D132,'CNKT '!$C$101:$F$182,4,0)</f>
        <v>0</v>
      </c>
      <c r="G132" s="1325">
        <f>VLOOKUP(D132,'CNKT '!$C$101:$L$182,10,0)</f>
        <v>0</v>
      </c>
      <c r="H132" s="1325">
        <f>VLOOKUP(D132,'CNKT '!$C$101:$W$182,21,0)</f>
        <v>0</v>
      </c>
      <c r="I132" s="1325">
        <f t="shared" si="7"/>
        <v>0</v>
      </c>
      <c r="J132" s="1325"/>
      <c r="K132" s="1325">
        <f>VLOOKUP(D132,'CNKT '!$C$101:$Z$182,24,0)</f>
        <v>0</v>
      </c>
      <c r="L132" s="1325"/>
      <c r="M132" s="1327">
        <f t="shared" si="8"/>
        <v>0</v>
      </c>
      <c r="N132" s="420"/>
      <c r="O132" s="183"/>
      <c r="P132" s="182"/>
    </row>
    <row r="133" spans="1:16" s="180" customFormat="1" ht="21.75" hidden="1" customHeight="1">
      <c r="A133" s="355">
        <v>35</v>
      </c>
      <c r="B133" s="1582"/>
      <c r="C133" s="1580"/>
      <c r="D133" s="1326" t="str">
        <f>'CNKT '!C135</f>
        <v>N. Công Say</v>
      </c>
      <c r="E133" s="1334" t="s">
        <v>43</v>
      </c>
      <c r="F133" s="1325">
        <f>VLOOKUP(D133,'CNKT '!$C$101:$F$182,4,0)</f>
        <v>0</v>
      </c>
      <c r="G133" s="1325">
        <f>VLOOKUP(D133,'CNKT '!$C$101:$L$182,10,0)</f>
        <v>0</v>
      </c>
      <c r="H133" s="1325">
        <f>VLOOKUP(D133,'CNKT '!$C$101:$W$182,21,0)</f>
        <v>0</v>
      </c>
      <c r="I133" s="1325">
        <f t="shared" si="7"/>
        <v>0</v>
      </c>
      <c r="J133" s="1325"/>
      <c r="K133" s="1325">
        <f>VLOOKUP(D133,'CNKT '!$C$101:$Z$182,24,0)</f>
        <v>0</v>
      </c>
      <c r="L133" s="1325"/>
      <c r="M133" s="1327">
        <f t="shared" si="8"/>
        <v>0</v>
      </c>
      <c r="N133" s="420"/>
      <c r="O133" s="183"/>
      <c r="P133" s="182"/>
    </row>
    <row r="134" spans="1:16" s="180" customFormat="1" ht="21.75" hidden="1" customHeight="1">
      <c r="A134" s="355">
        <v>36</v>
      </c>
      <c r="B134" s="1582" t="str">
        <f>'Chấm công KT'!D127</f>
        <v>03549</v>
      </c>
      <c r="C134" s="1580"/>
      <c r="D134" s="1326" t="str">
        <f>'CNKT '!C136</f>
        <v>N. Xi Xộm</v>
      </c>
      <c r="E134" s="1334" t="s">
        <v>43</v>
      </c>
      <c r="F134" s="1325">
        <f>VLOOKUP(D134,'CNKT '!$C$101:$F$182,4,0)</f>
        <v>0</v>
      </c>
      <c r="G134" s="1325">
        <f>VLOOKUP(D134,'CNKT '!$C$101:$L$182,10,0)</f>
        <v>0</v>
      </c>
      <c r="H134" s="1325">
        <f>VLOOKUP(D134,'CNKT '!$C$101:$W$182,21,0)</f>
        <v>0</v>
      </c>
      <c r="I134" s="1325">
        <f t="shared" si="7"/>
        <v>0</v>
      </c>
      <c r="J134" s="1325"/>
      <c r="K134" s="1325">
        <f>VLOOKUP(D134,'CNKT '!$C$101:$Z$182,24,0)</f>
        <v>0</v>
      </c>
      <c r="L134" s="1325"/>
      <c r="M134" s="1327">
        <f t="shared" si="8"/>
        <v>0</v>
      </c>
      <c r="N134" s="420"/>
      <c r="O134" s="183"/>
      <c r="P134" s="182"/>
    </row>
    <row r="135" spans="1:16" s="180" customFormat="1" ht="21.75" hidden="1" customHeight="1">
      <c r="A135" s="355">
        <v>37</v>
      </c>
      <c r="B135" s="1582" t="str">
        <f>'Chấm công KT'!D128</f>
        <v>03550</v>
      </c>
      <c r="C135" s="1580"/>
      <c r="D135" s="1326" t="str">
        <f>'CNKT '!C137</f>
        <v>T. Đuông</v>
      </c>
      <c r="E135" s="1334" t="s">
        <v>43</v>
      </c>
      <c r="F135" s="1325">
        <f>VLOOKUP(D135,'CNKT '!$C$101:$F$182,4,0)</f>
        <v>0</v>
      </c>
      <c r="G135" s="1325">
        <f>VLOOKUP(D135,'CNKT '!$C$101:$L$182,10,0)</f>
        <v>0</v>
      </c>
      <c r="H135" s="1325">
        <f>VLOOKUP(D135,'CNKT '!$C$101:$W$182,21,0)</f>
        <v>0</v>
      </c>
      <c r="I135" s="1325">
        <f t="shared" si="7"/>
        <v>0</v>
      </c>
      <c r="J135" s="1325"/>
      <c r="K135" s="1325">
        <f>VLOOKUP(D135,'CNKT '!$C$101:$Z$182,24,0)</f>
        <v>0</v>
      </c>
      <c r="L135" s="1325"/>
      <c r="M135" s="1327">
        <f t="shared" si="8"/>
        <v>0</v>
      </c>
      <c r="N135" s="420"/>
      <c r="O135" s="183"/>
      <c r="P135" s="182"/>
    </row>
    <row r="136" spans="1:16" s="180" customFormat="1" ht="21.75" hidden="1" customHeight="1">
      <c r="A136" s="355">
        <v>38</v>
      </c>
      <c r="B136" s="1582" t="str">
        <f>'Chấm công KT'!D129</f>
        <v>03551</v>
      </c>
      <c r="C136" s="1580"/>
      <c r="D136" s="1326" t="str">
        <f>'CNKT '!C138</f>
        <v>T . Pheng</v>
      </c>
      <c r="E136" s="1334" t="s">
        <v>43</v>
      </c>
      <c r="F136" s="1325">
        <f>VLOOKUP(D136,'CNKT '!$C$101:$F$182,4,0)</f>
        <v>0</v>
      </c>
      <c r="G136" s="1325">
        <f>VLOOKUP(D136,'CNKT '!$C$101:$L$182,10,0)</f>
        <v>0</v>
      </c>
      <c r="H136" s="1325">
        <f>VLOOKUP(D136,'CNKT '!$C$101:$W$182,21,0)</f>
        <v>0</v>
      </c>
      <c r="I136" s="1325">
        <f t="shared" si="7"/>
        <v>0</v>
      </c>
      <c r="J136" s="1325"/>
      <c r="K136" s="1325">
        <f>VLOOKUP(D136,'CNKT '!$C$101:$Z$182,24,0)</f>
        <v>0</v>
      </c>
      <c r="L136" s="1325"/>
      <c r="M136" s="1327">
        <f t="shared" si="8"/>
        <v>0</v>
      </c>
      <c r="N136" s="420"/>
      <c r="O136" s="183"/>
      <c r="P136" s="182"/>
    </row>
    <row r="137" spans="1:16" s="180" customFormat="1" ht="21.75" hidden="1" customHeight="1">
      <c r="A137" s="355">
        <v>39</v>
      </c>
      <c r="B137" s="1582"/>
      <c r="C137" s="1580"/>
      <c r="D137" s="1326" t="str">
        <f>'CNKT '!C139</f>
        <v>T. Nọi Ê</v>
      </c>
      <c r="E137" s="1334" t="s">
        <v>43</v>
      </c>
      <c r="F137" s="1325">
        <f>VLOOKUP(D137,'CNKT '!$C$101:$F$182,4,0)</f>
        <v>0</v>
      </c>
      <c r="G137" s="1325">
        <f>VLOOKUP(D137,'CNKT '!$C$101:$L$182,10,0)</f>
        <v>0</v>
      </c>
      <c r="H137" s="1325">
        <f>VLOOKUP(D137,'CNKT '!$C$101:$W$182,21,0)</f>
        <v>0</v>
      </c>
      <c r="I137" s="1325">
        <f t="shared" si="7"/>
        <v>0</v>
      </c>
      <c r="J137" s="1325"/>
      <c r="K137" s="1325">
        <f>VLOOKUP(D137,'CNKT '!$C$101:$Z$182,24,0)</f>
        <v>0</v>
      </c>
      <c r="L137" s="1325"/>
      <c r="M137" s="1327">
        <f t="shared" si="8"/>
        <v>0</v>
      </c>
      <c r="N137" s="420"/>
      <c r="O137" s="183"/>
      <c r="P137" s="182"/>
    </row>
    <row r="138" spans="1:16" s="180" customFormat="1" ht="21.75" hidden="1" customHeight="1">
      <c r="A138" s="355">
        <v>40</v>
      </c>
      <c r="B138" s="1582" t="str">
        <f>'Chấm công KT'!D131</f>
        <v>03488</v>
      </c>
      <c r="C138" s="1580"/>
      <c r="D138" s="1326" t="str">
        <f>'CNKT '!C140</f>
        <v>N. Đeng</v>
      </c>
      <c r="E138" s="1334" t="s">
        <v>43</v>
      </c>
      <c r="F138" s="1325">
        <f>VLOOKUP(D138,'CNKT '!$C$101:$F$182,4,0)</f>
        <v>0</v>
      </c>
      <c r="G138" s="1325">
        <f>VLOOKUP(D138,'CNKT '!$C$101:$L$182,10,0)</f>
        <v>0</v>
      </c>
      <c r="H138" s="1325">
        <f>VLOOKUP(D138,'CNKT '!$C$101:$W$182,21,0)</f>
        <v>0</v>
      </c>
      <c r="I138" s="1325">
        <f t="shared" si="7"/>
        <v>0</v>
      </c>
      <c r="J138" s="1325"/>
      <c r="K138" s="1325">
        <f>VLOOKUP(D138,'CNKT '!$C$101:$Z$182,24,0)</f>
        <v>0</v>
      </c>
      <c r="L138" s="1325"/>
      <c r="M138" s="1327">
        <f t="shared" si="8"/>
        <v>0</v>
      </c>
      <c r="N138" s="420"/>
      <c r="O138" s="183"/>
      <c r="P138" s="182"/>
    </row>
    <row r="139" spans="1:16" s="180" customFormat="1" ht="21.75" hidden="1" customHeight="1">
      <c r="A139" s="355">
        <v>41</v>
      </c>
      <c r="B139" s="1582"/>
      <c r="C139" s="1580"/>
      <c r="D139" s="1326" t="str">
        <f>'CNKT '!C141</f>
        <v>Xôm Phon 1</v>
      </c>
      <c r="E139" s="1334" t="s">
        <v>43</v>
      </c>
      <c r="F139" s="1325">
        <f>VLOOKUP(D139,'CNKT '!$C$101:$F$182,4,0)</f>
        <v>0</v>
      </c>
      <c r="G139" s="1325">
        <f>VLOOKUP(D139,'CNKT '!$C$101:$L$182,10,0)</f>
        <v>0</v>
      </c>
      <c r="H139" s="1325">
        <f>VLOOKUP(D139,'CNKT '!$C$101:$W$182,21,0)</f>
        <v>0</v>
      </c>
      <c r="I139" s="1325">
        <f t="shared" si="7"/>
        <v>0</v>
      </c>
      <c r="J139" s="1325"/>
      <c r="K139" s="1325">
        <f>VLOOKUP(D139,'CNKT '!$C$101:$Z$182,24,0)</f>
        <v>0</v>
      </c>
      <c r="L139" s="1325"/>
      <c r="M139" s="1327">
        <f t="shared" si="8"/>
        <v>0</v>
      </c>
      <c r="N139" s="420"/>
      <c r="O139" s="183"/>
      <c r="P139" s="182"/>
    </row>
    <row r="140" spans="1:16" s="180" customFormat="1" ht="21.75" hidden="1" customHeight="1">
      <c r="A140" s="355">
        <v>42</v>
      </c>
      <c r="B140" s="1582" t="str">
        <f>'Chấm công KT'!D133</f>
        <v>03555</v>
      </c>
      <c r="C140" s="1580"/>
      <c r="D140" s="1326" t="str">
        <f>'CNKT '!C142</f>
        <v>C. Trang 1</v>
      </c>
      <c r="E140" s="1334" t="s">
        <v>43</v>
      </c>
      <c r="F140" s="1325">
        <f>VLOOKUP(D140,'CNKT '!$C$101:$F$182,4,0)</f>
        <v>0</v>
      </c>
      <c r="G140" s="1325">
        <f>VLOOKUP(D140,'CNKT '!$C$101:$L$182,10,0)</f>
        <v>0</v>
      </c>
      <c r="H140" s="1325">
        <f>VLOOKUP(D140,'CNKT '!$C$101:$W$182,21,0)</f>
        <v>0</v>
      </c>
      <c r="I140" s="1325">
        <f t="shared" si="7"/>
        <v>0</v>
      </c>
      <c r="J140" s="1325"/>
      <c r="K140" s="1325">
        <f>VLOOKUP(D140,'CNKT '!$C$101:$Z$182,24,0)</f>
        <v>0</v>
      </c>
      <c r="L140" s="1325"/>
      <c r="M140" s="1327">
        <f t="shared" si="8"/>
        <v>0</v>
      </c>
      <c r="N140" s="420"/>
      <c r="O140" s="183"/>
      <c r="P140" s="182"/>
    </row>
    <row r="141" spans="1:16" s="180" customFormat="1" ht="21.75" hidden="1" customHeight="1">
      <c r="A141" s="355">
        <v>43</v>
      </c>
      <c r="B141" s="1582">
        <f>'Chấm công KT'!D134</f>
        <v>0</v>
      </c>
      <c r="C141" s="1580"/>
      <c r="D141" s="1326" t="str">
        <f>'CNKT '!C143</f>
        <v>Lâm Ngân</v>
      </c>
      <c r="E141" s="1334" t="s">
        <v>43</v>
      </c>
      <c r="F141" s="1325">
        <f>VLOOKUP(D141,'CNKT '!$C$101:$F$182,4,0)</f>
        <v>0</v>
      </c>
      <c r="G141" s="1325">
        <f>VLOOKUP(D141,'CNKT '!$C$101:$L$182,10,0)</f>
        <v>0</v>
      </c>
      <c r="H141" s="1325">
        <f>VLOOKUP(D141,'CNKT '!$C$101:$W$182,21,0)</f>
        <v>0</v>
      </c>
      <c r="I141" s="1325">
        <f t="shared" si="7"/>
        <v>0</v>
      </c>
      <c r="J141" s="1325"/>
      <c r="K141" s="1325">
        <f>VLOOKUP(D141,'CNKT '!$C$101:$Z$182,24,0)</f>
        <v>0</v>
      </c>
      <c r="L141" s="1325"/>
      <c r="M141" s="1327">
        <f t="shared" si="8"/>
        <v>0</v>
      </c>
      <c r="N141" s="420"/>
      <c r="O141" s="183"/>
      <c r="P141" s="182"/>
    </row>
    <row r="142" spans="1:16" s="180" customFormat="1" ht="21.75" hidden="1" customHeight="1">
      <c r="A142" s="355">
        <v>44</v>
      </c>
      <c r="B142" s="1582"/>
      <c r="C142" s="1580"/>
      <c r="D142" s="1326" t="str">
        <f>'CNKT '!C144</f>
        <v>T. Thong A</v>
      </c>
      <c r="E142" s="1334" t="s">
        <v>43</v>
      </c>
      <c r="F142" s="1325">
        <f>VLOOKUP(D142,'CNKT '!$C$101:$F$182,4,0)</f>
        <v>0</v>
      </c>
      <c r="G142" s="1325">
        <f>VLOOKUP(D142,'CNKT '!$C$101:$L$182,10,0)</f>
        <v>0</v>
      </c>
      <c r="H142" s="1325">
        <f>VLOOKUP(D142,'CNKT '!$C$101:$W$182,21,0)</f>
        <v>0</v>
      </c>
      <c r="I142" s="1325">
        <f t="shared" si="7"/>
        <v>0</v>
      </c>
      <c r="J142" s="1325"/>
      <c r="K142" s="1325">
        <f>VLOOKUP(D142,'CNKT '!$C$101:$Z$182,24,0)</f>
        <v>0</v>
      </c>
      <c r="L142" s="1325"/>
      <c r="M142" s="1327">
        <f t="shared" si="8"/>
        <v>0</v>
      </c>
      <c r="N142" s="420"/>
      <c r="O142" s="183"/>
      <c r="P142" s="182"/>
    </row>
    <row r="143" spans="1:16" s="180" customFormat="1" ht="21.75" hidden="1" customHeight="1">
      <c r="A143" s="355">
        <v>45</v>
      </c>
      <c r="B143" s="1582"/>
      <c r="C143" s="1580"/>
      <c r="D143" s="1326" t="str">
        <f>'CNKT '!C145</f>
        <v>T Phù</v>
      </c>
      <c r="E143" s="1334" t="s">
        <v>43</v>
      </c>
      <c r="F143" s="1325">
        <f>VLOOKUP(D143,'CNKT '!$C$101:$F$182,4,0)</f>
        <v>0</v>
      </c>
      <c r="G143" s="1325">
        <f>VLOOKUP(D143,'CNKT '!$C$101:$L$182,10,0)</f>
        <v>0</v>
      </c>
      <c r="H143" s="1325">
        <f>VLOOKUP(D143,'CNKT '!$C$101:$W$182,21,0)</f>
        <v>0</v>
      </c>
      <c r="I143" s="1325">
        <f t="shared" si="7"/>
        <v>0</v>
      </c>
      <c r="J143" s="1325"/>
      <c r="K143" s="1325">
        <f>VLOOKUP(D143,'CNKT '!$C$101:$Z$182,24,0)</f>
        <v>0</v>
      </c>
      <c r="L143" s="1325"/>
      <c r="M143" s="1327">
        <f t="shared" si="8"/>
        <v>0</v>
      </c>
      <c r="N143" s="420"/>
      <c r="O143" s="183"/>
      <c r="P143" s="182"/>
    </row>
    <row r="144" spans="1:16" s="180" customFormat="1" ht="21.75" hidden="1" customHeight="1">
      <c r="A144" s="355">
        <v>46</v>
      </c>
      <c r="B144" s="1582" t="str">
        <f>'Chấm công KT'!D137</f>
        <v>03559</v>
      </c>
      <c r="C144" s="1580"/>
      <c r="D144" s="1326" t="str">
        <f>'CNKT '!C146</f>
        <v>Viêng Khăm</v>
      </c>
      <c r="E144" s="1334" t="s">
        <v>43</v>
      </c>
      <c r="F144" s="1325">
        <f>VLOOKUP(D144,'CNKT '!$C$101:$F$182,4,0)</f>
        <v>0</v>
      </c>
      <c r="G144" s="1325">
        <f>VLOOKUP(D144,'CNKT '!$C$101:$L$182,10,0)</f>
        <v>0</v>
      </c>
      <c r="H144" s="1325">
        <f>VLOOKUP(D144,'CNKT '!$C$101:$W$182,21,0)</f>
        <v>0</v>
      </c>
      <c r="I144" s="1325">
        <f t="shared" si="7"/>
        <v>0</v>
      </c>
      <c r="J144" s="1325"/>
      <c r="K144" s="1325">
        <f>VLOOKUP(D144,'CNKT '!$C$101:$Z$182,24,0)</f>
        <v>0</v>
      </c>
      <c r="L144" s="1325"/>
      <c r="M144" s="1327">
        <f t="shared" si="8"/>
        <v>0</v>
      </c>
      <c r="N144" s="420"/>
      <c r="O144" s="183"/>
      <c r="P144" s="182"/>
    </row>
    <row r="145" spans="1:16" s="180" customFormat="1" ht="21.75" hidden="1" customHeight="1">
      <c r="A145" s="355">
        <v>47</v>
      </c>
      <c r="B145" s="1582" t="str">
        <f>'Chấm công KT'!D138</f>
        <v>03560</v>
      </c>
      <c r="C145" s="1580"/>
      <c r="D145" s="1326" t="str">
        <f>'CNKT '!C147</f>
        <v>Veo Khăm</v>
      </c>
      <c r="E145" s="1334" t="s">
        <v>43</v>
      </c>
      <c r="F145" s="1325">
        <f>VLOOKUP(D145,'CNKT '!$C$101:$F$182,4,0)</f>
        <v>0</v>
      </c>
      <c r="G145" s="1325">
        <f>VLOOKUP(D145,'CNKT '!$C$101:$L$182,10,0)</f>
        <v>0</v>
      </c>
      <c r="H145" s="1325">
        <f>VLOOKUP(D145,'CNKT '!$C$101:$W$182,21,0)</f>
        <v>0</v>
      </c>
      <c r="I145" s="1325">
        <f t="shared" si="7"/>
        <v>0</v>
      </c>
      <c r="J145" s="1325"/>
      <c r="K145" s="1325">
        <f>VLOOKUP(D145,'CNKT '!$C$101:$Z$182,24,0)</f>
        <v>0</v>
      </c>
      <c r="L145" s="1325"/>
      <c r="M145" s="1327">
        <f t="shared" si="8"/>
        <v>0</v>
      </c>
      <c r="N145" s="420"/>
      <c r="O145" s="183"/>
      <c r="P145" s="182"/>
    </row>
    <row r="146" spans="1:16" s="180" customFormat="1" ht="21.75" hidden="1" customHeight="1">
      <c r="A146" s="355">
        <v>48</v>
      </c>
      <c r="B146" s="1582" t="str">
        <f>'Chấm công KT'!D139</f>
        <v>03561</v>
      </c>
      <c r="C146" s="1580"/>
      <c r="D146" s="1326" t="str">
        <f>'CNKT '!C148</f>
        <v>T . Khon</v>
      </c>
      <c r="E146" s="1334" t="s">
        <v>43</v>
      </c>
      <c r="F146" s="1325">
        <f>VLOOKUP(D146,'CNKT '!$C$101:$F$182,4,0)</f>
        <v>0</v>
      </c>
      <c r="G146" s="1325">
        <f>VLOOKUP(D146,'CNKT '!$C$101:$L$182,10,0)</f>
        <v>0</v>
      </c>
      <c r="H146" s="1325">
        <f>VLOOKUP(D146,'CNKT '!$C$101:$W$182,21,0)</f>
        <v>0</v>
      </c>
      <c r="I146" s="1325">
        <f t="shared" si="7"/>
        <v>0</v>
      </c>
      <c r="J146" s="1325"/>
      <c r="K146" s="1325">
        <f>VLOOKUP(D146,'CNKT '!$C$101:$Z$182,24,0)</f>
        <v>0</v>
      </c>
      <c r="L146" s="1325"/>
      <c r="M146" s="1327">
        <f t="shared" si="8"/>
        <v>0</v>
      </c>
      <c r="N146" s="420"/>
      <c r="O146" s="183"/>
      <c r="P146" s="182"/>
    </row>
    <row r="147" spans="1:16" s="180" customFormat="1" ht="21.75" hidden="1" customHeight="1">
      <c r="A147" s="355">
        <v>49</v>
      </c>
      <c r="B147" s="1582" t="str">
        <f>'Chấm công KT'!D140</f>
        <v>03562</v>
      </c>
      <c r="C147" s="1580"/>
      <c r="D147" s="1326" t="str">
        <f>'CNKT '!C149</f>
        <v>N. Nun</v>
      </c>
      <c r="E147" s="1334" t="s">
        <v>43</v>
      </c>
      <c r="F147" s="1325">
        <f>VLOOKUP(D147,'CNKT '!$C$101:$F$182,4,0)</f>
        <v>0</v>
      </c>
      <c r="G147" s="1325">
        <f>VLOOKUP(D147,'CNKT '!$C$101:$L$182,10,0)</f>
        <v>0</v>
      </c>
      <c r="H147" s="1325">
        <f>VLOOKUP(D147,'CNKT '!$C$101:$W$182,21,0)</f>
        <v>0</v>
      </c>
      <c r="I147" s="1325">
        <f t="shared" si="7"/>
        <v>0</v>
      </c>
      <c r="J147" s="1325"/>
      <c r="K147" s="1325">
        <f>VLOOKUP(D147,'CNKT '!$C$101:$Z$182,24,0)</f>
        <v>0</v>
      </c>
      <c r="L147" s="1325"/>
      <c r="M147" s="1327">
        <f t="shared" si="8"/>
        <v>0</v>
      </c>
      <c r="N147" s="420"/>
      <c r="O147" s="183"/>
      <c r="P147" s="182"/>
    </row>
    <row r="148" spans="1:16" s="180" customFormat="1" ht="21.75" hidden="1" customHeight="1">
      <c r="A148" s="355">
        <v>50</v>
      </c>
      <c r="B148" s="1582" t="str">
        <f>'Chấm công KT'!D141</f>
        <v>03563</v>
      </c>
      <c r="C148" s="1580"/>
      <c r="D148" s="1326" t="str">
        <f>'CNKT '!C150</f>
        <v>In Pông</v>
      </c>
      <c r="E148" s="1334" t="s">
        <v>43</v>
      </c>
      <c r="F148" s="1325">
        <f>VLOOKUP(D148,'CNKT '!$C$101:$F$182,4,0)</f>
        <v>0</v>
      </c>
      <c r="G148" s="1325">
        <f>VLOOKUP(D148,'CNKT '!$C$101:$L$182,10,0)</f>
        <v>0</v>
      </c>
      <c r="H148" s="1325">
        <f>VLOOKUP(D148,'CNKT '!$C$101:$W$182,21,0)</f>
        <v>0</v>
      </c>
      <c r="I148" s="1325">
        <f t="shared" si="7"/>
        <v>0</v>
      </c>
      <c r="J148" s="1325"/>
      <c r="K148" s="1325">
        <f>VLOOKUP(D148,'CNKT '!$C$101:$Z$182,24,0)</f>
        <v>0</v>
      </c>
      <c r="L148" s="1325"/>
      <c r="M148" s="1327">
        <f t="shared" si="8"/>
        <v>0</v>
      </c>
      <c r="N148" s="420"/>
      <c r="O148" s="183"/>
      <c r="P148" s="182"/>
    </row>
    <row r="149" spans="1:16" s="180" customFormat="1" ht="21.75" hidden="1" customHeight="1">
      <c r="A149" s="355">
        <v>51</v>
      </c>
      <c r="B149" s="1582" t="str">
        <f>'Chấm công KT'!D142</f>
        <v>03564</v>
      </c>
      <c r="C149" s="1580"/>
      <c r="D149" s="1326" t="str">
        <f>'CNKT '!C151</f>
        <v>A Nóc</v>
      </c>
      <c r="E149" s="1334" t="s">
        <v>43</v>
      </c>
      <c r="F149" s="1325">
        <f>VLOOKUP(D149,'CNKT '!$C$101:$F$182,4,0)</f>
        <v>0</v>
      </c>
      <c r="G149" s="1325">
        <f>VLOOKUP(D149,'CNKT '!$C$101:$L$182,10,0)</f>
        <v>0</v>
      </c>
      <c r="H149" s="1325">
        <f>VLOOKUP(D149,'CNKT '!$C$101:$W$182,21,0)</f>
        <v>0</v>
      </c>
      <c r="I149" s="1325">
        <f t="shared" si="7"/>
        <v>0</v>
      </c>
      <c r="J149" s="1325"/>
      <c r="K149" s="1325">
        <f>VLOOKUP(D149,'CNKT '!$C$101:$Z$182,24,0)</f>
        <v>0</v>
      </c>
      <c r="L149" s="1325"/>
      <c r="M149" s="1327">
        <f t="shared" si="8"/>
        <v>0</v>
      </c>
      <c r="N149" s="420"/>
      <c r="O149" s="183"/>
      <c r="P149" s="182"/>
    </row>
    <row r="150" spans="1:16" s="180" customFormat="1" ht="21.75" hidden="1" customHeight="1">
      <c r="A150" s="355">
        <v>52</v>
      </c>
      <c r="B150" s="1582"/>
      <c r="C150" s="1580"/>
      <c r="D150" s="1326" t="str">
        <f>'CNKT '!C152</f>
        <v>N. Lắc</v>
      </c>
      <c r="E150" s="1334" t="s">
        <v>43</v>
      </c>
      <c r="F150" s="1325">
        <f>VLOOKUP(D150,'CNKT '!$C$101:$F$182,4,0)</f>
        <v>0</v>
      </c>
      <c r="G150" s="1325">
        <f>VLOOKUP(D150,'CNKT '!$C$101:$L$182,10,0)</f>
        <v>0</v>
      </c>
      <c r="H150" s="1325">
        <f>VLOOKUP(D150,'CNKT '!$C$101:$W$182,21,0)</f>
        <v>0</v>
      </c>
      <c r="I150" s="1325">
        <f t="shared" si="7"/>
        <v>0</v>
      </c>
      <c r="J150" s="1325"/>
      <c r="K150" s="1325">
        <f>VLOOKUP(D150,'CNKT '!$C$101:$Z$182,24,0)</f>
        <v>0</v>
      </c>
      <c r="L150" s="1325"/>
      <c r="M150" s="1327">
        <f t="shared" si="8"/>
        <v>0</v>
      </c>
      <c r="N150" s="420"/>
      <c r="O150" s="183"/>
      <c r="P150" s="182"/>
    </row>
    <row r="151" spans="1:16" s="180" customFormat="1" ht="21.75" hidden="1" customHeight="1">
      <c r="A151" s="355">
        <v>53</v>
      </c>
      <c r="B151" s="1582" t="e">
        <f>'Chấm công KT'!D144</f>
        <v>#N/A</v>
      </c>
      <c r="C151" s="1580"/>
      <c r="D151" s="1326" t="str">
        <f>'CNKT '!C153</f>
        <v xml:space="preserve">T. Lăm  </v>
      </c>
      <c r="E151" s="1334" t="s">
        <v>43</v>
      </c>
      <c r="F151" s="1325">
        <f>VLOOKUP(D151,'CNKT '!$C$101:$F$182,4,0)</f>
        <v>0</v>
      </c>
      <c r="G151" s="1325">
        <f>VLOOKUP(D151,'CNKT '!$C$101:$L$182,10,0)</f>
        <v>0</v>
      </c>
      <c r="H151" s="1325">
        <f>VLOOKUP(D151,'CNKT '!$C$101:$W$182,21,0)</f>
        <v>0</v>
      </c>
      <c r="I151" s="1325">
        <f t="shared" si="7"/>
        <v>0</v>
      </c>
      <c r="J151" s="1325"/>
      <c r="K151" s="1325">
        <f>VLOOKUP(D151,'CNKT '!$C$101:$Z$182,24,0)</f>
        <v>0</v>
      </c>
      <c r="L151" s="1325"/>
      <c r="M151" s="1327">
        <f t="shared" si="8"/>
        <v>0</v>
      </c>
      <c r="N151" s="420"/>
      <c r="O151" s="183"/>
      <c r="P151" s="182"/>
    </row>
    <row r="152" spans="1:16" s="180" customFormat="1" ht="21.75" hidden="1" customHeight="1">
      <c r="A152" s="355">
        <v>54</v>
      </c>
      <c r="B152" s="1582" t="str">
        <f>'Chấm công KT'!D145</f>
        <v>03567</v>
      </c>
      <c r="C152" s="1580"/>
      <c r="D152" s="1326" t="str">
        <f>'CNKT '!C154</f>
        <v>Khăm Phiêng</v>
      </c>
      <c r="E152" s="1334" t="s">
        <v>43</v>
      </c>
      <c r="F152" s="1325">
        <f>VLOOKUP(D152,'CNKT '!$C$101:$F$182,4,0)</f>
        <v>0</v>
      </c>
      <c r="G152" s="1325">
        <f>VLOOKUP(D152,'CNKT '!$C$101:$L$182,10,0)</f>
        <v>0</v>
      </c>
      <c r="H152" s="1325">
        <f>VLOOKUP(D152,'CNKT '!$C$101:$W$182,21,0)</f>
        <v>0</v>
      </c>
      <c r="I152" s="1325">
        <f t="shared" si="7"/>
        <v>0</v>
      </c>
      <c r="J152" s="1325"/>
      <c r="K152" s="1325">
        <f>VLOOKUP(D152,'CNKT '!$C$101:$Z$182,24,0)</f>
        <v>0</v>
      </c>
      <c r="L152" s="1325"/>
      <c r="M152" s="1327">
        <f t="shared" si="8"/>
        <v>0</v>
      </c>
      <c r="N152" s="420"/>
      <c r="O152" s="183"/>
      <c r="P152" s="182"/>
    </row>
    <row r="153" spans="1:16" s="180" customFormat="1" ht="21.75" hidden="1" customHeight="1">
      <c r="A153" s="355">
        <v>55</v>
      </c>
      <c r="B153" s="1582" t="str">
        <f>'Chấm công KT'!D146</f>
        <v>03568</v>
      </c>
      <c r="C153" s="1580"/>
      <c r="D153" s="1326" t="str">
        <f>'CNKT '!C155</f>
        <v>Khiêng Khăm</v>
      </c>
      <c r="E153" s="1334" t="s">
        <v>43</v>
      </c>
      <c r="F153" s="1325">
        <f>VLOOKUP(D153,'CNKT '!$C$101:$F$182,4,0)</f>
        <v>0</v>
      </c>
      <c r="G153" s="1325">
        <f>VLOOKUP(D153,'CNKT '!$C$101:$L$182,10,0)</f>
        <v>0</v>
      </c>
      <c r="H153" s="1325">
        <f>VLOOKUP(D153,'CNKT '!$C$101:$W$182,21,0)</f>
        <v>0</v>
      </c>
      <c r="I153" s="1325">
        <f t="shared" si="7"/>
        <v>0</v>
      </c>
      <c r="J153" s="1325"/>
      <c r="K153" s="1325">
        <f>VLOOKUP(D153,'CNKT '!$C$101:$Z$182,24,0)</f>
        <v>0</v>
      </c>
      <c r="L153" s="1325"/>
      <c r="M153" s="1327">
        <f t="shared" si="8"/>
        <v>0</v>
      </c>
      <c r="N153" s="420"/>
      <c r="O153" s="183"/>
      <c r="P153" s="182"/>
    </row>
    <row r="154" spans="1:16" s="180" customFormat="1" ht="21.75" hidden="1" customHeight="1">
      <c r="A154" s="355">
        <v>56</v>
      </c>
      <c r="B154" s="1582" t="str">
        <f>'Chấm công KT'!D147</f>
        <v>03569</v>
      </c>
      <c r="C154" s="1580"/>
      <c r="D154" s="1326" t="str">
        <f>'CNKT '!C156</f>
        <v>T. Kỷ</v>
      </c>
      <c r="E154" s="1334" t="s">
        <v>43</v>
      </c>
      <c r="F154" s="1325">
        <f>VLOOKUP(D154,'CNKT '!$C$101:$F$182,4,0)</f>
        <v>0</v>
      </c>
      <c r="G154" s="1325">
        <f>VLOOKUP(D154,'CNKT '!$C$101:$L$182,10,0)</f>
        <v>0</v>
      </c>
      <c r="H154" s="1325">
        <f>VLOOKUP(D154,'CNKT '!$C$101:$W$182,21,0)</f>
        <v>0</v>
      </c>
      <c r="I154" s="1325">
        <f t="shared" si="7"/>
        <v>0</v>
      </c>
      <c r="J154" s="1325"/>
      <c r="K154" s="1325">
        <f>VLOOKUP(D154,'CNKT '!$C$101:$Z$182,24,0)</f>
        <v>0</v>
      </c>
      <c r="L154" s="1325"/>
      <c r="M154" s="1327">
        <f t="shared" si="8"/>
        <v>0</v>
      </c>
      <c r="N154" s="420"/>
      <c r="O154" s="183"/>
      <c r="P154" s="182"/>
    </row>
    <row r="155" spans="1:16" s="180" customFormat="1" ht="21.75" hidden="1" customHeight="1">
      <c r="A155" s="355">
        <v>57</v>
      </c>
      <c r="B155" s="1582" t="str">
        <f>'Chấm công KT'!D148</f>
        <v>03570</v>
      </c>
      <c r="C155" s="1580"/>
      <c r="D155" s="1326" t="str">
        <f>'CNKT '!C157</f>
        <v>T. Vi Lai Văn</v>
      </c>
      <c r="E155" s="1334" t="s">
        <v>43</v>
      </c>
      <c r="F155" s="1325">
        <f>VLOOKUP(D155,'CNKT '!$C$101:$F$182,4,0)</f>
        <v>0</v>
      </c>
      <c r="G155" s="1325">
        <f>VLOOKUP(D155,'CNKT '!$C$101:$L$182,10,0)</f>
        <v>0</v>
      </c>
      <c r="H155" s="1325">
        <f>VLOOKUP(D155,'CNKT '!$C$101:$W$182,21,0)</f>
        <v>0</v>
      </c>
      <c r="I155" s="1325">
        <f t="shared" si="7"/>
        <v>0</v>
      </c>
      <c r="J155" s="1325"/>
      <c r="K155" s="1325">
        <f>VLOOKUP(D155,'CNKT '!$C$101:$Z$182,24,0)</f>
        <v>0</v>
      </c>
      <c r="L155" s="1325"/>
      <c r="M155" s="1327">
        <f t="shared" si="8"/>
        <v>0</v>
      </c>
      <c r="N155" s="420"/>
      <c r="O155" s="183"/>
      <c r="P155" s="182"/>
    </row>
    <row r="156" spans="1:16" s="180" customFormat="1" ht="21.75" hidden="1" customHeight="1">
      <c r="A156" s="355">
        <v>58</v>
      </c>
      <c r="B156" s="1582" t="str">
        <f>'Chấm công KT'!D149</f>
        <v>03571</v>
      </c>
      <c r="C156" s="1580"/>
      <c r="D156" s="1326" t="str">
        <f>'CNKT '!C158</f>
        <v>T. Ê</v>
      </c>
      <c r="E156" s="1334" t="s">
        <v>43</v>
      </c>
      <c r="F156" s="1325">
        <f>VLOOKUP(D156,'CNKT '!$C$101:$F$182,4,0)</f>
        <v>0</v>
      </c>
      <c r="G156" s="1325">
        <f>VLOOKUP(D156,'CNKT '!$C$101:$L$182,10,0)</f>
        <v>0</v>
      </c>
      <c r="H156" s="1325">
        <f>VLOOKUP(D156,'CNKT '!$C$101:$W$182,21,0)</f>
        <v>0</v>
      </c>
      <c r="I156" s="1325">
        <f t="shared" si="7"/>
        <v>0</v>
      </c>
      <c r="J156" s="1325"/>
      <c r="K156" s="1325">
        <f>VLOOKUP(D156,'CNKT '!$C$101:$Z$182,24,0)</f>
        <v>0</v>
      </c>
      <c r="L156" s="1325"/>
      <c r="M156" s="1327">
        <f t="shared" si="8"/>
        <v>0</v>
      </c>
      <c r="N156" s="420"/>
      <c r="O156" s="183"/>
      <c r="P156" s="182"/>
    </row>
    <row r="157" spans="1:16" s="180" customFormat="1" ht="21.75" hidden="1" customHeight="1">
      <c r="A157" s="355">
        <v>59</v>
      </c>
      <c r="B157" s="1582" t="str">
        <f>'Chấm công KT'!D150</f>
        <v>03572</v>
      </c>
      <c r="C157" s="1580"/>
      <c r="D157" s="1326" t="str">
        <f>'CNKT '!C159</f>
        <v>N. Lắt Đa</v>
      </c>
      <c r="E157" s="1334" t="s">
        <v>43</v>
      </c>
      <c r="F157" s="1325">
        <f>VLOOKUP(D157,'CNKT '!$C$101:$F$182,4,0)</f>
        <v>0</v>
      </c>
      <c r="G157" s="1325">
        <f>VLOOKUP(D157,'CNKT '!$C$101:$L$182,10,0)</f>
        <v>0</v>
      </c>
      <c r="H157" s="1325">
        <f>VLOOKUP(D157,'CNKT '!$C$101:$W$182,21,0)</f>
        <v>0</v>
      </c>
      <c r="I157" s="1325">
        <f t="shared" si="7"/>
        <v>0</v>
      </c>
      <c r="J157" s="1325"/>
      <c r="K157" s="1325">
        <f>VLOOKUP(D157,'CNKT '!$C$101:$Z$182,24,0)</f>
        <v>0</v>
      </c>
      <c r="L157" s="1325"/>
      <c r="M157" s="1327">
        <f t="shared" si="8"/>
        <v>0</v>
      </c>
      <c r="N157" s="420"/>
      <c r="O157" s="183"/>
      <c r="P157" s="182"/>
    </row>
    <row r="158" spans="1:16" s="180" customFormat="1" ht="21.75" hidden="1" customHeight="1">
      <c r="A158" s="355">
        <v>60</v>
      </c>
      <c r="B158" s="1582" t="str">
        <f>'Chấm công KT'!D151</f>
        <v>03573</v>
      </c>
      <c r="C158" s="1580"/>
      <c r="D158" s="1326" t="str">
        <f>'CNKT '!C160</f>
        <v>N. Tieng Na</v>
      </c>
      <c r="E158" s="1334" t="s">
        <v>43</v>
      </c>
      <c r="F158" s="1325">
        <f>VLOOKUP(D158,'CNKT '!$C$101:$F$182,4,0)</f>
        <v>0</v>
      </c>
      <c r="G158" s="1325">
        <f>VLOOKUP(D158,'CNKT '!$C$101:$L$182,10,0)</f>
        <v>0</v>
      </c>
      <c r="H158" s="1325">
        <f>VLOOKUP(D158,'CNKT '!$C$101:$W$182,21,0)</f>
        <v>0</v>
      </c>
      <c r="I158" s="1325">
        <f t="shared" si="7"/>
        <v>0</v>
      </c>
      <c r="J158" s="1325"/>
      <c r="K158" s="1325">
        <f>VLOOKUP(D158,'CNKT '!$C$101:$Z$182,24,0)</f>
        <v>0</v>
      </c>
      <c r="L158" s="1325"/>
      <c r="M158" s="1327">
        <f t="shared" si="8"/>
        <v>0</v>
      </c>
      <c r="N158" s="420"/>
      <c r="O158" s="183"/>
      <c r="P158" s="182"/>
    </row>
    <row r="159" spans="1:16" s="180" customFormat="1" ht="21.75" hidden="1" customHeight="1">
      <c r="A159" s="355">
        <v>61</v>
      </c>
      <c r="B159" s="1582" t="str">
        <f>'Chấm công KT'!D152</f>
        <v>03574</v>
      </c>
      <c r="C159" s="1580"/>
      <c r="D159" s="1326" t="str">
        <f>'CNKT '!C161</f>
        <v>T. Đăm</v>
      </c>
      <c r="E159" s="1334" t="s">
        <v>43</v>
      </c>
      <c r="F159" s="1325">
        <f>VLOOKUP(D159,'CNKT '!$C$101:$F$182,4,0)</f>
        <v>0</v>
      </c>
      <c r="G159" s="1325">
        <f>VLOOKUP(D159,'CNKT '!$C$101:$L$182,10,0)</f>
        <v>0</v>
      </c>
      <c r="H159" s="1325">
        <f>VLOOKUP(D159,'CNKT '!$C$101:$W$182,21,0)</f>
        <v>0</v>
      </c>
      <c r="I159" s="1325">
        <f t="shared" si="7"/>
        <v>0</v>
      </c>
      <c r="J159" s="1325"/>
      <c r="K159" s="1325">
        <f>VLOOKUP(D159,'CNKT '!$C$101:$Z$182,24,0)</f>
        <v>0</v>
      </c>
      <c r="L159" s="1325"/>
      <c r="M159" s="1327">
        <f t="shared" si="8"/>
        <v>0</v>
      </c>
      <c r="N159" s="420"/>
      <c r="O159" s="183"/>
      <c r="P159" s="182"/>
    </row>
    <row r="160" spans="1:16" s="180" customFormat="1" ht="21.75" hidden="1" customHeight="1">
      <c r="A160" s="355">
        <v>62</v>
      </c>
      <c r="B160" s="1582" t="e">
        <f>'Chấm công KT'!D153</f>
        <v>#N/A</v>
      </c>
      <c r="C160" s="1580"/>
      <c r="D160" s="1326" t="str">
        <f>'CNKT '!C162</f>
        <v>T. Văn Ê</v>
      </c>
      <c r="E160" s="1334" t="s">
        <v>43</v>
      </c>
      <c r="F160" s="1325">
        <f>VLOOKUP(D160,'CNKT '!$C$101:$F$182,4,0)</f>
        <v>0</v>
      </c>
      <c r="G160" s="1325">
        <f>VLOOKUP(D160,'CNKT '!$C$101:$L$182,10,0)</f>
        <v>0</v>
      </c>
      <c r="H160" s="1325">
        <f>VLOOKUP(D160,'CNKT '!$C$101:$W$182,21,0)</f>
        <v>0</v>
      </c>
      <c r="I160" s="1325">
        <f t="shared" si="7"/>
        <v>0</v>
      </c>
      <c r="J160" s="1325"/>
      <c r="K160" s="1325">
        <f>VLOOKUP(D160,'CNKT '!$C$101:$Z$182,24,0)</f>
        <v>0</v>
      </c>
      <c r="L160" s="1325"/>
      <c r="M160" s="1327">
        <f t="shared" si="8"/>
        <v>0</v>
      </c>
      <c r="N160" s="420"/>
      <c r="O160" s="183"/>
      <c r="P160" s="182"/>
    </row>
    <row r="161" spans="1:16" s="180" customFormat="1" ht="21.75" hidden="1" customHeight="1">
      <c r="A161" s="355">
        <v>63</v>
      </c>
      <c r="B161" s="1582" t="str">
        <f>'Chấm công KT'!D154</f>
        <v>03576</v>
      </c>
      <c r="C161" s="1580"/>
      <c r="D161" s="1326" t="str">
        <f>'CNKT '!C163</f>
        <v>T. Sinh</v>
      </c>
      <c r="E161" s="1334" t="s">
        <v>43</v>
      </c>
      <c r="F161" s="1325">
        <f>VLOOKUP(D161,'CNKT '!$C$101:$F$182,4,0)</f>
        <v>0</v>
      </c>
      <c r="G161" s="1325">
        <f>VLOOKUP(D161,'CNKT '!$C$101:$L$182,10,0)</f>
        <v>0</v>
      </c>
      <c r="H161" s="1325">
        <f>VLOOKUP(D161,'CNKT '!$C$101:$W$182,21,0)</f>
        <v>0</v>
      </c>
      <c r="I161" s="1325">
        <f t="shared" si="7"/>
        <v>0</v>
      </c>
      <c r="J161" s="1325"/>
      <c r="K161" s="1325">
        <f>VLOOKUP(D161,'CNKT '!$C$101:$Z$182,24,0)</f>
        <v>0</v>
      </c>
      <c r="L161" s="1325"/>
      <c r="M161" s="1327">
        <f t="shared" si="8"/>
        <v>0</v>
      </c>
      <c r="N161" s="420"/>
      <c r="O161" s="183"/>
      <c r="P161" s="182"/>
    </row>
    <row r="162" spans="1:16" s="180" customFormat="1" ht="21.75" hidden="1" customHeight="1">
      <c r="A162" s="355">
        <v>64</v>
      </c>
      <c r="B162" s="1582"/>
      <c r="C162" s="1580"/>
      <c r="D162" s="1326" t="str">
        <f>'CNKT '!C164</f>
        <v>T. Khăm Công</v>
      </c>
      <c r="E162" s="1334" t="s">
        <v>43</v>
      </c>
      <c r="F162" s="1325">
        <f>VLOOKUP(D162,'CNKT '!$C$101:$F$182,4,0)</f>
        <v>0</v>
      </c>
      <c r="G162" s="1325">
        <f>VLOOKUP(D162,'CNKT '!$C$101:$L$182,10,0)</f>
        <v>0</v>
      </c>
      <c r="H162" s="1325">
        <f>VLOOKUP(D162,'CNKT '!$C$101:$W$182,21,0)</f>
        <v>0</v>
      </c>
      <c r="I162" s="1325">
        <f t="shared" si="7"/>
        <v>0</v>
      </c>
      <c r="J162" s="1325"/>
      <c r="K162" s="1325">
        <f>VLOOKUP(D162,'CNKT '!$C$101:$Z$182,24,0)</f>
        <v>0</v>
      </c>
      <c r="L162" s="1325"/>
      <c r="M162" s="1327">
        <f t="shared" si="8"/>
        <v>0</v>
      </c>
      <c r="N162" s="420"/>
      <c r="O162" s="183"/>
      <c r="P162" s="182"/>
    </row>
    <row r="163" spans="1:16" s="180" customFormat="1" ht="21.75" hidden="1" customHeight="1">
      <c r="A163" s="355">
        <v>65</v>
      </c>
      <c r="B163" s="1582" t="str">
        <f>'Chấm công KT'!D156</f>
        <v>03578</v>
      </c>
      <c r="C163" s="1580"/>
      <c r="D163" s="1326" t="str">
        <f>'CNKT '!C165</f>
        <v>T. Ngon</v>
      </c>
      <c r="E163" s="1334" t="s">
        <v>43</v>
      </c>
      <c r="F163" s="1325">
        <f>VLOOKUP(D163,'CNKT '!$C$101:$F$182,4,0)</f>
        <v>0</v>
      </c>
      <c r="G163" s="1325">
        <f>VLOOKUP(D163,'CNKT '!$C$101:$L$182,10,0)</f>
        <v>0</v>
      </c>
      <c r="H163" s="1325">
        <f>VLOOKUP(D163,'CNKT '!$C$101:$W$182,21,0)</f>
        <v>0</v>
      </c>
      <c r="I163" s="1325">
        <f t="shared" si="7"/>
        <v>0</v>
      </c>
      <c r="J163" s="1325"/>
      <c r="K163" s="1325">
        <f>VLOOKUP(D163,'CNKT '!$C$101:$Z$182,24,0)</f>
        <v>0</v>
      </c>
      <c r="L163" s="1325"/>
      <c r="M163" s="1327">
        <f t="shared" si="8"/>
        <v>0</v>
      </c>
      <c r="N163" s="420"/>
      <c r="O163" s="183"/>
      <c r="P163" s="182"/>
    </row>
    <row r="164" spans="1:16" s="180" customFormat="1" ht="21.75" hidden="1" customHeight="1">
      <c r="A164" s="355">
        <v>66</v>
      </c>
      <c r="B164" s="1582"/>
      <c r="C164" s="1580"/>
      <c r="D164" s="1326" t="str">
        <f>'CNKT '!C166</f>
        <v>N . Lạ</v>
      </c>
      <c r="E164" s="1334" t="s">
        <v>43</v>
      </c>
      <c r="F164" s="1325">
        <f>VLOOKUP(D164,'CNKT '!$C$101:$F$182,4,0)</f>
        <v>0</v>
      </c>
      <c r="G164" s="1325">
        <f>VLOOKUP(D164,'CNKT '!$C$101:$L$182,10,0)</f>
        <v>0</v>
      </c>
      <c r="H164" s="1325">
        <f>VLOOKUP(D164,'CNKT '!$C$101:$W$182,21,0)</f>
        <v>0</v>
      </c>
      <c r="I164" s="1325">
        <f t="shared" ref="I164:I185" si="9">SUM(F164:H164)</f>
        <v>0</v>
      </c>
      <c r="J164" s="1325"/>
      <c r="K164" s="1325">
        <f>VLOOKUP(D164,'CNKT '!$C$101:$Z$182,24,0)</f>
        <v>0</v>
      </c>
      <c r="L164" s="1325"/>
      <c r="M164" s="1327">
        <f t="shared" ref="M164:M171" si="10">K164-J164</f>
        <v>0</v>
      </c>
      <c r="N164" s="420"/>
      <c r="O164" s="183"/>
      <c r="P164" s="182"/>
    </row>
    <row r="165" spans="1:16" s="180" customFormat="1" ht="21.75" hidden="1" customHeight="1">
      <c r="A165" s="355">
        <v>67</v>
      </c>
      <c r="B165" s="1582"/>
      <c r="C165" s="1580"/>
      <c r="D165" s="1326" t="str">
        <f>'CNKT '!C167</f>
        <v>T. Chỏ</v>
      </c>
      <c r="E165" s="1334" t="s">
        <v>43</v>
      </c>
      <c r="F165" s="1325">
        <f>VLOOKUP(D165,'CNKT '!$C$101:$F$182,4,0)</f>
        <v>0</v>
      </c>
      <c r="G165" s="1325">
        <f>VLOOKUP(D165,'CNKT '!$C$101:$L$182,10,0)</f>
        <v>0</v>
      </c>
      <c r="H165" s="1325">
        <f>VLOOKUP(D165,'CNKT '!$C$101:$W$182,21,0)</f>
        <v>0</v>
      </c>
      <c r="I165" s="1325">
        <f t="shared" si="9"/>
        <v>0</v>
      </c>
      <c r="J165" s="1325"/>
      <c r="K165" s="1325">
        <f>VLOOKUP(D165,'CNKT '!$C$101:$Z$182,24,0)</f>
        <v>0</v>
      </c>
      <c r="L165" s="1325"/>
      <c r="M165" s="1327">
        <f t="shared" si="10"/>
        <v>0</v>
      </c>
      <c r="N165" s="420"/>
      <c r="O165" s="183"/>
      <c r="P165" s="182"/>
    </row>
    <row r="166" spans="1:16" s="180" customFormat="1" ht="21.75" hidden="1" customHeight="1">
      <c r="A166" s="355">
        <v>68</v>
      </c>
      <c r="B166" s="1582" t="str">
        <f>'Chấm công KT'!D159</f>
        <v>03581</v>
      </c>
      <c r="C166" s="1580"/>
      <c r="D166" s="1326" t="str">
        <f>'CNKT '!C168</f>
        <v>Chăn Đen</v>
      </c>
      <c r="E166" s="1334" t="s">
        <v>43</v>
      </c>
      <c r="F166" s="1325">
        <f>VLOOKUP(D166,'CNKT '!$C$101:$F$182,4,0)</f>
        <v>0</v>
      </c>
      <c r="G166" s="1325">
        <f>VLOOKUP(D166,'CNKT '!$C$101:$L$182,10,0)</f>
        <v>0</v>
      </c>
      <c r="H166" s="1325">
        <f>VLOOKUP(D166,'CNKT '!$C$101:$W$182,21,0)</f>
        <v>0</v>
      </c>
      <c r="I166" s="1325">
        <f t="shared" si="9"/>
        <v>0</v>
      </c>
      <c r="J166" s="1325"/>
      <c r="K166" s="1325">
        <f>VLOOKUP(D166,'CNKT '!$C$101:$Z$182,24,0)</f>
        <v>0</v>
      </c>
      <c r="L166" s="1325"/>
      <c r="M166" s="1327">
        <f t="shared" si="10"/>
        <v>0</v>
      </c>
      <c r="N166" s="420"/>
      <c r="O166" s="183"/>
      <c r="P166" s="182"/>
    </row>
    <row r="167" spans="1:16" s="180" customFormat="1" ht="21.75" hidden="1" customHeight="1">
      <c r="A167" s="355">
        <v>69</v>
      </c>
      <c r="B167" s="1582" t="str">
        <f>'Chấm công KT'!D160</f>
        <v>03456</v>
      </c>
      <c r="C167" s="1580"/>
      <c r="D167" s="1326" t="str">
        <f>'CNKT '!C169</f>
        <v>T. Vôn</v>
      </c>
      <c r="E167" s="1334" t="s">
        <v>43</v>
      </c>
      <c r="F167" s="1325">
        <f>VLOOKUP(D167,'CNKT '!$C$101:$F$182,4,0)</f>
        <v>0</v>
      </c>
      <c r="G167" s="1325">
        <f>VLOOKUP(D167,'CNKT '!$C$101:$L$182,10,0)</f>
        <v>0</v>
      </c>
      <c r="H167" s="1325">
        <f>VLOOKUP(D167,'CNKT '!$C$101:$W$182,21,0)</f>
        <v>0</v>
      </c>
      <c r="I167" s="1325">
        <f t="shared" si="9"/>
        <v>0</v>
      </c>
      <c r="J167" s="1325"/>
      <c r="K167" s="1325">
        <f>VLOOKUP(D167,'CNKT '!$C$101:$Z$182,24,0)</f>
        <v>0</v>
      </c>
      <c r="L167" s="1325"/>
      <c r="M167" s="1327">
        <f t="shared" si="10"/>
        <v>0</v>
      </c>
      <c r="N167" s="420"/>
      <c r="O167" s="183"/>
      <c r="P167" s="182"/>
    </row>
    <row r="168" spans="1:16" s="180" customFormat="1" ht="21.75" hidden="1" customHeight="1">
      <c r="A168" s="355">
        <v>70</v>
      </c>
      <c r="B168" s="1582" t="str">
        <f>'Chấm công KT'!D161</f>
        <v>03583</v>
      </c>
      <c r="C168" s="1580"/>
      <c r="D168" s="1326" t="str">
        <f>'CNKT '!C170</f>
        <v>Đa Ly</v>
      </c>
      <c r="E168" s="1334" t="s">
        <v>43</v>
      </c>
      <c r="F168" s="1325">
        <f>VLOOKUP(D168,'CNKT '!$C$101:$F$182,4,0)</f>
        <v>0</v>
      </c>
      <c r="G168" s="1325">
        <f>VLOOKUP(D168,'CNKT '!$C$101:$L$182,10,0)</f>
        <v>0</v>
      </c>
      <c r="H168" s="1325">
        <f>VLOOKUP(D168,'CNKT '!$C$101:$W$182,21,0)</f>
        <v>0</v>
      </c>
      <c r="I168" s="1325">
        <f t="shared" si="9"/>
        <v>0</v>
      </c>
      <c r="J168" s="1325"/>
      <c r="K168" s="1325">
        <f>VLOOKUP(D168,'CNKT '!$C$101:$Z$182,24,0)</f>
        <v>0</v>
      </c>
      <c r="L168" s="1325"/>
      <c r="M168" s="1327">
        <f t="shared" si="10"/>
        <v>0</v>
      </c>
      <c r="N168" s="420"/>
      <c r="O168" s="183"/>
      <c r="P168" s="182"/>
    </row>
    <row r="169" spans="1:16" s="180" customFormat="1" ht="21.75" hidden="1" customHeight="1">
      <c r="A169" s="355">
        <v>71</v>
      </c>
      <c r="B169" s="1582"/>
      <c r="C169" s="1580"/>
      <c r="D169" s="1326" t="str">
        <f>'CNKT '!C171</f>
        <v>Na Ly ...</v>
      </c>
      <c r="E169" s="1334" t="s">
        <v>43</v>
      </c>
      <c r="F169" s="1325">
        <f>VLOOKUP(D169,'CNKT '!$C$101:$F$182,4,0)</f>
        <v>0</v>
      </c>
      <c r="G169" s="1325">
        <f>VLOOKUP(D169,'CNKT '!$C$101:$L$182,10,0)</f>
        <v>0</v>
      </c>
      <c r="H169" s="1325">
        <f>VLOOKUP(D169,'CNKT '!$C$101:$W$182,21,0)</f>
        <v>0</v>
      </c>
      <c r="I169" s="1325">
        <f t="shared" si="9"/>
        <v>0</v>
      </c>
      <c r="J169" s="1325"/>
      <c r="K169" s="1325">
        <f>VLOOKUP(D169,'CNKT '!$C$101:$Z$182,24,0)</f>
        <v>0</v>
      </c>
      <c r="L169" s="1325"/>
      <c r="M169" s="1327">
        <f t="shared" si="10"/>
        <v>0</v>
      </c>
      <c r="N169" s="420"/>
      <c r="O169" s="183"/>
      <c r="P169" s="182"/>
    </row>
    <row r="170" spans="1:16" s="180" customFormat="1" ht="21.75" hidden="1" customHeight="1">
      <c r="A170" s="355">
        <v>72</v>
      </c>
      <c r="B170" s="1582" t="str">
        <f>'Chấm công KT'!D163</f>
        <v>03585</v>
      </c>
      <c r="C170" s="1580"/>
      <c r="D170" s="1326" t="str">
        <f>'CNKT '!C172</f>
        <v>Lắc Xa Mi</v>
      </c>
      <c r="E170" s="1334" t="s">
        <v>43</v>
      </c>
      <c r="F170" s="1325">
        <f>VLOOKUP(D170,'CNKT '!$C$101:$F$182,4,0)</f>
        <v>0</v>
      </c>
      <c r="G170" s="1325">
        <f>VLOOKUP(D170,'CNKT '!$C$101:$L$182,10,0)</f>
        <v>0</v>
      </c>
      <c r="H170" s="1325">
        <f>VLOOKUP(D170,'CNKT '!$C$101:$W$182,21,0)</f>
        <v>0</v>
      </c>
      <c r="I170" s="1325">
        <f t="shared" si="9"/>
        <v>0</v>
      </c>
      <c r="J170" s="1325"/>
      <c r="K170" s="1325">
        <f>VLOOKUP(D170,'CNKT '!$C$101:$Z$182,24,0)</f>
        <v>0</v>
      </c>
      <c r="L170" s="1325"/>
      <c r="M170" s="1327">
        <f t="shared" si="10"/>
        <v>0</v>
      </c>
      <c r="N170" s="420"/>
      <c r="O170" s="183"/>
      <c r="P170" s="182"/>
    </row>
    <row r="171" spans="1:16" s="180" customFormat="1" ht="21.75" hidden="1" customHeight="1">
      <c r="A171" s="355">
        <v>73</v>
      </c>
      <c r="B171" s="1582"/>
      <c r="C171" s="1580"/>
      <c r="D171" s="1326" t="str">
        <f>'CNKT '!C173</f>
        <v>A Xít</v>
      </c>
      <c r="E171" s="1334" t="s">
        <v>43</v>
      </c>
      <c r="F171" s="1325">
        <f>VLOOKUP(D171,'CNKT '!$C$101:$F$182,4,0)</f>
        <v>0</v>
      </c>
      <c r="G171" s="1325">
        <f>VLOOKUP(D171,'CNKT '!$C$101:$L$182,10,0)</f>
        <v>0</v>
      </c>
      <c r="H171" s="1325">
        <f>VLOOKUP(D171,'CNKT '!$C$101:$W$182,21,0)</f>
        <v>0</v>
      </c>
      <c r="I171" s="1325">
        <f t="shared" si="9"/>
        <v>0</v>
      </c>
      <c r="J171" s="1325"/>
      <c r="K171" s="1325">
        <f>VLOOKUP(D171,'CNKT '!$C$101:$Z$182,24,0)</f>
        <v>0</v>
      </c>
      <c r="L171" s="1325"/>
      <c r="M171" s="1327">
        <f t="shared" si="10"/>
        <v>0</v>
      </c>
      <c r="N171" s="420"/>
      <c r="O171" s="183"/>
      <c r="P171" s="182"/>
    </row>
    <row r="172" spans="1:16" s="180" customFormat="1" ht="21.75" hidden="1" customHeight="1">
      <c r="A172" s="355">
        <v>74</v>
      </c>
      <c r="B172" s="1582"/>
      <c r="C172" s="1580"/>
      <c r="D172" s="1326" t="str">
        <f>'CNKT '!C174</f>
        <v>Bợt</v>
      </c>
      <c r="E172" s="1334" t="s">
        <v>43</v>
      </c>
      <c r="F172" s="1325">
        <f>VLOOKUP(D172,'CNKT '!$C$101:$F$182,4,0)</f>
        <v>0</v>
      </c>
      <c r="G172" s="1325">
        <f>VLOOKUP(D172,'CNKT '!$C$101:$L$182,10,0)</f>
        <v>0</v>
      </c>
      <c r="H172" s="1325">
        <f>VLOOKUP(D172,'CNKT '!$C$101:$W$182,21,0)</f>
        <v>0</v>
      </c>
      <c r="I172" s="1325">
        <f t="shared" si="9"/>
        <v>0</v>
      </c>
      <c r="J172" s="1325"/>
      <c r="K172" s="1325">
        <f>VLOOKUP(D172,'CNKT '!$C$101:$Z$182,24,0)</f>
        <v>0</v>
      </c>
      <c r="L172" s="1325"/>
      <c r="M172" s="1327">
        <f t="shared" ref="M172:M182" si="11">K172-J172</f>
        <v>0</v>
      </c>
      <c r="N172" s="420"/>
      <c r="O172" s="183"/>
      <c r="P172" s="182"/>
    </row>
    <row r="173" spans="1:16" s="180" customFormat="1" ht="21.75" hidden="1" customHeight="1">
      <c r="A173" s="355">
        <v>75</v>
      </c>
      <c r="B173" s="1582"/>
      <c r="C173" s="1580"/>
      <c r="D173" s="1326" t="str">
        <f>'CNKT '!C175</f>
        <v>Đức Văn</v>
      </c>
      <c r="E173" s="1334" t="s">
        <v>43</v>
      </c>
      <c r="F173" s="1325">
        <f>VLOOKUP(D173,'CNKT '!$C$101:$F$182,4,0)</f>
        <v>0</v>
      </c>
      <c r="G173" s="1325">
        <f>VLOOKUP(D173,'CNKT '!$C$101:$L$182,10,0)</f>
        <v>0</v>
      </c>
      <c r="H173" s="1325">
        <f>VLOOKUP(D173,'CNKT '!$C$101:$W$182,21,0)</f>
        <v>0</v>
      </c>
      <c r="I173" s="1325">
        <f t="shared" si="9"/>
        <v>0</v>
      </c>
      <c r="J173" s="1325"/>
      <c r="K173" s="1325">
        <f>VLOOKUP(D173,'CNKT '!$C$101:$Z$182,24,0)</f>
        <v>0</v>
      </c>
      <c r="L173" s="1325"/>
      <c r="M173" s="1327">
        <f t="shared" si="11"/>
        <v>0</v>
      </c>
      <c r="N173" s="420"/>
      <c r="O173" s="183"/>
      <c r="P173" s="182"/>
    </row>
    <row r="174" spans="1:16" s="180" customFormat="1" ht="21.75" hidden="1" customHeight="1">
      <c r="A174" s="355">
        <v>76</v>
      </c>
      <c r="B174" s="1582"/>
      <c r="C174" s="1580"/>
      <c r="D174" s="1326" t="str">
        <f>'CNKT '!C176</f>
        <v>A Van</v>
      </c>
      <c r="E174" s="1334" t="s">
        <v>43</v>
      </c>
      <c r="F174" s="1325">
        <f>VLOOKUP(D174,'CNKT '!$C$101:$F$182,4,0)</f>
        <v>0</v>
      </c>
      <c r="G174" s="1325">
        <f>VLOOKUP(D174,'CNKT '!$C$101:$L$182,10,0)</f>
        <v>0</v>
      </c>
      <c r="H174" s="1325">
        <f>VLOOKUP(D174,'CNKT '!$C$101:$W$182,21,0)</f>
        <v>0</v>
      </c>
      <c r="I174" s="1325">
        <f t="shared" si="9"/>
        <v>0</v>
      </c>
      <c r="J174" s="1325"/>
      <c r="K174" s="1325">
        <f>VLOOKUP(D174,'CNKT '!$C$101:$Z$182,24,0)</f>
        <v>0</v>
      </c>
      <c r="L174" s="1325"/>
      <c r="M174" s="1327">
        <f t="shared" si="11"/>
        <v>0</v>
      </c>
      <c r="N174" s="420"/>
      <c r="O174" s="183"/>
      <c r="P174" s="182"/>
    </row>
    <row r="175" spans="1:16" s="180" customFormat="1" ht="21.75" hidden="1" customHeight="1">
      <c r="A175" s="355">
        <v>77</v>
      </c>
      <c r="B175" s="1582"/>
      <c r="C175" s="1580"/>
      <c r="D175" s="1326" t="str">
        <f>'CNKT '!C177</f>
        <v>A thít</v>
      </c>
      <c r="E175" s="1334" t="s">
        <v>43</v>
      </c>
      <c r="F175" s="1325">
        <f>VLOOKUP(D175,'CNKT '!$C$101:$F$182,4,0)</f>
        <v>0</v>
      </c>
      <c r="G175" s="1325">
        <f>VLOOKUP(D175,'CNKT '!$C$101:$L$182,10,0)</f>
        <v>0</v>
      </c>
      <c r="H175" s="1325">
        <f>VLOOKUP(D175,'CNKT '!$C$101:$W$182,21,0)</f>
        <v>0</v>
      </c>
      <c r="I175" s="1325">
        <f t="shared" si="9"/>
        <v>0</v>
      </c>
      <c r="J175" s="1325"/>
      <c r="K175" s="1325">
        <f>VLOOKUP(D175,'CNKT '!$C$101:$Z$182,24,0)</f>
        <v>0</v>
      </c>
      <c r="L175" s="1325"/>
      <c r="M175" s="1327">
        <f t="shared" si="11"/>
        <v>0</v>
      </c>
      <c r="N175" s="420"/>
      <c r="O175" s="183"/>
      <c r="P175" s="182"/>
    </row>
    <row r="176" spans="1:16" s="180" customFormat="1" ht="21.75" hidden="1" customHeight="1">
      <c r="A176" s="355">
        <v>78</v>
      </c>
      <c r="B176" s="1582"/>
      <c r="C176" s="1580"/>
      <c r="D176" s="1326" t="str">
        <f>'CNKT '!C178</f>
        <v>Món</v>
      </c>
      <c r="E176" s="1334" t="s">
        <v>43</v>
      </c>
      <c r="F176" s="1325">
        <f>VLOOKUP(D176,'CNKT '!$C$101:$F$182,4,0)</f>
        <v>0</v>
      </c>
      <c r="G176" s="1325">
        <f>VLOOKUP(D176,'CNKT '!$C$101:$L$182,10,0)</f>
        <v>0</v>
      </c>
      <c r="H176" s="1325">
        <f>VLOOKUP(D176,'CNKT '!$C$101:$W$182,21,0)</f>
        <v>0</v>
      </c>
      <c r="I176" s="1325">
        <f t="shared" si="9"/>
        <v>0</v>
      </c>
      <c r="J176" s="1325"/>
      <c r="K176" s="1325">
        <f>VLOOKUP(D176,'CNKT '!$C$101:$Z$182,24,0)</f>
        <v>0</v>
      </c>
      <c r="L176" s="1325"/>
      <c r="M176" s="1327">
        <f t="shared" si="11"/>
        <v>0</v>
      </c>
      <c r="N176" s="420"/>
      <c r="O176" s="183"/>
      <c r="P176" s="182"/>
    </row>
    <row r="177" spans="1:16" s="180" customFormat="1" ht="21.75" hidden="1" customHeight="1">
      <c r="A177" s="355">
        <v>79</v>
      </c>
      <c r="B177" s="1582"/>
      <c r="C177" s="1580"/>
      <c r="D177" s="1326" t="str">
        <f>'CNKT '!C179</f>
        <v>A tèng</v>
      </c>
      <c r="E177" s="1334" t="s">
        <v>43</v>
      </c>
      <c r="F177" s="1325">
        <f>VLOOKUP(D177,'CNKT '!$C$101:$F$182,4,0)</f>
        <v>0</v>
      </c>
      <c r="G177" s="1325">
        <f>VLOOKUP(D177,'CNKT '!$C$101:$L$182,10,0)</f>
        <v>0</v>
      </c>
      <c r="H177" s="1325">
        <f>VLOOKUP(D177,'CNKT '!$C$101:$W$182,21,0)</f>
        <v>0</v>
      </c>
      <c r="I177" s="1325">
        <f t="shared" si="9"/>
        <v>0</v>
      </c>
      <c r="J177" s="1325"/>
      <c r="K177" s="1325">
        <f>VLOOKUP(D177,'CNKT '!$C$101:$Z$182,24,0)</f>
        <v>0</v>
      </c>
      <c r="L177" s="1325"/>
      <c r="M177" s="1327">
        <f t="shared" si="11"/>
        <v>0</v>
      </c>
      <c r="N177" s="420"/>
      <c r="O177" s="183"/>
      <c r="P177" s="182"/>
    </row>
    <row r="178" spans="1:16" s="180" customFormat="1" ht="21.75" hidden="1" customHeight="1">
      <c r="A178" s="355">
        <v>80</v>
      </c>
      <c r="B178" s="1582"/>
      <c r="C178" s="1580"/>
      <c r="D178" s="1326" t="str">
        <f>'CNKT '!C180</f>
        <v xml:space="preserve">Đao </v>
      </c>
      <c r="E178" s="1334" t="s">
        <v>43</v>
      </c>
      <c r="F178" s="1325">
        <f>VLOOKUP(D178,'CNKT '!$C$101:$F$182,4,0)</f>
        <v>0</v>
      </c>
      <c r="G178" s="1325">
        <f>VLOOKUP(D178,'CNKT '!$C$101:$L$182,10,0)</f>
        <v>0</v>
      </c>
      <c r="H178" s="1325">
        <f>VLOOKUP(D178,'CNKT '!$C$101:$W$182,21,0)</f>
        <v>0</v>
      </c>
      <c r="I178" s="1325">
        <f t="shared" si="9"/>
        <v>0</v>
      </c>
      <c r="J178" s="1325"/>
      <c r="K178" s="1325">
        <f>VLOOKUP(D178,'CNKT '!$C$101:$Z$182,24,0)</f>
        <v>0</v>
      </c>
      <c r="L178" s="1325"/>
      <c r="M178" s="1327">
        <f t="shared" si="11"/>
        <v>0</v>
      </c>
      <c r="N178" s="420"/>
      <c r="O178" s="183"/>
      <c r="P178" s="182"/>
    </row>
    <row r="179" spans="1:16" s="180" customFormat="1" ht="21.75" hidden="1" customHeight="1">
      <c r="A179" s="355">
        <v>81</v>
      </c>
      <c r="B179" s="1582"/>
      <c r="C179" s="1580"/>
      <c r="D179" s="1326" t="str">
        <f>'CNKT '!C181</f>
        <v>Lôn</v>
      </c>
      <c r="E179" s="1334" t="s">
        <v>43</v>
      </c>
      <c r="F179" s="1325">
        <f>VLOOKUP(D179,'CNKT '!$C$101:$F$182,4,0)</f>
        <v>0</v>
      </c>
      <c r="G179" s="1325">
        <f>VLOOKUP(D179,'CNKT '!$C$101:$L$182,10,0)</f>
        <v>0</v>
      </c>
      <c r="H179" s="1325">
        <f>VLOOKUP(D179,'CNKT '!$C$101:$W$182,21,0)</f>
        <v>0</v>
      </c>
      <c r="I179" s="1325">
        <f t="shared" si="9"/>
        <v>0</v>
      </c>
      <c r="J179" s="1325"/>
      <c r="K179" s="1325">
        <f>VLOOKUP(D179,'CNKT '!$C$101:$Z$182,24,0)</f>
        <v>0</v>
      </c>
      <c r="L179" s="1325"/>
      <c r="M179" s="1327">
        <f t="shared" si="11"/>
        <v>0</v>
      </c>
      <c r="N179" s="420"/>
      <c r="O179" s="183"/>
      <c r="P179" s="182"/>
    </row>
    <row r="180" spans="1:16" s="180" customFormat="1" ht="21.75" hidden="1" customHeight="1">
      <c r="A180" s="355">
        <v>82</v>
      </c>
      <c r="B180" s="1582"/>
      <c r="C180" s="1580"/>
      <c r="D180" s="1326" t="str">
        <f>'CNKT '!C182</f>
        <v>Phay</v>
      </c>
      <c r="E180" s="1334" t="s">
        <v>43</v>
      </c>
      <c r="F180" s="1325">
        <f>VLOOKUP(D180,'CNKT '!$C$101:$F$182,4,0)</f>
        <v>0</v>
      </c>
      <c r="G180" s="1325">
        <f>VLOOKUP(D180,'CNKT '!$C$101:$L$190,10,0)</f>
        <v>0</v>
      </c>
      <c r="H180" s="1325">
        <f>VLOOKUP(D180,'CNKT '!$C$101:$W$182,21,0)</f>
        <v>0</v>
      </c>
      <c r="I180" s="1325">
        <f t="shared" si="9"/>
        <v>0</v>
      </c>
      <c r="J180" s="1325"/>
      <c r="K180" s="1325">
        <f>VLOOKUP(D180,'CNKT '!$C$101:$Z$182,24,0)</f>
        <v>0</v>
      </c>
      <c r="L180" s="1325"/>
      <c r="M180" s="1327">
        <f t="shared" si="11"/>
        <v>0</v>
      </c>
      <c r="N180" s="420"/>
      <c r="O180" s="183"/>
      <c r="P180" s="182"/>
    </row>
    <row r="181" spans="1:16" s="180" customFormat="1" ht="21.75" hidden="1" customHeight="1">
      <c r="A181" s="355">
        <v>83</v>
      </c>
      <c r="B181" s="1582"/>
      <c r="C181" s="1580"/>
      <c r="D181" s="1326" t="str">
        <f>'CNKT '!C183</f>
        <v xml:space="preserve">Chày </v>
      </c>
      <c r="E181" s="1334" t="s">
        <v>43</v>
      </c>
      <c r="F181" s="1325">
        <f>VLOOKUP(D181,'CNKT '!$C$101:$F$188,4,0)</f>
        <v>0</v>
      </c>
      <c r="G181" s="1325">
        <f>VLOOKUP(D181,'CNKT '!$C$101:$L$190,10,0)</f>
        <v>0</v>
      </c>
      <c r="H181" s="1325">
        <f>VLOOKUP(D181,'CNKT '!$C$101:$W$188,21,0)</f>
        <v>0</v>
      </c>
      <c r="I181" s="1325">
        <f t="shared" si="9"/>
        <v>0</v>
      </c>
      <c r="J181" s="1325"/>
      <c r="K181" s="1325">
        <f>VLOOKUP(D181,'CNKT '!$C$101:$Z$188,24,0)</f>
        <v>0</v>
      </c>
      <c r="L181" s="1325"/>
      <c r="M181" s="1327">
        <f t="shared" si="11"/>
        <v>0</v>
      </c>
      <c r="N181" s="420"/>
      <c r="O181" s="183"/>
      <c r="P181" s="182"/>
    </row>
    <row r="182" spans="1:16" s="180" customFormat="1" ht="21.75" hidden="1" customHeight="1">
      <c r="A182" s="355">
        <v>84</v>
      </c>
      <c r="B182" s="1582"/>
      <c r="C182" s="1580"/>
      <c r="D182" s="1326" t="str">
        <f>'CNKT '!C184</f>
        <v>Mày</v>
      </c>
      <c r="E182" s="1334" t="s">
        <v>43</v>
      </c>
      <c r="F182" s="1325">
        <f>VLOOKUP(D182,'CNKT '!$C$101:$F$188,4,0)</f>
        <v>0</v>
      </c>
      <c r="G182" s="1325">
        <f>VLOOKUP(D182,'CNKT '!$C$101:$L$190,10,0)</f>
        <v>0</v>
      </c>
      <c r="H182" s="1325">
        <f>VLOOKUP(D182,'CNKT '!$C$101:$W$188,21,0)</f>
        <v>0</v>
      </c>
      <c r="I182" s="1325">
        <f t="shared" si="9"/>
        <v>0</v>
      </c>
      <c r="J182" s="1325"/>
      <c r="K182" s="1325">
        <f>VLOOKUP(D182,'CNKT '!$C$101:$Z$188,24,0)</f>
        <v>0</v>
      </c>
      <c r="L182" s="1325"/>
      <c r="M182" s="1327">
        <f t="shared" si="11"/>
        <v>0</v>
      </c>
      <c r="N182" s="420"/>
      <c r="O182" s="183"/>
      <c r="P182" s="182"/>
    </row>
    <row r="183" spans="1:16" s="180" customFormat="1" ht="21.75" hidden="1" customHeight="1">
      <c r="A183" s="355">
        <v>74</v>
      </c>
      <c r="B183" s="1582"/>
      <c r="C183" s="1580"/>
      <c r="D183" s="1326" t="str">
        <f>'CNKT '!C185</f>
        <v>Mủ Xi Rum</v>
      </c>
      <c r="E183" s="1334" t="s">
        <v>765</v>
      </c>
      <c r="F183" s="1325">
        <f>VLOOKUP(D183,'CNKT '!$C$101:$F$188,4,0)</f>
        <v>0</v>
      </c>
      <c r="G183" s="1325">
        <f>VLOOKUP(D183,'CNKT '!$C$101:$L$190,10,0)</f>
        <v>0</v>
      </c>
      <c r="H183" s="1325">
        <f>VLOOKUP(D183,'CNKT '!$C$101:$W$188,21,0)</f>
        <v>0</v>
      </c>
      <c r="I183" s="1325">
        <f t="shared" si="9"/>
        <v>0</v>
      </c>
      <c r="J183" s="1325"/>
      <c r="K183" s="1325">
        <f>VLOOKUP(D183,'CNKT '!$C$101:$Z$188,24,0)</f>
        <v>0</v>
      </c>
      <c r="L183" s="1325"/>
      <c r="M183" s="1327">
        <f t="shared" ref="M183:M186" si="12">K183-J183</f>
        <v>0</v>
      </c>
      <c r="N183" s="420"/>
      <c r="O183" s="183"/>
      <c r="P183" s="182"/>
    </row>
    <row r="184" spans="1:16" s="180" customFormat="1" ht="21.75" hidden="1" customHeight="1">
      <c r="A184" s="355">
        <v>86</v>
      </c>
      <c r="B184" s="1582"/>
      <c r="C184" s="1580"/>
      <c r="D184" s="1326" t="str">
        <f>'CNKT '!C186</f>
        <v>Say ủi</v>
      </c>
      <c r="E184" s="1334" t="s">
        <v>765</v>
      </c>
      <c r="F184" s="1325">
        <f>VLOOKUP(D184,'CNKT '!$C$101:$F$188,4,0)</f>
        <v>0</v>
      </c>
      <c r="G184" s="1325">
        <f>VLOOKUP(D184,'CNKT '!$C$101:$L$190,10,0)</f>
        <v>0</v>
      </c>
      <c r="H184" s="1325">
        <f>VLOOKUP(D184,'CNKT '!$C$101:$W$188,21,0)</f>
        <v>0</v>
      </c>
      <c r="I184" s="1325">
        <f t="shared" si="9"/>
        <v>0</v>
      </c>
      <c r="J184" s="1325"/>
      <c r="K184" s="1325">
        <f>VLOOKUP(D184,'CNKT '!$C$101:$Z$188,24,0)</f>
        <v>0</v>
      </c>
      <c r="L184" s="1325"/>
      <c r="M184" s="1327">
        <f t="shared" si="12"/>
        <v>0</v>
      </c>
      <c r="N184" s="420"/>
      <c r="O184" s="183"/>
      <c r="P184" s="182"/>
    </row>
    <row r="185" spans="1:16" s="180" customFormat="1" ht="21.75" customHeight="1">
      <c r="A185" s="355">
        <v>1</v>
      </c>
      <c r="B185" s="1582"/>
      <c r="C185" s="1580"/>
      <c r="D185" s="1326" t="str">
        <f>'CNKT '!C187</f>
        <v>Kỷ</v>
      </c>
      <c r="E185" s="1334" t="s">
        <v>765</v>
      </c>
      <c r="F185" s="1325">
        <f>VLOOKUP(D185,'CNKT '!$C$101:$F$188,4,0)</f>
        <v>96324751</v>
      </c>
      <c r="G185" s="1325">
        <f>VLOOKUP(D185,'CNKT '!$C$101:$L$190,10,0)</f>
        <v>0</v>
      </c>
      <c r="H185" s="1325">
        <f>VLOOKUP(D185,'CNKT '!$C$101:$W$188,21,0)</f>
        <v>0</v>
      </c>
      <c r="I185" s="1325">
        <f t="shared" si="9"/>
        <v>96324751</v>
      </c>
      <c r="J185" s="1325"/>
      <c r="K185" s="1325">
        <f>VLOOKUP(D185,'CNKT '!$C$101:$Z$188,24,0)</f>
        <v>96324751</v>
      </c>
      <c r="L185" s="1325"/>
      <c r="M185" s="1327">
        <f t="shared" si="12"/>
        <v>96324751</v>
      </c>
      <c r="N185" s="420"/>
      <c r="O185" s="183"/>
      <c r="P185" s="182"/>
    </row>
    <row r="186" spans="1:16" s="180" customFormat="1" ht="21.75" hidden="1" customHeight="1">
      <c r="A186" s="355">
        <v>76</v>
      </c>
      <c r="B186" s="1582"/>
      <c r="C186" s="1580"/>
      <c r="D186" s="1326" t="str">
        <f>'CNKT '!C188</f>
        <v>Say</v>
      </c>
      <c r="E186" s="1334" t="s">
        <v>765</v>
      </c>
      <c r="F186" s="1325">
        <f>VLOOKUP(D186,'CNKT '!$C$101:$F$188,4,0)</f>
        <v>0</v>
      </c>
      <c r="G186" s="1325">
        <f>VLOOKUP(D186,'CNKT '!$C$101:$L$190,10,0)</f>
        <v>0</v>
      </c>
      <c r="H186" s="1325">
        <f>VLOOKUP(D186,'CNKT '!$C$101:$W$188,21,0)</f>
        <v>0</v>
      </c>
      <c r="I186" s="1325">
        <f t="shared" ref="I186" si="13">SUM(F186:H186)</f>
        <v>0</v>
      </c>
      <c r="J186" s="1325"/>
      <c r="K186" s="1325">
        <f>VLOOKUP(D186,'CNKT '!$C$101:$Z$188,24,0)</f>
        <v>0</v>
      </c>
      <c r="L186" s="1325"/>
      <c r="M186" s="1327">
        <f t="shared" si="12"/>
        <v>0</v>
      </c>
      <c r="N186" s="420"/>
      <c r="O186" s="183"/>
      <c r="P186" s="182"/>
    </row>
    <row r="187" spans="1:16" s="180" customFormat="1" ht="21.75" customHeight="1">
      <c r="A187" s="2066" t="s">
        <v>587</v>
      </c>
      <c r="B187" s="2066"/>
      <c r="C187" s="2066"/>
      <c r="D187" s="2066"/>
      <c r="E187" s="2066"/>
      <c r="F187" s="1578">
        <f>SUM(F188:F252)</f>
        <v>80454001</v>
      </c>
      <c r="G187" s="1578">
        <f t="shared" ref="G187:M187" si="14">SUM(G188:G252)</f>
        <v>0</v>
      </c>
      <c r="H187" s="1578">
        <f t="shared" si="14"/>
        <v>0</v>
      </c>
      <c r="I187" s="1578">
        <f t="shared" si="14"/>
        <v>80454001</v>
      </c>
      <c r="J187" s="1578">
        <f t="shared" si="14"/>
        <v>0</v>
      </c>
      <c r="K187" s="1578">
        <f t="shared" si="14"/>
        <v>80454001</v>
      </c>
      <c r="L187" s="1578">
        <f t="shared" si="14"/>
        <v>0</v>
      </c>
      <c r="M187" s="1578">
        <f t="shared" si="14"/>
        <v>80454001</v>
      </c>
      <c r="N187" s="374"/>
      <c r="O187" s="179" t="e">
        <f>I187-#REF!-#REF!-L187</f>
        <v>#REF!</v>
      </c>
      <c r="P187" s="182" t="e">
        <f>#REF!-O187</f>
        <v>#REF!</v>
      </c>
    </row>
    <row r="188" spans="1:16" s="181" customFormat="1" ht="21.75" hidden="1" customHeight="1">
      <c r="A188" s="355">
        <v>1</v>
      </c>
      <c r="B188" s="1579" t="str">
        <f>'Chấm công KT'!D177</f>
        <v>03588</v>
      </c>
      <c r="C188" s="1580"/>
      <c r="D188" s="1326" t="str">
        <f>'CNKT '!C190</f>
        <v>T.Son say A</v>
      </c>
      <c r="E188" s="1326" t="s">
        <v>43</v>
      </c>
      <c r="F188" s="1325">
        <f>VLOOKUP(D188,'CNKT '!$C$190:$F$253,4,0)</f>
        <v>0</v>
      </c>
      <c r="G188" s="1325">
        <f>VLOOKUP(D188,'CNKT '!$C$190:$L$253,10,0)</f>
        <v>0</v>
      </c>
      <c r="H188" s="1325">
        <f>VLOOKUP(D188,'CNKT '!$C$190:$W$253,21,0)</f>
        <v>0</v>
      </c>
      <c r="I188" s="1325">
        <f t="shared" ref="I188" si="15">SUM(F188:H188)</f>
        <v>0</v>
      </c>
      <c r="J188" s="1325"/>
      <c r="K188" s="1325">
        <f>VLOOKUP(D188,'CNKT '!$C$190:$Z$253,24,0)</f>
        <v>0</v>
      </c>
      <c r="L188" s="1325"/>
      <c r="M188" s="1327">
        <f>K188-J188</f>
        <v>0</v>
      </c>
      <c r="N188" s="1583"/>
    </row>
    <row r="189" spans="1:16" s="181" customFormat="1" ht="21.75" hidden="1" customHeight="1">
      <c r="A189" s="355">
        <v>2</v>
      </c>
      <c r="B189" s="1579" t="str">
        <f>'Chấm công KT'!D178</f>
        <v>03466</v>
      </c>
      <c r="C189" s="1580"/>
      <c r="D189" s="1326" t="str">
        <f>'CNKT '!C191</f>
        <v>N. Keo</v>
      </c>
      <c r="E189" s="1326" t="s">
        <v>43</v>
      </c>
      <c r="F189" s="1325">
        <f>VLOOKUP(D189,'CNKT '!$C$190:$F$253,4,0)</f>
        <v>0</v>
      </c>
      <c r="G189" s="1325">
        <f>VLOOKUP(D189,'CNKT '!$C$190:$L$253,10,0)</f>
        <v>0</v>
      </c>
      <c r="H189" s="1325">
        <f>VLOOKUP(D189,'CNKT '!$C$190:$W$253,21,0)</f>
        <v>0</v>
      </c>
      <c r="I189" s="1325">
        <f t="shared" ref="I189:I252" si="16">SUM(F189:H189)</f>
        <v>0</v>
      </c>
      <c r="J189" s="1325"/>
      <c r="K189" s="1325">
        <f>VLOOKUP(D189,'CNKT '!$C$190:$Z$253,24,0)</f>
        <v>0</v>
      </c>
      <c r="L189" s="1325"/>
      <c r="M189" s="1327">
        <f t="shared" ref="M189:M251" si="17">K189-J189</f>
        <v>0</v>
      </c>
      <c r="N189" s="1583"/>
    </row>
    <row r="190" spans="1:16" s="181" customFormat="1" ht="21.75" hidden="1" customHeight="1">
      <c r="A190" s="355">
        <v>3</v>
      </c>
      <c r="B190" s="1579" t="str">
        <f>'Chấm công KT'!D179</f>
        <v>03590</v>
      </c>
      <c r="C190" s="1580"/>
      <c r="D190" s="1326" t="str">
        <f>'CNKT '!C192</f>
        <v>T .Nhum</v>
      </c>
      <c r="E190" s="1326" t="s">
        <v>43</v>
      </c>
      <c r="F190" s="1325">
        <f>VLOOKUP(D190,'CNKT '!$C$190:$F$253,4,0)</f>
        <v>0</v>
      </c>
      <c r="G190" s="1325">
        <f>VLOOKUP(D190,'CNKT '!$C$190:$L$253,10,0)</f>
        <v>0</v>
      </c>
      <c r="H190" s="1325">
        <f>VLOOKUP(D190,'CNKT '!$C$190:$W$253,21,0)</f>
        <v>0</v>
      </c>
      <c r="I190" s="1325">
        <f t="shared" si="16"/>
        <v>0</v>
      </c>
      <c r="J190" s="1325"/>
      <c r="K190" s="1325">
        <f>VLOOKUP(D190,'CNKT '!$C$190:$Z$253,24,0)</f>
        <v>0</v>
      </c>
      <c r="L190" s="1325"/>
      <c r="M190" s="1327">
        <f t="shared" si="17"/>
        <v>0</v>
      </c>
      <c r="N190" s="1583"/>
    </row>
    <row r="191" spans="1:16" s="181" customFormat="1" ht="21.75" hidden="1" customHeight="1">
      <c r="A191" s="355">
        <v>4</v>
      </c>
      <c r="B191" s="1579" t="str">
        <f>'Chấm công KT'!D180</f>
        <v>03591</v>
      </c>
      <c r="C191" s="1580"/>
      <c r="D191" s="1326" t="str">
        <f>'CNKT '!C193</f>
        <v>N.Vông Ma Ni</v>
      </c>
      <c r="E191" s="1326" t="s">
        <v>43</v>
      </c>
      <c r="F191" s="1325">
        <f>VLOOKUP(D191,'CNKT '!$C$190:$F$253,4,0)</f>
        <v>0</v>
      </c>
      <c r="G191" s="1325">
        <f>VLOOKUP(D191,'CNKT '!$C$190:$L$253,10,0)</f>
        <v>0</v>
      </c>
      <c r="H191" s="1325">
        <f>VLOOKUP(D191,'CNKT '!$C$190:$W$253,21,0)</f>
        <v>0</v>
      </c>
      <c r="I191" s="1325">
        <f t="shared" si="16"/>
        <v>0</v>
      </c>
      <c r="J191" s="1325"/>
      <c r="K191" s="1325">
        <f>VLOOKUP(D191,'CNKT '!$C$190:$Z$253,24,0)</f>
        <v>0</v>
      </c>
      <c r="L191" s="1325"/>
      <c r="M191" s="1327">
        <f t="shared" si="17"/>
        <v>0</v>
      </c>
      <c r="N191" s="1583"/>
    </row>
    <row r="192" spans="1:16" s="181" customFormat="1" ht="21.75" hidden="1" customHeight="1">
      <c r="A192" s="355">
        <v>5</v>
      </c>
      <c r="B192" s="1579" t="str">
        <f>'Chấm công KT'!D181</f>
        <v>03592</v>
      </c>
      <c r="C192" s="1580"/>
      <c r="D192" s="1326" t="str">
        <f>'CNKT '!C194</f>
        <v>Đao Hương</v>
      </c>
      <c r="E192" s="1326" t="s">
        <v>43</v>
      </c>
      <c r="F192" s="1325">
        <f>VLOOKUP(D192,'CNKT '!$C$190:$F$253,4,0)</f>
        <v>0</v>
      </c>
      <c r="G192" s="1325">
        <f>VLOOKUP(D192,'CNKT '!$C$190:$L$253,10,0)</f>
        <v>0</v>
      </c>
      <c r="H192" s="1325">
        <f>VLOOKUP(D192,'CNKT '!$C$190:$W$253,21,0)</f>
        <v>0</v>
      </c>
      <c r="I192" s="1325">
        <f t="shared" si="16"/>
        <v>0</v>
      </c>
      <c r="J192" s="1325"/>
      <c r="K192" s="1325">
        <f>VLOOKUP(D192,'CNKT '!$C$190:$Z$253,24,0)</f>
        <v>0</v>
      </c>
      <c r="L192" s="1325"/>
      <c r="M192" s="1327">
        <f t="shared" si="17"/>
        <v>0</v>
      </c>
      <c r="N192" s="1583"/>
    </row>
    <row r="193" spans="1:14" s="181" customFormat="1" ht="21.75" hidden="1" customHeight="1">
      <c r="A193" s="355">
        <v>6</v>
      </c>
      <c r="B193" s="1579" t="str">
        <f>'Chấm công KT'!D182</f>
        <v>03593</v>
      </c>
      <c r="C193" s="1580"/>
      <c r="D193" s="1326" t="str">
        <f>'CNKT '!C195</f>
        <v>T. Xi Nun</v>
      </c>
      <c r="E193" s="1326" t="s">
        <v>43</v>
      </c>
      <c r="F193" s="1325">
        <f>VLOOKUP(D193,'CNKT '!$C$190:$F$253,4,0)</f>
        <v>0</v>
      </c>
      <c r="G193" s="1325">
        <f>VLOOKUP(D193,'CNKT '!$C$190:$L$253,10,0)</f>
        <v>0</v>
      </c>
      <c r="H193" s="1325">
        <f>VLOOKUP(D193,'CNKT '!$C$190:$W$253,21,0)</f>
        <v>0</v>
      </c>
      <c r="I193" s="1325">
        <f t="shared" si="16"/>
        <v>0</v>
      </c>
      <c r="J193" s="1325"/>
      <c r="K193" s="1325">
        <f>VLOOKUP(D193,'CNKT '!$C$190:$Z$253,24,0)</f>
        <v>0</v>
      </c>
      <c r="L193" s="1325"/>
      <c r="M193" s="1327">
        <f t="shared" si="17"/>
        <v>0</v>
      </c>
      <c r="N193" s="1583"/>
    </row>
    <row r="194" spans="1:14" s="181" customFormat="1" ht="21.75" hidden="1" customHeight="1">
      <c r="A194" s="355">
        <v>7</v>
      </c>
      <c r="B194" s="1579" t="str">
        <f>'Chấm công KT'!D183</f>
        <v>03594</v>
      </c>
      <c r="C194" s="1580"/>
      <c r="D194" s="1326" t="str">
        <f>'CNKT '!C196</f>
        <v>T. Bun Hinh</v>
      </c>
      <c r="E194" s="1326" t="s">
        <v>43</v>
      </c>
      <c r="F194" s="1325">
        <f>VLOOKUP(D194,'CNKT '!$C$190:$F$253,4,0)</f>
        <v>0</v>
      </c>
      <c r="G194" s="1325">
        <f>VLOOKUP(D194,'CNKT '!$C$190:$L$253,10,0)</f>
        <v>0</v>
      </c>
      <c r="H194" s="1325">
        <f>VLOOKUP(D194,'CNKT '!$C$190:$W$253,21,0)</f>
        <v>0</v>
      </c>
      <c r="I194" s="1325">
        <f t="shared" si="16"/>
        <v>0</v>
      </c>
      <c r="J194" s="1325"/>
      <c r="K194" s="1325">
        <f>VLOOKUP(D194,'CNKT '!$C$190:$Z$253,24,0)</f>
        <v>0</v>
      </c>
      <c r="L194" s="1325"/>
      <c r="M194" s="1327">
        <f t="shared" si="17"/>
        <v>0</v>
      </c>
      <c r="N194" s="1583"/>
    </row>
    <row r="195" spans="1:14" s="181" customFormat="1" ht="21.75" hidden="1" customHeight="1">
      <c r="A195" s="355">
        <v>8</v>
      </c>
      <c r="B195" s="1579" t="str">
        <f>'Chấm công KT'!D184</f>
        <v>03595</v>
      </c>
      <c r="C195" s="1580"/>
      <c r="D195" s="1326" t="str">
        <f>'CNKT '!C197</f>
        <v>N. Lăm</v>
      </c>
      <c r="E195" s="1326" t="s">
        <v>43</v>
      </c>
      <c r="F195" s="1325">
        <f>VLOOKUP(D195,'CNKT '!$C$190:$F$253,4,0)</f>
        <v>0</v>
      </c>
      <c r="G195" s="1325">
        <f>VLOOKUP(D195,'CNKT '!$C$190:$L$253,10,0)</f>
        <v>0</v>
      </c>
      <c r="H195" s="1325">
        <f>VLOOKUP(D195,'CNKT '!$C$190:$W$253,21,0)</f>
        <v>0</v>
      </c>
      <c r="I195" s="1325">
        <f t="shared" si="16"/>
        <v>0</v>
      </c>
      <c r="J195" s="1325"/>
      <c r="K195" s="1325">
        <f>VLOOKUP(D195,'CNKT '!$C$190:$Z$253,24,0)</f>
        <v>0</v>
      </c>
      <c r="L195" s="1325"/>
      <c r="M195" s="1327">
        <f t="shared" si="17"/>
        <v>0</v>
      </c>
      <c r="N195" s="1583"/>
    </row>
    <row r="196" spans="1:14" s="181" customFormat="1" ht="21.75" hidden="1" customHeight="1">
      <c r="A196" s="355">
        <v>9</v>
      </c>
      <c r="B196" s="1579" t="str">
        <f>'Chấm công KT'!D185</f>
        <v>03596</v>
      </c>
      <c r="C196" s="1580"/>
      <c r="D196" s="1326" t="str">
        <f>'CNKT '!C198</f>
        <v>N. Xúc</v>
      </c>
      <c r="E196" s="1326" t="s">
        <v>43</v>
      </c>
      <c r="F196" s="1325">
        <f>VLOOKUP(D196,'CNKT '!$C$190:$F$253,4,0)</f>
        <v>0</v>
      </c>
      <c r="G196" s="1325">
        <f>VLOOKUP(D196,'CNKT '!$C$190:$L$253,10,0)</f>
        <v>0</v>
      </c>
      <c r="H196" s="1325">
        <f>VLOOKUP(D196,'CNKT '!$C$190:$W$253,21,0)</f>
        <v>0</v>
      </c>
      <c r="I196" s="1325">
        <f t="shared" si="16"/>
        <v>0</v>
      </c>
      <c r="J196" s="1325"/>
      <c r="K196" s="1325">
        <f>VLOOKUP(D196,'CNKT '!$C$190:$Z$253,24,0)</f>
        <v>0</v>
      </c>
      <c r="L196" s="1325"/>
      <c r="M196" s="1327">
        <f t="shared" si="17"/>
        <v>0</v>
      </c>
      <c r="N196" s="1583"/>
    </row>
    <row r="197" spans="1:14" s="181" customFormat="1" ht="21.75" hidden="1" customHeight="1">
      <c r="A197" s="355">
        <v>10</v>
      </c>
      <c r="B197" s="1579" t="str">
        <f>'Chấm công KT'!D186</f>
        <v>03597</v>
      </c>
      <c r="C197" s="1580"/>
      <c r="D197" s="1326" t="str">
        <f>'CNKT '!C199</f>
        <v>N. Lẹ</v>
      </c>
      <c r="E197" s="1326" t="s">
        <v>43</v>
      </c>
      <c r="F197" s="1325">
        <f>VLOOKUP(D197,'CNKT '!$C$190:$F$253,4,0)</f>
        <v>0</v>
      </c>
      <c r="G197" s="1325">
        <f>VLOOKUP(D197,'CNKT '!$C$190:$L$253,10,0)</f>
        <v>0</v>
      </c>
      <c r="H197" s="1325">
        <f>VLOOKUP(D197,'CNKT '!$C$190:$W$253,21,0)</f>
        <v>0</v>
      </c>
      <c r="I197" s="1325">
        <f t="shared" si="16"/>
        <v>0</v>
      </c>
      <c r="J197" s="1325"/>
      <c r="K197" s="1325">
        <f>VLOOKUP(D197,'CNKT '!$C$190:$Z$253,24,0)</f>
        <v>0</v>
      </c>
      <c r="L197" s="1325"/>
      <c r="M197" s="1327">
        <f t="shared" si="17"/>
        <v>0</v>
      </c>
      <c r="N197" s="1583"/>
    </row>
    <row r="198" spans="1:14" s="181" customFormat="1" ht="21.75" hidden="1" customHeight="1">
      <c r="A198" s="355">
        <v>11</v>
      </c>
      <c r="B198" s="1579" t="str">
        <f>'Chấm công KT'!D187</f>
        <v>03598</v>
      </c>
      <c r="C198" s="1580"/>
      <c r="D198" s="1326" t="str">
        <f>'CNKT '!C200</f>
        <v>N . Thích</v>
      </c>
      <c r="E198" s="1326" t="s">
        <v>43</v>
      </c>
      <c r="F198" s="1325">
        <f>VLOOKUP(D198,'CNKT '!$C$190:$F$253,4,0)</f>
        <v>0</v>
      </c>
      <c r="G198" s="1325">
        <f>VLOOKUP(D198,'CNKT '!$C$190:$L$253,10,0)</f>
        <v>0</v>
      </c>
      <c r="H198" s="1325">
        <f>VLOOKUP(D198,'CNKT '!$C$190:$W$253,21,0)</f>
        <v>0</v>
      </c>
      <c r="I198" s="1325">
        <f t="shared" si="16"/>
        <v>0</v>
      </c>
      <c r="J198" s="1325"/>
      <c r="K198" s="1325">
        <f>VLOOKUP(D198,'CNKT '!$C$190:$Z$253,24,0)</f>
        <v>0</v>
      </c>
      <c r="L198" s="1325"/>
      <c r="M198" s="1327">
        <f t="shared" si="17"/>
        <v>0</v>
      </c>
      <c r="N198" s="1583"/>
    </row>
    <row r="199" spans="1:14" s="181" customFormat="1" ht="21.75" hidden="1" customHeight="1">
      <c r="A199" s="355">
        <v>12</v>
      </c>
      <c r="B199" s="1579" t="str">
        <f>'Chấm công KT'!D188</f>
        <v>03599</v>
      </c>
      <c r="C199" s="1580"/>
      <c r="D199" s="1326" t="str">
        <f>'CNKT '!C201</f>
        <v>N. Cong Mi</v>
      </c>
      <c r="E199" s="1326" t="s">
        <v>43</v>
      </c>
      <c r="F199" s="1325">
        <f>VLOOKUP(D199,'CNKT '!$C$190:$F$253,4,0)</f>
        <v>0</v>
      </c>
      <c r="G199" s="1325">
        <f>VLOOKUP(D199,'CNKT '!$C$190:$L$253,10,0)</f>
        <v>0</v>
      </c>
      <c r="H199" s="1325">
        <f>VLOOKUP(D199,'CNKT '!$C$190:$W$253,21,0)</f>
        <v>0</v>
      </c>
      <c r="I199" s="1325">
        <f t="shared" si="16"/>
        <v>0</v>
      </c>
      <c r="J199" s="1325"/>
      <c r="K199" s="1325">
        <f>VLOOKUP(D199,'CNKT '!$C$190:$Z$253,24,0)</f>
        <v>0</v>
      </c>
      <c r="L199" s="1325"/>
      <c r="M199" s="1327">
        <f t="shared" si="17"/>
        <v>0</v>
      </c>
      <c r="N199" s="1583"/>
    </row>
    <row r="200" spans="1:14" s="181" customFormat="1" ht="21.75" hidden="1" customHeight="1">
      <c r="A200" s="355">
        <v>13</v>
      </c>
      <c r="B200" s="1579" t="str">
        <f>'Chấm công KT'!D189</f>
        <v>03600</v>
      </c>
      <c r="C200" s="1580"/>
      <c r="D200" s="1326" t="str">
        <f>'CNKT '!C202</f>
        <v>T . Vay</v>
      </c>
      <c r="E200" s="1326" t="s">
        <v>43</v>
      </c>
      <c r="F200" s="1325">
        <f>VLOOKUP(D200,'CNKT '!$C$190:$F$253,4,0)</f>
        <v>0</v>
      </c>
      <c r="G200" s="1325">
        <f>VLOOKUP(D200,'CNKT '!$C$190:$L$253,10,0)</f>
        <v>0</v>
      </c>
      <c r="H200" s="1325">
        <f>VLOOKUP(D200,'CNKT '!$C$190:$W$253,21,0)</f>
        <v>0</v>
      </c>
      <c r="I200" s="1325">
        <f t="shared" si="16"/>
        <v>0</v>
      </c>
      <c r="J200" s="1325"/>
      <c r="K200" s="1325">
        <f>VLOOKUP(D200,'CNKT '!$C$190:$Z$253,24,0)</f>
        <v>0</v>
      </c>
      <c r="L200" s="1325"/>
      <c r="M200" s="1327">
        <f t="shared" si="17"/>
        <v>0</v>
      </c>
      <c r="N200" s="1583"/>
    </row>
    <row r="201" spans="1:14" s="181" customFormat="1" ht="21.75" hidden="1" customHeight="1">
      <c r="A201" s="355">
        <v>14</v>
      </c>
      <c r="B201" s="1579" t="str">
        <f>'Chấm công KT'!D190</f>
        <v>03601</v>
      </c>
      <c r="C201" s="1580"/>
      <c r="D201" s="1326" t="str">
        <f>'CNKT '!C203</f>
        <v>T. Khăm Mặn</v>
      </c>
      <c r="E201" s="1326" t="s">
        <v>43</v>
      </c>
      <c r="F201" s="1325">
        <f>VLOOKUP(D201,'CNKT '!$C$190:$F$253,4,0)</f>
        <v>0</v>
      </c>
      <c r="G201" s="1325">
        <f>VLOOKUP(D201,'CNKT '!$C$190:$L$253,10,0)</f>
        <v>0</v>
      </c>
      <c r="H201" s="1325">
        <f>VLOOKUP(D201,'CNKT '!$C$190:$W$253,21,0)</f>
        <v>0</v>
      </c>
      <c r="I201" s="1325">
        <f t="shared" si="16"/>
        <v>0</v>
      </c>
      <c r="J201" s="1325"/>
      <c r="K201" s="1325">
        <f>VLOOKUP(D201,'CNKT '!$C$190:$Z$253,24,0)</f>
        <v>0</v>
      </c>
      <c r="L201" s="1325"/>
      <c r="M201" s="1327">
        <f t="shared" si="17"/>
        <v>0</v>
      </c>
      <c r="N201" s="1583"/>
    </row>
    <row r="202" spans="1:14" s="181" customFormat="1" ht="21.75" hidden="1" customHeight="1">
      <c r="A202" s="355">
        <v>15</v>
      </c>
      <c r="B202" s="1579" t="str">
        <f>'Chấm công KT'!D191</f>
        <v>03602</v>
      </c>
      <c r="C202" s="1580"/>
      <c r="D202" s="1326" t="str">
        <f>'CNKT '!C204</f>
        <v>T . In Tong</v>
      </c>
      <c r="E202" s="1326" t="s">
        <v>43</v>
      </c>
      <c r="F202" s="1325">
        <f>VLOOKUP(D202,'CNKT '!$C$190:$F$253,4,0)</f>
        <v>0</v>
      </c>
      <c r="G202" s="1325">
        <f>VLOOKUP(D202,'CNKT '!$C$190:$L$253,10,0)</f>
        <v>0</v>
      </c>
      <c r="H202" s="1325">
        <f>VLOOKUP(D202,'CNKT '!$C$190:$W$253,21,0)</f>
        <v>0</v>
      </c>
      <c r="I202" s="1325">
        <f t="shared" si="16"/>
        <v>0</v>
      </c>
      <c r="J202" s="1325"/>
      <c r="K202" s="1325">
        <f>VLOOKUP(D202,'CNKT '!$C$190:$Z$253,24,0)</f>
        <v>0</v>
      </c>
      <c r="L202" s="1325"/>
      <c r="M202" s="1327">
        <f t="shared" si="17"/>
        <v>0</v>
      </c>
      <c r="N202" s="1583"/>
    </row>
    <row r="203" spans="1:14" s="181" customFormat="1" ht="21.75" hidden="1" customHeight="1">
      <c r="A203" s="355">
        <v>16</v>
      </c>
      <c r="B203" s="1579" t="str">
        <f>'Chấm công KT'!D192</f>
        <v>03603</v>
      </c>
      <c r="C203" s="1580"/>
      <c r="D203" s="1326" t="str">
        <f>'CNKT '!C205</f>
        <v>T. Sòn</v>
      </c>
      <c r="E203" s="1326" t="s">
        <v>43</v>
      </c>
      <c r="F203" s="1325">
        <f>VLOOKUP(D203,'CNKT '!$C$190:$F$253,4,0)</f>
        <v>0</v>
      </c>
      <c r="G203" s="1325">
        <f>VLOOKUP(D203,'CNKT '!$C$190:$L$253,10,0)</f>
        <v>0</v>
      </c>
      <c r="H203" s="1325">
        <f>VLOOKUP(D203,'CNKT '!$C$190:$W$253,21,0)</f>
        <v>0</v>
      </c>
      <c r="I203" s="1325">
        <f t="shared" si="16"/>
        <v>0</v>
      </c>
      <c r="J203" s="1325"/>
      <c r="K203" s="1325">
        <f>VLOOKUP(D203,'CNKT '!$C$190:$Z$253,24,0)</f>
        <v>0</v>
      </c>
      <c r="L203" s="1325"/>
      <c r="M203" s="1327">
        <f t="shared" si="17"/>
        <v>0</v>
      </c>
      <c r="N203" s="1583"/>
    </row>
    <row r="204" spans="1:14" s="181" customFormat="1" ht="21.75" hidden="1" customHeight="1">
      <c r="A204" s="355">
        <v>17</v>
      </c>
      <c r="B204" s="1579" t="str">
        <f>'Chấm công KT'!D193</f>
        <v>03604</v>
      </c>
      <c r="C204" s="1580"/>
      <c r="D204" s="1326" t="str">
        <f>'CNKT '!C206</f>
        <v>T. Lăm Phêng</v>
      </c>
      <c r="E204" s="1326" t="s">
        <v>43</v>
      </c>
      <c r="F204" s="1325">
        <f>VLOOKUP(D204,'CNKT '!$C$190:$F$253,4,0)</f>
        <v>0</v>
      </c>
      <c r="G204" s="1325">
        <f>VLOOKUP(D204,'CNKT '!$C$190:$L$253,10,0)</f>
        <v>0</v>
      </c>
      <c r="H204" s="1325">
        <f>VLOOKUP(D204,'CNKT '!$C$190:$W$253,21,0)</f>
        <v>0</v>
      </c>
      <c r="I204" s="1325">
        <f t="shared" si="16"/>
        <v>0</v>
      </c>
      <c r="J204" s="1325"/>
      <c r="K204" s="1325">
        <f>VLOOKUP(D204,'CNKT '!$C$190:$Z$253,24,0)</f>
        <v>0</v>
      </c>
      <c r="L204" s="1325"/>
      <c r="M204" s="1327">
        <f t="shared" si="17"/>
        <v>0</v>
      </c>
      <c r="N204" s="1583"/>
    </row>
    <row r="205" spans="1:14" s="181" customFormat="1" ht="21.75" hidden="1" customHeight="1">
      <c r="A205" s="355">
        <v>18</v>
      </c>
      <c r="B205" s="1579"/>
      <c r="C205" s="1580"/>
      <c r="D205" s="1326" t="str">
        <f>'CNKT '!C207</f>
        <v>T Xèng</v>
      </c>
      <c r="E205" s="1326" t="s">
        <v>43</v>
      </c>
      <c r="F205" s="1325">
        <f>VLOOKUP(D205,'CNKT '!$C$190:$F$253,4,0)</f>
        <v>0</v>
      </c>
      <c r="G205" s="1325">
        <f>VLOOKUP(D205,'CNKT '!$C$190:$L$253,10,0)</f>
        <v>0</v>
      </c>
      <c r="H205" s="1325">
        <f>VLOOKUP(D205,'CNKT '!$C$190:$W$253,21,0)</f>
        <v>0</v>
      </c>
      <c r="I205" s="1325">
        <f t="shared" si="16"/>
        <v>0</v>
      </c>
      <c r="J205" s="1325"/>
      <c r="K205" s="1325">
        <f>VLOOKUP(D205,'CNKT '!$C$190:$Z$253,24,0)</f>
        <v>0</v>
      </c>
      <c r="L205" s="1325"/>
      <c r="M205" s="1327">
        <f t="shared" si="17"/>
        <v>0</v>
      </c>
      <c r="N205" s="1583"/>
    </row>
    <row r="206" spans="1:14" s="181" customFormat="1" ht="21.75" hidden="1" customHeight="1">
      <c r="A206" s="355">
        <v>19</v>
      </c>
      <c r="B206" s="1579" t="str">
        <f>'Chấm công KT'!D195</f>
        <v>03606</v>
      </c>
      <c r="C206" s="1580"/>
      <c r="D206" s="1326" t="str">
        <f>'CNKT '!C208</f>
        <v>N. Phăn</v>
      </c>
      <c r="E206" s="1326" t="s">
        <v>43</v>
      </c>
      <c r="F206" s="1325">
        <f>VLOOKUP(D206,'CNKT '!$C$190:$F$253,4,0)</f>
        <v>0</v>
      </c>
      <c r="G206" s="1325">
        <f>VLOOKUP(D206,'CNKT '!$C$190:$L$253,10,0)</f>
        <v>0</v>
      </c>
      <c r="H206" s="1325">
        <f>VLOOKUP(D206,'CNKT '!$C$190:$W$253,21,0)</f>
        <v>0</v>
      </c>
      <c r="I206" s="1325">
        <f t="shared" si="16"/>
        <v>0</v>
      </c>
      <c r="J206" s="1325"/>
      <c r="K206" s="1325">
        <f>VLOOKUP(D206,'CNKT '!$C$190:$Z$253,24,0)</f>
        <v>0</v>
      </c>
      <c r="L206" s="1325"/>
      <c r="M206" s="1327">
        <f t="shared" si="17"/>
        <v>0</v>
      </c>
      <c r="N206" s="1583"/>
    </row>
    <row r="207" spans="1:14" s="181" customFormat="1" ht="21.75" hidden="1" customHeight="1">
      <c r="A207" s="355">
        <v>20</v>
      </c>
      <c r="B207" s="1579" t="str">
        <f>'Chấm công KT'!D196</f>
        <v>03607</v>
      </c>
      <c r="C207" s="1580"/>
      <c r="D207" s="1326" t="str">
        <f>'CNKT '!C209</f>
        <v>T. Huôn</v>
      </c>
      <c r="E207" s="1326" t="s">
        <v>43</v>
      </c>
      <c r="F207" s="1325">
        <f>VLOOKUP(D207,'CNKT '!$C$190:$F$253,4,0)</f>
        <v>0</v>
      </c>
      <c r="G207" s="1325">
        <f>VLOOKUP(D207,'CNKT '!$C$190:$L$253,10,0)</f>
        <v>0</v>
      </c>
      <c r="H207" s="1325">
        <f>VLOOKUP(D207,'CNKT '!$C$190:$W$253,21,0)</f>
        <v>0</v>
      </c>
      <c r="I207" s="1325">
        <f t="shared" si="16"/>
        <v>0</v>
      </c>
      <c r="J207" s="1325"/>
      <c r="K207" s="1325">
        <f>VLOOKUP(D207,'CNKT '!$C$190:$Z$253,24,0)</f>
        <v>0</v>
      </c>
      <c r="L207" s="1325"/>
      <c r="M207" s="1327">
        <f t="shared" si="17"/>
        <v>0</v>
      </c>
      <c r="N207" s="1583"/>
    </row>
    <row r="208" spans="1:14" s="181" customFormat="1" ht="21.75" hidden="1" customHeight="1">
      <c r="A208" s="355">
        <v>21</v>
      </c>
      <c r="B208" s="1579" t="str">
        <f>'Chấm công KT'!D197</f>
        <v>02729</v>
      </c>
      <c r="C208" s="1580"/>
      <c r="D208" s="1326" t="str">
        <f>'CNKT '!C210</f>
        <v>N. Lay</v>
      </c>
      <c r="E208" s="1326" t="s">
        <v>43</v>
      </c>
      <c r="F208" s="1325">
        <f>VLOOKUP(D208,'CNKT '!$C$190:$F$253,4,0)</f>
        <v>0</v>
      </c>
      <c r="G208" s="1325">
        <f>VLOOKUP(D208,'CNKT '!$C$190:$L$253,10,0)</f>
        <v>0</v>
      </c>
      <c r="H208" s="1325">
        <f>VLOOKUP(D208,'CNKT '!$C$190:$W$253,21,0)</f>
        <v>0</v>
      </c>
      <c r="I208" s="1325">
        <f t="shared" si="16"/>
        <v>0</v>
      </c>
      <c r="J208" s="1325"/>
      <c r="K208" s="1325">
        <f>VLOOKUP(D208,'CNKT '!$C$190:$Z$253,24,0)</f>
        <v>0</v>
      </c>
      <c r="L208" s="1325"/>
      <c r="M208" s="1327">
        <f t="shared" si="17"/>
        <v>0</v>
      </c>
      <c r="N208" s="1583"/>
    </row>
    <row r="209" spans="1:14" s="181" customFormat="1" ht="21.75" hidden="1" customHeight="1">
      <c r="A209" s="355">
        <v>22</v>
      </c>
      <c r="B209" s="1579" t="str">
        <f>'Chấm công KT'!D198</f>
        <v>03608</v>
      </c>
      <c r="C209" s="1580"/>
      <c r="D209" s="1326" t="str">
        <f>'CNKT '!C211</f>
        <v>N. Pon</v>
      </c>
      <c r="E209" s="1326" t="s">
        <v>43</v>
      </c>
      <c r="F209" s="1325">
        <f>VLOOKUP(D209,'CNKT '!$C$190:$F$253,4,0)</f>
        <v>0</v>
      </c>
      <c r="G209" s="1325">
        <f>VLOOKUP(D209,'CNKT '!$C$190:$L$253,10,0)</f>
        <v>0</v>
      </c>
      <c r="H209" s="1325">
        <f>VLOOKUP(D209,'CNKT '!$C$190:$W$253,21,0)</f>
        <v>0</v>
      </c>
      <c r="I209" s="1325">
        <f t="shared" si="16"/>
        <v>0</v>
      </c>
      <c r="J209" s="1325"/>
      <c r="K209" s="1325">
        <f>VLOOKUP(D209,'CNKT '!$C$190:$Z$253,24,0)</f>
        <v>0</v>
      </c>
      <c r="L209" s="1325"/>
      <c r="M209" s="1327">
        <f t="shared" si="17"/>
        <v>0</v>
      </c>
      <c r="N209" s="1583"/>
    </row>
    <row r="210" spans="1:14" s="181" customFormat="1" ht="21.75" hidden="1" customHeight="1">
      <c r="A210" s="355">
        <v>23</v>
      </c>
      <c r="B210" s="1579" t="str">
        <f>'Chấm công KT'!D199</f>
        <v>03609</v>
      </c>
      <c r="C210" s="1580"/>
      <c r="D210" s="1326" t="str">
        <f>'CNKT '!C212</f>
        <v>N. Bun Đi</v>
      </c>
      <c r="E210" s="1326" t="s">
        <v>43</v>
      </c>
      <c r="F210" s="1325">
        <f>VLOOKUP(D210,'CNKT '!$C$190:$F$253,4,0)</f>
        <v>0</v>
      </c>
      <c r="G210" s="1325">
        <f>VLOOKUP(D210,'CNKT '!$C$190:$L$253,10,0)</f>
        <v>0</v>
      </c>
      <c r="H210" s="1325">
        <f>VLOOKUP(D210,'CNKT '!$C$190:$W$253,21,0)</f>
        <v>0</v>
      </c>
      <c r="I210" s="1325">
        <f t="shared" si="16"/>
        <v>0</v>
      </c>
      <c r="J210" s="1325"/>
      <c r="K210" s="1325">
        <f>VLOOKUP(D210,'CNKT '!$C$190:$Z$253,24,0)</f>
        <v>0</v>
      </c>
      <c r="L210" s="1325"/>
      <c r="M210" s="1327">
        <f t="shared" si="17"/>
        <v>0</v>
      </c>
      <c r="N210" s="1583"/>
    </row>
    <row r="211" spans="1:14" s="181" customFormat="1" ht="21.75" hidden="1" customHeight="1">
      <c r="A211" s="355">
        <v>24</v>
      </c>
      <c r="B211" s="1579" t="str">
        <f>'Chấm công KT'!D200</f>
        <v>03610</v>
      </c>
      <c r="C211" s="1580"/>
      <c r="D211" s="1326" t="str">
        <f>'CNKT '!C213</f>
        <v>N. Phon</v>
      </c>
      <c r="E211" s="1326" t="s">
        <v>43</v>
      </c>
      <c r="F211" s="1325">
        <f>VLOOKUP(D211,'CNKT '!$C$190:$F$253,4,0)</f>
        <v>0</v>
      </c>
      <c r="G211" s="1325">
        <f>VLOOKUP(D211,'CNKT '!$C$190:$L$253,10,0)</f>
        <v>0</v>
      </c>
      <c r="H211" s="1325">
        <f>VLOOKUP(D211,'CNKT '!$C$190:$W$253,21,0)</f>
        <v>0</v>
      </c>
      <c r="I211" s="1325">
        <f t="shared" si="16"/>
        <v>0</v>
      </c>
      <c r="J211" s="1325"/>
      <c r="K211" s="1325">
        <f>VLOOKUP(D211,'CNKT '!$C$190:$Z$253,24,0)</f>
        <v>0</v>
      </c>
      <c r="L211" s="1325"/>
      <c r="M211" s="1327">
        <f t="shared" si="17"/>
        <v>0</v>
      </c>
      <c r="N211" s="1583"/>
    </row>
    <row r="212" spans="1:14" s="181" customFormat="1" ht="21.75" hidden="1" customHeight="1">
      <c r="A212" s="355">
        <v>25</v>
      </c>
      <c r="B212" s="1579" t="str">
        <f>'Chấm công KT'!D201</f>
        <v>03611</v>
      </c>
      <c r="C212" s="1580"/>
      <c r="D212" s="1326" t="str">
        <f>'CNKT '!C214</f>
        <v>T. Cỏ</v>
      </c>
      <c r="E212" s="1326" t="s">
        <v>43</v>
      </c>
      <c r="F212" s="1325">
        <f>VLOOKUP(D212,'CNKT '!$C$190:$F$253,4,0)</f>
        <v>0</v>
      </c>
      <c r="G212" s="1325">
        <f>VLOOKUP(D212,'CNKT '!$C$190:$L$253,10,0)</f>
        <v>0</v>
      </c>
      <c r="H212" s="1325">
        <f>VLOOKUP(D212,'CNKT '!$C$190:$W$253,21,0)</f>
        <v>0</v>
      </c>
      <c r="I212" s="1325">
        <f t="shared" si="16"/>
        <v>0</v>
      </c>
      <c r="J212" s="1325"/>
      <c r="K212" s="1325">
        <f>VLOOKUP(D212,'CNKT '!$C$190:$Z$253,24,0)</f>
        <v>0</v>
      </c>
      <c r="L212" s="1325"/>
      <c r="M212" s="1327">
        <f t="shared" si="17"/>
        <v>0</v>
      </c>
      <c r="N212" s="1583"/>
    </row>
    <row r="213" spans="1:14" s="181" customFormat="1" ht="21.75" hidden="1" customHeight="1">
      <c r="A213" s="355">
        <v>26</v>
      </c>
      <c r="B213" s="1579" t="str">
        <f>'Chấm công KT'!D202</f>
        <v>03612</v>
      </c>
      <c r="C213" s="1580"/>
      <c r="D213" s="1326" t="str">
        <f>'CNKT '!C215</f>
        <v>N. Phu Văn</v>
      </c>
      <c r="E213" s="1326" t="s">
        <v>43</v>
      </c>
      <c r="F213" s="1325">
        <f>VLOOKUP(D213,'CNKT '!$C$190:$F$253,4,0)</f>
        <v>0</v>
      </c>
      <c r="G213" s="1325">
        <f>VLOOKUP(D213,'CNKT '!$C$190:$L$253,10,0)</f>
        <v>0</v>
      </c>
      <c r="H213" s="1325">
        <f>VLOOKUP(D213,'CNKT '!$C$190:$W$253,21,0)</f>
        <v>0</v>
      </c>
      <c r="I213" s="1325">
        <f t="shared" si="16"/>
        <v>0</v>
      </c>
      <c r="J213" s="1325"/>
      <c r="K213" s="1325">
        <f>VLOOKUP(D213,'CNKT '!$C$190:$Z$253,24,0)</f>
        <v>0</v>
      </c>
      <c r="L213" s="1325"/>
      <c r="M213" s="1327">
        <f t="shared" si="17"/>
        <v>0</v>
      </c>
      <c r="N213" s="1583"/>
    </row>
    <row r="214" spans="1:14" s="181" customFormat="1" ht="21.75" hidden="1" customHeight="1">
      <c r="A214" s="355">
        <v>27</v>
      </c>
      <c r="B214" s="1579" t="str">
        <f>'Chấm công KT'!D203</f>
        <v>03613</v>
      </c>
      <c r="C214" s="1580"/>
      <c r="D214" s="1326" t="str">
        <f>'CNKT '!C216</f>
        <v>N. Lỷ</v>
      </c>
      <c r="E214" s="1326" t="s">
        <v>43</v>
      </c>
      <c r="F214" s="1325">
        <f>VLOOKUP(D214,'CNKT '!$C$190:$F$253,4,0)</f>
        <v>0</v>
      </c>
      <c r="G214" s="1325">
        <f>VLOOKUP(D214,'CNKT '!$C$190:$L$253,10,0)</f>
        <v>0</v>
      </c>
      <c r="H214" s="1325">
        <f>VLOOKUP(D214,'CNKT '!$C$190:$W$253,21,0)</f>
        <v>0</v>
      </c>
      <c r="I214" s="1325">
        <f t="shared" si="16"/>
        <v>0</v>
      </c>
      <c r="J214" s="1325"/>
      <c r="K214" s="1325">
        <f>VLOOKUP(D214,'CNKT '!$C$190:$Z$253,24,0)</f>
        <v>0</v>
      </c>
      <c r="L214" s="1325"/>
      <c r="M214" s="1327">
        <f t="shared" si="17"/>
        <v>0</v>
      </c>
      <c r="N214" s="1583"/>
    </row>
    <row r="215" spans="1:14" s="181" customFormat="1" ht="21.75" hidden="1" customHeight="1">
      <c r="A215" s="355">
        <v>28</v>
      </c>
      <c r="B215" s="1579" t="str">
        <f>'Chấm công KT'!D204</f>
        <v>03614</v>
      </c>
      <c r="C215" s="1580"/>
      <c r="D215" s="1326" t="str">
        <f>'CNKT '!C217</f>
        <v>T. Vy</v>
      </c>
      <c r="E215" s="1326" t="s">
        <v>43</v>
      </c>
      <c r="F215" s="1325">
        <f>VLOOKUP(D215,'CNKT '!$C$190:$F$253,4,0)</f>
        <v>0</v>
      </c>
      <c r="G215" s="1325">
        <f>VLOOKUP(D215,'CNKT '!$C$190:$L$253,10,0)</f>
        <v>0</v>
      </c>
      <c r="H215" s="1325">
        <f>VLOOKUP(D215,'CNKT '!$C$190:$W$253,21,0)</f>
        <v>0</v>
      </c>
      <c r="I215" s="1325">
        <f t="shared" si="16"/>
        <v>0</v>
      </c>
      <c r="J215" s="1325"/>
      <c r="K215" s="1325">
        <f>VLOOKUP(D215,'CNKT '!$C$190:$Z$253,24,0)</f>
        <v>0</v>
      </c>
      <c r="L215" s="1325"/>
      <c r="M215" s="1327">
        <f t="shared" si="17"/>
        <v>0</v>
      </c>
      <c r="N215" s="1583"/>
    </row>
    <row r="216" spans="1:14" s="181" customFormat="1" ht="21.75" hidden="1" customHeight="1">
      <c r="A216" s="355">
        <v>29</v>
      </c>
      <c r="B216" s="1579" t="str">
        <f>'Chấm công KT'!D205</f>
        <v>03615</v>
      </c>
      <c r="C216" s="1580"/>
      <c r="D216" s="1326" t="str">
        <f>'CNKT '!C218</f>
        <v>T. Xi Nuôn</v>
      </c>
      <c r="E216" s="1326" t="s">
        <v>43</v>
      </c>
      <c r="F216" s="1325">
        <f>VLOOKUP(D216,'CNKT '!$C$190:$F$253,4,0)</f>
        <v>0</v>
      </c>
      <c r="G216" s="1325">
        <f>VLOOKUP(D216,'CNKT '!$C$190:$L$253,10,0)</f>
        <v>0</v>
      </c>
      <c r="H216" s="1325">
        <f>VLOOKUP(D216,'CNKT '!$C$190:$W$253,21,0)</f>
        <v>0</v>
      </c>
      <c r="I216" s="1325">
        <f t="shared" si="16"/>
        <v>0</v>
      </c>
      <c r="J216" s="1325"/>
      <c r="K216" s="1325">
        <f>VLOOKUP(D216,'CNKT '!$C$190:$Z$253,24,0)</f>
        <v>0</v>
      </c>
      <c r="L216" s="1325"/>
      <c r="M216" s="1327">
        <f t="shared" si="17"/>
        <v>0</v>
      </c>
      <c r="N216" s="1583"/>
    </row>
    <row r="217" spans="1:14" s="181" customFormat="1" ht="21.75" hidden="1" customHeight="1">
      <c r="A217" s="355">
        <v>30</v>
      </c>
      <c r="B217" s="1579" t="str">
        <f>'Chấm công KT'!D206</f>
        <v>03616</v>
      </c>
      <c r="C217" s="1580"/>
      <c r="D217" s="1326" t="str">
        <f>'CNKT '!C219</f>
        <v>N. Ốc</v>
      </c>
      <c r="E217" s="1326" t="s">
        <v>43</v>
      </c>
      <c r="F217" s="1325">
        <f>VLOOKUP(D217,'CNKT '!$C$190:$F$253,4,0)</f>
        <v>0</v>
      </c>
      <c r="G217" s="1325">
        <f>VLOOKUP(D217,'CNKT '!$C$190:$L$253,10,0)</f>
        <v>0</v>
      </c>
      <c r="H217" s="1325">
        <f>VLOOKUP(D217,'CNKT '!$C$190:$W$253,21,0)</f>
        <v>0</v>
      </c>
      <c r="I217" s="1325">
        <f t="shared" si="16"/>
        <v>0</v>
      </c>
      <c r="J217" s="1325"/>
      <c r="K217" s="1325">
        <f>VLOOKUP(D217,'CNKT '!$C$190:$Z$253,24,0)</f>
        <v>0</v>
      </c>
      <c r="L217" s="1325"/>
      <c r="M217" s="1327">
        <f t="shared" si="17"/>
        <v>0</v>
      </c>
      <c r="N217" s="1583"/>
    </row>
    <row r="218" spans="1:14" s="181" customFormat="1" ht="21.75" hidden="1" customHeight="1">
      <c r="A218" s="355">
        <v>31</v>
      </c>
      <c r="B218" s="1579" t="str">
        <f>'Chấm công KT'!D207</f>
        <v>03617</v>
      </c>
      <c r="C218" s="1580"/>
      <c r="D218" s="1326" t="str">
        <f>'CNKT '!C220</f>
        <v>T. Văn Nô</v>
      </c>
      <c r="E218" s="1326" t="s">
        <v>43</v>
      </c>
      <c r="F218" s="1325">
        <f>VLOOKUP(D218,'CNKT '!$C$190:$F$253,4,0)</f>
        <v>0</v>
      </c>
      <c r="G218" s="1325">
        <f>VLOOKUP(D218,'CNKT '!$C$190:$L$253,10,0)</f>
        <v>0</v>
      </c>
      <c r="H218" s="1325">
        <f>VLOOKUP(D218,'CNKT '!$C$190:$W$253,21,0)</f>
        <v>0</v>
      </c>
      <c r="I218" s="1325">
        <f t="shared" si="16"/>
        <v>0</v>
      </c>
      <c r="J218" s="1325"/>
      <c r="K218" s="1325">
        <f>VLOOKUP(D218,'CNKT '!$C$190:$Z$253,24,0)</f>
        <v>0</v>
      </c>
      <c r="L218" s="1325"/>
      <c r="M218" s="1327">
        <f t="shared" si="17"/>
        <v>0</v>
      </c>
      <c r="N218" s="1583"/>
    </row>
    <row r="219" spans="1:14" s="181" customFormat="1" ht="21.75" hidden="1" customHeight="1">
      <c r="A219" s="355">
        <v>32</v>
      </c>
      <c r="B219" s="1579" t="str">
        <f>'Chấm công KT'!D208</f>
        <v>03618</v>
      </c>
      <c r="C219" s="1580"/>
      <c r="D219" s="1326" t="str">
        <f>'CNKT '!C221</f>
        <v>N. Văn Ta</v>
      </c>
      <c r="E219" s="1326" t="s">
        <v>43</v>
      </c>
      <c r="F219" s="1325">
        <f>VLOOKUP(D219,'CNKT '!$C$190:$F$253,4,0)</f>
        <v>0</v>
      </c>
      <c r="G219" s="1325">
        <f>VLOOKUP(D219,'CNKT '!$C$190:$L$253,10,0)</f>
        <v>0</v>
      </c>
      <c r="H219" s="1325">
        <f>VLOOKUP(D219,'CNKT '!$C$190:$W$253,21,0)</f>
        <v>0</v>
      </c>
      <c r="I219" s="1325">
        <f t="shared" si="16"/>
        <v>0</v>
      </c>
      <c r="J219" s="1325"/>
      <c r="K219" s="1325">
        <f>VLOOKUP(D219,'CNKT '!$C$190:$Z$253,24,0)</f>
        <v>0</v>
      </c>
      <c r="L219" s="1325"/>
      <c r="M219" s="1327">
        <f t="shared" si="17"/>
        <v>0</v>
      </c>
      <c r="N219" s="1583"/>
    </row>
    <row r="220" spans="1:14" s="181" customFormat="1" ht="21.75" hidden="1" customHeight="1">
      <c r="A220" s="355">
        <v>33</v>
      </c>
      <c r="B220" s="1579" t="str">
        <f>'Chấm công KT'!D209</f>
        <v>03619</v>
      </c>
      <c r="C220" s="1580"/>
      <c r="D220" s="1326" t="str">
        <f>'CNKT '!C222</f>
        <v>T. Thon</v>
      </c>
      <c r="E220" s="1326" t="s">
        <v>43</v>
      </c>
      <c r="F220" s="1325">
        <f>VLOOKUP(D220,'CNKT '!$C$190:$F$253,4,0)</f>
        <v>0</v>
      </c>
      <c r="G220" s="1325">
        <f>VLOOKUP(D220,'CNKT '!$C$190:$L$253,10,0)</f>
        <v>0</v>
      </c>
      <c r="H220" s="1325">
        <f>VLOOKUP(D220,'CNKT '!$C$190:$W$253,21,0)</f>
        <v>0</v>
      </c>
      <c r="I220" s="1325">
        <f t="shared" si="16"/>
        <v>0</v>
      </c>
      <c r="J220" s="1325"/>
      <c r="K220" s="1325">
        <f>VLOOKUP(D220,'CNKT '!$C$190:$Z$253,24,0)</f>
        <v>0</v>
      </c>
      <c r="L220" s="1325"/>
      <c r="M220" s="1327">
        <f t="shared" si="17"/>
        <v>0</v>
      </c>
      <c r="N220" s="1583"/>
    </row>
    <row r="221" spans="1:14" s="181" customFormat="1" ht="21.75" hidden="1" customHeight="1">
      <c r="A221" s="355">
        <v>34</v>
      </c>
      <c r="B221" s="1579" t="str">
        <f>'Chấm công KT'!D210</f>
        <v>03620</v>
      </c>
      <c r="C221" s="1580"/>
      <c r="D221" s="1326" t="str">
        <f>'CNKT '!C223</f>
        <v>Bun Thon</v>
      </c>
      <c r="E221" s="1326" t="s">
        <v>43</v>
      </c>
      <c r="F221" s="1325">
        <f>VLOOKUP(D221,'CNKT '!$C$190:$F$253,4,0)</f>
        <v>0</v>
      </c>
      <c r="G221" s="1325">
        <f>VLOOKUP(D221,'CNKT '!$C$190:$L$253,10,0)</f>
        <v>0</v>
      </c>
      <c r="H221" s="1325">
        <f>VLOOKUP(D221,'CNKT '!$C$190:$W$253,21,0)</f>
        <v>0</v>
      </c>
      <c r="I221" s="1325">
        <f t="shared" si="16"/>
        <v>0</v>
      </c>
      <c r="J221" s="1325"/>
      <c r="K221" s="1325">
        <f>VLOOKUP(D221,'CNKT '!$C$190:$Z$253,24,0)</f>
        <v>0</v>
      </c>
      <c r="L221" s="1325"/>
      <c r="M221" s="1327">
        <f t="shared" si="17"/>
        <v>0</v>
      </c>
      <c r="N221" s="1583"/>
    </row>
    <row r="222" spans="1:14" s="181" customFormat="1" ht="21.75" hidden="1" customHeight="1">
      <c r="A222" s="355">
        <v>35</v>
      </c>
      <c r="B222" s="1579" t="str">
        <f>'Chấm công KT'!D211</f>
        <v>03532</v>
      </c>
      <c r="C222" s="1580"/>
      <c r="D222" s="1326" t="str">
        <f>'CNKT '!C224</f>
        <v>N. Túc</v>
      </c>
      <c r="E222" s="1326" t="s">
        <v>43</v>
      </c>
      <c r="F222" s="1325">
        <f>VLOOKUP(D222,'CNKT '!$C$190:$F$253,4,0)</f>
        <v>0</v>
      </c>
      <c r="G222" s="1325">
        <f>VLOOKUP(D222,'CNKT '!$C$190:$L$253,10,0)</f>
        <v>0</v>
      </c>
      <c r="H222" s="1325">
        <f>VLOOKUP(D222,'CNKT '!$C$190:$W$253,21,0)</f>
        <v>0</v>
      </c>
      <c r="I222" s="1325">
        <f t="shared" si="16"/>
        <v>0</v>
      </c>
      <c r="J222" s="1325"/>
      <c r="K222" s="1325">
        <f>VLOOKUP(D222,'CNKT '!$C$190:$Z$253,24,0)</f>
        <v>0</v>
      </c>
      <c r="L222" s="1325"/>
      <c r="M222" s="1327">
        <f t="shared" si="17"/>
        <v>0</v>
      </c>
      <c r="N222" s="1583"/>
    </row>
    <row r="223" spans="1:14" s="181" customFormat="1" ht="21.75" hidden="1" customHeight="1">
      <c r="A223" s="355">
        <v>36</v>
      </c>
      <c r="B223" s="1579" t="str">
        <f>'Chấm công KT'!D212</f>
        <v>03622</v>
      </c>
      <c r="C223" s="1580"/>
      <c r="D223" s="1326" t="str">
        <f>'CNKT '!C225</f>
        <v>N. Xeo Khăm</v>
      </c>
      <c r="E223" s="1326" t="s">
        <v>43</v>
      </c>
      <c r="F223" s="1325">
        <f>VLOOKUP(D223,'CNKT '!$C$190:$F$253,4,0)</f>
        <v>0</v>
      </c>
      <c r="G223" s="1325">
        <f>VLOOKUP(D223,'CNKT '!$C$190:$L$253,10,0)</f>
        <v>0</v>
      </c>
      <c r="H223" s="1325">
        <f>VLOOKUP(D223,'CNKT '!$C$190:$W$253,21,0)</f>
        <v>0</v>
      </c>
      <c r="I223" s="1325">
        <f t="shared" si="16"/>
        <v>0</v>
      </c>
      <c r="J223" s="1325"/>
      <c r="K223" s="1325">
        <f>VLOOKUP(D223,'CNKT '!$C$190:$Z$253,24,0)</f>
        <v>0</v>
      </c>
      <c r="L223" s="1325"/>
      <c r="M223" s="1327">
        <f t="shared" si="17"/>
        <v>0</v>
      </c>
      <c r="N223" s="1583"/>
    </row>
    <row r="224" spans="1:14" s="181" customFormat="1" ht="21.75" hidden="1" customHeight="1">
      <c r="A224" s="355">
        <v>37</v>
      </c>
      <c r="B224" s="1579" t="str">
        <f>'Chấm công KT'!D213</f>
        <v>03623</v>
      </c>
      <c r="C224" s="1580"/>
      <c r="D224" s="1326" t="str">
        <f>'CNKT '!C226</f>
        <v>T. Khăm...</v>
      </c>
      <c r="E224" s="1326" t="s">
        <v>43</v>
      </c>
      <c r="F224" s="1325">
        <f>VLOOKUP(D224,'CNKT '!$C$190:$F$253,4,0)</f>
        <v>0</v>
      </c>
      <c r="G224" s="1325">
        <f>VLOOKUP(D224,'CNKT '!$C$190:$L$253,10,0)</f>
        <v>0</v>
      </c>
      <c r="H224" s="1325">
        <f>VLOOKUP(D224,'CNKT '!$C$190:$W$253,21,0)</f>
        <v>0</v>
      </c>
      <c r="I224" s="1325">
        <f t="shared" si="16"/>
        <v>0</v>
      </c>
      <c r="J224" s="1325"/>
      <c r="K224" s="1325">
        <f>VLOOKUP(D224,'CNKT '!$C$190:$Z$253,24,0)</f>
        <v>0</v>
      </c>
      <c r="L224" s="1325"/>
      <c r="M224" s="1327">
        <f t="shared" si="17"/>
        <v>0</v>
      </c>
      <c r="N224" s="1583"/>
    </row>
    <row r="225" spans="1:14" s="181" customFormat="1" ht="21.75" hidden="1" customHeight="1">
      <c r="A225" s="355">
        <v>38</v>
      </c>
      <c r="B225" s="1579"/>
      <c r="C225" s="1580"/>
      <c r="D225" s="1326" t="str">
        <f>'CNKT '!C227</f>
        <v>T. Đôn</v>
      </c>
      <c r="E225" s="1326" t="s">
        <v>43</v>
      </c>
      <c r="F225" s="1325">
        <f>VLOOKUP(D225,'CNKT '!$C$190:$F$253,4,0)</f>
        <v>0</v>
      </c>
      <c r="G225" s="1325">
        <f>VLOOKUP(D225,'CNKT '!$C$190:$L$253,10,0)</f>
        <v>0</v>
      </c>
      <c r="H225" s="1325">
        <f>VLOOKUP(D225,'CNKT '!$C$190:$W$253,21,0)</f>
        <v>0</v>
      </c>
      <c r="I225" s="1325">
        <f t="shared" si="16"/>
        <v>0</v>
      </c>
      <c r="J225" s="1325"/>
      <c r="K225" s="1325">
        <f>VLOOKUP(D225,'CNKT '!$C$190:$Z$253,24,0)</f>
        <v>0</v>
      </c>
      <c r="L225" s="1325"/>
      <c r="M225" s="1327">
        <f t="shared" si="17"/>
        <v>0</v>
      </c>
      <c r="N225" s="1583"/>
    </row>
    <row r="226" spans="1:14" s="181" customFormat="1" ht="21.75" hidden="1" customHeight="1">
      <c r="A226" s="355">
        <v>39</v>
      </c>
      <c r="B226" s="1579" t="str">
        <f>'Chấm công KT'!D215</f>
        <v>03625</v>
      </c>
      <c r="C226" s="1580"/>
      <c r="D226" s="1326" t="str">
        <f>'CNKT '!C228</f>
        <v>N. Pheng</v>
      </c>
      <c r="E226" s="1326" t="s">
        <v>43</v>
      </c>
      <c r="F226" s="1325">
        <f>VLOOKUP(D226,'CNKT '!$C$190:$F$253,4,0)</f>
        <v>0</v>
      </c>
      <c r="G226" s="1325">
        <f>VLOOKUP(D226,'CNKT '!$C$190:$L$253,10,0)</f>
        <v>0</v>
      </c>
      <c r="H226" s="1325">
        <f>VLOOKUP(D226,'CNKT '!$C$190:$W$253,21,0)</f>
        <v>0</v>
      </c>
      <c r="I226" s="1325">
        <f t="shared" si="16"/>
        <v>0</v>
      </c>
      <c r="J226" s="1325"/>
      <c r="K226" s="1325">
        <f>VLOOKUP(D226,'CNKT '!$C$190:$Z$253,24,0)</f>
        <v>0</v>
      </c>
      <c r="L226" s="1325"/>
      <c r="M226" s="1327">
        <f t="shared" si="17"/>
        <v>0</v>
      </c>
      <c r="N226" s="1583"/>
    </row>
    <row r="227" spans="1:14" s="181" customFormat="1" ht="21.75" hidden="1" customHeight="1">
      <c r="A227" s="355">
        <v>40</v>
      </c>
      <c r="B227" s="1579" t="str">
        <f>'Chấm công KT'!D216</f>
        <v>03587</v>
      </c>
      <c r="C227" s="1580"/>
      <c r="D227" s="1326" t="str">
        <f>'CNKT '!C229</f>
        <v>N. Mom</v>
      </c>
      <c r="E227" s="1326" t="s">
        <v>43</v>
      </c>
      <c r="F227" s="1325">
        <f>VLOOKUP(D227,'CNKT '!$C$190:$F$253,4,0)</f>
        <v>0</v>
      </c>
      <c r="G227" s="1325">
        <f>VLOOKUP(D227,'CNKT '!$C$190:$L$253,10,0)</f>
        <v>0</v>
      </c>
      <c r="H227" s="1325">
        <f>VLOOKUP(D227,'CNKT '!$C$190:$W$253,21,0)</f>
        <v>0</v>
      </c>
      <c r="I227" s="1325">
        <f t="shared" si="16"/>
        <v>0</v>
      </c>
      <c r="J227" s="1325"/>
      <c r="K227" s="1325">
        <f>VLOOKUP(D227,'CNKT '!$C$190:$Z$253,24,0)</f>
        <v>0</v>
      </c>
      <c r="L227" s="1325"/>
      <c r="M227" s="1327">
        <f t="shared" si="17"/>
        <v>0</v>
      </c>
      <c r="N227" s="1583"/>
    </row>
    <row r="228" spans="1:14" s="181" customFormat="1" ht="21.75" hidden="1" customHeight="1">
      <c r="A228" s="355">
        <v>41</v>
      </c>
      <c r="B228" s="1579" t="str">
        <f>'Chấm công KT'!D217</f>
        <v>03627</v>
      </c>
      <c r="C228" s="1580"/>
      <c r="D228" s="1326" t="str">
        <f>'CNKT '!C230</f>
        <v>Phắt Ta Na</v>
      </c>
      <c r="E228" s="1326" t="s">
        <v>43</v>
      </c>
      <c r="F228" s="1325">
        <f>VLOOKUP(D228,'CNKT '!$C$190:$F$253,4,0)</f>
        <v>0</v>
      </c>
      <c r="G228" s="1325">
        <f>VLOOKUP(D228,'CNKT '!$C$190:$L$253,10,0)</f>
        <v>0</v>
      </c>
      <c r="H228" s="1325">
        <f>VLOOKUP(D228,'CNKT '!$C$190:$W$253,21,0)</f>
        <v>0</v>
      </c>
      <c r="I228" s="1325">
        <f t="shared" si="16"/>
        <v>0</v>
      </c>
      <c r="J228" s="1325"/>
      <c r="K228" s="1325">
        <f>VLOOKUP(D228,'CNKT '!$C$190:$Z$253,24,0)</f>
        <v>0</v>
      </c>
      <c r="L228" s="1325"/>
      <c r="M228" s="1327">
        <f t="shared" si="17"/>
        <v>0</v>
      </c>
      <c r="N228" s="1583"/>
    </row>
    <row r="229" spans="1:14" s="181" customFormat="1" ht="21.75" hidden="1" customHeight="1">
      <c r="A229" s="355">
        <v>42</v>
      </c>
      <c r="B229" s="1579" t="str">
        <f>'Chấm công KT'!D218</f>
        <v>03628</v>
      </c>
      <c r="C229" s="1580"/>
      <c r="D229" s="1326" t="str">
        <f>'CNKT '!C231</f>
        <v>Khăn Hạ</v>
      </c>
      <c r="E229" s="1326" t="s">
        <v>43</v>
      </c>
      <c r="F229" s="1325">
        <f>VLOOKUP(D229,'CNKT '!$C$190:$F$253,4,0)</f>
        <v>0</v>
      </c>
      <c r="G229" s="1325">
        <f>VLOOKUP(D229,'CNKT '!$C$190:$L$253,10,0)</f>
        <v>0</v>
      </c>
      <c r="H229" s="1325">
        <f>VLOOKUP(D229,'CNKT '!$C$190:$W$253,21,0)</f>
        <v>0</v>
      </c>
      <c r="I229" s="1325">
        <f t="shared" si="16"/>
        <v>0</v>
      </c>
      <c r="J229" s="1325"/>
      <c r="K229" s="1325">
        <f>VLOOKUP(D229,'CNKT '!$C$190:$Z$253,24,0)</f>
        <v>0</v>
      </c>
      <c r="L229" s="1325"/>
      <c r="M229" s="1327">
        <f t="shared" si="17"/>
        <v>0</v>
      </c>
      <c r="N229" s="1583"/>
    </row>
    <row r="230" spans="1:14" s="181" customFormat="1" ht="21.75" hidden="1" customHeight="1">
      <c r="A230" s="355">
        <v>43</v>
      </c>
      <c r="B230" s="1579" t="str">
        <f>'Chấm công KT'!D219</f>
        <v>03629</v>
      </c>
      <c r="C230" s="1580"/>
      <c r="D230" s="1326" t="str">
        <f>'CNKT '!C232</f>
        <v>T. Chăn La .</v>
      </c>
      <c r="E230" s="1326" t="s">
        <v>43</v>
      </c>
      <c r="F230" s="1325">
        <f>VLOOKUP(D230,'CNKT '!$C$190:$F$253,4,0)</f>
        <v>0</v>
      </c>
      <c r="G230" s="1325">
        <f>VLOOKUP(D230,'CNKT '!$C$190:$L$253,10,0)</f>
        <v>0</v>
      </c>
      <c r="H230" s="1325">
        <f>VLOOKUP(D230,'CNKT '!$C$190:$W$253,21,0)</f>
        <v>0</v>
      </c>
      <c r="I230" s="1325">
        <f t="shared" si="16"/>
        <v>0</v>
      </c>
      <c r="J230" s="1325"/>
      <c r="K230" s="1325">
        <f>VLOOKUP(D230,'CNKT '!$C$190:$Z$253,24,0)</f>
        <v>0</v>
      </c>
      <c r="L230" s="1325"/>
      <c r="M230" s="1327">
        <f t="shared" si="17"/>
        <v>0</v>
      </c>
      <c r="N230" s="1583"/>
    </row>
    <row r="231" spans="1:14" s="181" customFormat="1" ht="21.75" hidden="1" customHeight="1">
      <c r="A231" s="355">
        <v>44</v>
      </c>
      <c r="B231" s="1579" t="str">
        <f>'Chấm công KT'!D220</f>
        <v>03630</v>
      </c>
      <c r="C231" s="1580"/>
      <c r="D231" s="1326" t="str">
        <f>'CNKT '!C233</f>
        <v>T. Nú</v>
      </c>
      <c r="E231" s="1326" t="s">
        <v>43</v>
      </c>
      <c r="F231" s="1325">
        <f>VLOOKUP(D231,'CNKT '!$C$190:$F$253,4,0)</f>
        <v>0</v>
      </c>
      <c r="G231" s="1325">
        <f>VLOOKUP(D231,'CNKT '!$C$190:$L$253,10,0)</f>
        <v>0</v>
      </c>
      <c r="H231" s="1325">
        <f>VLOOKUP(D231,'CNKT '!$C$190:$W$253,21,0)</f>
        <v>0</v>
      </c>
      <c r="I231" s="1325">
        <f t="shared" si="16"/>
        <v>0</v>
      </c>
      <c r="J231" s="1325"/>
      <c r="K231" s="1325">
        <f>VLOOKUP(D231,'CNKT '!$C$190:$Z$253,24,0)</f>
        <v>0</v>
      </c>
      <c r="L231" s="1325"/>
      <c r="M231" s="1327">
        <f t="shared" si="17"/>
        <v>0</v>
      </c>
      <c r="N231" s="1583"/>
    </row>
    <row r="232" spans="1:14" s="181" customFormat="1" ht="21.75" hidden="1" customHeight="1">
      <c r="A232" s="355">
        <v>45</v>
      </c>
      <c r="B232" s="1579" t="str">
        <f>'Chấm công KT'!D221</f>
        <v>03631</v>
      </c>
      <c r="C232" s="1580"/>
      <c r="D232" s="1326" t="str">
        <f>'CNKT '!C234</f>
        <v>T. Xan Nha</v>
      </c>
      <c r="E232" s="1326" t="s">
        <v>43</v>
      </c>
      <c r="F232" s="1325">
        <f>VLOOKUP(D232,'CNKT '!$C$190:$F$253,4,0)</f>
        <v>0</v>
      </c>
      <c r="G232" s="1325">
        <f>VLOOKUP(D232,'CNKT '!$C$190:$L$253,10,0)</f>
        <v>0</v>
      </c>
      <c r="H232" s="1325">
        <f>VLOOKUP(D232,'CNKT '!$C$190:$W$253,21,0)</f>
        <v>0</v>
      </c>
      <c r="I232" s="1325">
        <f t="shared" si="16"/>
        <v>0</v>
      </c>
      <c r="J232" s="1325"/>
      <c r="K232" s="1325">
        <f>VLOOKUP(D232,'CNKT '!$C$190:$Z$253,24,0)</f>
        <v>0</v>
      </c>
      <c r="L232" s="1325"/>
      <c r="M232" s="1327">
        <f t="shared" si="17"/>
        <v>0</v>
      </c>
      <c r="N232" s="1583"/>
    </row>
    <row r="233" spans="1:14" s="181" customFormat="1" ht="21.75" hidden="1" customHeight="1">
      <c r="A233" s="355">
        <v>46</v>
      </c>
      <c r="B233" s="1579" t="str">
        <f>'Chấm công KT'!D222</f>
        <v>03632</v>
      </c>
      <c r="C233" s="1580"/>
      <c r="D233" s="1326" t="str">
        <f>'CNKT '!C235</f>
        <v>T. A lem</v>
      </c>
      <c r="E233" s="1326" t="s">
        <v>43</v>
      </c>
      <c r="F233" s="1325">
        <f>VLOOKUP(D233,'CNKT '!$C$190:$F$253,4,0)</f>
        <v>0</v>
      </c>
      <c r="G233" s="1325">
        <f>VLOOKUP(D233,'CNKT '!$C$190:$L$253,10,0)</f>
        <v>0</v>
      </c>
      <c r="H233" s="1325">
        <f>VLOOKUP(D233,'CNKT '!$C$190:$W$253,21,0)</f>
        <v>0</v>
      </c>
      <c r="I233" s="1325">
        <f t="shared" si="16"/>
        <v>0</v>
      </c>
      <c r="J233" s="1325"/>
      <c r="K233" s="1325">
        <f>VLOOKUP(D233,'CNKT '!$C$190:$Z$253,24,0)</f>
        <v>0</v>
      </c>
      <c r="L233" s="1325"/>
      <c r="M233" s="1327">
        <f t="shared" si="17"/>
        <v>0</v>
      </c>
      <c r="N233" s="1583"/>
    </row>
    <row r="234" spans="1:14" s="181" customFormat="1" ht="21.75" hidden="1" customHeight="1">
      <c r="A234" s="355">
        <v>47</v>
      </c>
      <c r="B234" s="1579" t="str">
        <f>'Chấm công KT'!D223</f>
        <v>03633</v>
      </c>
      <c r="C234" s="1580"/>
      <c r="D234" s="1326" t="str">
        <f>'CNKT '!C236</f>
        <v>T. Chăn</v>
      </c>
      <c r="E234" s="1326" t="s">
        <v>43</v>
      </c>
      <c r="F234" s="1325">
        <f>VLOOKUP(D234,'CNKT '!$C$190:$F$253,4,0)</f>
        <v>0</v>
      </c>
      <c r="G234" s="1325">
        <f>VLOOKUP(D234,'CNKT '!$C$190:$L$253,10,0)</f>
        <v>0</v>
      </c>
      <c r="H234" s="1325">
        <f>VLOOKUP(D234,'CNKT '!$C$190:$W$253,21,0)</f>
        <v>0</v>
      </c>
      <c r="I234" s="1325">
        <f t="shared" si="16"/>
        <v>0</v>
      </c>
      <c r="J234" s="1325"/>
      <c r="K234" s="1325">
        <f>VLOOKUP(D234,'CNKT '!$C$190:$Z$253,24,0)</f>
        <v>0</v>
      </c>
      <c r="L234" s="1325"/>
      <c r="M234" s="1327">
        <f t="shared" si="17"/>
        <v>0</v>
      </c>
      <c r="N234" s="1583"/>
    </row>
    <row r="235" spans="1:14" s="181" customFormat="1" ht="21.75" hidden="1" customHeight="1">
      <c r="A235" s="355">
        <v>48</v>
      </c>
      <c r="B235" s="1579" t="str">
        <f>'Chấm công KT'!D224</f>
        <v>03634</v>
      </c>
      <c r="C235" s="1580"/>
      <c r="D235" s="1326" t="str">
        <f>'CNKT '!C237</f>
        <v>T . Cổ</v>
      </c>
      <c r="E235" s="1326" t="s">
        <v>43</v>
      </c>
      <c r="F235" s="1325">
        <f>VLOOKUP(D235,'CNKT '!$C$190:$F$253,4,0)</f>
        <v>0</v>
      </c>
      <c r="G235" s="1325">
        <f>VLOOKUP(D235,'CNKT '!$C$190:$L$253,10,0)</f>
        <v>0</v>
      </c>
      <c r="H235" s="1325">
        <f>VLOOKUP(D235,'CNKT '!$C$190:$W$253,21,0)</f>
        <v>0</v>
      </c>
      <c r="I235" s="1325">
        <f t="shared" si="16"/>
        <v>0</v>
      </c>
      <c r="J235" s="1325"/>
      <c r="K235" s="1325">
        <f>VLOOKUP(D235,'CNKT '!$C$190:$Z$253,24,0)</f>
        <v>0</v>
      </c>
      <c r="L235" s="1325"/>
      <c r="M235" s="1327">
        <f t="shared" si="17"/>
        <v>0</v>
      </c>
      <c r="N235" s="1583"/>
    </row>
    <row r="236" spans="1:14" s="181" customFormat="1" ht="21.75" hidden="1" customHeight="1">
      <c r="A236" s="355">
        <v>49</v>
      </c>
      <c r="B236" s="1579" t="str">
        <f>'Chấm công KT'!D225</f>
        <v>03635</v>
      </c>
      <c r="C236" s="1580"/>
      <c r="D236" s="1326" t="str">
        <f>'CNKT '!C238</f>
        <v>N. Phim Pha</v>
      </c>
      <c r="E236" s="1326" t="s">
        <v>43</v>
      </c>
      <c r="F236" s="1325">
        <f>VLOOKUP(D236,'CNKT '!$C$190:$F$253,4,0)</f>
        <v>0</v>
      </c>
      <c r="G236" s="1325">
        <f>VLOOKUP(D236,'CNKT '!$C$190:$L$253,10,0)</f>
        <v>0</v>
      </c>
      <c r="H236" s="1325">
        <f>VLOOKUP(D236,'CNKT '!$C$190:$W$253,21,0)</f>
        <v>0</v>
      </c>
      <c r="I236" s="1325">
        <f t="shared" si="16"/>
        <v>0</v>
      </c>
      <c r="J236" s="1325"/>
      <c r="K236" s="1325">
        <f>VLOOKUP(D236,'CNKT '!$C$190:$Z$253,24,0)</f>
        <v>0</v>
      </c>
      <c r="L236" s="1325"/>
      <c r="M236" s="1327">
        <f t="shared" si="17"/>
        <v>0</v>
      </c>
      <c r="N236" s="1583"/>
    </row>
    <row r="237" spans="1:14" s="181" customFormat="1" ht="21.75" hidden="1" customHeight="1">
      <c r="A237" s="355">
        <v>50</v>
      </c>
      <c r="B237" s="1579" t="str">
        <f>'Chấm công KT'!D226</f>
        <v>03636</v>
      </c>
      <c r="C237" s="1580"/>
      <c r="D237" s="1326" t="str">
        <f>'CNKT '!C239</f>
        <v xml:space="preserve">T. Xeng </v>
      </c>
      <c r="E237" s="1326" t="s">
        <v>43</v>
      </c>
      <c r="F237" s="1325">
        <f>VLOOKUP(D237,'CNKT '!$C$190:$F$253,4,0)</f>
        <v>0</v>
      </c>
      <c r="G237" s="1325">
        <f>VLOOKUP(D237,'CNKT '!$C$190:$L$253,10,0)</f>
        <v>0</v>
      </c>
      <c r="H237" s="1325">
        <f>VLOOKUP(D237,'CNKT '!$C$190:$W$253,21,0)</f>
        <v>0</v>
      </c>
      <c r="I237" s="1325">
        <f t="shared" si="16"/>
        <v>0</v>
      </c>
      <c r="J237" s="1325"/>
      <c r="K237" s="1325">
        <f>VLOOKUP(D237,'CNKT '!$C$190:$Z$253,24,0)</f>
        <v>0</v>
      </c>
      <c r="L237" s="1325"/>
      <c r="M237" s="1327">
        <f t="shared" si="17"/>
        <v>0</v>
      </c>
      <c r="N237" s="1583"/>
    </row>
    <row r="238" spans="1:14" s="181" customFormat="1" ht="21.75" hidden="1" customHeight="1">
      <c r="A238" s="355">
        <v>51</v>
      </c>
      <c r="B238" s="1579" t="str">
        <f>'Chấm công KT'!D227</f>
        <v>03637</v>
      </c>
      <c r="C238" s="1580"/>
      <c r="D238" s="1326" t="str">
        <f>'CNKT '!C240</f>
        <v>T. Vạt</v>
      </c>
      <c r="E238" s="1326" t="s">
        <v>43</v>
      </c>
      <c r="F238" s="1325">
        <f>VLOOKUP(D238,'CNKT '!$C$190:$F$253,4,0)</f>
        <v>0</v>
      </c>
      <c r="G238" s="1325">
        <f>VLOOKUP(D238,'CNKT '!$C$190:$L$253,10,0)</f>
        <v>0</v>
      </c>
      <c r="H238" s="1325">
        <f>VLOOKUP(D238,'CNKT '!$C$190:$W$253,21,0)</f>
        <v>0</v>
      </c>
      <c r="I238" s="1325">
        <f t="shared" si="16"/>
        <v>0</v>
      </c>
      <c r="J238" s="1325"/>
      <c r="K238" s="1325">
        <f>VLOOKUP(D238,'CNKT '!$C$190:$Z$253,24,0)</f>
        <v>0</v>
      </c>
      <c r="L238" s="1325"/>
      <c r="M238" s="1327">
        <f t="shared" si="17"/>
        <v>0</v>
      </c>
      <c r="N238" s="1583"/>
    </row>
    <row r="239" spans="1:14" s="181" customFormat="1" ht="21.75" hidden="1" customHeight="1">
      <c r="A239" s="355">
        <v>52</v>
      </c>
      <c r="B239" s="1579" t="str">
        <f>'Chấm công KT'!D228</f>
        <v>03638</v>
      </c>
      <c r="C239" s="1580"/>
      <c r="D239" s="1326" t="str">
        <f>'CNKT '!C241</f>
        <v>T. Lay</v>
      </c>
      <c r="E239" s="1326" t="s">
        <v>43</v>
      </c>
      <c r="F239" s="1325">
        <f>VLOOKUP(D239,'CNKT '!$C$190:$F$253,4,0)</f>
        <v>0</v>
      </c>
      <c r="G239" s="1325">
        <f>VLOOKUP(D239,'CNKT '!$C$190:$L$253,10,0)</f>
        <v>0</v>
      </c>
      <c r="H239" s="1325">
        <f>VLOOKUP(D239,'CNKT '!$C$190:$W$253,21,0)</f>
        <v>0</v>
      </c>
      <c r="I239" s="1325">
        <f t="shared" si="16"/>
        <v>0</v>
      </c>
      <c r="J239" s="1325"/>
      <c r="K239" s="1325">
        <f>VLOOKUP(D239,'CNKT '!$C$190:$Z$253,24,0)</f>
        <v>0</v>
      </c>
      <c r="L239" s="1325"/>
      <c r="M239" s="1327">
        <f t="shared" si="17"/>
        <v>0</v>
      </c>
      <c r="N239" s="1583"/>
    </row>
    <row r="240" spans="1:14" s="181" customFormat="1" ht="21.75" hidden="1" customHeight="1">
      <c r="A240" s="355">
        <v>53</v>
      </c>
      <c r="B240" s="1579" t="str">
        <f>'Chấm công KT'!D229</f>
        <v>03639</v>
      </c>
      <c r="C240" s="1580"/>
      <c r="D240" s="1326" t="str">
        <f>'CNKT '!C242</f>
        <v>Lăm Thon</v>
      </c>
      <c r="E240" s="1326" t="s">
        <v>43</v>
      </c>
      <c r="F240" s="1325">
        <f>VLOOKUP(D240,'CNKT '!$C$190:$F$253,4,0)</f>
        <v>0</v>
      </c>
      <c r="G240" s="1325">
        <f>VLOOKUP(D240,'CNKT '!$C$190:$L$253,10,0)</f>
        <v>0</v>
      </c>
      <c r="H240" s="1325">
        <f>VLOOKUP(D240,'CNKT '!$C$190:$W$253,21,0)</f>
        <v>0</v>
      </c>
      <c r="I240" s="1325">
        <f t="shared" si="16"/>
        <v>0</v>
      </c>
      <c r="J240" s="1325"/>
      <c r="K240" s="1325">
        <f>VLOOKUP(D240,'CNKT '!$C$190:$Z$253,24,0)</f>
        <v>0</v>
      </c>
      <c r="L240" s="1325"/>
      <c r="M240" s="1327">
        <f t="shared" si="17"/>
        <v>0</v>
      </c>
      <c r="N240" s="1583"/>
    </row>
    <row r="241" spans="1:16" s="181" customFormat="1" ht="21.75" hidden="1" customHeight="1">
      <c r="A241" s="355">
        <v>54</v>
      </c>
      <c r="B241" s="1579"/>
      <c r="C241" s="1580"/>
      <c r="D241" s="1326" t="str">
        <f>'CNKT '!C243</f>
        <v>T Bun Xi</v>
      </c>
      <c r="E241" s="1326" t="s">
        <v>43</v>
      </c>
      <c r="F241" s="1325">
        <f>VLOOKUP(D241,'CNKT '!$C$190:$F$253,4,0)</f>
        <v>0</v>
      </c>
      <c r="G241" s="1325">
        <f>VLOOKUP(D241,'CNKT '!$C$190:$L$253,10,0)</f>
        <v>0</v>
      </c>
      <c r="H241" s="1325">
        <f>VLOOKUP(D241,'CNKT '!$C$190:$W$253,21,0)</f>
        <v>0</v>
      </c>
      <c r="I241" s="1325">
        <f t="shared" si="16"/>
        <v>0</v>
      </c>
      <c r="J241" s="1325"/>
      <c r="K241" s="1325">
        <f>VLOOKUP(D241,'CNKT '!$C$190:$Z$253,24,0)</f>
        <v>0</v>
      </c>
      <c r="L241" s="1325"/>
      <c r="M241" s="1327">
        <f t="shared" si="17"/>
        <v>0</v>
      </c>
      <c r="N241" s="1583"/>
    </row>
    <row r="242" spans="1:16" s="181" customFormat="1" ht="21.75" hidden="1" customHeight="1">
      <c r="A242" s="355">
        <v>55</v>
      </c>
      <c r="B242" s="1579" t="str">
        <f>'Chấm công KT'!D231</f>
        <v>03641</v>
      </c>
      <c r="C242" s="1580"/>
      <c r="D242" s="1326" t="str">
        <f>'CNKT '!C244</f>
        <v>Xô La</v>
      </c>
      <c r="E242" s="1326" t="s">
        <v>43</v>
      </c>
      <c r="F242" s="1325">
        <f>VLOOKUP(D242,'CNKT '!$C$190:$F$253,4,0)</f>
        <v>0</v>
      </c>
      <c r="G242" s="1325">
        <f>VLOOKUP(D242,'CNKT '!$C$190:$L$253,10,0)</f>
        <v>0</v>
      </c>
      <c r="H242" s="1325">
        <f>VLOOKUP(D242,'CNKT '!$C$190:$W$253,21,0)</f>
        <v>0</v>
      </c>
      <c r="I242" s="1325">
        <f t="shared" si="16"/>
        <v>0</v>
      </c>
      <c r="J242" s="1325"/>
      <c r="K242" s="1325">
        <f>VLOOKUP(D242,'CNKT '!$C$190:$Z$253,24,0)</f>
        <v>0</v>
      </c>
      <c r="L242" s="1325"/>
      <c r="M242" s="1327">
        <f t="shared" si="17"/>
        <v>0</v>
      </c>
      <c r="N242" s="1583"/>
    </row>
    <row r="243" spans="1:16" s="181" customFormat="1" ht="21.75" hidden="1" customHeight="1">
      <c r="A243" s="355">
        <v>56</v>
      </c>
      <c r="B243" s="1579" t="str">
        <f>'Chấm công KT'!D232</f>
        <v>03642</v>
      </c>
      <c r="C243" s="1580"/>
      <c r="D243" s="1326" t="str">
        <f>'CNKT '!C245</f>
        <v>T. Xơn</v>
      </c>
      <c r="E243" s="1326" t="s">
        <v>43</v>
      </c>
      <c r="F243" s="1325">
        <f>VLOOKUP(D243,'CNKT '!$C$190:$F$253,4,0)</f>
        <v>0</v>
      </c>
      <c r="G243" s="1325">
        <f>VLOOKUP(D243,'CNKT '!$C$190:$L$253,10,0)</f>
        <v>0</v>
      </c>
      <c r="H243" s="1325">
        <f>VLOOKUP(D243,'CNKT '!$C$190:$W$253,21,0)</f>
        <v>0</v>
      </c>
      <c r="I243" s="1325">
        <f t="shared" si="16"/>
        <v>0</v>
      </c>
      <c r="J243" s="1325"/>
      <c r="K243" s="1325">
        <f>VLOOKUP(D243,'CNKT '!$C$190:$Z$253,24,0)</f>
        <v>0</v>
      </c>
      <c r="L243" s="1325"/>
      <c r="M243" s="1327">
        <f t="shared" si="17"/>
        <v>0</v>
      </c>
      <c r="N243" s="1583"/>
    </row>
    <row r="244" spans="1:16" s="181" customFormat="1" ht="21.75" hidden="1" customHeight="1">
      <c r="A244" s="355">
        <v>57</v>
      </c>
      <c r="B244" s="1579"/>
      <c r="C244" s="1580"/>
      <c r="D244" s="1326" t="str">
        <f>'CNKT '!C246</f>
        <v>T. K Đăm</v>
      </c>
      <c r="E244" s="1326" t="s">
        <v>43</v>
      </c>
      <c r="F244" s="1325">
        <f>VLOOKUP(D244,'CNKT '!$C$190:$F$253,4,0)</f>
        <v>0</v>
      </c>
      <c r="G244" s="1325">
        <f>VLOOKUP(D244,'CNKT '!$C$190:$L$253,10,0)</f>
        <v>0</v>
      </c>
      <c r="H244" s="1325">
        <f>VLOOKUP(D244,'CNKT '!$C$190:$W$253,21,0)</f>
        <v>0</v>
      </c>
      <c r="I244" s="1325">
        <f t="shared" si="16"/>
        <v>0</v>
      </c>
      <c r="J244" s="1325"/>
      <c r="K244" s="1325">
        <f>VLOOKUP(D244,'CNKT '!$C$190:$Z$253,24,0)</f>
        <v>0</v>
      </c>
      <c r="L244" s="1325"/>
      <c r="M244" s="1327">
        <f t="shared" si="17"/>
        <v>0</v>
      </c>
      <c r="N244" s="1583"/>
    </row>
    <row r="245" spans="1:16" s="181" customFormat="1" ht="21.75" hidden="1" customHeight="1">
      <c r="A245" s="355">
        <v>58</v>
      </c>
      <c r="B245" s="1579"/>
      <c r="C245" s="1580"/>
      <c r="D245" s="1326" t="str">
        <f>'CNKT '!C247</f>
        <v>N. Nô La</v>
      </c>
      <c r="E245" s="1326" t="s">
        <v>43</v>
      </c>
      <c r="F245" s="1325">
        <f>VLOOKUP(D245,'CNKT '!$C$190:$F$253,4,0)</f>
        <v>0</v>
      </c>
      <c r="G245" s="1325">
        <f>VLOOKUP(D245,'CNKT '!$C$190:$L$253,10,0)</f>
        <v>0</v>
      </c>
      <c r="H245" s="1325">
        <f>VLOOKUP(D245,'CNKT '!$C$190:$W$253,21,0)</f>
        <v>0</v>
      </c>
      <c r="I245" s="1325">
        <f t="shared" si="16"/>
        <v>0</v>
      </c>
      <c r="J245" s="1325"/>
      <c r="K245" s="1325">
        <f>VLOOKUP(D245,'CNKT '!$C$190:$Z$253,24,0)</f>
        <v>0</v>
      </c>
      <c r="L245" s="1325"/>
      <c r="M245" s="1327">
        <f t="shared" si="17"/>
        <v>0</v>
      </c>
      <c r="N245" s="1583"/>
    </row>
    <row r="246" spans="1:16" s="181" customFormat="1" ht="21.75" hidden="1" customHeight="1">
      <c r="A246" s="355">
        <v>59</v>
      </c>
      <c r="B246" s="1579"/>
      <c r="C246" s="1580"/>
      <c r="D246" s="1326" t="str">
        <f>'CNKT '!C248</f>
        <v>T. Thong</v>
      </c>
      <c r="E246" s="1326" t="s">
        <v>43</v>
      </c>
      <c r="F246" s="1325">
        <f>VLOOKUP(D246,'CNKT '!$C$190:$F$253,4,0)</f>
        <v>0</v>
      </c>
      <c r="G246" s="1325">
        <f>VLOOKUP(D246,'CNKT '!$C$190:$L$253,10,0)</f>
        <v>0</v>
      </c>
      <c r="H246" s="1325">
        <f>VLOOKUP(D246,'CNKT '!$C$190:$W$253,21,0)</f>
        <v>0</v>
      </c>
      <c r="I246" s="1325">
        <f t="shared" si="16"/>
        <v>0</v>
      </c>
      <c r="J246" s="1325"/>
      <c r="K246" s="1325">
        <f>VLOOKUP(D246,'CNKT '!$C$190:$Z$253,24,0)</f>
        <v>0</v>
      </c>
      <c r="L246" s="1325"/>
      <c r="M246" s="1327">
        <f t="shared" si="17"/>
        <v>0</v>
      </c>
      <c r="N246" s="1583"/>
    </row>
    <row r="247" spans="1:16" s="181" customFormat="1" ht="21.75" hidden="1" customHeight="1">
      <c r="A247" s="355">
        <v>60</v>
      </c>
      <c r="B247" s="1579"/>
      <c r="C247" s="1580"/>
      <c r="D247" s="1326" t="str">
        <f>'CNKT '!C249</f>
        <v>T. Khách</v>
      </c>
      <c r="E247" s="1326" t="s">
        <v>43</v>
      </c>
      <c r="F247" s="1325">
        <f>VLOOKUP(D247,'CNKT '!$C$190:$F$253,4,0)</f>
        <v>0</v>
      </c>
      <c r="G247" s="1325">
        <f>VLOOKUP(D247,'CNKT '!$C$190:$L$253,10,0)</f>
        <v>0</v>
      </c>
      <c r="H247" s="1325">
        <f>VLOOKUP(D247,'CNKT '!$C$190:$W$253,21,0)</f>
        <v>0</v>
      </c>
      <c r="I247" s="1325">
        <f t="shared" si="16"/>
        <v>0</v>
      </c>
      <c r="J247" s="1325"/>
      <c r="K247" s="1325">
        <f>VLOOKUP(D247,'CNKT '!$C$190:$Z$253,24,0)</f>
        <v>0</v>
      </c>
      <c r="L247" s="1325"/>
      <c r="M247" s="1327">
        <f t="shared" si="17"/>
        <v>0</v>
      </c>
      <c r="N247" s="1583"/>
    </row>
    <row r="248" spans="1:16" s="181" customFormat="1" ht="21.75" hidden="1" customHeight="1">
      <c r="A248" s="355">
        <v>61</v>
      </c>
      <c r="B248" s="1579"/>
      <c r="C248" s="1580"/>
      <c r="D248" s="1326" t="str">
        <f>'CNKT '!C250</f>
        <v>Nang On Xi</v>
      </c>
      <c r="E248" s="1326" t="s">
        <v>43</v>
      </c>
      <c r="F248" s="1325">
        <f>VLOOKUP(D248,'CNKT '!$C$190:$F$253,4,0)</f>
        <v>0</v>
      </c>
      <c r="G248" s="1325">
        <f>VLOOKUP(D248,'CNKT '!$C$190:$L$253,10,0)</f>
        <v>0</v>
      </c>
      <c r="H248" s="1325">
        <f>VLOOKUP(D248,'CNKT '!$C$190:$W$253,21,0)</f>
        <v>0</v>
      </c>
      <c r="I248" s="1325">
        <f t="shared" si="16"/>
        <v>0</v>
      </c>
      <c r="J248" s="1325"/>
      <c r="K248" s="1325">
        <f>VLOOKUP(D248,'CNKT '!$C$190:$Z$253,24,0)</f>
        <v>0</v>
      </c>
      <c r="L248" s="1325"/>
      <c r="M248" s="1327">
        <f t="shared" si="17"/>
        <v>0</v>
      </c>
      <c r="N248" s="1583"/>
    </row>
    <row r="249" spans="1:16" s="181" customFormat="1" ht="21.75" hidden="1" customHeight="1">
      <c r="A249" s="355">
        <v>62</v>
      </c>
      <c r="B249" s="1579"/>
      <c r="C249" s="1580"/>
      <c r="D249" s="1326" t="str">
        <f>'CNKT '!C251</f>
        <v>Thảo Túc</v>
      </c>
      <c r="E249" s="1326" t="s">
        <v>43</v>
      </c>
      <c r="F249" s="1325">
        <f>VLOOKUP(D249,'CNKT '!$C$190:$F$253,4,0)</f>
        <v>0</v>
      </c>
      <c r="G249" s="1325">
        <f>VLOOKUP(D249,'CNKT '!$C$190:$L$253,10,0)</f>
        <v>0</v>
      </c>
      <c r="H249" s="1325">
        <f>VLOOKUP(D249,'CNKT '!$C$190:$W$253,21,0)</f>
        <v>0</v>
      </c>
      <c r="I249" s="1325">
        <f t="shared" si="16"/>
        <v>0</v>
      </c>
      <c r="J249" s="1325"/>
      <c r="K249" s="1325">
        <f>VLOOKUP(D249,'CNKT '!$C$190:$Z$253,24,0)</f>
        <v>0</v>
      </c>
      <c r="L249" s="1325"/>
      <c r="M249" s="1327">
        <f t="shared" si="17"/>
        <v>0</v>
      </c>
      <c r="N249" s="1583"/>
    </row>
    <row r="250" spans="1:16" s="181" customFormat="1" ht="21.75" hidden="1" customHeight="1">
      <c r="A250" s="355">
        <v>63</v>
      </c>
      <c r="B250" s="1579"/>
      <c r="C250" s="1580"/>
      <c r="D250" s="1326" t="str">
        <f>'CNKT '!C252</f>
        <v>Mủ Xi Rum</v>
      </c>
      <c r="E250" s="1326" t="s">
        <v>765</v>
      </c>
      <c r="F250" s="1325">
        <f>VLOOKUP(D250,'CNKT '!$C$190:$F$253,4,0)</f>
        <v>0</v>
      </c>
      <c r="G250" s="1325">
        <f>VLOOKUP(D250,'CNKT '!$C$190:$L$254,10,0)</f>
        <v>0</v>
      </c>
      <c r="H250" s="1325">
        <f>VLOOKUP(D250,'CNKT '!$C$190:$W$253,21,0)</f>
        <v>0</v>
      </c>
      <c r="I250" s="1325">
        <f t="shared" si="16"/>
        <v>0</v>
      </c>
      <c r="J250" s="1325"/>
      <c r="K250" s="1325">
        <f>VLOOKUP(D250,'CNKT '!$C$190:$Z$253,24,0)</f>
        <v>0</v>
      </c>
      <c r="L250" s="1325"/>
      <c r="M250" s="1327">
        <f t="shared" si="17"/>
        <v>0</v>
      </c>
      <c r="N250" s="1583"/>
    </row>
    <row r="251" spans="1:16" s="181" customFormat="1" ht="21.75" customHeight="1">
      <c r="A251" s="355">
        <v>1</v>
      </c>
      <c r="B251" s="1579"/>
      <c r="C251" s="1580"/>
      <c r="D251" s="1326" t="str">
        <f>'CNKT '!C253</f>
        <v>Mon (3)</v>
      </c>
      <c r="E251" s="1326" t="s">
        <v>765</v>
      </c>
      <c r="F251" s="1325">
        <f>VLOOKUP(D251,'CNKT '!$C$190:$F$254,4,0)</f>
        <v>80454001</v>
      </c>
      <c r="G251" s="1325">
        <f>VLOOKUP(D251,'CNKT '!$C$190:$L$254,10,0)</f>
        <v>0</v>
      </c>
      <c r="H251" s="1325">
        <f>VLOOKUP(D251,'CNKT '!$C$190:$W$253,21,0)</f>
        <v>0</v>
      </c>
      <c r="I251" s="1325">
        <f t="shared" si="16"/>
        <v>80454001</v>
      </c>
      <c r="J251" s="1325"/>
      <c r="K251" s="1325">
        <f>VLOOKUP(D251,'CNKT '!$C$190:$Z$253,24,0)</f>
        <v>80454001</v>
      </c>
      <c r="L251" s="1325"/>
      <c r="M251" s="1327">
        <f t="shared" si="17"/>
        <v>80454001</v>
      </c>
      <c r="N251" s="1583"/>
    </row>
    <row r="252" spans="1:16" s="181" customFormat="1" ht="21.75" hidden="1" customHeight="1">
      <c r="A252" s="355">
        <v>65</v>
      </c>
      <c r="B252" s="1579"/>
      <c r="C252" s="1580"/>
      <c r="D252" s="1326" t="str">
        <f>'CNKT '!C254</f>
        <v>T. Tý</v>
      </c>
      <c r="E252" s="1326" t="s">
        <v>765</v>
      </c>
      <c r="F252" s="1325">
        <f>VLOOKUP(D252,'CNKT '!$C$190:$F$254,4,0)</f>
        <v>0</v>
      </c>
      <c r="G252" s="1325">
        <f>VLOOKUP(D252,'CNKT '!$C$190:$L$254,10,0)</f>
        <v>0</v>
      </c>
      <c r="H252" s="1325">
        <f>VLOOKUP(D252,'CNKT '!$C$190:$W$254,21,0)</f>
        <v>0</v>
      </c>
      <c r="I252" s="1325">
        <f t="shared" si="16"/>
        <v>0</v>
      </c>
      <c r="J252" s="1325"/>
      <c r="K252" s="1325">
        <f>VLOOKUP(D252,'CNKT '!$C$190:$Z$254,24,0)</f>
        <v>0</v>
      </c>
      <c r="L252" s="1325"/>
      <c r="M252" s="1327">
        <f t="shared" ref="M252" si="18">K252-J252</f>
        <v>0</v>
      </c>
      <c r="N252" s="1583"/>
    </row>
    <row r="253" spans="1:16" s="180" customFormat="1" ht="21.75" customHeight="1">
      <c r="A253" s="2066" t="s">
        <v>758</v>
      </c>
      <c r="B253" s="2066"/>
      <c r="C253" s="2066"/>
      <c r="D253" s="2066"/>
      <c r="E253" s="2066"/>
      <c r="F253" s="1578">
        <f>SUM(F254:F323)</f>
        <v>71046500</v>
      </c>
      <c r="G253" s="1578">
        <f t="shared" ref="G253:M253" si="19">SUM(G254:G323)</f>
        <v>0</v>
      </c>
      <c r="H253" s="1578">
        <f t="shared" si="19"/>
        <v>0</v>
      </c>
      <c r="I253" s="1578">
        <f t="shared" si="19"/>
        <v>71046500</v>
      </c>
      <c r="J253" s="1578">
        <f t="shared" si="19"/>
        <v>0</v>
      </c>
      <c r="K253" s="1578">
        <f t="shared" si="19"/>
        <v>71046500</v>
      </c>
      <c r="L253" s="1578">
        <f t="shared" si="19"/>
        <v>0</v>
      </c>
      <c r="M253" s="1578">
        <f t="shared" si="19"/>
        <v>71046500</v>
      </c>
      <c r="N253" s="1334"/>
      <c r="O253" s="179" t="e">
        <f>I253-#REF!-#REF!-L253</f>
        <v>#REF!</v>
      </c>
      <c r="P253" s="187" t="e">
        <f>O253-#REF!</f>
        <v>#REF!</v>
      </c>
    </row>
    <row r="254" spans="1:16" s="181" customFormat="1" ht="21.75" hidden="1" customHeight="1">
      <c r="A254" s="355">
        <v>1</v>
      </c>
      <c r="B254" s="1579" t="str">
        <f>'Chấm công KT'!D240</f>
        <v>03645</v>
      </c>
      <c r="C254" s="1502"/>
      <c r="D254" s="1326" t="str">
        <f>'CNKT '!C256</f>
        <v>N. Teo</v>
      </c>
      <c r="E254" s="1326" t="s">
        <v>43</v>
      </c>
      <c r="F254" s="1325">
        <f>VLOOKUP(D254,'CNKT '!$C$256:$F$315,4,0)</f>
        <v>0</v>
      </c>
      <c r="G254" s="1325">
        <f>VLOOKUP(D254,'CNKT '!$C$256:$L$315,10,0)</f>
        <v>0</v>
      </c>
      <c r="H254" s="1325">
        <f>VLOOKUP(D254,'CNKT '!$C$256:$W$315,21,0)</f>
        <v>0</v>
      </c>
      <c r="I254" s="1325">
        <f t="shared" ref="I254" si="20">SUM(F254:H254)</f>
        <v>0</v>
      </c>
      <c r="J254" s="1325"/>
      <c r="K254" s="1325">
        <f>VLOOKUP(D254,'CNKT '!$C$256:$Z$315,24,0)</f>
        <v>0</v>
      </c>
      <c r="L254" s="1325"/>
      <c r="M254" s="1327">
        <f>K254-J254</f>
        <v>0</v>
      </c>
      <c r="N254" s="1334"/>
      <c r="O254" s="188">
        <f>3500*3</f>
        <v>10500</v>
      </c>
      <c r="P254" s="95"/>
    </row>
    <row r="255" spans="1:16" s="181" customFormat="1" ht="21.75" hidden="1" customHeight="1">
      <c r="A255" s="355">
        <v>2</v>
      </c>
      <c r="B255" s="1579" t="str">
        <f>'Chấm công KT'!D241</f>
        <v>03646</v>
      </c>
      <c r="C255" s="1502"/>
      <c r="D255" s="1326" t="str">
        <f>'CNKT '!C257</f>
        <v>T . Thau</v>
      </c>
      <c r="E255" s="1326" t="s">
        <v>43</v>
      </c>
      <c r="F255" s="1325">
        <f>VLOOKUP(D255,'CNKT '!$C$256:$F$315,4,0)</f>
        <v>0</v>
      </c>
      <c r="G255" s="1325">
        <f>VLOOKUP(D255,'CNKT '!$C$256:$L$315,10,0)</f>
        <v>0</v>
      </c>
      <c r="H255" s="1325">
        <f>VLOOKUP(D255,'CNKT '!$C$256:$W$315,21,0)</f>
        <v>0</v>
      </c>
      <c r="I255" s="1325">
        <f t="shared" ref="I255:I318" si="21">SUM(F255:H255)</f>
        <v>0</v>
      </c>
      <c r="J255" s="1325"/>
      <c r="K255" s="1325">
        <f>VLOOKUP(D255,'CNKT '!$C$256:$Z$315,24,0)</f>
        <v>0</v>
      </c>
      <c r="L255" s="1325"/>
      <c r="M255" s="1327">
        <f t="shared" ref="M255:M304" si="22">K255-J255</f>
        <v>0</v>
      </c>
      <c r="N255" s="1334"/>
      <c r="O255" s="188">
        <f>O254-110*3</f>
        <v>10170</v>
      </c>
      <c r="P255" s="95"/>
    </row>
    <row r="256" spans="1:16" s="181" customFormat="1" ht="21.75" hidden="1" customHeight="1">
      <c r="A256" s="355">
        <v>3</v>
      </c>
      <c r="B256" s="1579"/>
      <c r="C256" s="1502"/>
      <c r="D256" s="1326" t="str">
        <f>'CNKT '!C258</f>
        <v>T . Vi</v>
      </c>
      <c r="E256" s="1326" t="s">
        <v>43</v>
      </c>
      <c r="F256" s="1325">
        <f>VLOOKUP(D256,'CNKT '!$C$256:$F$315,4,0)</f>
        <v>0</v>
      </c>
      <c r="G256" s="1325">
        <f>VLOOKUP(D256,'CNKT '!$C$256:$L$315,10,0)</f>
        <v>0</v>
      </c>
      <c r="H256" s="1325">
        <f>VLOOKUP(D256,'CNKT '!$C$256:$W$315,21,0)</f>
        <v>0</v>
      </c>
      <c r="I256" s="1325">
        <f t="shared" si="21"/>
        <v>0</v>
      </c>
      <c r="J256" s="1325"/>
      <c r="K256" s="1325">
        <f>VLOOKUP(D256,'CNKT '!$C$256:$Z$315,24,0)</f>
        <v>0</v>
      </c>
      <c r="L256" s="1325"/>
      <c r="M256" s="1327">
        <f t="shared" si="22"/>
        <v>0</v>
      </c>
      <c r="N256" s="1334"/>
      <c r="O256" s="188"/>
      <c r="P256" s="95"/>
    </row>
    <row r="257" spans="1:16" s="181" customFormat="1" ht="21.75" hidden="1" customHeight="1">
      <c r="A257" s="355">
        <v>4</v>
      </c>
      <c r="B257" s="1579" t="str">
        <f>'Chấm công KT'!D243</f>
        <v>03648</v>
      </c>
      <c r="C257" s="1502"/>
      <c r="D257" s="1326" t="str">
        <f>'CNKT '!C259</f>
        <v>Khâm Đi</v>
      </c>
      <c r="E257" s="1326" t="s">
        <v>43</v>
      </c>
      <c r="F257" s="1325">
        <f>VLOOKUP(D257,'CNKT '!$C$256:$F$315,4,0)</f>
        <v>0</v>
      </c>
      <c r="G257" s="1325">
        <f>VLOOKUP(D257,'CNKT '!$C$256:$L$315,10,0)</f>
        <v>0</v>
      </c>
      <c r="H257" s="1325">
        <f>VLOOKUP(D257,'CNKT '!$C$256:$W$315,21,0)</f>
        <v>0</v>
      </c>
      <c r="I257" s="1325">
        <f t="shared" si="21"/>
        <v>0</v>
      </c>
      <c r="J257" s="1325"/>
      <c r="K257" s="1325">
        <f>VLOOKUP(D257,'CNKT '!$C$256:$Z$315,24,0)</f>
        <v>0</v>
      </c>
      <c r="L257" s="1325"/>
      <c r="M257" s="1327">
        <f t="shared" si="22"/>
        <v>0</v>
      </c>
      <c r="N257" s="1334"/>
      <c r="O257" s="188"/>
      <c r="P257" s="95"/>
    </row>
    <row r="258" spans="1:16" s="181" customFormat="1" ht="21.75" hidden="1" customHeight="1">
      <c r="A258" s="355">
        <v>5</v>
      </c>
      <c r="B258" s="1579" t="str">
        <f>'Chấm công KT'!D244</f>
        <v>03649</v>
      </c>
      <c r="C258" s="1502"/>
      <c r="D258" s="1326" t="str">
        <f>'CNKT '!C260</f>
        <v>T. Ve</v>
      </c>
      <c r="E258" s="1326" t="s">
        <v>43</v>
      </c>
      <c r="F258" s="1325">
        <f>VLOOKUP(D258,'CNKT '!$C$256:$F$315,4,0)</f>
        <v>0</v>
      </c>
      <c r="G258" s="1325">
        <f>VLOOKUP(D258,'CNKT '!$C$256:$L$315,10,0)</f>
        <v>0</v>
      </c>
      <c r="H258" s="1325">
        <f>VLOOKUP(D258,'CNKT '!$C$256:$W$315,21,0)</f>
        <v>0</v>
      </c>
      <c r="I258" s="1325">
        <f t="shared" si="21"/>
        <v>0</v>
      </c>
      <c r="J258" s="1325"/>
      <c r="K258" s="1325">
        <f>VLOOKUP(D258,'CNKT '!$C$256:$Z$315,24,0)</f>
        <v>0</v>
      </c>
      <c r="L258" s="1325"/>
      <c r="M258" s="1327">
        <f t="shared" si="22"/>
        <v>0</v>
      </c>
      <c r="N258" s="1334"/>
      <c r="O258" s="188"/>
      <c r="P258" s="95"/>
    </row>
    <row r="259" spans="1:16" s="181" customFormat="1" ht="21.75" hidden="1" customHeight="1">
      <c r="A259" s="355">
        <v>6</v>
      </c>
      <c r="B259" s="1579" t="str">
        <f>'Chấm công KT'!D245</f>
        <v>03650</v>
      </c>
      <c r="C259" s="1502"/>
      <c r="D259" s="1326" t="str">
        <f>'CNKT '!C261</f>
        <v>T. Thèo</v>
      </c>
      <c r="E259" s="1326" t="s">
        <v>43</v>
      </c>
      <c r="F259" s="1325">
        <f>VLOOKUP(D259,'CNKT '!$C$256:$F$315,4,0)</f>
        <v>0</v>
      </c>
      <c r="G259" s="1325">
        <f>VLOOKUP(D259,'CNKT '!$C$256:$L$315,10,0)</f>
        <v>0</v>
      </c>
      <c r="H259" s="1325">
        <f>VLOOKUP(D259,'CNKT '!$C$256:$W$315,21,0)</f>
        <v>0</v>
      </c>
      <c r="I259" s="1325">
        <f t="shared" si="21"/>
        <v>0</v>
      </c>
      <c r="J259" s="1325"/>
      <c r="K259" s="1325">
        <f>VLOOKUP(D259,'CNKT '!$C$256:$Z$315,24,0)</f>
        <v>0</v>
      </c>
      <c r="L259" s="1325"/>
      <c r="M259" s="1327">
        <f t="shared" si="22"/>
        <v>0</v>
      </c>
      <c r="N259" s="1334"/>
      <c r="O259" s="188"/>
      <c r="P259" s="95"/>
    </row>
    <row r="260" spans="1:16" s="181" customFormat="1" ht="21.75" hidden="1" customHeight="1">
      <c r="A260" s="355">
        <v>7</v>
      </c>
      <c r="B260" s="1579" t="str">
        <f>'Chấm công KT'!D246</f>
        <v>03651</v>
      </c>
      <c r="C260" s="1502"/>
      <c r="D260" s="1326" t="str">
        <f>'CNKT '!C262</f>
        <v>Kèo Xột</v>
      </c>
      <c r="E260" s="1326" t="s">
        <v>43</v>
      </c>
      <c r="F260" s="1325">
        <f>VLOOKUP(D260,'CNKT '!$C$256:$F$315,4,0)</f>
        <v>0</v>
      </c>
      <c r="G260" s="1325">
        <f>VLOOKUP(D260,'CNKT '!$C$256:$L$315,10,0)</f>
        <v>0</v>
      </c>
      <c r="H260" s="1325">
        <f>VLOOKUP(D260,'CNKT '!$C$256:$W$315,21,0)</f>
        <v>0</v>
      </c>
      <c r="I260" s="1325">
        <f t="shared" si="21"/>
        <v>0</v>
      </c>
      <c r="J260" s="1325"/>
      <c r="K260" s="1325">
        <f>VLOOKUP(D260,'CNKT '!$C$256:$Z$315,24,0)</f>
        <v>0</v>
      </c>
      <c r="L260" s="1325"/>
      <c r="M260" s="1327">
        <f t="shared" si="22"/>
        <v>0</v>
      </c>
      <c r="N260" s="1334"/>
      <c r="O260" s="188"/>
      <c r="P260" s="95"/>
    </row>
    <row r="261" spans="1:16" s="181" customFormat="1" ht="21.75" hidden="1" customHeight="1">
      <c r="A261" s="355">
        <v>8</v>
      </c>
      <c r="B261" s="1579" t="str">
        <f>'Chấm công KT'!D247</f>
        <v>03652</v>
      </c>
      <c r="C261" s="1502"/>
      <c r="D261" s="1326" t="str">
        <f>'CNKT '!C263</f>
        <v>N. Chít</v>
      </c>
      <c r="E261" s="1326" t="s">
        <v>43</v>
      </c>
      <c r="F261" s="1325">
        <f>VLOOKUP(D261,'CNKT '!$C$256:$F$315,4,0)</f>
        <v>0</v>
      </c>
      <c r="G261" s="1325">
        <f>VLOOKUP(D261,'CNKT '!$C$256:$L$315,10,0)</f>
        <v>0</v>
      </c>
      <c r="H261" s="1325">
        <f>VLOOKUP(D261,'CNKT '!$C$256:$W$315,21,0)</f>
        <v>0</v>
      </c>
      <c r="I261" s="1325">
        <f t="shared" si="21"/>
        <v>0</v>
      </c>
      <c r="J261" s="1325"/>
      <c r="K261" s="1325">
        <f>VLOOKUP(D261,'CNKT '!$C$256:$Z$315,24,0)</f>
        <v>0</v>
      </c>
      <c r="L261" s="1325"/>
      <c r="M261" s="1327">
        <f t="shared" si="22"/>
        <v>0</v>
      </c>
      <c r="N261" s="1334"/>
      <c r="O261" s="188"/>
      <c r="P261" s="95"/>
    </row>
    <row r="262" spans="1:16" s="181" customFormat="1" ht="21.75" hidden="1" customHeight="1">
      <c r="A262" s="355">
        <v>9</v>
      </c>
      <c r="B262" s="1579" t="str">
        <f>'Chấm công KT'!D248</f>
        <v>03653</v>
      </c>
      <c r="C262" s="1502"/>
      <c r="D262" s="1326" t="str">
        <f>'CNKT '!C264</f>
        <v>N. Căn Da</v>
      </c>
      <c r="E262" s="1326" t="s">
        <v>43</v>
      </c>
      <c r="F262" s="1325">
        <f>VLOOKUP(D262,'CNKT '!$C$256:$F$315,4,0)</f>
        <v>0</v>
      </c>
      <c r="G262" s="1325">
        <f>VLOOKUP(D262,'CNKT '!$C$256:$L$315,10,0)</f>
        <v>0</v>
      </c>
      <c r="H262" s="1325">
        <f>VLOOKUP(D262,'CNKT '!$C$256:$W$315,21,0)</f>
        <v>0</v>
      </c>
      <c r="I262" s="1325">
        <f t="shared" si="21"/>
        <v>0</v>
      </c>
      <c r="J262" s="1325"/>
      <c r="K262" s="1325">
        <f>VLOOKUP(D262,'CNKT '!$C$256:$Z$315,24,0)</f>
        <v>0</v>
      </c>
      <c r="L262" s="1325"/>
      <c r="M262" s="1327">
        <f t="shared" si="22"/>
        <v>0</v>
      </c>
      <c r="N262" s="1334"/>
      <c r="O262" s="188"/>
      <c r="P262" s="95"/>
    </row>
    <row r="263" spans="1:16" s="181" customFormat="1" ht="21.75" hidden="1" customHeight="1">
      <c r="A263" s="355">
        <v>10</v>
      </c>
      <c r="B263" s="1579" t="str">
        <f>'Chấm công KT'!D249</f>
        <v>03654</v>
      </c>
      <c r="C263" s="1502"/>
      <c r="D263" s="1326" t="str">
        <f>'CNKT '!C265</f>
        <v>T. Phim</v>
      </c>
      <c r="E263" s="1326" t="s">
        <v>43</v>
      </c>
      <c r="F263" s="1325">
        <f>VLOOKUP(D263,'CNKT '!$C$256:$F$315,4,0)</f>
        <v>0</v>
      </c>
      <c r="G263" s="1325">
        <f>VLOOKUP(D263,'CNKT '!$C$256:$L$315,10,0)</f>
        <v>0</v>
      </c>
      <c r="H263" s="1325">
        <f>VLOOKUP(D263,'CNKT '!$C$256:$W$315,21,0)</f>
        <v>0</v>
      </c>
      <c r="I263" s="1325">
        <f t="shared" si="21"/>
        <v>0</v>
      </c>
      <c r="J263" s="1325"/>
      <c r="K263" s="1325">
        <f>VLOOKUP(D263,'CNKT '!$C$256:$Z$315,24,0)</f>
        <v>0</v>
      </c>
      <c r="L263" s="1325"/>
      <c r="M263" s="1327">
        <f t="shared" si="22"/>
        <v>0</v>
      </c>
      <c r="N263" s="1334"/>
      <c r="O263" s="188"/>
      <c r="P263" s="95"/>
    </row>
    <row r="264" spans="1:16" s="181" customFormat="1" ht="21.75" hidden="1" customHeight="1">
      <c r="A264" s="355">
        <v>11</v>
      </c>
      <c r="B264" s="1579" t="str">
        <f>'Chấm công KT'!D250</f>
        <v>03655</v>
      </c>
      <c r="C264" s="1502"/>
      <c r="D264" s="1326" t="str">
        <f>'CNKT '!C266</f>
        <v>T Chăn Thi</v>
      </c>
      <c r="E264" s="1326" t="s">
        <v>43</v>
      </c>
      <c r="F264" s="1325">
        <f>VLOOKUP(D264,'CNKT '!$C$256:$F$315,4,0)</f>
        <v>0</v>
      </c>
      <c r="G264" s="1325">
        <f>VLOOKUP(D264,'CNKT '!$C$256:$L$315,10,0)</f>
        <v>0</v>
      </c>
      <c r="H264" s="1325">
        <f>VLOOKUP(D264,'CNKT '!$C$256:$W$315,21,0)</f>
        <v>0</v>
      </c>
      <c r="I264" s="1325">
        <f t="shared" si="21"/>
        <v>0</v>
      </c>
      <c r="J264" s="1325"/>
      <c r="K264" s="1325">
        <f>VLOOKUP(D264,'CNKT '!$C$256:$Z$315,24,0)</f>
        <v>0</v>
      </c>
      <c r="L264" s="1325"/>
      <c r="M264" s="1327">
        <f t="shared" si="22"/>
        <v>0</v>
      </c>
      <c r="N264" s="1334"/>
      <c r="O264" s="188"/>
      <c r="P264" s="95"/>
    </row>
    <row r="265" spans="1:16" s="181" customFormat="1" ht="21.75" hidden="1" customHeight="1">
      <c r="A265" s="355">
        <v>12</v>
      </c>
      <c r="B265" s="1579" t="str">
        <f>'Chấm công KT'!D251</f>
        <v>03656</v>
      </c>
      <c r="C265" s="1502"/>
      <c r="D265" s="1326" t="str">
        <f>'CNKT '!C267</f>
        <v>N. Văn Thong</v>
      </c>
      <c r="E265" s="1326" t="s">
        <v>43</v>
      </c>
      <c r="F265" s="1325">
        <f>VLOOKUP(D265,'CNKT '!$C$256:$F$315,4,0)</f>
        <v>0</v>
      </c>
      <c r="G265" s="1325">
        <f>VLOOKUP(D265,'CNKT '!$C$256:$L$315,10,0)</f>
        <v>0</v>
      </c>
      <c r="H265" s="1325">
        <f>VLOOKUP(D265,'CNKT '!$C$256:$W$315,21,0)</f>
        <v>0</v>
      </c>
      <c r="I265" s="1325">
        <f t="shared" si="21"/>
        <v>0</v>
      </c>
      <c r="J265" s="1325"/>
      <c r="K265" s="1325">
        <f>VLOOKUP(D265,'CNKT '!$C$256:$Z$315,24,0)</f>
        <v>0</v>
      </c>
      <c r="L265" s="1325"/>
      <c r="M265" s="1327">
        <f t="shared" si="22"/>
        <v>0</v>
      </c>
      <c r="N265" s="1334"/>
      <c r="O265" s="188"/>
      <c r="P265" s="95"/>
    </row>
    <row r="266" spans="1:16" s="181" customFormat="1" ht="21.75" hidden="1" customHeight="1">
      <c r="A266" s="355">
        <v>13</v>
      </c>
      <c r="B266" s="1579" t="str">
        <f>'Chấm công KT'!D252</f>
        <v>03657</v>
      </c>
      <c r="C266" s="1502"/>
      <c r="D266" s="1326" t="str">
        <f>'CNKT '!C268</f>
        <v>Cong Khăm</v>
      </c>
      <c r="E266" s="1326" t="s">
        <v>43</v>
      </c>
      <c r="F266" s="1325">
        <f>VLOOKUP(D266,'CNKT '!$C$256:$F$315,4,0)</f>
        <v>0</v>
      </c>
      <c r="G266" s="1325">
        <f>VLOOKUP(D266,'CNKT '!$C$256:$L$315,10,0)</f>
        <v>0</v>
      </c>
      <c r="H266" s="1325">
        <f>VLOOKUP(D266,'CNKT '!$C$256:$W$315,21,0)</f>
        <v>0</v>
      </c>
      <c r="I266" s="1325">
        <f t="shared" si="21"/>
        <v>0</v>
      </c>
      <c r="J266" s="1325"/>
      <c r="K266" s="1325">
        <f>VLOOKUP(D266,'CNKT '!$C$256:$Z$315,24,0)</f>
        <v>0</v>
      </c>
      <c r="L266" s="1325"/>
      <c r="M266" s="1327">
        <f t="shared" si="22"/>
        <v>0</v>
      </c>
      <c r="N266" s="1334"/>
      <c r="O266" s="188"/>
      <c r="P266" s="95"/>
    </row>
    <row r="267" spans="1:16" s="181" customFormat="1" ht="21.75" hidden="1" customHeight="1">
      <c r="A267" s="355">
        <v>14</v>
      </c>
      <c r="B267" s="1579" t="str">
        <f>'Chấm công KT'!D253</f>
        <v>03658</v>
      </c>
      <c r="C267" s="1502"/>
      <c r="D267" s="1326" t="str">
        <f>'CNKT '!C269</f>
        <v>T. Dở</v>
      </c>
      <c r="E267" s="1326" t="s">
        <v>43</v>
      </c>
      <c r="F267" s="1325">
        <f>VLOOKUP(D267,'CNKT '!$C$256:$F$315,4,0)</f>
        <v>0</v>
      </c>
      <c r="G267" s="1325">
        <f>VLOOKUP(D267,'CNKT '!$C$256:$L$315,10,0)</f>
        <v>0</v>
      </c>
      <c r="H267" s="1325">
        <f>VLOOKUP(D267,'CNKT '!$C$256:$W$315,21,0)</f>
        <v>0</v>
      </c>
      <c r="I267" s="1325">
        <f t="shared" si="21"/>
        <v>0</v>
      </c>
      <c r="J267" s="1325"/>
      <c r="K267" s="1325">
        <f>VLOOKUP(D267,'CNKT '!$C$256:$Z$315,24,0)</f>
        <v>0</v>
      </c>
      <c r="L267" s="1325"/>
      <c r="M267" s="1327">
        <f t="shared" si="22"/>
        <v>0</v>
      </c>
      <c r="N267" s="1334"/>
      <c r="O267" s="188"/>
      <c r="P267" s="95"/>
    </row>
    <row r="268" spans="1:16" s="181" customFormat="1" ht="21.75" hidden="1" customHeight="1">
      <c r="A268" s="355">
        <v>15</v>
      </c>
      <c r="B268" s="1579" t="str">
        <f>'Chấm công KT'!D254</f>
        <v>03659</v>
      </c>
      <c r="C268" s="1502"/>
      <c r="D268" s="1326" t="str">
        <f>'CNKT '!C270</f>
        <v>N. Sủm</v>
      </c>
      <c r="E268" s="1326" t="s">
        <v>43</v>
      </c>
      <c r="F268" s="1325">
        <f>VLOOKUP(D268,'CNKT '!$C$256:$F$315,4,0)</f>
        <v>0</v>
      </c>
      <c r="G268" s="1325">
        <f>VLOOKUP(D268,'CNKT '!$C$256:$L$315,10,0)</f>
        <v>0</v>
      </c>
      <c r="H268" s="1325">
        <f>VLOOKUP(D268,'CNKT '!$C$256:$W$315,21,0)</f>
        <v>0</v>
      </c>
      <c r="I268" s="1325">
        <f t="shared" si="21"/>
        <v>0</v>
      </c>
      <c r="J268" s="1325"/>
      <c r="K268" s="1325">
        <f>VLOOKUP(D268,'CNKT '!$C$256:$Z$315,24,0)</f>
        <v>0</v>
      </c>
      <c r="L268" s="1325"/>
      <c r="M268" s="1327">
        <f t="shared" si="22"/>
        <v>0</v>
      </c>
      <c r="N268" s="1334"/>
      <c r="O268" s="188"/>
      <c r="P268" s="95"/>
    </row>
    <row r="269" spans="1:16" s="181" customFormat="1" ht="21.75" hidden="1" customHeight="1">
      <c r="A269" s="355">
        <v>16</v>
      </c>
      <c r="B269" s="1579" t="str">
        <f>'Chấm công KT'!D255</f>
        <v>03660</v>
      </c>
      <c r="C269" s="1502"/>
      <c r="D269" s="1326" t="str">
        <f>'CNKT '!C271</f>
        <v>T. Tắt</v>
      </c>
      <c r="E269" s="1326" t="s">
        <v>43</v>
      </c>
      <c r="F269" s="1325">
        <f>VLOOKUP(D269,'CNKT '!$C$256:$F$315,4,0)</f>
        <v>0</v>
      </c>
      <c r="G269" s="1325">
        <f>VLOOKUP(D269,'CNKT '!$C$256:$L$315,10,0)</f>
        <v>0</v>
      </c>
      <c r="H269" s="1325">
        <f>VLOOKUP(D269,'CNKT '!$C$256:$W$315,21,0)</f>
        <v>0</v>
      </c>
      <c r="I269" s="1325">
        <f t="shared" si="21"/>
        <v>0</v>
      </c>
      <c r="J269" s="1325"/>
      <c r="K269" s="1325">
        <f>VLOOKUP(D269,'CNKT '!$C$256:$Z$315,24,0)</f>
        <v>0</v>
      </c>
      <c r="L269" s="1325"/>
      <c r="M269" s="1327">
        <f t="shared" si="22"/>
        <v>0</v>
      </c>
      <c r="N269" s="1334"/>
      <c r="O269" s="188"/>
      <c r="P269" s="95"/>
    </row>
    <row r="270" spans="1:16" s="181" customFormat="1" ht="21.75" hidden="1" customHeight="1">
      <c r="A270" s="355">
        <v>17</v>
      </c>
      <c r="B270" s="1579" t="str">
        <f>'Chấm công KT'!D256</f>
        <v>03661</v>
      </c>
      <c r="C270" s="1502"/>
      <c r="D270" s="1326" t="str">
        <f>'CNKT '!C272</f>
        <v>T Viêng</v>
      </c>
      <c r="E270" s="1326" t="s">
        <v>43</v>
      </c>
      <c r="F270" s="1325">
        <f>VLOOKUP(D270,'CNKT '!$C$256:$F$315,4,0)</f>
        <v>0</v>
      </c>
      <c r="G270" s="1325">
        <f>VLOOKUP(D270,'CNKT '!$C$256:$L$315,10,0)</f>
        <v>0</v>
      </c>
      <c r="H270" s="1325">
        <f>VLOOKUP(D270,'CNKT '!$C$256:$W$315,21,0)</f>
        <v>0</v>
      </c>
      <c r="I270" s="1325">
        <f t="shared" si="21"/>
        <v>0</v>
      </c>
      <c r="J270" s="1325"/>
      <c r="K270" s="1325">
        <f>VLOOKUP(D270,'CNKT '!$C$256:$Z$315,24,0)</f>
        <v>0</v>
      </c>
      <c r="L270" s="1325"/>
      <c r="M270" s="1327">
        <f t="shared" si="22"/>
        <v>0</v>
      </c>
      <c r="N270" s="1334"/>
      <c r="O270" s="188"/>
      <c r="P270" s="95"/>
    </row>
    <row r="271" spans="1:16" s="181" customFormat="1" ht="21.75" hidden="1" customHeight="1">
      <c r="A271" s="355">
        <v>18</v>
      </c>
      <c r="B271" s="1579" t="str">
        <f>'Chấm công KT'!D257</f>
        <v>03662</v>
      </c>
      <c r="C271" s="1502"/>
      <c r="D271" s="1326" t="str">
        <f>'CNKT '!C273</f>
        <v>T.Xê</v>
      </c>
      <c r="E271" s="1326" t="s">
        <v>43</v>
      </c>
      <c r="F271" s="1325">
        <f>VLOOKUP(D271,'CNKT '!$C$256:$F$315,4,0)</f>
        <v>0</v>
      </c>
      <c r="G271" s="1325">
        <f>VLOOKUP(D271,'CNKT '!$C$256:$L$315,10,0)</f>
        <v>0</v>
      </c>
      <c r="H271" s="1325">
        <f>VLOOKUP(D271,'CNKT '!$C$256:$W$315,21,0)</f>
        <v>0</v>
      </c>
      <c r="I271" s="1325">
        <f t="shared" si="21"/>
        <v>0</v>
      </c>
      <c r="J271" s="1325"/>
      <c r="K271" s="1325">
        <f>VLOOKUP(D271,'CNKT '!$C$256:$Z$315,24,0)</f>
        <v>0</v>
      </c>
      <c r="L271" s="1325"/>
      <c r="M271" s="1327">
        <f t="shared" si="22"/>
        <v>0</v>
      </c>
      <c r="N271" s="1334"/>
      <c r="O271" s="188"/>
      <c r="P271" s="95"/>
    </row>
    <row r="272" spans="1:16" s="181" customFormat="1" ht="21.75" hidden="1" customHeight="1">
      <c r="A272" s="355">
        <v>19</v>
      </c>
      <c r="B272" s="1579" t="str">
        <f>'Chấm công KT'!D258</f>
        <v>03663</v>
      </c>
      <c r="C272" s="1502"/>
      <c r="D272" s="1326" t="str">
        <f>'CNKT '!C274</f>
        <v>T. Hách</v>
      </c>
      <c r="E272" s="1326" t="s">
        <v>43</v>
      </c>
      <c r="F272" s="1325">
        <f>VLOOKUP(D272,'CNKT '!$C$256:$F$315,4,0)</f>
        <v>0</v>
      </c>
      <c r="G272" s="1325">
        <f>VLOOKUP(D272,'CNKT '!$C$256:$L$315,10,0)</f>
        <v>0</v>
      </c>
      <c r="H272" s="1325">
        <f>VLOOKUP(D272,'CNKT '!$C$256:$W$315,21,0)</f>
        <v>0</v>
      </c>
      <c r="I272" s="1325">
        <f t="shared" si="21"/>
        <v>0</v>
      </c>
      <c r="J272" s="1325"/>
      <c r="K272" s="1325">
        <f>VLOOKUP(D272,'CNKT '!$C$256:$Z$315,24,0)</f>
        <v>0</v>
      </c>
      <c r="L272" s="1325"/>
      <c r="M272" s="1327">
        <f t="shared" si="22"/>
        <v>0</v>
      </c>
      <c r="N272" s="1334"/>
      <c r="O272" s="188"/>
      <c r="P272" s="95"/>
    </row>
    <row r="273" spans="1:16" s="181" customFormat="1" ht="21.75" hidden="1" customHeight="1">
      <c r="A273" s="355">
        <v>20</v>
      </c>
      <c r="B273" s="1579" t="str">
        <f>'Chấm công KT'!D259</f>
        <v>03664</v>
      </c>
      <c r="C273" s="1502"/>
      <c r="D273" s="1326" t="str">
        <f>'CNKT '!C275</f>
        <v>Khay Khăm</v>
      </c>
      <c r="E273" s="1326" t="s">
        <v>43</v>
      </c>
      <c r="F273" s="1325">
        <f>VLOOKUP(D273,'CNKT '!$C$256:$F$315,4,0)</f>
        <v>0</v>
      </c>
      <c r="G273" s="1325">
        <f>VLOOKUP(D273,'CNKT '!$C$256:$L$315,10,0)</f>
        <v>0</v>
      </c>
      <c r="H273" s="1325">
        <f>VLOOKUP(D273,'CNKT '!$C$256:$W$315,21,0)</f>
        <v>0</v>
      </c>
      <c r="I273" s="1325">
        <f t="shared" si="21"/>
        <v>0</v>
      </c>
      <c r="J273" s="1325"/>
      <c r="K273" s="1325">
        <f>VLOOKUP(D273,'CNKT '!$C$256:$Z$315,24,0)</f>
        <v>0</v>
      </c>
      <c r="L273" s="1325"/>
      <c r="M273" s="1327">
        <f t="shared" si="22"/>
        <v>0</v>
      </c>
      <c r="N273" s="1334"/>
      <c r="O273" s="188"/>
      <c r="P273" s="95"/>
    </row>
    <row r="274" spans="1:16" s="181" customFormat="1" ht="21.75" hidden="1" customHeight="1">
      <c r="A274" s="355">
        <v>21</v>
      </c>
      <c r="B274" s="1579" t="str">
        <f>'Chấm công KT'!D260</f>
        <v>03665</v>
      </c>
      <c r="C274" s="1502"/>
      <c r="D274" s="1326" t="str">
        <f>'CNKT '!C276</f>
        <v>N. Kẻ</v>
      </c>
      <c r="E274" s="1326" t="s">
        <v>43</v>
      </c>
      <c r="F274" s="1325">
        <f>VLOOKUP(D274,'CNKT '!$C$256:$F$315,4,0)</f>
        <v>0</v>
      </c>
      <c r="G274" s="1325">
        <f>VLOOKUP(D274,'CNKT '!$C$256:$L$315,10,0)</f>
        <v>0</v>
      </c>
      <c r="H274" s="1325">
        <f>VLOOKUP(D274,'CNKT '!$C$256:$W$315,21,0)</f>
        <v>0</v>
      </c>
      <c r="I274" s="1325">
        <f t="shared" si="21"/>
        <v>0</v>
      </c>
      <c r="J274" s="1325"/>
      <c r="K274" s="1325">
        <f>VLOOKUP(D274,'CNKT '!$C$256:$Z$315,24,0)</f>
        <v>0</v>
      </c>
      <c r="L274" s="1325"/>
      <c r="M274" s="1327">
        <f t="shared" si="22"/>
        <v>0</v>
      </c>
      <c r="N274" s="1334"/>
      <c r="O274" s="188"/>
      <c r="P274" s="95"/>
    </row>
    <row r="275" spans="1:16" s="181" customFormat="1" ht="21.75" hidden="1" customHeight="1">
      <c r="A275" s="355">
        <v>22</v>
      </c>
      <c r="B275" s="1579" t="str">
        <f>'Chấm công KT'!D261</f>
        <v>03666</v>
      </c>
      <c r="C275" s="1502"/>
      <c r="D275" s="1326" t="str">
        <f>'CNKT '!C277</f>
        <v>T. Chăn (4)</v>
      </c>
      <c r="E275" s="1326" t="s">
        <v>43</v>
      </c>
      <c r="F275" s="1325">
        <f>VLOOKUP(D275,'CNKT '!$C$256:$F$315,4,0)</f>
        <v>0</v>
      </c>
      <c r="G275" s="1325">
        <f>VLOOKUP(D275,'CNKT '!$C$256:$L$315,10,0)</f>
        <v>0</v>
      </c>
      <c r="H275" s="1325">
        <f>VLOOKUP(D275,'CNKT '!$C$256:$W$315,21,0)</f>
        <v>0</v>
      </c>
      <c r="I275" s="1325">
        <f t="shared" si="21"/>
        <v>0</v>
      </c>
      <c r="J275" s="1325"/>
      <c r="K275" s="1325">
        <f>VLOOKUP(D275,'CNKT '!$C$256:$Z$315,24,0)</f>
        <v>0</v>
      </c>
      <c r="L275" s="1325"/>
      <c r="M275" s="1327">
        <f t="shared" si="22"/>
        <v>0</v>
      </c>
      <c r="N275" s="1334"/>
      <c r="O275" s="188"/>
      <c r="P275" s="95"/>
    </row>
    <row r="276" spans="1:16" s="181" customFormat="1" ht="21.75" hidden="1" customHeight="1">
      <c r="A276" s="355">
        <v>23</v>
      </c>
      <c r="B276" s="1579" t="str">
        <f>'Chấm công KT'!D262</f>
        <v>03667</v>
      </c>
      <c r="C276" s="1502"/>
      <c r="D276" s="1326" t="str">
        <f>'CNKT '!C278</f>
        <v>T.Mon</v>
      </c>
      <c r="E276" s="1326" t="s">
        <v>43</v>
      </c>
      <c r="F276" s="1325">
        <f>VLOOKUP(D276,'CNKT '!$C$256:$F$315,4,0)</f>
        <v>0</v>
      </c>
      <c r="G276" s="1325">
        <f>VLOOKUP(D276,'CNKT '!$C$256:$L$315,10,0)</f>
        <v>0</v>
      </c>
      <c r="H276" s="1325">
        <f>VLOOKUP(D276,'CNKT '!$C$256:$W$315,21,0)</f>
        <v>0</v>
      </c>
      <c r="I276" s="1325">
        <f t="shared" si="21"/>
        <v>0</v>
      </c>
      <c r="J276" s="1325"/>
      <c r="K276" s="1325">
        <f>VLOOKUP(D276,'CNKT '!$C$256:$Z$315,24,0)</f>
        <v>0</v>
      </c>
      <c r="L276" s="1325"/>
      <c r="M276" s="1327">
        <f t="shared" si="22"/>
        <v>0</v>
      </c>
      <c r="N276" s="1334"/>
      <c r="O276" s="188"/>
      <c r="P276" s="95"/>
    </row>
    <row r="277" spans="1:16" s="181" customFormat="1" ht="21.75" hidden="1" customHeight="1">
      <c r="A277" s="355">
        <v>24</v>
      </c>
      <c r="B277" s="1579"/>
      <c r="C277" s="1502"/>
      <c r="D277" s="1326" t="str">
        <f>'CNKT '!C279</f>
        <v>N.. Đeng</v>
      </c>
      <c r="E277" s="1326" t="s">
        <v>43</v>
      </c>
      <c r="F277" s="1325">
        <f>VLOOKUP(D277,'CNKT '!$C$256:$F$315,4,0)</f>
        <v>0</v>
      </c>
      <c r="G277" s="1325">
        <f>VLOOKUP(D277,'CNKT '!$C$256:$L$315,10,0)</f>
        <v>0</v>
      </c>
      <c r="H277" s="1325">
        <f>VLOOKUP(D277,'CNKT '!$C$256:$W$315,21,0)</f>
        <v>0</v>
      </c>
      <c r="I277" s="1325">
        <f t="shared" si="21"/>
        <v>0</v>
      </c>
      <c r="J277" s="1325"/>
      <c r="K277" s="1325">
        <f>VLOOKUP(D277,'CNKT '!$C$256:$Z$315,24,0)</f>
        <v>0</v>
      </c>
      <c r="L277" s="1325"/>
      <c r="M277" s="1327">
        <f t="shared" si="22"/>
        <v>0</v>
      </c>
      <c r="N277" s="1334"/>
      <c r="O277" s="188"/>
      <c r="P277" s="95"/>
    </row>
    <row r="278" spans="1:16" s="181" customFormat="1" ht="21.75" hidden="1" customHeight="1">
      <c r="A278" s="355">
        <v>25</v>
      </c>
      <c r="B278" s="1579" t="str">
        <f>'Chấm công KT'!D264</f>
        <v>03669</v>
      </c>
      <c r="C278" s="1502"/>
      <c r="D278" s="1326" t="str">
        <f>'CNKT '!C280</f>
        <v>T. Cơ</v>
      </c>
      <c r="E278" s="1326" t="s">
        <v>43</v>
      </c>
      <c r="F278" s="1325">
        <f>VLOOKUP(D278,'CNKT '!$C$256:$F$315,4,0)</f>
        <v>0</v>
      </c>
      <c r="G278" s="1325">
        <f>VLOOKUP(D278,'CNKT '!$C$256:$L$315,10,0)</f>
        <v>0</v>
      </c>
      <c r="H278" s="1325">
        <f>VLOOKUP(D278,'CNKT '!$C$256:$W$315,21,0)</f>
        <v>0</v>
      </c>
      <c r="I278" s="1325">
        <f t="shared" si="21"/>
        <v>0</v>
      </c>
      <c r="J278" s="1325"/>
      <c r="K278" s="1325">
        <f>VLOOKUP(D278,'CNKT '!$C$256:$Z$315,24,0)</f>
        <v>0</v>
      </c>
      <c r="L278" s="1325"/>
      <c r="M278" s="1327">
        <f t="shared" si="22"/>
        <v>0</v>
      </c>
      <c r="N278" s="1334"/>
      <c r="O278" s="188"/>
      <c r="P278" s="95"/>
    </row>
    <row r="279" spans="1:16" s="181" customFormat="1" ht="21.75" hidden="1" customHeight="1">
      <c r="A279" s="355">
        <v>26</v>
      </c>
      <c r="B279" s="1579" t="str">
        <f>'Chấm công KT'!D265</f>
        <v>03670</v>
      </c>
      <c r="C279" s="1502"/>
      <c r="D279" s="1326" t="str">
        <f>'CNKT '!C281</f>
        <v>T Phết</v>
      </c>
      <c r="E279" s="1326" t="s">
        <v>43</v>
      </c>
      <c r="F279" s="1325">
        <f>VLOOKUP(D279,'CNKT '!$C$256:$F$315,4,0)</f>
        <v>0</v>
      </c>
      <c r="G279" s="1325">
        <f>VLOOKUP(D279,'CNKT '!$C$256:$L$315,10,0)</f>
        <v>0</v>
      </c>
      <c r="H279" s="1325">
        <f>VLOOKUP(D279,'CNKT '!$C$256:$W$315,21,0)</f>
        <v>0</v>
      </c>
      <c r="I279" s="1325">
        <f t="shared" si="21"/>
        <v>0</v>
      </c>
      <c r="J279" s="1325"/>
      <c r="K279" s="1325">
        <f>VLOOKUP(D279,'CNKT '!$C$256:$Z$315,24,0)</f>
        <v>0</v>
      </c>
      <c r="L279" s="1325"/>
      <c r="M279" s="1327">
        <f t="shared" si="22"/>
        <v>0</v>
      </c>
      <c r="N279" s="1334"/>
      <c r="O279" s="188"/>
      <c r="P279" s="95"/>
    </row>
    <row r="280" spans="1:16" s="181" customFormat="1" ht="21.75" hidden="1" customHeight="1">
      <c r="A280" s="355">
        <v>27</v>
      </c>
      <c r="B280" s="1579" t="str">
        <f>'Chấm công KT'!D266</f>
        <v>03516</v>
      </c>
      <c r="C280" s="1502"/>
      <c r="D280" s="1326" t="str">
        <f>'CNKT '!C282</f>
        <v>N. Chay</v>
      </c>
      <c r="E280" s="1326" t="s">
        <v>43</v>
      </c>
      <c r="F280" s="1325">
        <f>VLOOKUP(D280,'CNKT '!$C$256:$F$315,4,0)</f>
        <v>0</v>
      </c>
      <c r="G280" s="1325">
        <f>VLOOKUP(D280,'CNKT '!$C$256:$L$315,10,0)</f>
        <v>0</v>
      </c>
      <c r="H280" s="1325">
        <f>VLOOKUP(D280,'CNKT '!$C$256:$W$315,21,0)</f>
        <v>0</v>
      </c>
      <c r="I280" s="1325">
        <f t="shared" si="21"/>
        <v>0</v>
      </c>
      <c r="J280" s="1325"/>
      <c r="K280" s="1325">
        <f>VLOOKUP(D280,'CNKT '!$C$256:$Z$315,24,0)</f>
        <v>0</v>
      </c>
      <c r="L280" s="1325"/>
      <c r="M280" s="1327">
        <f t="shared" si="22"/>
        <v>0</v>
      </c>
      <c r="N280" s="1334"/>
      <c r="O280" s="188"/>
      <c r="P280" s="95"/>
    </row>
    <row r="281" spans="1:16" s="181" customFormat="1" ht="21.75" hidden="1" customHeight="1">
      <c r="A281" s="355">
        <v>28</v>
      </c>
      <c r="B281" s="1579" t="str">
        <f>'Chấm công KT'!D267</f>
        <v>03672</v>
      </c>
      <c r="C281" s="1502"/>
      <c r="D281" s="1326" t="str">
        <f>'CNKT '!C283</f>
        <v>T. Sắc</v>
      </c>
      <c r="E281" s="1326" t="s">
        <v>43</v>
      </c>
      <c r="F281" s="1325">
        <f>VLOOKUP(D281,'CNKT '!$C$256:$F$315,4,0)</f>
        <v>0</v>
      </c>
      <c r="G281" s="1325">
        <f>VLOOKUP(D281,'CNKT '!$C$256:$L$315,10,0)</f>
        <v>0</v>
      </c>
      <c r="H281" s="1325">
        <f>VLOOKUP(D281,'CNKT '!$C$256:$W$315,21,0)</f>
        <v>0</v>
      </c>
      <c r="I281" s="1325">
        <f t="shared" si="21"/>
        <v>0</v>
      </c>
      <c r="J281" s="1325"/>
      <c r="K281" s="1325">
        <f>VLOOKUP(D281,'CNKT '!$C$256:$Z$315,24,0)</f>
        <v>0</v>
      </c>
      <c r="L281" s="1325"/>
      <c r="M281" s="1327">
        <f t="shared" si="22"/>
        <v>0</v>
      </c>
      <c r="N281" s="1334"/>
      <c r="O281" s="188"/>
      <c r="P281" s="95"/>
    </row>
    <row r="282" spans="1:16" s="181" customFormat="1" ht="21.75" hidden="1" customHeight="1">
      <c r="A282" s="355">
        <v>29</v>
      </c>
      <c r="B282" s="1579" t="str">
        <f>'Chấm công KT'!D268</f>
        <v>03673</v>
      </c>
      <c r="C282" s="1502"/>
      <c r="D282" s="1326" t="str">
        <f>'CNKT '!C284</f>
        <v>T. Đông</v>
      </c>
      <c r="E282" s="1326" t="s">
        <v>43</v>
      </c>
      <c r="F282" s="1325">
        <f>VLOOKUP(D282,'CNKT '!$C$256:$F$315,4,0)</f>
        <v>0</v>
      </c>
      <c r="G282" s="1325">
        <f>VLOOKUP(D282,'CNKT '!$C$256:$L$315,10,0)</f>
        <v>0</v>
      </c>
      <c r="H282" s="1325">
        <f>VLOOKUP(D282,'CNKT '!$C$256:$W$315,21,0)</f>
        <v>0</v>
      </c>
      <c r="I282" s="1325">
        <f t="shared" si="21"/>
        <v>0</v>
      </c>
      <c r="J282" s="1325"/>
      <c r="K282" s="1325">
        <f>VLOOKUP(D282,'CNKT '!$C$256:$Z$315,24,0)</f>
        <v>0</v>
      </c>
      <c r="L282" s="1325"/>
      <c r="M282" s="1327">
        <f t="shared" si="22"/>
        <v>0</v>
      </c>
      <c r="N282" s="1334"/>
      <c r="O282" s="188"/>
      <c r="P282" s="95"/>
    </row>
    <row r="283" spans="1:16" s="181" customFormat="1" ht="21.75" hidden="1" customHeight="1">
      <c r="A283" s="355">
        <v>30</v>
      </c>
      <c r="B283" s="1579" t="str">
        <f>'Chấm công KT'!D269</f>
        <v>03674</v>
      </c>
      <c r="C283" s="1502"/>
      <c r="D283" s="1326" t="str">
        <f>'CNKT '!C285</f>
        <v>N. Lao</v>
      </c>
      <c r="E283" s="1326" t="s">
        <v>43</v>
      </c>
      <c r="F283" s="1325">
        <f>VLOOKUP(D283,'CNKT '!$C$256:$F$315,4,0)</f>
        <v>0</v>
      </c>
      <c r="G283" s="1325">
        <f>VLOOKUP(D283,'CNKT '!$C$256:$L$315,10,0)</f>
        <v>0</v>
      </c>
      <c r="H283" s="1325">
        <f>VLOOKUP(D283,'CNKT '!$C$256:$W$315,21,0)</f>
        <v>0</v>
      </c>
      <c r="I283" s="1325">
        <f t="shared" si="21"/>
        <v>0</v>
      </c>
      <c r="J283" s="1325"/>
      <c r="K283" s="1325">
        <f>VLOOKUP(D283,'CNKT '!$C$256:$Z$315,24,0)</f>
        <v>0</v>
      </c>
      <c r="L283" s="1325"/>
      <c r="M283" s="1327">
        <f t="shared" si="22"/>
        <v>0</v>
      </c>
      <c r="N283" s="1334"/>
      <c r="O283" s="188"/>
      <c r="P283" s="95"/>
    </row>
    <row r="284" spans="1:16" s="181" customFormat="1" ht="21.75" hidden="1" customHeight="1">
      <c r="A284" s="355">
        <v>31</v>
      </c>
      <c r="B284" s="1579" t="str">
        <f>'Chấm công KT'!D270</f>
        <v>03675</v>
      </c>
      <c r="C284" s="1502"/>
      <c r="D284" s="1326" t="str">
        <f>'CNKT '!C286</f>
        <v>N. Xum Xi</v>
      </c>
      <c r="E284" s="1326" t="s">
        <v>43</v>
      </c>
      <c r="F284" s="1325">
        <f>VLOOKUP(D284,'CNKT '!$C$256:$F$315,4,0)</f>
        <v>0</v>
      </c>
      <c r="G284" s="1325">
        <f>VLOOKUP(D284,'CNKT '!$C$256:$L$315,10,0)</f>
        <v>0</v>
      </c>
      <c r="H284" s="1325">
        <f>VLOOKUP(D284,'CNKT '!$C$256:$W$315,21,0)</f>
        <v>0</v>
      </c>
      <c r="I284" s="1325">
        <f t="shared" si="21"/>
        <v>0</v>
      </c>
      <c r="J284" s="1325"/>
      <c r="K284" s="1325">
        <f>VLOOKUP(D284,'CNKT '!$C$256:$Z$315,24,0)</f>
        <v>0</v>
      </c>
      <c r="L284" s="1325"/>
      <c r="M284" s="1327">
        <f t="shared" si="22"/>
        <v>0</v>
      </c>
      <c r="N284" s="1334"/>
      <c r="O284" s="188"/>
      <c r="P284" s="95"/>
    </row>
    <row r="285" spans="1:16" s="181" customFormat="1" ht="21.75" hidden="1" customHeight="1">
      <c r="A285" s="355">
        <v>32</v>
      </c>
      <c r="B285" s="1579" t="str">
        <f>'Chấm công KT'!D271</f>
        <v>03676</v>
      </c>
      <c r="C285" s="1502"/>
      <c r="D285" s="1326" t="str">
        <f>'CNKT '!C287</f>
        <v xml:space="preserve">T. Xi </v>
      </c>
      <c r="E285" s="1326" t="s">
        <v>43</v>
      </c>
      <c r="F285" s="1325">
        <f>VLOOKUP(D285,'CNKT '!$C$256:$F$315,4,0)</f>
        <v>0</v>
      </c>
      <c r="G285" s="1325">
        <f>VLOOKUP(D285,'CNKT '!$C$256:$L$315,10,0)</f>
        <v>0</v>
      </c>
      <c r="H285" s="1325">
        <f>VLOOKUP(D285,'CNKT '!$C$256:$W$315,21,0)</f>
        <v>0</v>
      </c>
      <c r="I285" s="1325">
        <f t="shared" si="21"/>
        <v>0</v>
      </c>
      <c r="J285" s="1325"/>
      <c r="K285" s="1325">
        <f>VLOOKUP(D285,'CNKT '!$C$256:$Z$315,24,0)</f>
        <v>0</v>
      </c>
      <c r="L285" s="1325"/>
      <c r="M285" s="1327">
        <f t="shared" si="22"/>
        <v>0</v>
      </c>
      <c r="N285" s="1334"/>
      <c r="O285" s="188"/>
      <c r="P285" s="95"/>
    </row>
    <row r="286" spans="1:16" s="181" customFormat="1" ht="21.75" hidden="1" customHeight="1">
      <c r="A286" s="355">
        <v>33</v>
      </c>
      <c r="B286" s="1579" t="str">
        <f>'Chấm công KT'!D272</f>
        <v>03677</v>
      </c>
      <c r="C286" s="1502"/>
      <c r="D286" s="1326" t="str">
        <f>'CNKT '!C288</f>
        <v>T Pết</v>
      </c>
      <c r="E286" s="1326" t="s">
        <v>43</v>
      </c>
      <c r="F286" s="1325">
        <f>VLOOKUP(D286,'CNKT '!$C$256:$F$315,4,0)</f>
        <v>0</v>
      </c>
      <c r="G286" s="1325">
        <f>VLOOKUP(D286,'CNKT '!$C$256:$L$315,10,0)</f>
        <v>0</v>
      </c>
      <c r="H286" s="1325">
        <f>VLOOKUP(D286,'CNKT '!$C$256:$W$315,21,0)</f>
        <v>0</v>
      </c>
      <c r="I286" s="1325">
        <f t="shared" si="21"/>
        <v>0</v>
      </c>
      <c r="J286" s="1325"/>
      <c r="K286" s="1325">
        <f>VLOOKUP(D286,'CNKT '!$C$256:$Z$315,24,0)</f>
        <v>0</v>
      </c>
      <c r="L286" s="1325"/>
      <c r="M286" s="1327">
        <f t="shared" si="22"/>
        <v>0</v>
      </c>
      <c r="N286" s="1334"/>
      <c r="O286" s="188"/>
      <c r="P286" s="95"/>
    </row>
    <row r="287" spans="1:16" s="181" customFormat="1" ht="21.75" hidden="1" customHeight="1">
      <c r="A287" s="355">
        <v>34</v>
      </c>
      <c r="B287" s="1579" t="str">
        <f>'Chấm công KT'!D273</f>
        <v>03678</v>
      </c>
      <c r="C287" s="1502"/>
      <c r="D287" s="1326" t="str">
        <f>'CNKT '!C289</f>
        <v>T. Von</v>
      </c>
      <c r="E287" s="1326" t="s">
        <v>43</v>
      </c>
      <c r="F287" s="1325">
        <f>VLOOKUP(D287,'CNKT '!$C$256:$F$315,4,0)</f>
        <v>0</v>
      </c>
      <c r="G287" s="1325">
        <f>VLOOKUP(D287,'CNKT '!$C$256:$L$315,10,0)</f>
        <v>0</v>
      </c>
      <c r="H287" s="1325">
        <f>VLOOKUP(D287,'CNKT '!$C$256:$W$315,21,0)</f>
        <v>0</v>
      </c>
      <c r="I287" s="1325">
        <f t="shared" si="21"/>
        <v>0</v>
      </c>
      <c r="J287" s="1325"/>
      <c r="K287" s="1325">
        <f>VLOOKUP(D287,'CNKT '!$C$256:$Z$315,24,0)</f>
        <v>0</v>
      </c>
      <c r="L287" s="1325"/>
      <c r="M287" s="1327">
        <f t="shared" si="22"/>
        <v>0</v>
      </c>
      <c r="N287" s="1334"/>
      <c r="O287" s="188"/>
      <c r="P287" s="95"/>
    </row>
    <row r="288" spans="1:16" s="181" customFormat="1" ht="21.75" hidden="1" customHeight="1">
      <c r="A288" s="355">
        <v>35</v>
      </c>
      <c r="B288" s="1579" t="str">
        <f>'Chấm công KT'!D274</f>
        <v>03679</v>
      </c>
      <c r="C288" s="1502"/>
      <c r="D288" s="1326" t="str">
        <f>'CNKT '!C290</f>
        <v>Khăm Xúc</v>
      </c>
      <c r="E288" s="1326" t="s">
        <v>43</v>
      </c>
      <c r="F288" s="1325">
        <f>VLOOKUP(D288,'CNKT '!$C$256:$F$315,4,0)</f>
        <v>0</v>
      </c>
      <c r="G288" s="1325">
        <f>VLOOKUP(D288,'CNKT '!$C$256:$L$315,10,0)</f>
        <v>0</v>
      </c>
      <c r="H288" s="1325">
        <f>VLOOKUP(D288,'CNKT '!$C$256:$W$315,21,0)</f>
        <v>0</v>
      </c>
      <c r="I288" s="1325">
        <f t="shared" si="21"/>
        <v>0</v>
      </c>
      <c r="J288" s="1325"/>
      <c r="K288" s="1325">
        <f>VLOOKUP(D288,'CNKT '!$C$256:$Z$315,24,0)</f>
        <v>0</v>
      </c>
      <c r="L288" s="1325"/>
      <c r="M288" s="1327">
        <f t="shared" si="22"/>
        <v>0</v>
      </c>
      <c r="N288" s="1334"/>
      <c r="O288" s="188"/>
      <c r="P288" s="95"/>
    </row>
    <row r="289" spans="1:16" s="181" customFormat="1" ht="21.75" hidden="1" customHeight="1">
      <c r="A289" s="355">
        <v>36</v>
      </c>
      <c r="B289" s="1579" t="str">
        <f>'Chấm công KT'!D275</f>
        <v>03680</v>
      </c>
      <c r="C289" s="1502"/>
      <c r="D289" s="1326" t="str">
        <f>'CNKT '!C291</f>
        <v>T. Phút</v>
      </c>
      <c r="E289" s="1326" t="s">
        <v>43</v>
      </c>
      <c r="F289" s="1325">
        <f>VLOOKUP(D289,'CNKT '!$C$256:$F$315,4,0)</f>
        <v>0</v>
      </c>
      <c r="G289" s="1325">
        <f>VLOOKUP(D289,'CNKT '!$C$256:$L$315,10,0)</f>
        <v>0</v>
      </c>
      <c r="H289" s="1325">
        <f>VLOOKUP(D289,'CNKT '!$C$256:$W$315,21,0)</f>
        <v>0</v>
      </c>
      <c r="I289" s="1325">
        <f t="shared" si="21"/>
        <v>0</v>
      </c>
      <c r="J289" s="1325"/>
      <c r="K289" s="1325">
        <f>VLOOKUP(D289,'CNKT '!$C$256:$Z$315,24,0)</f>
        <v>0</v>
      </c>
      <c r="L289" s="1325"/>
      <c r="M289" s="1327">
        <f t="shared" si="22"/>
        <v>0</v>
      </c>
      <c r="N289" s="1334"/>
      <c r="O289" s="188"/>
      <c r="P289" s="95"/>
    </row>
    <row r="290" spans="1:16" s="181" customFormat="1" ht="21.75" hidden="1" customHeight="1">
      <c r="A290" s="355">
        <v>37</v>
      </c>
      <c r="B290" s="1579" t="str">
        <f>'Chấm công KT'!D276</f>
        <v>03681</v>
      </c>
      <c r="C290" s="1502"/>
      <c r="D290" s="1326" t="str">
        <f>'CNKT '!C292</f>
        <v>T. Be</v>
      </c>
      <c r="E290" s="1326" t="s">
        <v>43</v>
      </c>
      <c r="F290" s="1325">
        <f>VLOOKUP(D290,'CNKT '!$C$256:$F$315,4,0)</f>
        <v>0</v>
      </c>
      <c r="G290" s="1325">
        <f>VLOOKUP(D290,'CNKT '!$C$256:$L$315,10,0)</f>
        <v>0</v>
      </c>
      <c r="H290" s="1325">
        <f>VLOOKUP(D290,'CNKT '!$C$256:$W$315,21,0)</f>
        <v>0</v>
      </c>
      <c r="I290" s="1325">
        <f t="shared" si="21"/>
        <v>0</v>
      </c>
      <c r="J290" s="1325"/>
      <c r="K290" s="1325">
        <f>VLOOKUP(D290,'CNKT '!$C$256:$Z$315,24,0)</f>
        <v>0</v>
      </c>
      <c r="L290" s="1325"/>
      <c r="M290" s="1327">
        <f t="shared" si="22"/>
        <v>0</v>
      </c>
      <c r="N290" s="1334"/>
      <c r="O290" s="188"/>
      <c r="P290" s="95"/>
    </row>
    <row r="291" spans="1:16" s="181" customFormat="1" ht="21.75" hidden="1" customHeight="1">
      <c r="A291" s="355">
        <v>38</v>
      </c>
      <c r="B291" s="1579" t="str">
        <f>'Chấm công KT'!D277</f>
        <v>03682</v>
      </c>
      <c r="C291" s="1502"/>
      <c r="D291" s="1326" t="str">
        <f>'CNKT '!C293</f>
        <v>T . Mưn</v>
      </c>
      <c r="E291" s="1326" t="s">
        <v>43</v>
      </c>
      <c r="F291" s="1325">
        <f>VLOOKUP(D291,'CNKT '!$C$256:$F$315,4,0)</f>
        <v>0</v>
      </c>
      <c r="G291" s="1325">
        <f>VLOOKUP(D291,'CNKT '!$C$256:$L$315,10,0)</f>
        <v>0</v>
      </c>
      <c r="H291" s="1325">
        <f>VLOOKUP(D291,'CNKT '!$C$256:$W$315,21,0)</f>
        <v>0</v>
      </c>
      <c r="I291" s="1325">
        <f t="shared" si="21"/>
        <v>0</v>
      </c>
      <c r="J291" s="1325"/>
      <c r="K291" s="1325">
        <f>VLOOKUP(D291,'CNKT '!$C$256:$Z$315,24,0)</f>
        <v>0</v>
      </c>
      <c r="L291" s="1325"/>
      <c r="M291" s="1327">
        <f t="shared" si="22"/>
        <v>0</v>
      </c>
      <c r="N291" s="1334"/>
      <c r="O291" s="188"/>
      <c r="P291" s="95"/>
    </row>
    <row r="292" spans="1:16" s="181" customFormat="1" ht="21.75" hidden="1" customHeight="1">
      <c r="A292" s="355">
        <v>39</v>
      </c>
      <c r="B292" s="1579" t="str">
        <f>'Chấm công KT'!D278</f>
        <v>03683</v>
      </c>
      <c r="C292" s="1502"/>
      <c r="D292" s="1326" t="str">
        <f>'CNKT '!C294</f>
        <v>T. Ô</v>
      </c>
      <c r="E292" s="1326" t="s">
        <v>43</v>
      </c>
      <c r="F292" s="1325">
        <f>VLOOKUP(D292,'CNKT '!$C$256:$F$315,4,0)</f>
        <v>0</v>
      </c>
      <c r="G292" s="1325">
        <f>VLOOKUP(D292,'CNKT '!$C$256:$L$315,10,0)</f>
        <v>0</v>
      </c>
      <c r="H292" s="1325">
        <f>VLOOKUP(D292,'CNKT '!$C$256:$W$315,21,0)</f>
        <v>0</v>
      </c>
      <c r="I292" s="1325">
        <f t="shared" si="21"/>
        <v>0</v>
      </c>
      <c r="J292" s="1325"/>
      <c r="K292" s="1325">
        <f>VLOOKUP(D292,'CNKT '!$C$256:$Z$315,24,0)</f>
        <v>0</v>
      </c>
      <c r="L292" s="1325"/>
      <c r="M292" s="1327">
        <f t="shared" si="22"/>
        <v>0</v>
      </c>
      <c r="N292" s="1334"/>
      <c r="O292" s="188"/>
      <c r="P292" s="95"/>
    </row>
    <row r="293" spans="1:16" s="181" customFormat="1" ht="21.75" hidden="1" customHeight="1">
      <c r="A293" s="355">
        <v>40</v>
      </c>
      <c r="B293" s="1579" t="str">
        <f>'Chấm công KT'!D279</f>
        <v>03684</v>
      </c>
      <c r="C293" s="1502"/>
      <c r="D293" s="1326" t="str">
        <f>'CNKT '!C295</f>
        <v>N. Lem</v>
      </c>
      <c r="E293" s="1326" t="s">
        <v>43</v>
      </c>
      <c r="F293" s="1325">
        <f>VLOOKUP(D293,'CNKT '!$C$256:$F$315,4,0)</f>
        <v>0</v>
      </c>
      <c r="G293" s="1325">
        <f>VLOOKUP(D293,'CNKT '!$C$256:$L$315,10,0)</f>
        <v>0</v>
      </c>
      <c r="H293" s="1325">
        <f>VLOOKUP(D293,'CNKT '!$C$256:$W$315,21,0)</f>
        <v>0</v>
      </c>
      <c r="I293" s="1325">
        <f t="shared" si="21"/>
        <v>0</v>
      </c>
      <c r="J293" s="1325"/>
      <c r="K293" s="1325">
        <f>VLOOKUP(D293,'CNKT '!$C$256:$Z$315,24,0)</f>
        <v>0</v>
      </c>
      <c r="L293" s="1325"/>
      <c r="M293" s="1327">
        <f t="shared" si="22"/>
        <v>0</v>
      </c>
      <c r="N293" s="1334"/>
      <c r="O293" s="188"/>
      <c r="P293" s="95"/>
    </row>
    <row r="294" spans="1:16" s="181" customFormat="1" ht="21.75" hidden="1" customHeight="1">
      <c r="A294" s="355">
        <v>41</v>
      </c>
      <c r="B294" s="1579" t="str">
        <f>'Chấm công KT'!D280</f>
        <v>03685</v>
      </c>
      <c r="C294" s="1502"/>
      <c r="D294" s="1326" t="str">
        <f>'CNKT '!C296</f>
        <v>T. Nọi (4)</v>
      </c>
      <c r="E294" s="1326" t="s">
        <v>43</v>
      </c>
      <c r="F294" s="1325">
        <f>VLOOKUP(D294,'CNKT '!$C$256:$F$315,4,0)</f>
        <v>0</v>
      </c>
      <c r="G294" s="1325">
        <f>VLOOKUP(D294,'CNKT '!$C$256:$L$315,10,0)</f>
        <v>0</v>
      </c>
      <c r="H294" s="1325">
        <f>VLOOKUP(D294,'CNKT '!$C$256:$W$315,21,0)</f>
        <v>0</v>
      </c>
      <c r="I294" s="1325">
        <f t="shared" si="21"/>
        <v>0</v>
      </c>
      <c r="J294" s="1325"/>
      <c r="K294" s="1325">
        <f>VLOOKUP(D294,'CNKT '!$C$256:$Z$315,24,0)</f>
        <v>0</v>
      </c>
      <c r="L294" s="1325"/>
      <c r="M294" s="1327">
        <f t="shared" si="22"/>
        <v>0</v>
      </c>
      <c r="N294" s="1334"/>
      <c r="O294" s="188"/>
      <c r="P294" s="95"/>
    </row>
    <row r="295" spans="1:16" s="181" customFormat="1" ht="21.75" hidden="1" customHeight="1">
      <c r="A295" s="355">
        <v>42</v>
      </c>
      <c r="B295" s="1579" t="str">
        <f>'Chấm công KT'!D281</f>
        <v>03556</v>
      </c>
      <c r="C295" s="1502"/>
      <c r="D295" s="1326" t="str">
        <f>'CNKT '!C297</f>
        <v>T. Mi</v>
      </c>
      <c r="E295" s="1326" t="s">
        <v>43</v>
      </c>
      <c r="F295" s="1325">
        <f>VLOOKUP(D295,'CNKT '!$C$256:$F$315,4,0)</f>
        <v>0</v>
      </c>
      <c r="G295" s="1325">
        <f>VLOOKUP(D295,'CNKT '!$C$256:$L$315,10,0)</f>
        <v>0</v>
      </c>
      <c r="H295" s="1325">
        <f>VLOOKUP(D295,'CNKT '!$C$256:$W$315,21,0)</f>
        <v>0</v>
      </c>
      <c r="I295" s="1325">
        <f t="shared" si="21"/>
        <v>0</v>
      </c>
      <c r="J295" s="1325"/>
      <c r="K295" s="1325">
        <f>VLOOKUP(D295,'CNKT '!$C$256:$Z$315,24,0)</f>
        <v>0</v>
      </c>
      <c r="L295" s="1325"/>
      <c r="M295" s="1327">
        <f t="shared" si="22"/>
        <v>0</v>
      </c>
      <c r="N295" s="1334"/>
      <c r="O295" s="188"/>
      <c r="P295" s="95"/>
    </row>
    <row r="296" spans="1:16" s="181" customFormat="1" ht="21.75" hidden="1" customHeight="1">
      <c r="A296" s="355">
        <v>43</v>
      </c>
      <c r="B296" s="1579" t="str">
        <f>'Chấm công KT'!D282</f>
        <v>03687</v>
      </c>
      <c r="C296" s="1502"/>
      <c r="D296" s="1326" t="str">
        <f>'CNKT '!C298</f>
        <v>T. Lẹ</v>
      </c>
      <c r="E296" s="1326" t="s">
        <v>43</v>
      </c>
      <c r="F296" s="1325">
        <f>VLOOKUP(D296,'CNKT '!$C$256:$F$315,4,0)</f>
        <v>0</v>
      </c>
      <c r="G296" s="1325">
        <f>VLOOKUP(D296,'CNKT '!$C$256:$L$315,10,0)</f>
        <v>0</v>
      </c>
      <c r="H296" s="1325">
        <f>VLOOKUP(D296,'CNKT '!$C$256:$W$315,21,0)</f>
        <v>0</v>
      </c>
      <c r="I296" s="1325">
        <f t="shared" si="21"/>
        <v>0</v>
      </c>
      <c r="J296" s="1325"/>
      <c r="K296" s="1325">
        <f>VLOOKUP(D296,'CNKT '!$C$256:$Z$315,24,0)</f>
        <v>0</v>
      </c>
      <c r="L296" s="1325"/>
      <c r="M296" s="1327">
        <f t="shared" si="22"/>
        <v>0</v>
      </c>
      <c r="N296" s="1334"/>
      <c r="O296" s="188"/>
      <c r="P296" s="95"/>
    </row>
    <row r="297" spans="1:16" s="181" customFormat="1" ht="21.75" hidden="1" customHeight="1">
      <c r="A297" s="355">
        <v>44</v>
      </c>
      <c r="B297" s="1579" t="str">
        <f>'Chấm công KT'!D283</f>
        <v>03688</v>
      </c>
      <c r="C297" s="1502"/>
      <c r="D297" s="1326" t="str">
        <f>'CNKT '!C299</f>
        <v>N. Sum Kang</v>
      </c>
      <c r="E297" s="1326" t="s">
        <v>43</v>
      </c>
      <c r="F297" s="1325">
        <f>VLOOKUP(D297,'CNKT '!$C$256:$F$315,4,0)</f>
        <v>0</v>
      </c>
      <c r="G297" s="1325">
        <f>VLOOKUP(D297,'CNKT '!$C$256:$L$315,10,0)</f>
        <v>0</v>
      </c>
      <c r="H297" s="1325">
        <f>VLOOKUP(D297,'CNKT '!$C$256:$W$315,21,0)</f>
        <v>0</v>
      </c>
      <c r="I297" s="1325">
        <f t="shared" si="21"/>
        <v>0</v>
      </c>
      <c r="J297" s="1325"/>
      <c r="K297" s="1325">
        <f>VLOOKUP(D297,'CNKT '!$C$256:$Z$315,24,0)</f>
        <v>0</v>
      </c>
      <c r="L297" s="1325"/>
      <c r="M297" s="1327">
        <f t="shared" si="22"/>
        <v>0</v>
      </c>
      <c r="N297" s="1334"/>
      <c r="O297" s="188"/>
      <c r="P297" s="95"/>
    </row>
    <row r="298" spans="1:16" s="181" customFormat="1" ht="21.75" hidden="1" customHeight="1">
      <c r="A298" s="355">
        <v>45</v>
      </c>
      <c r="B298" s="1579" t="str">
        <f>'Chấm công KT'!D284</f>
        <v>02732</v>
      </c>
      <c r="C298" s="1502"/>
      <c r="D298" s="1326" t="str">
        <f>'CNKT '!C300</f>
        <v xml:space="preserve">N. Khăm </v>
      </c>
      <c r="E298" s="1326" t="s">
        <v>43</v>
      </c>
      <c r="F298" s="1325">
        <f>VLOOKUP(D298,'CNKT '!$C$256:$F$315,4,0)</f>
        <v>0</v>
      </c>
      <c r="G298" s="1325">
        <f>VLOOKUP(D298,'CNKT '!$C$256:$L$315,10,0)</f>
        <v>0</v>
      </c>
      <c r="H298" s="1325">
        <f>VLOOKUP(D298,'CNKT '!$C$256:$W$315,21,0)</f>
        <v>0</v>
      </c>
      <c r="I298" s="1325">
        <f t="shared" si="21"/>
        <v>0</v>
      </c>
      <c r="J298" s="1325"/>
      <c r="K298" s="1325">
        <f>VLOOKUP(D298,'CNKT '!$C$256:$Z$315,24,0)</f>
        <v>0</v>
      </c>
      <c r="L298" s="1325"/>
      <c r="M298" s="1327">
        <f t="shared" si="22"/>
        <v>0</v>
      </c>
      <c r="N298" s="1334"/>
      <c r="O298" s="188"/>
      <c r="P298" s="95"/>
    </row>
    <row r="299" spans="1:16" s="181" customFormat="1" ht="21.75" hidden="1" customHeight="1">
      <c r="A299" s="355">
        <v>46</v>
      </c>
      <c r="B299" s="1579" t="str">
        <f>'Chấm công KT'!D285</f>
        <v>03690</v>
      </c>
      <c r="C299" s="1502"/>
      <c r="D299" s="1326" t="str">
        <f>'CNKT '!C301</f>
        <v>T. Xủm</v>
      </c>
      <c r="E299" s="1326" t="s">
        <v>43</v>
      </c>
      <c r="F299" s="1325">
        <f>VLOOKUP(D299,'CNKT '!$C$256:$F$315,4,0)</f>
        <v>0</v>
      </c>
      <c r="G299" s="1325">
        <f>VLOOKUP(D299,'CNKT '!$C$256:$L$315,10,0)</f>
        <v>0</v>
      </c>
      <c r="H299" s="1325">
        <f>VLOOKUP(D299,'CNKT '!$C$256:$W$315,21,0)</f>
        <v>0</v>
      </c>
      <c r="I299" s="1325">
        <f t="shared" si="21"/>
        <v>0</v>
      </c>
      <c r="J299" s="1325"/>
      <c r="K299" s="1325">
        <f>VLOOKUP(D299,'CNKT '!$C$256:$Z$315,24,0)</f>
        <v>0</v>
      </c>
      <c r="L299" s="1325"/>
      <c r="M299" s="1327">
        <f t="shared" si="22"/>
        <v>0</v>
      </c>
      <c r="N299" s="1334"/>
      <c r="O299" s="188"/>
      <c r="P299" s="95"/>
    </row>
    <row r="300" spans="1:16" s="181" customFormat="1" ht="21.75" hidden="1" customHeight="1">
      <c r="A300" s="355">
        <v>47</v>
      </c>
      <c r="B300" s="1579" t="str">
        <f>'Chấm công KT'!D286</f>
        <v>03691</v>
      </c>
      <c r="C300" s="1502"/>
      <c r="D300" s="1326" t="str">
        <f>'CNKT '!C302</f>
        <v>N. Keo Khăm</v>
      </c>
      <c r="E300" s="1326" t="s">
        <v>43</v>
      </c>
      <c r="F300" s="1325">
        <f>VLOOKUP(D300,'CNKT '!$C$256:$F$315,4,0)</f>
        <v>0</v>
      </c>
      <c r="G300" s="1325">
        <f>VLOOKUP(D300,'CNKT '!$C$256:$L$315,10,0)</f>
        <v>0</v>
      </c>
      <c r="H300" s="1325">
        <f>VLOOKUP(D300,'CNKT '!$C$256:$W$315,21,0)</f>
        <v>0</v>
      </c>
      <c r="I300" s="1325">
        <f t="shared" si="21"/>
        <v>0</v>
      </c>
      <c r="J300" s="1325"/>
      <c r="K300" s="1325">
        <f>VLOOKUP(D300,'CNKT '!$C$256:$Z$315,24,0)</f>
        <v>0</v>
      </c>
      <c r="L300" s="1325"/>
      <c r="M300" s="1327">
        <f t="shared" si="22"/>
        <v>0</v>
      </c>
      <c r="N300" s="1334"/>
      <c r="O300" s="188"/>
      <c r="P300" s="95"/>
    </row>
    <row r="301" spans="1:16" s="181" customFormat="1" ht="21.75" hidden="1" customHeight="1">
      <c r="A301" s="355">
        <v>48</v>
      </c>
      <c r="B301" s="1579" t="str">
        <f>'Chấm công KT'!D287</f>
        <v>03692</v>
      </c>
      <c r="C301" s="1502"/>
      <c r="D301" s="1326" t="str">
        <f>'CNKT '!C303</f>
        <v>T. Choi</v>
      </c>
      <c r="E301" s="1326" t="s">
        <v>43</v>
      </c>
      <c r="F301" s="1325">
        <f>VLOOKUP(D301,'CNKT '!$C$256:$F$315,4,0)</f>
        <v>0</v>
      </c>
      <c r="G301" s="1325">
        <f>VLOOKUP(D301,'CNKT '!$C$256:$L$315,10,0)</f>
        <v>0</v>
      </c>
      <c r="H301" s="1325">
        <f>VLOOKUP(D301,'CNKT '!$C$256:$W$315,21,0)</f>
        <v>0</v>
      </c>
      <c r="I301" s="1325">
        <f t="shared" si="21"/>
        <v>0</v>
      </c>
      <c r="J301" s="1325"/>
      <c r="K301" s="1325">
        <f>VLOOKUP(D301,'CNKT '!$C$256:$Z$315,24,0)</f>
        <v>0</v>
      </c>
      <c r="L301" s="1325"/>
      <c r="M301" s="1327">
        <f t="shared" si="22"/>
        <v>0</v>
      </c>
      <c r="N301" s="1334"/>
      <c r="O301" s="188"/>
      <c r="P301" s="95"/>
    </row>
    <row r="302" spans="1:16" s="181" customFormat="1" ht="21.75" hidden="1" customHeight="1">
      <c r="A302" s="355">
        <v>49</v>
      </c>
      <c r="B302" s="1579" t="str">
        <f>'Chấm công KT'!D288</f>
        <v>03693</v>
      </c>
      <c r="C302" s="1502"/>
      <c r="D302" s="1326" t="str">
        <f>'CNKT '!C304</f>
        <v>N. Phút</v>
      </c>
      <c r="E302" s="1326" t="s">
        <v>43</v>
      </c>
      <c r="F302" s="1325">
        <f>VLOOKUP(D302,'CNKT '!$C$256:$F$315,4,0)</f>
        <v>0</v>
      </c>
      <c r="G302" s="1325">
        <f>VLOOKUP(D302,'CNKT '!$C$256:$L$315,10,0)</f>
        <v>0</v>
      </c>
      <c r="H302" s="1325">
        <f>VLOOKUP(D302,'CNKT '!$C$256:$W$315,21,0)</f>
        <v>0</v>
      </c>
      <c r="I302" s="1325">
        <f t="shared" si="21"/>
        <v>0</v>
      </c>
      <c r="J302" s="1325"/>
      <c r="K302" s="1325">
        <f>VLOOKUP(D302,'CNKT '!$C$256:$Z$315,24,0)</f>
        <v>0</v>
      </c>
      <c r="L302" s="1325"/>
      <c r="M302" s="1327">
        <f t="shared" si="22"/>
        <v>0</v>
      </c>
      <c r="N302" s="1334"/>
      <c r="O302" s="188"/>
      <c r="P302" s="95"/>
    </row>
    <row r="303" spans="1:16" s="181" customFormat="1" ht="21.75" hidden="1" customHeight="1">
      <c r="A303" s="355">
        <v>50</v>
      </c>
      <c r="B303" s="1579" t="str">
        <f>'Chấm công KT'!D289</f>
        <v>03694</v>
      </c>
      <c r="C303" s="1502"/>
      <c r="D303" s="1326" t="str">
        <f>'CNKT '!C305</f>
        <v>Vông Chăn</v>
      </c>
      <c r="E303" s="1326" t="s">
        <v>43</v>
      </c>
      <c r="F303" s="1325">
        <f>VLOOKUP(D303,'CNKT '!$C$256:$F$315,4,0)</f>
        <v>0</v>
      </c>
      <c r="G303" s="1325">
        <f>VLOOKUP(D303,'CNKT '!$C$256:$L$315,10,0)</f>
        <v>0</v>
      </c>
      <c r="H303" s="1325">
        <f>VLOOKUP(D303,'CNKT '!$C$256:$W$315,21,0)</f>
        <v>0</v>
      </c>
      <c r="I303" s="1325">
        <f t="shared" si="21"/>
        <v>0</v>
      </c>
      <c r="J303" s="1325"/>
      <c r="K303" s="1325">
        <f>VLOOKUP(D303,'CNKT '!$C$256:$Z$315,24,0)</f>
        <v>0</v>
      </c>
      <c r="L303" s="1325"/>
      <c r="M303" s="1327">
        <f t="shared" si="22"/>
        <v>0</v>
      </c>
      <c r="N303" s="1334"/>
      <c r="O303" s="188"/>
      <c r="P303" s="95"/>
    </row>
    <row r="304" spans="1:16" s="181" customFormat="1" ht="21.75" hidden="1" customHeight="1">
      <c r="A304" s="355">
        <v>51</v>
      </c>
      <c r="B304" s="1579" t="str">
        <f>'Chấm công KT'!D290</f>
        <v>03695</v>
      </c>
      <c r="C304" s="1502"/>
      <c r="D304" s="1326" t="str">
        <f>'CNKT '!C306</f>
        <v>T. Mựt</v>
      </c>
      <c r="E304" s="1326" t="s">
        <v>43</v>
      </c>
      <c r="F304" s="1325">
        <f>VLOOKUP(D304,'CNKT '!$C$256:$F$315,4,0)</f>
        <v>0</v>
      </c>
      <c r="G304" s="1325">
        <f>VLOOKUP(D304,'CNKT '!$C$256:$L$315,10,0)</f>
        <v>0</v>
      </c>
      <c r="H304" s="1325">
        <f>VLOOKUP(D304,'CNKT '!$C$256:$W$315,21,0)</f>
        <v>0</v>
      </c>
      <c r="I304" s="1325">
        <f t="shared" si="21"/>
        <v>0</v>
      </c>
      <c r="J304" s="1325"/>
      <c r="K304" s="1325">
        <f>VLOOKUP(D304,'CNKT '!$C$256:$Z$315,24,0)</f>
        <v>0</v>
      </c>
      <c r="L304" s="1325"/>
      <c r="M304" s="1327">
        <f t="shared" si="22"/>
        <v>0</v>
      </c>
      <c r="N304" s="1334"/>
      <c r="O304" s="188"/>
      <c r="P304" s="95"/>
    </row>
    <row r="305" spans="1:16" s="181" customFormat="1" ht="21.75" hidden="1" customHeight="1">
      <c r="A305" s="355">
        <v>52</v>
      </c>
      <c r="B305" s="1579"/>
      <c r="C305" s="1502"/>
      <c r="D305" s="1326" t="str">
        <f>'CNKT '!C307</f>
        <v>Bun Lôm</v>
      </c>
      <c r="E305" s="1326" t="s">
        <v>43</v>
      </c>
      <c r="F305" s="1325">
        <f>VLOOKUP(D305,'CNKT '!$C$256:$F$315,4,0)</f>
        <v>0</v>
      </c>
      <c r="G305" s="1325">
        <f>VLOOKUP(D305,'CNKT '!$C$256:$L$315,10,0)</f>
        <v>0</v>
      </c>
      <c r="H305" s="1325">
        <f>VLOOKUP(D305,'CNKT '!$C$256:$W$315,21,0)</f>
        <v>0</v>
      </c>
      <c r="I305" s="1325">
        <f t="shared" si="21"/>
        <v>0</v>
      </c>
      <c r="J305" s="1325"/>
      <c r="K305" s="1325">
        <f>VLOOKUP(D305,'CNKT '!$C$256:$Z$315,24,0)</f>
        <v>0</v>
      </c>
      <c r="L305" s="1325"/>
      <c r="M305" s="1327">
        <f t="shared" ref="M305:M321" si="23">K305-J305</f>
        <v>0</v>
      </c>
      <c r="N305" s="1334"/>
      <c r="O305" s="188"/>
      <c r="P305" s="95"/>
    </row>
    <row r="306" spans="1:16" s="181" customFormat="1" ht="21.75" hidden="1" customHeight="1">
      <c r="A306" s="355">
        <v>53</v>
      </c>
      <c r="B306" s="1579"/>
      <c r="C306" s="1502"/>
      <c r="D306" s="1326" t="str">
        <f>'CNKT '!C308</f>
        <v>T. Nhã</v>
      </c>
      <c r="E306" s="1326" t="s">
        <v>43</v>
      </c>
      <c r="F306" s="1325">
        <f>VLOOKUP(D306,'CNKT '!$C$256:$F$315,4,0)</f>
        <v>0</v>
      </c>
      <c r="G306" s="1325">
        <f>VLOOKUP(D306,'CNKT '!$C$256:$L$315,10,0)</f>
        <v>0</v>
      </c>
      <c r="H306" s="1325">
        <f>VLOOKUP(D306,'CNKT '!$C$256:$W$315,21,0)</f>
        <v>0</v>
      </c>
      <c r="I306" s="1325">
        <f t="shared" si="21"/>
        <v>0</v>
      </c>
      <c r="J306" s="1325"/>
      <c r="K306" s="1325">
        <f>VLOOKUP(D306,'CNKT '!$C$256:$Z$315,24,0)</f>
        <v>0</v>
      </c>
      <c r="L306" s="1325"/>
      <c r="M306" s="1327">
        <f t="shared" si="23"/>
        <v>0</v>
      </c>
      <c r="N306" s="1334"/>
      <c r="O306" s="188"/>
      <c r="P306" s="95"/>
    </row>
    <row r="307" spans="1:16" s="181" customFormat="1" ht="21.75" hidden="1" customHeight="1">
      <c r="A307" s="355">
        <v>54</v>
      </c>
      <c r="B307" s="1579"/>
      <c r="C307" s="1502"/>
      <c r="D307" s="1326" t="str">
        <f>'CNKT '!C309</f>
        <v>Thảo Ỉa</v>
      </c>
      <c r="E307" s="1326" t="s">
        <v>43</v>
      </c>
      <c r="F307" s="1325">
        <f>VLOOKUP(D307,'CNKT '!$C$256:$F$315,4,0)</f>
        <v>0</v>
      </c>
      <c r="G307" s="1325">
        <f>VLOOKUP(D307,'CNKT '!$C$256:$L$315,10,0)</f>
        <v>0</v>
      </c>
      <c r="H307" s="1325">
        <f>VLOOKUP(D307,'CNKT '!$C$256:$W$315,21,0)</f>
        <v>0</v>
      </c>
      <c r="I307" s="1325">
        <f t="shared" si="21"/>
        <v>0</v>
      </c>
      <c r="J307" s="1325"/>
      <c r="K307" s="1325">
        <f>VLOOKUP(D307,'CNKT '!$C$256:$Z$315,24,0)</f>
        <v>0</v>
      </c>
      <c r="L307" s="1325"/>
      <c r="M307" s="1327">
        <f t="shared" si="23"/>
        <v>0</v>
      </c>
      <c r="N307" s="1334"/>
      <c r="O307" s="188"/>
      <c r="P307" s="95"/>
    </row>
    <row r="308" spans="1:16" s="181" customFormat="1" ht="21.75" hidden="1" customHeight="1">
      <c r="A308" s="355">
        <v>55</v>
      </c>
      <c r="B308" s="1579"/>
      <c r="C308" s="1502"/>
      <c r="D308" s="1326" t="str">
        <f>'CNKT '!C310</f>
        <v>Thảo Khăm</v>
      </c>
      <c r="E308" s="1326" t="s">
        <v>43</v>
      </c>
      <c r="F308" s="1325">
        <f>VLOOKUP(D308,'CNKT '!$C$256:$F$315,4,0)</f>
        <v>0</v>
      </c>
      <c r="G308" s="1325">
        <f>VLOOKUP(D308,'CNKT '!$C$256:$L$315,10,0)</f>
        <v>0</v>
      </c>
      <c r="H308" s="1325">
        <f>VLOOKUP(D308,'CNKT '!$C$256:$W$315,21,0)</f>
        <v>0</v>
      </c>
      <c r="I308" s="1325">
        <f t="shared" si="21"/>
        <v>0</v>
      </c>
      <c r="J308" s="1325"/>
      <c r="K308" s="1325">
        <f>VLOOKUP(D308,'CNKT '!$C$256:$Z$315,24,0)</f>
        <v>0</v>
      </c>
      <c r="L308" s="1325"/>
      <c r="M308" s="1327">
        <f t="shared" si="23"/>
        <v>0</v>
      </c>
      <c r="N308" s="1334"/>
      <c r="O308" s="188"/>
      <c r="P308" s="95"/>
    </row>
    <row r="309" spans="1:16" s="181" customFormat="1" ht="21.75" hidden="1" customHeight="1">
      <c r="A309" s="355">
        <v>56</v>
      </c>
      <c r="B309" s="1579"/>
      <c r="C309" s="1502"/>
      <c r="D309" s="1326" t="str">
        <f>'CNKT '!C311</f>
        <v>Nàng Muôn</v>
      </c>
      <c r="E309" s="1326" t="s">
        <v>43</v>
      </c>
      <c r="F309" s="1325">
        <f>VLOOKUP(D309,'CNKT '!$C$256:$F$315,4,0)</f>
        <v>0</v>
      </c>
      <c r="G309" s="1325">
        <f>VLOOKUP(D309,'CNKT '!$C$256:$L$315,10,0)</f>
        <v>0</v>
      </c>
      <c r="H309" s="1325">
        <f>VLOOKUP(D309,'CNKT '!$C$256:$W$315,21,0)</f>
        <v>0</v>
      </c>
      <c r="I309" s="1325">
        <f t="shared" si="21"/>
        <v>0</v>
      </c>
      <c r="J309" s="1325"/>
      <c r="K309" s="1325">
        <f>VLOOKUP(D309,'CNKT '!$C$256:$Z$315,24,0)</f>
        <v>0</v>
      </c>
      <c r="L309" s="1325"/>
      <c r="M309" s="1327">
        <f t="shared" si="23"/>
        <v>0</v>
      </c>
      <c r="N309" s="1334"/>
      <c r="O309" s="188"/>
      <c r="P309" s="95"/>
    </row>
    <row r="310" spans="1:16" s="181" customFormat="1" ht="21.75" hidden="1" customHeight="1">
      <c r="A310" s="355">
        <v>57</v>
      </c>
      <c r="B310" s="1579"/>
      <c r="C310" s="1502"/>
      <c r="D310" s="1326" t="str">
        <f>'CNKT '!C312</f>
        <v>Thảo Phu</v>
      </c>
      <c r="E310" s="1326" t="s">
        <v>43</v>
      </c>
      <c r="F310" s="1325">
        <f>VLOOKUP(D310,'CNKT '!$C$256:$F$315,4,0)</f>
        <v>0</v>
      </c>
      <c r="G310" s="1325">
        <f>VLOOKUP(D310,'CNKT '!$C$256:$L$315,10,0)</f>
        <v>0</v>
      </c>
      <c r="H310" s="1325">
        <f>VLOOKUP(D310,'CNKT '!$C$256:$W$315,21,0)</f>
        <v>0</v>
      </c>
      <c r="I310" s="1325">
        <f t="shared" si="21"/>
        <v>0</v>
      </c>
      <c r="J310" s="1325"/>
      <c r="K310" s="1325">
        <f>VLOOKUP(D310,'CNKT '!$C$256:$Z$315,24,0)</f>
        <v>0</v>
      </c>
      <c r="L310" s="1325"/>
      <c r="M310" s="1327">
        <f t="shared" si="23"/>
        <v>0</v>
      </c>
      <c r="N310" s="1334"/>
      <c r="O310" s="188"/>
      <c r="P310" s="95"/>
    </row>
    <row r="311" spans="1:16" s="181" customFormat="1" ht="21.75" hidden="1" customHeight="1">
      <c r="A311" s="355">
        <v>58</v>
      </c>
      <c r="B311" s="1579"/>
      <c r="C311" s="1502"/>
      <c r="D311" s="1326" t="str">
        <f>'CNKT '!C313</f>
        <v>Thảo Xi</v>
      </c>
      <c r="E311" s="1326" t="s">
        <v>43</v>
      </c>
      <c r="F311" s="1325">
        <f>VLOOKUP(D311,'CNKT '!$C$256:$F$315,4,0)</f>
        <v>0</v>
      </c>
      <c r="G311" s="1325">
        <f>VLOOKUP(D311,'CNKT '!$C$256:$L$315,10,0)</f>
        <v>0</v>
      </c>
      <c r="H311" s="1325">
        <f>VLOOKUP(D311,'CNKT '!$C$256:$W$315,21,0)</f>
        <v>0</v>
      </c>
      <c r="I311" s="1325">
        <f t="shared" si="21"/>
        <v>0</v>
      </c>
      <c r="J311" s="1325"/>
      <c r="K311" s="1325">
        <f>VLOOKUP(D311,'CNKT '!$C$256:$Z$315,24,0)</f>
        <v>0</v>
      </c>
      <c r="L311" s="1325"/>
      <c r="M311" s="1327">
        <f t="shared" si="23"/>
        <v>0</v>
      </c>
      <c r="N311" s="1334"/>
      <c r="O311" s="188"/>
      <c r="P311" s="95"/>
    </row>
    <row r="312" spans="1:16" s="181" customFormat="1" ht="21.75" hidden="1" customHeight="1">
      <c r="A312" s="355">
        <v>59</v>
      </c>
      <c r="B312" s="1579"/>
      <c r="C312" s="1502"/>
      <c r="D312" s="1326" t="str">
        <f>'CNKT '!C314</f>
        <v>Thảo KaLy</v>
      </c>
      <c r="E312" s="1326" t="s">
        <v>43</v>
      </c>
      <c r="F312" s="1325">
        <f>VLOOKUP(D312,'CNKT '!$C$256:$F$315,4,0)</f>
        <v>0</v>
      </c>
      <c r="G312" s="1325">
        <f>VLOOKUP(D312,'CNKT '!$C$256:$L$315,10,0)</f>
        <v>0</v>
      </c>
      <c r="H312" s="1325">
        <f>VLOOKUP(D312,'CNKT '!$C$256:$W$315,21,0)</f>
        <v>0</v>
      </c>
      <c r="I312" s="1325">
        <f t="shared" si="21"/>
        <v>0</v>
      </c>
      <c r="J312" s="1325"/>
      <c r="K312" s="1325">
        <f>VLOOKUP(D312,'CNKT '!$C$256:$Z$315,24,0)</f>
        <v>0</v>
      </c>
      <c r="L312" s="1325"/>
      <c r="M312" s="1327">
        <f t="shared" si="23"/>
        <v>0</v>
      </c>
      <c r="N312" s="1334"/>
      <c r="O312" s="188"/>
      <c r="P312" s="95"/>
    </row>
    <row r="313" spans="1:16" s="181" customFormat="1" ht="21.75" hidden="1" customHeight="1">
      <c r="A313" s="355">
        <v>57</v>
      </c>
      <c r="B313" s="1579"/>
      <c r="C313" s="1502"/>
      <c r="D313" s="1326" t="str">
        <f>'CNKT '!C315</f>
        <v>Thảo Lơn</v>
      </c>
      <c r="E313" s="1326" t="s">
        <v>43</v>
      </c>
      <c r="F313" s="1325">
        <f>VLOOKUP(D313,'CNKT '!$C$256:$F$315,4,0)</f>
        <v>0</v>
      </c>
      <c r="G313" s="1325">
        <f>VLOOKUP(D313,'CNKT '!$C$256:$L$315,10,0)</f>
        <v>0</v>
      </c>
      <c r="H313" s="1325">
        <f>VLOOKUP(D313,'CNKT '!$C$256:$W$315,21,0)</f>
        <v>0</v>
      </c>
      <c r="I313" s="1325">
        <f t="shared" si="21"/>
        <v>0</v>
      </c>
      <c r="J313" s="1325"/>
      <c r="K313" s="1325">
        <f>VLOOKUP(D313,'CNKT '!$C$256:$Z$315,24,0)</f>
        <v>0</v>
      </c>
      <c r="L313" s="1325"/>
      <c r="M313" s="1327">
        <f t="shared" si="23"/>
        <v>0</v>
      </c>
      <c r="N313" s="1334"/>
      <c r="O313" s="188"/>
      <c r="P313" s="95"/>
    </row>
    <row r="314" spans="1:16" s="181" customFormat="1" ht="21.75" hidden="1" customHeight="1">
      <c r="A314" s="355">
        <v>58</v>
      </c>
      <c r="B314" s="1579"/>
      <c r="C314" s="1502"/>
      <c r="D314" s="1326" t="str">
        <f>'CNKT '!C316</f>
        <v>Thảo Hung</v>
      </c>
      <c r="E314" s="1326" t="s">
        <v>43</v>
      </c>
      <c r="F314" s="1325">
        <f>VLOOKUP(D314,'CNKT '!$C$256:$F$335,4,0)</f>
        <v>0</v>
      </c>
      <c r="G314" s="1325">
        <f>VLOOKUP(D314,'CNKT '!$C$256:$L$335,10,0)</f>
        <v>0</v>
      </c>
      <c r="H314" s="1325">
        <f>VLOOKUP(D314,'CNKT '!$C$256:$W$335,21,0)</f>
        <v>0</v>
      </c>
      <c r="I314" s="1325">
        <f t="shared" si="21"/>
        <v>0</v>
      </c>
      <c r="J314" s="1325"/>
      <c r="K314" s="1325">
        <f>VLOOKUP(D314,'CNKT '!$C$256:$Z$335,24,0)</f>
        <v>0</v>
      </c>
      <c r="L314" s="1325"/>
      <c r="M314" s="1327">
        <f t="shared" si="23"/>
        <v>0</v>
      </c>
      <c r="N314" s="1334"/>
      <c r="O314" s="188"/>
      <c r="P314" s="95"/>
    </row>
    <row r="315" spans="1:16" s="181" customFormat="1" ht="21.75" hidden="1" customHeight="1">
      <c r="A315" s="355">
        <v>59</v>
      </c>
      <c r="B315" s="1719"/>
      <c r="C315" s="1720"/>
      <c r="D315" s="1326" t="str">
        <f>'CNKT '!C317</f>
        <v>Thảo Khẹt</v>
      </c>
      <c r="E315" s="1326" t="s">
        <v>43</v>
      </c>
      <c r="F315" s="1325">
        <f>VLOOKUP(D315,'CNKT '!$C$256:$F$335,4,0)</f>
        <v>0</v>
      </c>
      <c r="G315" s="1325">
        <f>VLOOKUP(D315,'CNKT '!$C$256:$L$335,10,0)</f>
        <v>0</v>
      </c>
      <c r="H315" s="1325">
        <f>VLOOKUP(D315,'CNKT '!$C$256:$W$335,21,0)</f>
        <v>0</v>
      </c>
      <c r="I315" s="1325">
        <f t="shared" si="21"/>
        <v>0</v>
      </c>
      <c r="J315" s="1325"/>
      <c r="K315" s="1325">
        <f>VLOOKUP(D315,'CNKT '!$C$256:$Z$335,24,0)</f>
        <v>0</v>
      </c>
      <c r="L315" s="1325"/>
      <c r="M315" s="1327">
        <f t="shared" si="23"/>
        <v>0</v>
      </c>
      <c r="N315" s="1334"/>
      <c r="O315" s="188"/>
      <c r="P315" s="95"/>
    </row>
    <row r="316" spans="1:16" s="181" customFormat="1" ht="21.75" hidden="1" customHeight="1">
      <c r="A316" s="355">
        <v>60</v>
      </c>
      <c r="B316" s="1719"/>
      <c r="C316" s="1720"/>
      <c r="D316" s="1326" t="str">
        <f>'CNKT '!C318</f>
        <v>Thảo Dung</v>
      </c>
      <c r="E316" s="1326" t="s">
        <v>43</v>
      </c>
      <c r="F316" s="1325">
        <f>VLOOKUP(D316,'CNKT '!$C$256:$F$335,4,0)</f>
        <v>0</v>
      </c>
      <c r="G316" s="1325">
        <f>VLOOKUP(D316,'CNKT '!$C$256:$L$335,10,0)</f>
        <v>0</v>
      </c>
      <c r="H316" s="1325">
        <f>VLOOKUP(D316,'CNKT '!$C$256:$W$335,21,0)</f>
        <v>0</v>
      </c>
      <c r="I316" s="1325">
        <f t="shared" si="21"/>
        <v>0</v>
      </c>
      <c r="J316" s="1325"/>
      <c r="K316" s="1325">
        <f>VLOOKUP(D316,'CNKT '!$C$256:$Z$335,24,0)</f>
        <v>0</v>
      </c>
      <c r="L316" s="1325"/>
      <c r="M316" s="1327">
        <f t="shared" si="23"/>
        <v>0</v>
      </c>
      <c r="N316" s="1334"/>
      <c r="O316" s="188"/>
      <c r="P316" s="95"/>
    </row>
    <row r="317" spans="1:16" s="181" customFormat="1" ht="21.75" hidden="1" customHeight="1">
      <c r="A317" s="355">
        <v>61</v>
      </c>
      <c r="B317" s="1719"/>
      <c r="C317" s="1720"/>
      <c r="D317" s="1326" t="str">
        <f>'CNKT '!C319</f>
        <v>Thảo Kính</v>
      </c>
      <c r="E317" s="1326" t="s">
        <v>43</v>
      </c>
      <c r="F317" s="1325">
        <f>VLOOKUP(D317,'CNKT '!$C$256:$F$335,4,0)</f>
        <v>0</v>
      </c>
      <c r="G317" s="1325">
        <f>VLOOKUP(D317,'CNKT '!$C$256:$L$335,10,0)</f>
        <v>0</v>
      </c>
      <c r="H317" s="1325">
        <f>VLOOKUP(D317,'CNKT '!$C$256:$W$335,21,0)</f>
        <v>0</v>
      </c>
      <c r="I317" s="1325">
        <f t="shared" si="21"/>
        <v>0</v>
      </c>
      <c r="J317" s="1325"/>
      <c r="K317" s="1325">
        <f>VLOOKUP(D317,'CNKT '!$C$256:$Z$335,24,0)</f>
        <v>0</v>
      </c>
      <c r="L317" s="1325"/>
      <c r="M317" s="1327">
        <f t="shared" si="23"/>
        <v>0</v>
      </c>
      <c r="N317" s="1334"/>
      <c r="O317" s="188"/>
      <c r="P317" s="95"/>
    </row>
    <row r="318" spans="1:16" s="181" customFormat="1" ht="21.75" hidden="1" customHeight="1">
      <c r="A318" s="355">
        <v>65</v>
      </c>
      <c r="B318" s="1719"/>
      <c r="C318" s="1720"/>
      <c r="D318" s="1326" t="str">
        <f>'CNKT '!C320</f>
        <v>Thảo Ly</v>
      </c>
      <c r="E318" s="1326" t="s">
        <v>43</v>
      </c>
      <c r="F318" s="1325">
        <f>VLOOKUP(D318,'CNKT '!$C$256:$F$335,4,0)</f>
        <v>0</v>
      </c>
      <c r="G318" s="1325">
        <f>VLOOKUP(D318,'CNKT '!$C$256:$L$335,10,0)</f>
        <v>0</v>
      </c>
      <c r="H318" s="1325">
        <f>VLOOKUP(D318,'CNKT '!$C$256:$W$335,21,0)</f>
        <v>0</v>
      </c>
      <c r="I318" s="1325">
        <f t="shared" si="21"/>
        <v>0</v>
      </c>
      <c r="J318" s="1325"/>
      <c r="K318" s="1325">
        <f>VLOOKUP(D318,'CNKT '!$C$256:$Z$335,24,0)</f>
        <v>0</v>
      </c>
      <c r="L318" s="1325"/>
      <c r="M318" s="1327">
        <f t="shared" si="23"/>
        <v>0</v>
      </c>
      <c r="N318" s="1334"/>
      <c r="O318" s="188"/>
      <c r="P318" s="95"/>
    </row>
    <row r="319" spans="1:16" s="181" customFormat="1" ht="21.75" hidden="1" customHeight="1">
      <c r="A319" s="355">
        <v>66</v>
      </c>
      <c r="B319" s="1719"/>
      <c r="C319" s="1720"/>
      <c r="D319" s="1326" t="str">
        <f>'CNKT '!C321</f>
        <v>Thảo Linh</v>
      </c>
      <c r="E319" s="1326" t="s">
        <v>43</v>
      </c>
      <c r="F319" s="1325">
        <f>VLOOKUP(D319,'CNKT '!$C$256:$F$335,4,0)</f>
        <v>0</v>
      </c>
      <c r="G319" s="1325">
        <f>VLOOKUP(D319,'CNKT '!$C$256:$L$335,10,0)</f>
        <v>0</v>
      </c>
      <c r="H319" s="1325">
        <f>VLOOKUP(D319,'CNKT '!$C$256:$W$335,21,0)</f>
        <v>0</v>
      </c>
      <c r="I319" s="1325">
        <f t="shared" ref="I319:I322" si="24">SUM(F319:H319)</f>
        <v>0</v>
      </c>
      <c r="J319" s="1325"/>
      <c r="K319" s="1325">
        <f>VLOOKUP(D319,'CNKT '!$C$256:$Z$335,24,0)</f>
        <v>0</v>
      </c>
      <c r="L319" s="1325"/>
      <c r="M319" s="1327">
        <f t="shared" si="23"/>
        <v>0</v>
      </c>
      <c r="N319" s="1334"/>
      <c r="O319" s="188"/>
      <c r="P319" s="95"/>
    </row>
    <row r="320" spans="1:16" s="181" customFormat="1" ht="21.75" hidden="1" customHeight="1">
      <c r="A320" s="355">
        <v>67</v>
      </c>
      <c r="B320" s="1719"/>
      <c r="C320" s="1720"/>
      <c r="D320" s="1326" t="str">
        <f>'CNKT '!C322</f>
        <v>T. Xinh</v>
      </c>
      <c r="E320" s="1326" t="s">
        <v>43</v>
      </c>
      <c r="F320" s="1325">
        <f>VLOOKUP(D320,'CNKT '!$C$256:$F$335,4,0)</f>
        <v>0</v>
      </c>
      <c r="G320" s="1325">
        <f>VLOOKUP(D320,'CNKT '!$C$256:$L$335,10,0)</f>
        <v>0</v>
      </c>
      <c r="H320" s="1325">
        <f>VLOOKUP(D320,'CNKT '!$C$256:$W$335,21,0)</f>
        <v>0</v>
      </c>
      <c r="I320" s="1325">
        <f t="shared" si="24"/>
        <v>0</v>
      </c>
      <c r="J320" s="1325"/>
      <c r="K320" s="1325">
        <f>VLOOKUP(D320,'CNKT '!$C$256:$Z$335,24,0)</f>
        <v>0</v>
      </c>
      <c r="L320" s="1325"/>
      <c r="M320" s="1327">
        <f t="shared" si="23"/>
        <v>0</v>
      </c>
      <c r="N320" s="1334"/>
      <c r="O320" s="188"/>
      <c r="P320" s="95"/>
    </row>
    <row r="321" spans="1:16" s="181" customFormat="1" ht="21.75" hidden="1" customHeight="1">
      <c r="A321" s="355">
        <v>62</v>
      </c>
      <c r="B321" s="1719"/>
      <c r="C321" s="1720"/>
      <c r="D321" s="1326" t="str">
        <f>'CNKT '!C323</f>
        <v>Mủ xirum</v>
      </c>
      <c r="E321" s="1326" t="s">
        <v>765</v>
      </c>
      <c r="F321" s="1325">
        <f>VLOOKUP(D321,'CNKT '!$C$256:$F$335,4,0)</f>
        <v>0</v>
      </c>
      <c r="G321" s="1325">
        <f>VLOOKUP(D321,'CNKT '!$C$256:$L$335,10,0)</f>
        <v>0</v>
      </c>
      <c r="H321" s="1325">
        <f>VLOOKUP(D321,'CNKT '!$C$256:$W$335,21,0)</f>
        <v>0</v>
      </c>
      <c r="I321" s="1325">
        <f t="shared" si="24"/>
        <v>0</v>
      </c>
      <c r="J321" s="1325"/>
      <c r="K321" s="1325">
        <f>VLOOKUP(D321,'CNKT '!$C$256:$Z$335,24,0)</f>
        <v>0</v>
      </c>
      <c r="L321" s="1325"/>
      <c r="M321" s="1327">
        <f t="shared" si="23"/>
        <v>0</v>
      </c>
      <c r="N321" s="1334"/>
      <c r="O321" s="188"/>
      <c r="P321" s="95"/>
    </row>
    <row r="322" spans="1:16" s="181" customFormat="1" ht="21.75" customHeight="1">
      <c r="A322" s="355">
        <v>1</v>
      </c>
      <c r="B322" s="1719"/>
      <c r="C322" s="1720"/>
      <c r="D322" s="1326" t="str">
        <f>'CNKT '!C324</f>
        <v>T. Tý</v>
      </c>
      <c r="E322" s="1326" t="s">
        <v>765</v>
      </c>
      <c r="F322" s="1325">
        <f>VLOOKUP(D322,'CNKT '!$C$256:$F$335,4,0)</f>
        <v>71046500</v>
      </c>
      <c r="G322" s="1325"/>
      <c r="H322" s="1325">
        <f>VLOOKUP(D322,'CNKT '!$C$256:$W$335,21,0)</f>
        <v>0</v>
      </c>
      <c r="I322" s="1325">
        <f t="shared" si="24"/>
        <v>71046500</v>
      </c>
      <c r="J322" s="1325"/>
      <c r="K322" s="1325">
        <f>VLOOKUP(D322,'CNKT '!$C$256:$Z$335,24,0)</f>
        <v>71046500</v>
      </c>
      <c r="L322" s="1325"/>
      <c r="M322" s="1327">
        <f t="shared" ref="M322:M323" si="25">K322-J322</f>
        <v>71046500</v>
      </c>
      <c r="N322" s="1334"/>
      <c r="O322" s="188"/>
      <c r="P322" s="95"/>
    </row>
    <row r="323" spans="1:16" s="181" customFormat="1" ht="21.75" hidden="1" customHeight="1">
      <c r="A323" s="355">
        <v>70</v>
      </c>
      <c r="B323" s="1719"/>
      <c r="C323" s="1720"/>
      <c r="D323" s="1326" t="str">
        <f>'CNKT '!C325</f>
        <v>T Mon D4 (Tú)</v>
      </c>
      <c r="E323" s="1326" t="s">
        <v>765</v>
      </c>
      <c r="F323" s="1325">
        <f>VLOOKUP(D323,'CNKT '!$C$256:$F$335,4,0)</f>
        <v>0</v>
      </c>
      <c r="G323" s="1325"/>
      <c r="H323" s="1325">
        <f>VLOOKUP(D323,'CNKT '!$C$256:$W$345,20,0)</f>
        <v>0</v>
      </c>
      <c r="I323" s="1325">
        <f t="shared" ref="I323" si="26">SUM(F323:H323)</f>
        <v>0</v>
      </c>
      <c r="J323" s="1325"/>
      <c r="K323" s="1325">
        <f>VLOOKUP(D323,'CNKT '!$C$256:$Z$325,23,0)</f>
        <v>0</v>
      </c>
      <c r="L323" s="1325"/>
      <c r="M323" s="1327">
        <f t="shared" si="25"/>
        <v>0</v>
      </c>
      <c r="N323" s="1334"/>
      <c r="O323" s="188"/>
      <c r="P323" s="95"/>
    </row>
    <row r="324" spans="1:16" s="180" customFormat="1" ht="21.75" customHeight="1">
      <c r="A324" s="2135" t="s">
        <v>209</v>
      </c>
      <c r="B324" s="2136"/>
      <c r="C324" s="2136"/>
      <c r="D324" s="2136"/>
      <c r="E324" s="2137"/>
      <c r="F324" s="1578">
        <f t="shared" ref="F324:M324" si="27">SUM(F325:F340)</f>
        <v>30170940</v>
      </c>
      <c r="G324" s="1578">
        <f t="shared" si="27"/>
        <v>0</v>
      </c>
      <c r="H324" s="1578">
        <f t="shared" si="27"/>
        <v>0</v>
      </c>
      <c r="I324" s="1578">
        <f t="shared" si="27"/>
        <v>30170940</v>
      </c>
      <c r="J324" s="1578">
        <f t="shared" si="27"/>
        <v>1757094</v>
      </c>
      <c r="K324" s="1578">
        <f t="shared" si="27"/>
        <v>28413846</v>
      </c>
      <c r="L324" s="1578">
        <f t="shared" si="27"/>
        <v>0</v>
      </c>
      <c r="M324" s="1578">
        <f t="shared" si="27"/>
        <v>28413846</v>
      </c>
      <c r="N324" s="374"/>
      <c r="O324" s="179"/>
      <c r="P324" s="187"/>
    </row>
    <row r="325" spans="1:16" s="180" customFormat="1" ht="21.75" customHeight="1">
      <c r="A325" s="585">
        <v>1</v>
      </c>
      <c r="B325" s="704"/>
      <c r="C325" s="1580"/>
      <c r="D325" s="420" t="str">
        <f>'Trạm cán '!E17</f>
        <v>Phi Ba Con</v>
      </c>
      <c r="E325" s="420" t="s">
        <v>204</v>
      </c>
      <c r="F325" s="373">
        <f>VLOOKUP(D325,'Trạm cán '!$E$17:$L$20,8,0)</f>
        <v>6996160</v>
      </c>
      <c r="G325" s="1584"/>
      <c r="H325" s="1584"/>
      <c r="I325" s="1585">
        <f>SUM(F325:H325)</f>
        <v>6996160</v>
      </c>
      <c r="J325" s="1586">
        <f>VLOOKUP(D325,'Trạm cán '!E17:Q21,13,0)</f>
        <v>384616</v>
      </c>
      <c r="K325" s="1585">
        <f t="shared" ref="K325" si="28">I325-J325</f>
        <v>6611544</v>
      </c>
      <c r="L325" s="1587"/>
      <c r="M325" s="1327">
        <f t="shared" ref="M325:M328" si="29">K325-L325</f>
        <v>6611544</v>
      </c>
      <c r="N325" s="1588"/>
      <c r="O325" s="179"/>
      <c r="P325" s="187"/>
    </row>
    <row r="326" spans="1:16" s="180" customFormat="1" ht="21.75" customHeight="1">
      <c r="A326" s="585">
        <v>2</v>
      </c>
      <c r="B326" s="704" t="s">
        <v>234</v>
      </c>
      <c r="C326" s="1580" t="s">
        <v>239</v>
      </c>
      <c r="D326" s="420" t="str">
        <f>'Trạm cán '!E18</f>
        <v>Ca Tăn</v>
      </c>
      <c r="E326" s="420" t="s">
        <v>204</v>
      </c>
      <c r="F326" s="373">
        <f>VLOOKUP(D326,'Trạm cán '!$E$17:$L$20,8,0)</f>
        <v>8745200</v>
      </c>
      <c r="G326" s="1584"/>
      <c r="H326" s="1584"/>
      <c r="I326" s="1585">
        <f t="shared" ref="I326:I328" si="30">SUM(F326:H326)</f>
        <v>8745200</v>
      </c>
      <c r="J326" s="1586">
        <f>VLOOKUP(D326,'Trạm cán '!E18:Q21,13,0)</f>
        <v>559520</v>
      </c>
      <c r="K326" s="1585">
        <f>I326-J326</f>
        <v>8185680</v>
      </c>
      <c r="L326" s="1589"/>
      <c r="M326" s="1327">
        <f t="shared" si="29"/>
        <v>8185680</v>
      </c>
      <c r="N326" s="1588"/>
      <c r="O326" s="179"/>
      <c r="P326" s="187"/>
    </row>
    <row r="327" spans="1:16" s="180" customFormat="1" ht="21.75" customHeight="1">
      <c r="A327" s="585">
        <v>3</v>
      </c>
      <c r="B327" s="704" t="s">
        <v>591</v>
      </c>
      <c r="C327" s="1580" t="s">
        <v>592</v>
      </c>
      <c r="D327" s="420" t="str">
        <f>'Trạm cán '!E19</f>
        <v>Đao Tha La</v>
      </c>
      <c r="E327" s="420" t="s">
        <v>204</v>
      </c>
      <c r="F327" s="373">
        <f>VLOOKUP(D327,'Trạm cán '!$E$17:$L$20,8,0)</f>
        <v>7652050</v>
      </c>
      <c r="G327" s="1584"/>
      <c r="H327" s="1584"/>
      <c r="I327" s="1585">
        <f t="shared" si="30"/>
        <v>7652050</v>
      </c>
      <c r="J327" s="1586">
        <f>VLOOKUP(D327,'Trạm cán '!E19:Q21,13,0)</f>
        <v>450205</v>
      </c>
      <c r="K327" s="1585">
        <f t="shared" ref="K327:K340" si="31">I327-J327</f>
        <v>7201845</v>
      </c>
      <c r="L327" s="1589"/>
      <c r="M327" s="1327">
        <f t="shared" si="29"/>
        <v>7201845</v>
      </c>
      <c r="N327" s="1588"/>
      <c r="O327" s="179"/>
      <c r="P327" s="187"/>
    </row>
    <row r="328" spans="1:16" s="180" customFormat="1" ht="21.75" customHeight="1">
      <c r="A328" s="585">
        <v>4</v>
      </c>
      <c r="B328" s="704" t="str">
        <f>'[3]Trạm cán'!D15</f>
        <v>02358</v>
      </c>
      <c r="C328" s="1580"/>
      <c r="D328" s="420" t="str">
        <f>'Trạm cán '!E20</f>
        <v>Sum Mai</v>
      </c>
      <c r="E328" s="420" t="s">
        <v>204</v>
      </c>
      <c r="F328" s="373">
        <f>VLOOKUP(D328,'Trạm cán '!$E$17:$L$20,8,0)</f>
        <v>6777530</v>
      </c>
      <c r="G328" s="1584"/>
      <c r="H328" s="1584"/>
      <c r="I328" s="1585">
        <f t="shared" si="30"/>
        <v>6777530</v>
      </c>
      <c r="J328" s="1586">
        <f>VLOOKUP(D328,'Trạm cán '!E20:Q22,13,0)</f>
        <v>362753</v>
      </c>
      <c r="K328" s="1585">
        <f t="shared" si="31"/>
        <v>6414777</v>
      </c>
      <c r="L328" s="1589"/>
      <c r="M328" s="1327">
        <f t="shared" si="29"/>
        <v>6414777</v>
      </c>
      <c r="N328" s="1588"/>
      <c r="O328" s="179"/>
      <c r="P328" s="187"/>
    </row>
    <row r="329" spans="1:16" s="180" customFormat="1" ht="21.75" hidden="1" customHeight="1">
      <c r="A329" s="585">
        <v>5</v>
      </c>
      <c r="B329" s="704" t="str">
        <f>'[3]Trạm cán'!D17</f>
        <v>01925</v>
      </c>
      <c r="C329" s="1580"/>
      <c r="D329" s="420" t="str">
        <f>'Trạm cán '!E23</f>
        <v>Cưng</v>
      </c>
      <c r="E329" s="420" t="s">
        <v>594</v>
      </c>
      <c r="F329" s="373"/>
      <c r="G329" s="374"/>
      <c r="H329" s="1325"/>
      <c r="I329" s="1585">
        <f>VLOOKUP(D329,'Trạm cán '!$E$23:$O$28,11,0)</f>
        <v>0</v>
      </c>
      <c r="J329" s="1325"/>
      <c r="K329" s="1585">
        <f t="shared" si="31"/>
        <v>0</v>
      </c>
      <c r="L329" s="373"/>
      <c r="M329" s="1327">
        <f t="shared" ref="M329:M340" si="32">K329-L329</f>
        <v>0</v>
      </c>
      <c r="N329" s="1588"/>
      <c r="O329" s="179"/>
      <c r="P329" s="187"/>
    </row>
    <row r="330" spans="1:16" s="180" customFormat="1" ht="21.75" hidden="1" customHeight="1">
      <c r="A330" s="585">
        <v>6</v>
      </c>
      <c r="B330" s="704" t="str">
        <f>'[3]Trạm cán'!D18</f>
        <v>01926</v>
      </c>
      <c r="C330" s="1580"/>
      <c r="D330" s="420" t="str">
        <f>'Trạm cán '!E24</f>
        <v>A Viêng</v>
      </c>
      <c r="E330" s="420" t="s">
        <v>594</v>
      </c>
      <c r="F330" s="373"/>
      <c r="G330" s="1325"/>
      <c r="H330" s="1325"/>
      <c r="I330" s="1585">
        <f>VLOOKUP(D330,'Trạm cán '!$E$23:$O$28,11,0)</f>
        <v>0</v>
      </c>
      <c r="J330" s="1325"/>
      <c r="K330" s="1585">
        <f t="shared" si="31"/>
        <v>0</v>
      </c>
      <c r="L330" s="373"/>
      <c r="M330" s="1327">
        <f t="shared" si="32"/>
        <v>0</v>
      </c>
      <c r="N330" s="1588"/>
      <c r="O330" s="179"/>
      <c r="P330" s="187"/>
    </row>
    <row r="331" spans="1:16" s="180" customFormat="1" ht="21.75" hidden="1" customHeight="1">
      <c r="A331" s="585">
        <v>7</v>
      </c>
      <c r="B331" s="704" t="str">
        <f>'[3]Trạm cán'!D19</f>
        <v>01927</v>
      </c>
      <c r="C331" s="1580"/>
      <c r="D331" s="420" t="str">
        <f>'Trạm cán '!E25</f>
        <v>Keo</v>
      </c>
      <c r="E331" s="420" t="s">
        <v>594</v>
      </c>
      <c r="F331" s="373"/>
      <c r="G331" s="1325"/>
      <c r="H331" s="1325"/>
      <c r="I331" s="1585">
        <f>VLOOKUP(D331,'Trạm cán '!$E$23:$O$28,11,0)</f>
        <v>0</v>
      </c>
      <c r="J331" s="1325"/>
      <c r="K331" s="1585">
        <f t="shared" si="31"/>
        <v>0</v>
      </c>
      <c r="L331" s="373"/>
      <c r="M331" s="1327">
        <f t="shared" si="32"/>
        <v>0</v>
      </c>
      <c r="N331" s="1588"/>
      <c r="O331" s="179"/>
      <c r="P331" s="187"/>
    </row>
    <row r="332" spans="1:16" s="180" customFormat="1" ht="21.75" hidden="1" customHeight="1">
      <c r="A332" s="585">
        <v>8</v>
      </c>
      <c r="B332" s="704" t="str">
        <f>'[3]Trạm cán'!D20</f>
        <v>01928</v>
      </c>
      <c r="C332" s="1580"/>
      <c r="D332" s="420" t="str">
        <f>'Trạm cán '!E26</f>
        <v>Vay</v>
      </c>
      <c r="E332" s="420" t="s">
        <v>594</v>
      </c>
      <c r="F332" s="373"/>
      <c r="G332" s="1325"/>
      <c r="H332" s="1325"/>
      <c r="I332" s="1585">
        <f>VLOOKUP(D332,'Trạm cán '!$E$23:$O$28,11,0)</f>
        <v>0</v>
      </c>
      <c r="J332" s="1325"/>
      <c r="K332" s="1585">
        <f t="shared" si="31"/>
        <v>0</v>
      </c>
      <c r="L332" s="373"/>
      <c r="M332" s="1327">
        <f t="shared" si="32"/>
        <v>0</v>
      </c>
      <c r="N332" s="1588"/>
      <c r="O332" s="179"/>
      <c r="P332" s="187"/>
    </row>
    <row r="333" spans="1:16" s="180" customFormat="1" ht="21.75" hidden="1" customHeight="1">
      <c r="A333" s="585">
        <v>9</v>
      </c>
      <c r="B333" s="704" t="str">
        <f>'[3]Trạm cán'!D21</f>
        <v>01929</v>
      </c>
      <c r="C333" s="1580"/>
      <c r="D333" s="420" t="str">
        <f>'Trạm cán '!E27</f>
        <v>Vi Khăm</v>
      </c>
      <c r="E333" s="420" t="s">
        <v>594</v>
      </c>
      <c r="F333" s="373"/>
      <c r="G333" s="1325"/>
      <c r="H333" s="1325"/>
      <c r="I333" s="1585">
        <f>VLOOKUP(D333,'Trạm cán '!$E$23:$O$28,11,0)</f>
        <v>0</v>
      </c>
      <c r="J333" s="1325"/>
      <c r="K333" s="1585">
        <f t="shared" si="31"/>
        <v>0</v>
      </c>
      <c r="L333" s="373"/>
      <c r="M333" s="1327">
        <f t="shared" si="32"/>
        <v>0</v>
      </c>
      <c r="N333" s="1588"/>
      <c r="O333" s="179"/>
      <c r="P333" s="187"/>
    </row>
    <row r="334" spans="1:16" s="180" customFormat="1" ht="21.75" hidden="1" customHeight="1">
      <c r="A334" s="585">
        <v>10</v>
      </c>
      <c r="B334" s="704" t="str">
        <f>'[3]Trạm cán'!D22</f>
        <v>01930</v>
      </c>
      <c r="C334" s="1580"/>
      <c r="D334" s="420" t="str">
        <f>'Trạm cán '!E28</f>
        <v>T. Pu</v>
      </c>
      <c r="E334" s="420" t="s">
        <v>594</v>
      </c>
      <c r="F334" s="373"/>
      <c r="G334" s="1325"/>
      <c r="H334" s="1325"/>
      <c r="I334" s="1585">
        <f>VLOOKUP(D334,'Trạm cán '!$E$23:$O$28,11,0)</f>
        <v>0</v>
      </c>
      <c r="J334" s="1325"/>
      <c r="K334" s="1585">
        <f t="shared" si="31"/>
        <v>0</v>
      </c>
      <c r="L334" s="373"/>
      <c r="M334" s="1327">
        <f t="shared" si="32"/>
        <v>0</v>
      </c>
      <c r="N334" s="1588"/>
      <c r="O334" s="179"/>
      <c r="P334" s="187"/>
    </row>
    <row r="335" spans="1:16" s="180" customFormat="1" ht="21.75" hidden="1" customHeight="1">
      <c r="A335" s="585">
        <v>11</v>
      </c>
      <c r="B335" s="704" t="str">
        <f>'[3]Trạm cán'!D23</f>
        <v>01945</v>
      </c>
      <c r="C335" s="1580"/>
      <c r="D335" s="420" t="str">
        <f>'Trạm cán '!E29</f>
        <v>Tôn Ma</v>
      </c>
      <c r="E335" s="420" t="s">
        <v>594</v>
      </c>
      <c r="F335" s="373"/>
      <c r="G335" s="1325"/>
      <c r="H335" s="1325"/>
      <c r="I335" s="1585">
        <f>VLOOKUP(D335,'Trạm cán '!$E$29:$O$34,11,0)</f>
        <v>0</v>
      </c>
      <c r="J335" s="1325"/>
      <c r="K335" s="1585">
        <f t="shared" si="31"/>
        <v>0</v>
      </c>
      <c r="L335" s="373"/>
      <c r="M335" s="1327">
        <f t="shared" si="32"/>
        <v>0</v>
      </c>
      <c r="N335" s="1588"/>
      <c r="O335" s="179"/>
      <c r="P335" s="187"/>
    </row>
    <row r="336" spans="1:16" s="180" customFormat="1" ht="21.75" hidden="1" customHeight="1">
      <c r="A336" s="585">
        <v>12</v>
      </c>
      <c r="B336" s="704" t="str">
        <f>'[3]Trạm cán'!D24</f>
        <v>01956</v>
      </c>
      <c r="C336" s="1580"/>
      <c r="D336" s="420" t="str">
        <f>'Trạm cán '!E30</f>
        <v>Leo</v>
      </c>
      <c r="E336" s="420" t="s">
        <v>594</v>
      </c>
      <c r="F336" s="373"/>
      <c r="G336" s="1325"/>
      <c r="H336" s="1325"/>
      <c r="I336" s="1585">
        <f>VLOOKUP(D336,'Trạm cán '!$E$29:$O$34,11,0)</f>
        <v>0</v>
      </c>
      <c r="J336" s="1325"/>
      <c r="K336" s="1585">
        <f t="shared" si="31"/>
        <v>0</v>
      </c>
      <c r="L336" s="373"/>
      <c r="M336" s="1327">
        <f t="shared" si="32"/>
        <v>0</v>
      </c>
      <c r="N336" s="1588"/>
      <c r="O336" s="179"/>
      <c r="P336" s="187"/>
    </row>
    <row r="337" spans="1:16" s="180" customFormat="1" ht="21.75" hidden="1" customHeight="1">
      <c r="A337" s="585">
        <v>13</v>
      </c>
      <c r="B337" s="704" t="str">
        <f>'[3]Trạm cán'!D25</f>
        <v>01957</v>
      </c>
      <c r="C337" s="1580"/>
      <c r="D337" s="420" t="str">
        <f>'Trạm cán '!E31</f>
        <v>Phi</v>
      </c>
      <c r="E337" s="420" t="s">
        <v>594</v>
      </c>
      <c r="F337" s="373"/>
      <c r="G337" s="1325"/>
      <c r="H337" s="1325"/>
      <c r="I337" s="1585">
        <f>VLOOKUP(D337,'Trạm cán '!$E$29:$O$34,11,0)</f>
        <v>0</v>
      </c>
      <c r="J337" s="1325"/>
      <c r="K337" s="1585">
        <f t="shared" si="31"/>
        <v>0</v>
      </c>
      <c r="L337" s="373"/>
      <c r="M337" s="1327">
        <f t="shared" si="32"/>
        <v>0</v>
      </c>
      <c r="N337" s="1588"/>
      <c r="O337" s="179"/>
      <c r="P337" s="187"/>
    </row>
    <row r="338" spans="1:16" s="180" customFormat="1" ht="21.75" hidden="1" customHeight="1">
      <c r="A338" s="585">
        <v>14</v>
      </c>
      <c r="B338" s="704" t="str">
        <f>'[3]Trạm cán'!D26</f>
        <v>01963</v>
      </c>
      <c r="C338" s="1580"/>
      <c r="D338" s="420" t="str">
        <f>'Trạm cán '!E32</f>
        <v>Đăm</v>
      </c>
      <c r="E338" s="420" t="s">
        <v>594</v>
      </c>
      <c r="F338" s="373"/>
      <c r="G338" s="1325"/>
      <c r="H338" s="1325"/>
      <c r="I338" s="1585">
        <f>VLOOKUP(D338,'Trạm cán '!$E$29:$O$34,11,0)</f>
        <v>0</v>
      </c>
      <c r="J338" s="1325"/>
      <c r="K338" s="1585">
        <f t="shared" si="31"/>
        <v>0</v>
      </c>
      <c r="L338" s="373"/>
      <c r="M338" s="1327">
        <f t="shared" si="32"/>
        <v>0</v>
      </c>
      <c r="N338" s="1588"/>
      <c r="O338" s="179"/>
      <c r="P338" s="187"/>
    </row>
    <row r="339" spans="1:16" s="180" customFormat="1" ht="21.75" hidden="1" customHeight="1">
      <c r="A339" s="585">
        <v>15</v>
      </c>
      <c r="B339" s="704">
        <f>'[3]Trạm cán'!D27</f>
        <v>0</v>
      </c>
      <c r="C339" s="1580"/>
      <c r="D339" s="420" t="str">
        <f>'Trạm cán '!E33</f>
        <v xml:space="preserve"> Pợt</v>
      </c>
      <c r="E339" s="420" t="s">
        <v>594</v>
      </c>
      <c r="F339" s="373"/>
      <c r="G339" s="1325"/>
      <c r="H339" s="1325"/>
      <c r="I339" s="1585">
        <f>VLOOKUP(D339,'Trạm cán '!$E$29:$O$34,11,0)</f>
        <v>0</v>
      </c>
      <c r="J339" s="1325"/>
      <c r="K339" s="1585">
        <f t="shared" si="31"/>
        <v>0</v>
      </c>
      <c r="L339" s="373"/>
      <c r="M339" s="1327">
        <f t="shared" si="32"/>
        <v>0</v>
      </c>
      <c r="N339" s="1588"/>
      <c r="O339" s="179"/>
      <c r="P339" s="187"/>
    </row>
    <row r="340" spans="1:16" s="180" customFormat="1" ht="21.75" hidden="1" customHeight="1">
      <c r="A340" s="585">
        <v>16</v>
      </c>
      <c r="B340" s="704">
        <f>'[3]Trạm cán'!D28</f>
        <v>0</v>
      </c>
      <c r="C340" s="1580"/>
      <c r="D340" s="420" t="str">
        <f>'Trạm cán '!E34</f>
        <v>May</v>
      </c>
      <c r="E340" s="420" t="s">
        <v>594</v>
      </c>
      <c r="F340" s="373"/>
      <c r="G340" s="1325"/>
      <c r="H340" s="1325"/>
      <c r="I340" s="1585">
        <f>VLOOKUP(D340,'Trạm cán '!$E$29:$O$34,11,0)</f>
        <v>0</v>
      </c>
      <c r="J340" s="1325"/>
      <c r="K340" s="1585">
        <f t="shared" si="31"/>
        <v>0</v>
      </c>
      <c r="L340" s="373"/>
      <c r="M340" s="1327">
        <f t="shared" si="32"/>
        <v>0</v>
      </c>
      <c r="N340" s="1588"/>
      <c r="O340" s="179"/>
      <c r="P340" s="187"/>
    </row>
    <row r="341" spans="1:16" s="180" customFormat="1" ht="21.75" customHeight="1">
      <c r="A341" s="2135" t="s">
        <v>848</v>
      </c>
      <c r="B341" s="2136"/>
      <c r="C341" s="2136"/>
      <c r="D341" s="2136"/>
      <c r="E341" s="2137"/>
      <c r="F341" s="1578">
        <f>SUM(F342:F345)</f>
        <v>7642857.1428571437</v>
      </c>
      <c r="G341" s="1578">
        <f t="shared" ref="G341:M341" si="33">SUM(G342:G345)</f>
        <v>0</v>
      </c>
      <c r="H341" s="1578">
        <f t="shared" si="33"/>
        <v>2292857.1428571427</v>
      </c>
      <c r="I341" s="1578">
        <f t="shared" si="33"/>
        <v>9935714.2857142854</v>
      </c>
      <c r="J341" s="1578">
        <f t="shared" si="33"/>
        <v>0</v>
      </c>
      <c r="K341" s="1578">
        <f t="shared" si="33"/>
        <v>9935714.2857142854</v>
      </c>
      <c r="L341" s="1578">
        <f t="shared" si="33"/>
        <v>0</v>
      </c>
      <c r="M341" s="1578">
        <f t="shared" si="33"/>
        <v>9935714.2857142854</v>
      </c>
      <c r="N341" s="1588"/>
      <c r="O341" s="179"/>
      <c r="P341" s="187"/>
    </row>
    <row r="342" spans="1:16" s="180" customFormat="1" ht="21.75" customHeight="1">
      <c r="A342" s="585">
        <v>1</v>
      </c>
      <c r="B342" s="1707"/>
      <c r="C342" s="1707"/>
      <c r="D342" s="1590" t="str">
        <f>'Lương bảo vệ '!B13</f>
        <v>T . Thun</v>
      </c>
      <c r="E342" s="420" t="s">
        <v>213</v>
      </c>
      <c r="F342" s="1325">
        <f>'Lương bảo vệ '!E13</f>
        <v>1642857.142857143</v>
      </c>
      <c r="G342" s="1325"/>
      <c r="H342" s="1325">
        <f>'Lương bảo vệ '!F13</f>
        <v>492857.14285714284</v>
      </c>
      <c r="I342" s="1585">
        <f>F342+H342</f>
        <v>2135714.2857142859</v>
      </c>
      <c r="J342" s="1578"/>
      <c r="K342" s="1585">
        <f>I342</f>
        <v>2135714.2857142859</v>
      </c>
      <c r="L342" s="1578"/>
      <c r="M342" s="1327">
        <f>K342</f>
        <v>2135714.2857142859</v>
      </c>
      <c r="N342" s="1588"/>
      <c r="O342" s="179"/>
      <c r="P342" s="187"/>
    </row>
    <row r="343" spans="1:16" s="180" customFormat="1" ht="26.25" customHeight="1">
      <c r="A343" s="585">
        <v>2</v>
      </c>
      <c r="B343" s="704"/>
      <c r="C343" s="1580"/>
      <c r="D343" s="420" t="str">
        <f>'Lương bảo vệ '!B14</f>
        <v xml:space="preserve">Khăm Cợt </v>
      </c>
      <c r="E343" s="420" t="s">
        <v>213</v>
      </c>
      <c r="F343" s="373">
        <f>'Lương bảo vệ '!E14</f>
        <v>2000000.0000000002</v>
      </c>
      <c r="G343" s="1325"/>
      <c r="H343" s="1325">
        <f>'Lương bảo vệ '!F14</f>
        <v>600000</v>
      </c>
      <c r="I343" s="1585">
        <f>F343+H343</f>
        <v>2600000</v>
      </c>
      <c r="J343" s="1325"/>
      <c r="K343" s="1585">
        <f>I343</f>
        <v>2600000</v>
      </c>
      <c r="L343" s="373"/>
      <c r="M343" s="1327">
        <f>K343</f>
        <v>2600000</v>
      </c>
      <c r="N343" s="1588"/>
      <c r="O343" s="179"/>
      <c r="P343" s="187"/>
    </row>
    <row r="344" spans="1:16" s="180" customFormat="1" ht="26.25" customHeight="1">
      <c r="A344" s="585">
        <v>3</v>
      </c>
      <c r="B344" s="704"/>
      <c r="C344" s="1580"/>
      <c r="D344" s="420" t="str">
        <f>'Lương bảo vệ '!B15</f>
        <v>Đô La</v>
      </c>
      <c r="E344" s="420" t="s">
        <v>213</v>
      </c>
      <c r="F344" s="373">
        <f>'Lương bảo vệ '!E15</f>
        <v>2000000.0000000002</v>
      </c>
      <c r="G344" s="1325"/>
      <c r="H344" s="1325">
        <f>'Lương bảo vệ '!F15</f>
        <v>600000</v>
      </c>
      <c r="I344" s="1585">
        <f t="shared" ref="I344:I345" si="34">F344+H344</f>
        <v>2600000</v>
      </c>
      <c r="J344" s="1325"/>
      <c r="K344" s="1585">
        <f>I344</f>
        <v>2600000</v>
      </c>
      <c r="L344" s="373"/>
      <c r="M344" s="1327">
        <f t="shared" ref="M344:M345" si="35">K344</f>
        <v>2600000</v>
      </c>
      <c r="N344" s="1588"/>
      <c r="O344" s="179"/>
      <c r="P344" s="187"/>
    </row>
    <row r="345" spans="1:16" s="180" customFormat="1" ht="26.25" customHeight="1">
      <c r="A345" s="585">
        <v>4</v>
      </c>
      <c r="B345" s="704"/>
      <c r="C345" s="1580"/>
      <c r="D345" s="420" t="str">
        <f>'Lương bảo vệ '!B16</f>
        <v>T.Bun Ly</v>
      </c>
      <c r="E345" s="420" t="s">
        <v>213</v>
      </c>
      <c r="F345" s="373">
        <f>'Lương bảo vệ '!E16</f>
        <v>2000000.0000000002</v>
      </c>
      <c r="G345" s="1325"/>
      <c r="H345" s="1325">
        <f>'Lương bảo vệ '!F16</f>
        <v>600000</v>
      </c>
      <c r="I345" s="1585">
        <f t="shared" si="34"/>
        <v>2600000</v>
      </c>
      <c r="J345" s="1325"/>
      <c r="K345" s="1585">
        <f t="shared" ref="K345" si="36">I345</f>
        <v>2600000</v>
      </c>
      <c r="L345" s="373"/>
      <c r="M345" s="1327">
        <f t="shared" si="35"/>
        <v>2600000</v>
      </c>
      <c r="N345" s="1588"/>
      <c r="O345" s="179"/>
      <c r="P345" s="187"/>
    </row>
    <row r="346" spans="1:16" s="180" customFormat="1" ht="36.75" customHeight="1">
      <c r="A346" s="2135" t="s">
        <v>902</v>
      </c>
      <c r="B346" s="2136"/>
      <c r="C346" s="2136"/>
      <c r="D346" s="2136"/>
      <c r="E346" s="2137"/>
      <c r="F346" s="1578">
        <f>SUM(F347:F352)</f>
        <v>23379866</v>
      </c>
      <c r="G346" s="1578">
        <f t="shared" ref="G346:M346" si="37">SUM(G347:G352)</f>
        <v>0</v>
      </c>
      <c r="H346" s="1578">
        <f t="shared" si="37"/>
        <v>0</v>
      </c>
      <c r="I346" s="1578">
        <f t="shared" si="37"/>
        <v>23379866</v>
      </c>
      <c r="J346" s="1578">
        <f t="shared" si="37"/>
        <v>786489.3</v>
      </c>
      <c r="K346" s="1578">
        <f t="shared" si="37"/>
        <v>22593376.699999999</v>
      </c>
      <c r="L346" s="1578">
        <f t="shared" si="37"/>
        <v>0</v>
      </c>
      <c r="M346" s="1578">
        <f t="shared" si="37"/>
        <v>22593376.699999999</v>
      </c>
      <c r="N346" s="1588"/>
      <c r="O346" s="179"/>
      <c r="P346" s="187"/>
    </row>
    <row r="347" spans="1:16" s="180" customFormat="1" ht="26.25" customHeight="1">
      <c r="A347" s="585">
        <v>1</v>
      </c>
      <c r="B347" s="704"/>
      <c r="C347" s="1580"/>
      <c r="D347" s="420" t="str">
        <f>'lương gián tiếp'!B14</f>
        <v>Thảo Văn Vông</v>
      </c>
      <c r="E347" s="420" t="s">
        <v>895</v>
      </c>
      <c r="F347" s="373">
        <f>VLOOKUP(D347,'lương gián tiếp'!B14:G17,6,0)</f>
        <v>5034209</v>
      </c>
      <c r="G347" s="1325"/>
      <c r="H347" s="1325"/>
      <c r="I347" s="1585">
        <f>VLOOKUP(D347,'lương gián tiếp'!B14:G14,6,0)</f>
        <v>5034209</v>
      </c>
      <c r="J347" s="1325">
        <f>VLOOKUP(D347,'lương gián tiếp'!B14:H17,7,0)</f>
        <v>188420.9</v>
      </c>
      <c r="K347" s="1585">
        <f>I347-J347</f>
        <v>4845788.0999999996</v>
      </c>
      <c r="L347" s="373"/>
      <c r="M347" s="1327">
        <f>K347</f>
        <v>4845788.0999999996</v>
      </c>
      <c r="N347" s="1588"/>
      <c r="O347" s="179"/>
      <c r="P347" s="187"/>
    </row>
    <row r="348" spans="1:16" s="180" customFormat="1" ht="36" customHeight="1">
      <c r="A348" s="585">
        <v>2</v>
      </c>
      <c r="B348" s="704"/>
      <c r="C348" s="1580"/>
      <c r="D348" s="1580" t="str">
        <f>'lương gián tiếp'!B15</f>
        <v>A lane Xaykhamsouk</v>
      </c>
      <c r="E348" s="420" t="s">
        <v>895</v>
      </c>
      <c r="F348" s="373">
        <f>VLOOKUP(D348,'lương gián tiếp'!B15:G18,6,0)</f>
        <v>5055256</v>
      </c>
      <c r="G348" s="1325"/>
      <c r="H348" s="1325"/>
      <c r="I348" s="1585">
        <f>VLOOKUP(D348,'lương gián tiếp'!B15:G15,6,0)</f>
        <v>5055256</v>
      </c>
      <c r="J348" s="1325">
        <f>VLOOKUP(D348,'lương gián tiếp'!B15:H18,7,0)</f>
        <v>190525.6</v>
      </c>
      <c r="K348" s="1585">
        <f t="shared" ref="K348:K349" si="38">I348-J348</f>
        <v>4864730.4000000004</v>
      </c>
      <c r="L348" s="373"/>
      <c r="M348" s="1327">
        <f t="shared" ref="M348:M352" si="39">K348</f>
        <v>4864730.4000000004</v>
      </c>
      <c r="N348" s="1588"/>
      <c r="O348" s="179"/>
      <c r="P348" s="187"/>
    </row>
    <row r="349" spans="1:16" s="180" customFormat="1" ht="26.25" customHeight="1">
      <c r="A349" s="585">
        <v>3</v>
      </c>
      <c r="B349" s="704"/>
      <c r="C349" s="1580"/>
      <c r="D349" s="420" t="str">
        <f>'lương gián tiếp'!B16</f>
        <v>Thảo Phôn Chay</v>
      </c>
      <c r="E349" s="420" t="s">
        <v>895</v>
      </c>
      <c r="F349" s="373">
        <f>VLOOKUP(D349,'lương gián tiếp'!B16:G19,6,0)</f>
        <v>4829946</v>
      </c>
      <c r="G349" s="1325"/>
      <c r="H349" s="1325"/>
      <c r="I349" s="1585">
        <f>VLOOKUP(D349,'lương gián tiếp'!B16:G16,6,0)</f>
        <v>4829946</v>
      </c>
      <c r="J349" s="1325">
        <f>VLOOKUP(D349,'lương gián tiếp'!B16:H19,7,0)</f>
        <v>176497.30000000002</v>
      </c>
      <c r="K349" s="1585">
        <f t="shared" si="38"/>
        <v>4653448.7</v>
      </c>
      <c r="L349" s="373"/>
      <c r="M349" s="1327">
        <f t="shared" si="39"/>
        <v>4653448.7</v>
      </c>
      <c r="N349" s="1588"/>
      <c r="O349" s="179"/>
      <c r="P349" s="187"/>
    </row>
    <row r="350" spans="1:16" s="180" customFormat="1" ht="26.25" customHeight="1">
      <c r="A350" s="585">
        <v>4</v>
      </c>
      <c r="B350" s="704"/>
      <c r="C350" s="1580"/>
      <c r="D350" s="420" t="str">
        <f>'lương gián tiếp'!B17</f>
        <v>Bun Khưn</v>
      </c>
      <c r="E350" s="420" t="s">
        <v>895</v>
      </c>
      <c r="F350" s="373">
        <f>VLOOKUP(D350,'lương gián tiếp'!B17:G20,6,0)</f>
        <v>5060455</v>
      </c>
      <c r="G350" s="1325"/>
      <c r="H350" s="1325"/>
      <c r="I350" s="1585">
        <f>VLOOKUP(D350,'lương gián tiếp'!B17:G17,6,0)</f>
        <v>5060455</v>
      </c>
      <c r="J350" s="1325">
        <f>VLOOKUP(D350,'lương gián tiếp'!B17:H20,7,0)</f>
        <v>191045.5</v>
      </c>
      <c r="K350" s="1585">
        <f>I350-J350</f>
        <v>4869409.5</v>
      </c>
      <c r="L350" s="373"/>
      <c r="M350" s="1327">
        <f t="shared" si="39"/>
        <v>4869409.5</v>
      </c>
      <c r="N350" s="1588"/>
      <c r="O350" s="179"/>
      <c r="P350" s="187"/>
    </row>
    <row r="351" spans="1:16" s="180" customFormat="1" ht="26.25" customHeight="1">
      <c r="A351" s="585">
        <v>5</v>
      </c>
      <c r="B351" s="704"/>
      <c r="C351" s="1580"/>
      <c r="D351" s="420" t="str">
        <f>'lương gián tiếp'!B19</f>
        <v>Thảo Mét (VP)</v>
      </c>
      <c r="E351" s="420" t="s">
        <v>213</v>
      </c>
      <c r="F351" s="373">
        <f>VLOOKUP(D351,'lương gián tiếp'!B18:G21,6,0)</f>
        <v>1700000</v>
      </c>
      <c r="G351" s="1325"/>
      <c r="H351" s="1325"/>
      <c r="I351" s="1585">
        <f>F351</f>
        <v>1700000</v>
      </c>
      <c r="J351" s="1325">
        <f>VLOOKUP(D351,'BL Bảo vệ,tạp vụ'!B13:F14,5,0)</f>
        <v>20000</v>
      </c>
      <c r="K351" s="1585">
        <f t="shared" ref="K351:K352" si="40">I351-J351</f>
        <v>1680000</v>
      </c>
      <c r="L351" s="373"/>
      <c r="M351" s="1327">
        <f t="shared" si="39"/>
        <v>1680000</v>
      </c>
      <c r="N351" s="1588"/>
      <c r="O351" s="179"/>
      <c r="P351" s="187"/>
    </row>
    <row r="352" spans="1:16" s="180" customFormat="1" ht="26.25" customHeight="1">
      <c r="A352" s="585">
        <v>6</v>
      </c>
      <c r="B352" s="704"/>
      <c r="C352" s="1580"/>
      <c r="D352" s="420" t="str">
        <f>'lương gián tiếp'!B21</f>
        <v>N. Nhung  ( VP)</v>
      </c>
      <c r="E352" s="420" t="s">
        <v>290</v>
      </c>
      <c r="F352" s="373">
        <f>VLOOKUP(D352,'lương gián tiếp'!B19:G22,6,0)</f>
        <v>1700000</v>
      </c>
      <c r="G352" s="1325"/>
      <c r="H352" s="1325"/>
      <c r="I352" s="1585">
        <f>F352</f>
        <v>1700000</v>
      </c>
      <c r="J352" s="1325">
        <f>VLOOKUP(D352,'BL Bảo vệ,tạp vụ'!B14:F15,5,0)</f>
        <v>20000</v>
      </c>
      <c r="K352" s="1585">
        <f t="shared" si="40"/>
        <v>1680000</v>
      </c>
      <c r="L352" s="373"/>
      <c r="M352" s="1327">
        <f t="shared" si="39"/>
        <v>1680000</v>
      </c>
      <c r="N352" s="1588"/>
      <c r="O352" s="179"/>
      <c r="P352" s="187"/>
    </row>
    <row r="353" spans="1:16" s="1698" customFormat="1" ht="26.25" customHeight="1">
      <c r="A353" s="2143" t="s">
        <v>1054</v>
      </c>
      <c r="B353" s="2144"/>
      <c r="C353" s="2144"/>
      <c r="D353" s="2144"/>
      <c r="E353" s="2145"/>
      <c r="F353" s="1694">
        <f>SUM(F354:F378)</f>
        <v>50000000.000000007</v>
      </c>
      <c r="G353" s="1694">
        <f t="shared" ref="G353:M353" si="41">SUM(G354:G378)</f>
        <v>0</v>
      </c>
      <c r="H353" s="1694">
        <f t="shared" si="41"/>
        <v>14000000</v>
      </c>
      <c r="I353" s="1694">
        <f t="shared" si="41"/>
        <v>64000000</v>
      </c>
      <c r="J353" s="1694">
        <f t="shared" si="41"/>
        <v>0</v>
      </c>
      <c r="K353" s="1694">
        <f t="shared" si="41"/>
        <v>64000000</v>
      </c>
      <c r="L353" s="1694">
        <f t="shared" si="41"/>
        <v>0</v>
      </c>
      <c r="M353" s="1694">
        <f t="shared" si="41"/>
        <v>64000000</v>
      </c>
      <c r="N353" s="1695"/>
      <c r="O353" s="1696"/>
      <c r="P353" s="1697"/>
    </row>
    <row r="354" spans="1:16" s="180" customFormat="1" ht="26.25" customHeight="1">
      <c r="A354" s="585">
        <v>1</v>
      </c>
      <c r="B354" s="704"/>
      <c r="C354" s="1580"/>
      <c r="D354" s="420" t="str">
        <f>'Thanh toán BVTV'!B14</f>
        <v>T. Đăm</v>
      </c>
      <c r="E354" s="420" t="str">
        <f>'Thanh toán BVTV'!C14</f>
        <v>BVTV</v>
      </c>
      <c r="F354" s="373">
        <f>'Thanh toán BVTV'!G14</f>
        <v>2000000.0000000002</v>
      </c>
      <c r="G354" s="1325"/>
      <c r="H354" s="1325">
        <f>'Thanh toán BVTV'!I14</f>
        <v>560000</v>
      </c>
      <c r="I354" s="1585">
        <f>F354+H354</f>
        <v>2560000</v>
      </c>
      <c r="J354" s="1325"/>
      <c r="K354" s="1585">
        <f>I354</f>
        <v>2560000</v>
      </c>
      <c r="L354" s="373"/>
      <c r="M354" s="1327">
        <f>K354</f>
        <v>2560000</v>
      </c>
      <c r="N354" s="1588"/>
      <c r="O354" s="179"/>
      <c r="P354" s="187"/>
    </row>
    <row r="355" spans="1:16" s="180" customFormat="1" ht="26.25" customHeight="1">
      <c r="A355" s="585">
        <v>2</v>
      </c>
      <c r="B355" s="704"/>
      <c r="C355" s="1580"/>
      <c r="D355" s="420" t="str">
        <f>'Thanh toán BVTV'!B15</f>
        <v>T. Khon</v>
      </c>
      <c r="E355" s="420" t="str">
        <f>'Thanh toán BVTV'!C15</f>
        <v>BVTV</v>
      </c>
      <c r="F355" s="373">
        <f>'Thanh toán BVTV'!G15</f>
        <v>2000000.0000000002</v>
      </c>
      <c r="G355" s="1325"/>
      <c r="H355" s="1325">
        <f>'Thanh toán BVTV'!I15</f>
        <v>560000</v>
      </c>
      <c r="I355" s="1585">
        <f t="shared" ref="I355:I378" si="42">F355+H355</f>
        <v>2560000</v>
      </c>
      <c r="J355" s="1325"/>
      <c r="K355" s="1585">
        <f t="shared" ref="K355:K378" si="43">I355</f>
        <v>2560000</v>
      </c>
      <c r="L355" s="373"/>
      <c r="M355" s="1327">
        <f t="shared" ref="M355:M378" si="44">K355</f>
        <v>2560000</v>
      </c>
      <c r="N355" s="1588"/>
      <c r="O355" s="179"/>
      <c r="P355" s="187"/>
    </row>
    <row r="356" spans="1:16" s="180" customFormat="1" ht="26.25" customHeight="1">
      <c r="A356" s="585">
        <v>3</v>
      </c>
      <c r="B356" s="704"/>
      <c r="C356" s="1580"/>
      <c r="D356" s="420" t="str">
        <f>'Thanh toán BVTV'!B16</f>
        <v>N. Mon</v>
      </c>
      <c r="E356" s="420" t="str">
        <f>'Thanh toán BVTV'!C16</f>
        <v>BVTV</v>
      </c>
      <c r="F356" s="373">
        <f>'Thanh toán BVTV'!G16</f>
        <v>2000000.0000000002</v>
      </c>
      <c r="G356" s="1325"/>
      <c r="H356" s="1325">
        <f>'Thanh toán BVTV'!I16</f>
        <v>560000</v>
      </c>
      <c r="I356" s="1585">
        <f t="shared" si="42"/>
        <v>2560000</v>
      </c>
      <c r="J356" s="1325"/>
      <c r="K356" s="1585">
        <f t="shared" si="43"/>
        <v>2560000</v>
      </c>
      <c r="L356" s="373"/>
      <c r="M356" s="1327">
        <f t="shared" si="44"/>
        <v>2560000</v>
      </c>
      <c r="N356" s="1588"/>
      <c r="O356" s="179"/>
      <c r="P356" s="187"/>
    </row>
    <row r="357" spans="1:16" s="180" customFormat="1" ht="26.25" customHeight="1">
      <c r="A357" s="585">
        <v>4</v>
      </c>
      <c r="B357" s="704"/>
      <c r="C357" s="1580"/>
      <c r="D357" s="420" t="str">
        <f>'Thanh toán BVTV'!B17</f>
        <v>T. Bun Lăm</v>
      </c>
      <c r="E357" s="420" t="str">
        <f>'Thanh toán BVTV'!C17</f>
        <v>BVTV</v>
      </c>
      <c r="F357" s="373">
        <f>'Thanh toán BVTV'!G17</f>
        <v>2000000.0000000002</v>
      </c>
      <c r="G357" s="1325"/>
      <c r="H357" s="1325">
        <f>'Thanh toán BVTV'!I17</f>
        <v>560000</v>
      </c>
      <c r="I357" s="1585">
        <f t="shared" si="42"/>
        <v>2560000</v>
      </c>
      <c r="J357" s="1325"/>
      <c r="K357" s="1585">
        <f t="shared" si="43"/>
        <v>2560000</v>
      </c>
      <c r="L357" s="373"/>
      <c r="M357" s="1327">
        <f t="shared" si="44"/>
        <v>2560000</v>
      </c>
      <c r="N357" s="1588"/>
      <c r="O357" s="179"/>
      <c r="P357" s="187"/>
    </row>
    <row r="358" spans="1:16" s="180" customFormat="1" ht="26.25" customHeight="1">
      <c r="A358" s="585">
        <v>5</v>
      </c>
      <c r="B358" s="704"/>
      <c r="C358" s="1580"/>
      <c r="D358" s="420" t="str">
        <f>'Thanh toán BVTV'!B18</f>
        <v>Pho Văn</v>
      </c>
      <c r="E358" s="420" t="str">
        <f>'Thanh toán BVTV'!C18</f>
        <v>BVTV</v>
      </c>
      <c r="F358" s="373">
        <f>'Thanh toán BVTV'!G18</f>
        <v>2000000.0000000002</v>
      </c>
      <c r="G358" s="1325"/>
      <c r="H358" s="1325">
        <f>'Thanh toán BVTV'!I18</f>
        <v>560000</v>
      </c>
      <c r="I358" s="1585">
        <f t="shared" si="42"/>
        <v>2560000</v>
      </c>
      <c r="J358" s="1325"/>
      <c r="K358" s="1585">
        <f t="shared" si="43"/>
        <v>2560000</v>
      </c>
      <c r="L358" s="373"/>
      <c r="M358" s="1327">
        <f t="shared" si="44"/>
        <v>2560000</v>
      </c>
      <c r="N358" s="1588"/>
      <c r="O358" s="179"/>
      <c r="P358" s="187"/>
    </row>
    <row r="359" spans="1:16" s="180" customFormat="1" ht="26.25" customHeight="1">
      <c r="A359" s="585">
        <v>6</v>
      </c>
      <c r="B359" s="704"/>
      <c r="C359" s="1580"/>
      <c r="D359" s="420" t="str">
        <f>'Thanh toán BVTV'!B19</f>
        <v>Căn Đa</v>
      </c>
      <c r="E359" s="420" t="str">
        <f>'Thanh toán BVTV'!C19</f>
        <v>BVTV</v>
      </c>
      <c r="F359" s="373">
        <f>'Thanh toán BVTV'!G19</f>
        <v>2000000.0000000002</v>
      </c>
      <c r="G359" s="1325"/>
      <c r="H359" s="1325">
        <f>'Thanh toán BVTV'!I19</f>
        <v>560000</v>
      </c>
      <c r="I359" s="1585">
        <f t="shared" si="42"/>
        <v>2560000</v>
      </c>
      <c r="J359" s="1325"/>
      <c r="K359" s="1585">
        <f t="shared" si="43"/>
        <v>2560000</v>
      </c>
      <c r="L359" s="373"/>
      <c r="M359" s="1327">
        <f t="shared" si="44"/>
        <v>2560000</v>
      </c>
      <c r="N359" s="1588"/>
      <c r="O359" s="179"/>
      <c r="P359" s="187"/>
    </row>
    <row r="360" spans="1:16" s="180" customFormat="1" ht="26.25" customHeight="1">
      <c r="A360" s="585">
        <v>7</v>
      </c>
      <c r="B360" s="704"/>
      <c r="C360" s="1580"/>
      <c r="D360" s="420" t="str">
        <f>'Thanh toán BVTV'!B20</f>
        <v>Thong Xa</v>
      </c>
      <c r="E360" s="420" t="str">
        <f>'Thanh toán BVTV'!C20</f>
        <v>BVTV</v>
      </c>
      <c r="F360" s="373">
        <f>'Thanh toán BVTV'!G20</f>
        <v>2000000.0000000002</v>
      </c>
      <c r="G360" s="1325"/>
      <c r="H360" s="1325">
        <f>'Thanh toán BVTV'!I20</f>
        <v>560000</v>
      </c>
      <c r="I360" s="1585">
        <f t="shared" si="42"/>
        <v>2560000</v>
      </c>
      <c r="J360" s="1325"/>
      <c r="K360" s="1585">
        <f t="shared" si="43"/>
        <v>2560000</v>
      </c>
      <c r="L360" s="373"/>
      <c r="M360" s="1327">
        <f t="shared" si="44"/>
        <v>2560000</v>
      </c>
      <c r="N360" s="1588"/>
      <c r="O360" s="179"/>
      <c r="P360" s="187"/>
    </row>
    <row r="361" spans="1:16" s="180" customFormat="1" ht="26.25" customHeight="1">
      <c r="A361" s="585">
        <v>8</v>
      </c>
      <c r="B361" s="704"/>
      <c r="C361" s="1580"/>
      <c r="D361" s="420" t="str">
        <f>'Thanh toán BVTV'!B21</f>
        <v>P. Ka Ta</v>
      </c>
      <c r="E361" s="420" t="str">
        <f>'Thanh toán BVTV'!C21</f>
        <v>BVTV</v>
      </c>
      <c r="F361" s="373">
        <f>'Thanh toán BVTV'!G21</f>
        <v>2000000.0000000002</v>
      </c>
      <c r="G361" s="1325"/>
      <c r="H361" s="1325">
        <f>'Thanh toán BVTV'!I21</f>
        <v>560000</v>
      </c>
      <c r="I361" s="1585">
        <f t="shared" si="42"/>
        <v>2560000</v>
      </c>
      <c r="J361" s="1325"/>
      <c r="K361" s="1585">
        <f t="shared" si="43"/>
        <v>2560000</v>
      </c>
      <c r="L361" s="373"/>
      <c r="M361" s="1327">
        <f t="shared" si="44"/>
        <v>2560000</v>
      </c>
      <c r="N361" s="1588"/>
      <c r="O361" s="179"/>
      <c r="P361" s="187"/>
    </row>
    <row r="362" spans="1:16" s="180" customFormat="1" ht="26.25" customHeight="1">
      <c r="A362" s="585">
        <v>9</v>
      </c>
      <c r="B362" s="704"/>
      <c r="C362" s="1580"/>
      <c r="D362" s="420" t="str">
        <f>'Thanh toán BVTV'!B22</f>
        <v>Hằn</v>
      </c>
      <c r="E362" s="420" t="str">
        <f>'Thanh toán BVTV'!C22</f>
        <v>BVTV</v>
      </c>
      <c r="F362" s="373">
        <f>'Thanh toán BVTV'!G22</f>
        <v>2000000.0000000002</v>
      </c>
      <c r="G362" s="1325"/>
      <c r="H362" s="1325">
        <f>'Thanh toán BVTV'!I22</f>
        <v>560000</v>
      </c>
      <c r="I362" s="1585">
        <f t="shared" si="42"/>
        <v>2560000</v>
      </c>
      <c r="J362" s="1325"/>
      <c r="K362" s="1585">
        <f t="shared" si="43"/>
        <v>2560000</v>
      </c>
      <c r="L362" s="373"/>
      <c r="M362" s="1327">
        <f t="shared" si="44"/>
        <v>2560000</v>
      </c>
      <c r="N362" s="1588"/>
      <c r="O362" s="179"/>
      <c r="P362" s="187"/>
    </row>
    <row r="363" spans="1:16" s="180" customFormat="1" ht="26.25" customHeight="1">
      <c r="A363" s="585">
        <v>10</v>
      </c>
      <c r="B363" s="704"/>
      <c r="C363" s="1580"/>
      <c r="D363" s="420" t="str">
        <f>'Thanh toán BVTV'!B23</f>
        <v>T. Phước</v>
      </c>
      <c r="E363" s="420" t="str">
        <f>'Thanh toán BVTV'!C23</f>
        <v>BVTV</v>
      </c>
      <c r="F363" s="373">
        <f>'Thanh toán BVTV'!G23</f>
        <v>2000000.0000000002</v>
      </c>
      <c r="G363" s="1325"/>
      <c r="H363" s="1325">
        <f>'Thanh toán BVTV'!I23</f>
        <v>560000</v>
      </c>
      <c r="I363" s="1585">
        <f t="shared" si="42"/>
        <v>2560000</v>
      </c>
      <c r="J363" s="1325"/>
      <c r="K363" s="1585">
        <f t="shared" si="43"/>
        <v>2560000</v>
      </c>
      <c r="L363" s="373"/>
      <c r="M363" s="1327">
        <f t="shared" si="44"/>
        <v>2560000</v>
      </c>
      <c r="N363" s="1588"/>
      <c r="O363" s="179"/>
      <c r="P363" s="187"/>
    </row>
    <row r="364" spans="1:16" s="180" customFormat="1" ht="26.25" customHeight="1">
      <c r="A364" s="585">
        <v>11</v>
      </c>
      <c r="B364" s="704"/>
      <c r="C364" s="1580"/>
      <c r="D364" s="420" t="str">
        <f>'Thanh toán BVTV'!B24</f>
        <v>T. Thun</v>
      </c>
      <c r="E364" s="420" t="str">
        <f>'Thanh toán BVTV'!C24</f>
        <v>BVTV</v>
      </c>
      <c r="F364" s="373">
        <f>'Thanh toán BVTV'!G24</f>
        <v>2000000.0000000002</v>
      </c>
      <c r="G364" s="1325"/>
      <c r="H364" s="1325">
        <f>'Thanh toán BVTV'!I24</f>
        <v>560000</v>
      </c>
      <c r="I364" s="1585">
        <f t="shared" si="42"/>
        <v>2560000</v>
      </c>
      <c r="J364" s="1325"/>
      <c r="K364" s="1585">
        <f t="shared" si="43"/>
        <v>2560000</v>
      </c>
      <c r="L364" s="373"/>
      <c r="M364" s="1327">
        <f t="shared" si="44"/>
        <v>2560000</v>
      </c>
      <c r="N364" s="1588"/>
      <c r="O364" s="179"/>
      <c r="P364" s="187"/>
    </row>
    <row r="365" spans="1:16" s="180" customFormat="1" ht="26.25" customHeight="1">
      <c r="A365" s="585">
        <v>12</v>
      </c>
      <c r="B365" s="704"/>
      <c r="C365" s="1580"/>
      <c r="D365" s="420" t="str">
        <f>'Thanh toán BVTV'!B25</f>
        <v>T. Phon</v>
      </c>
      <c r="E365" s="420" t="str">
        <f>'Thanh toán BVTV'!C25</f>
        <v>BVTV</v>
      </c>
      <c r="F365" s="373">
        <f>'Thanh toán BVTV'!G25</f>
        <v>2000000.0000000002</v>
      </c>
      <c r="G365" s="1325"/>
      <c r="H365" s="1325">
        <f>'Thanh toán BVTV'!I25</f>
        <v>560000</v>
      </c>
      <c r="I365" s="1585">
        <f t="shared" si="42"/>
        <v>2560000</v>
      </c>
      <c r="J365" s="1325"/>
      <c r="K365" s="1585">
        <f t="shared" si="43"/>
        <v>2560000</v>
      </c>
      <c r="L365" s="373"/>
      <c r="M365" s="1327">
        <f t="shared" si="44"/>
        <v>2560000</v>
      </c>
      <c r="N365" s="1588"/>
      <c r="O365" s="179"/>
      <c r="P365" s="187"/>
    </row>
    <row r="366" spans="1:16" s="180" customFormat="1" ht="26.25" customHeight="1">
      <c r="A366" s="585">
        <v>13</v>
      </c>
      <c r="B366" s="704"/>
      <c r="C366" s="1580"/>
      <c r="D366" s="420" t="str">
        <f>'Thanh toán BVTV'!B26</f>
        <v>Khăm Sai</v>
      </c>
      <c r="E366" s="420" t="str">
        <f>'Thanh toán BVTV'!C26</f>
        <v>BVTV</v>
      </c>
      <c r="F366" s="373">
        <f>'Thanh toán BVTV'!G26</f>
        <v>2000000.0000000002</v>
      </c>
      <c r="G366" s="1325"/>
      <c r="H366" s="1325">
        <f>'Thanh toán BVTV'!I26</f>
        <v>560000</v>
      </c>
      <c r="I366" s="1585">
        <f t="shared" si="42"/>
        <v>2560000</v>
      </c>
      <c r="J366" s="1325"/>
      <c r="K366" s="1585">
        <f t="shared" si="43"/>
        <v>2560000</v>
      </c>
      <c r="L366" s="373"/>
      <c r="M366" s="1327">
        <f t="shared" si="44"/>
        <v>2560000</v>
      </c>
      <c r="N366" s="1588"/>
      <c r="O366" s="179"/>
      <c r="P366" s="187"/>
    </row>
    <row r="367" spans="1:16" s="180" customFormat="1" ht="26.25" customHeight="1">
      <c r="A367" s="585">
        <v>14</v>
      </c>
      <c r="B367" s="704"/>
      <c r="C367" s="1580"/>
      <c r="D367" s="420" t="str">
        <f>'Thanh toán BVTV'!B27</f>
        <v>T. Lả</v>
      </c>
      <c r="E367" s="420" t="str">
        <f>'Thanh toán BVTV'!C27</f>
        <v>BVTV</v>
      </c>
      <c r="F367" s="373">
        <f>'Thanh toán BVTV'!G27</f>
        <v>2000000.0000000002</v>
      </c>
      <c r="G367" s="1325"/>
      <c r="H367" s="1325">
        <f>'Thanh toán BVTV'!I27</f>
        <v>560000</v>
      </c>
      <c r="I367" s="1585">
        <f t="shared" si="42"/>
        <v>2560000</v>
      </c>
      <c r="J367" s="1325"/>
      <c r="K367" s="1585">
        <f t="shared" si="43"/>
        <v>2560000</v>
      </c>
      <c r="L367" s="373"/>
      <c r="M367" s="1327">
        <f t="shared" si="44"/>
        <v>2560000</v>
      </c>
      <c r="N367" s="1588"/>
      <c r="O367" s="179"/>
      <c r="P367" s="187"/>
    </row>
    <row r="368" spans="1:16" s="180" customFormat="1" ht="26.25" customHeight="1">
      <c r="A368" s="585">
        <v>15</v>
      </c>
      <c r="B368" s="704"/>
      <c r="C368" s="1580"/>
      <c r="D368" s="420" t="str">
        <f>'Thanh toán BVTV'!B28</f>
        <v>T. Ni</v>
      </c>
      <c r="E368" s="420" t="str">
        <f>'Thanh toán BVTV'!C28</f>
        <v>BVTV</v>
      </c>
      <c r="F368" s="373">
        <f>'Thanh toán BVTV'!G28</f>
        <v>2000000.0000000002</v>
      </c>
      <c r="G368" s="1325"/>
      <c r="H368" s="1325">
        <f>'Thanh toán BVTV'!I28</f>
        <v>560000</v>
      </c>
      <c r="I368" s="1585">
        <f t="shared" si="42"/>
        <v>2560000</v>
      </c>
      <c r="J368" s="1325"/>
      <c r="K368" s="1585">
        <f t="shared" si="43"/>
        <v>2560000</v>
      </c>
      <c r="L368" s="373"/>
      <c r="M368" s="1327">
        <f t="shared" si="44"/>
        <v>2560000</v>
      </c>
      <c r="N368" s="1588"/>
      <c r="O368" s="179"/>
      <c r="P368" s="187"/>
    </row>
    <row r="369" spans="1:16" s="180" customFormat="1" ht="26.25" customHeight="1">
      <c r="A369" s="585">
        <v>16</v>
      </c>
      <c r="B369" s="704"/>
      <c r="C369" s="1580"/>
      <c r="D369" s="420" t="str">
        <f>'Thanh toán BVTV'!B29</f>
        <v>Cà Hụt</v>
      </c>
      <c r="E369" s="420" t="str">
        <f>'Thanh toán BVTV'!C29</f>
        <v>BVTV</v>
      </c>
      <c r="F369" s="373">
        <f>'Thanh toán BVTV'!G29</f>
        <v>2000000.0000000002</v>
      </c>
      <c r="G369" s="1325"/>
      <c r="H369" s="1325">
        <f>'Thanh toán BVTV'!I29</f>
        <v>560000</v>
      </c>
      <c r="I369" s="1585">
        <f t="shared" si="42"/>
        <v>2560000</v>
      </c>
      <c r="J369" s="1325"/>
      <c r="K369" s="1585">
        <f t="shared" si="43"/>
        <v>2560000</v>
      </c>
      <c r="L369" s="373"/>
      <c r="M369" s="1327">
        <f t="shared" si="44"/>
        <v>2560000</v>
      </c>
      <c r="N369" s="1588"/>
      <c r="O369" s="179"/>
      <c r="P369" s="187"/>
    </row>
    <row r="370" spans="1:16" s="180" customFormat="1" ht="26.25" customHeight="1">
      <c r="A370" s="585">
        <v>17</v>
      </c>
      <c r="B370" s="704"/>
      <c r="C370" s="1580"/>
      <c r="D370" s="420" t="str">
        <f>'Thanh toán BVTV'!B30</f>
        <v>Khăm Mưn</v>
      </c>
      <c r="E370" s="420" t="str">
        <f>'Thanh toán BVTV'!C30</f>
        <v>BVTV</v>
      </c>
      <c r="F370" s="373">
        <f>'Thanh toán BVTV'!G30</f>
        <v>2000000.0000000002</v>
      </c>
      <c r="G370" s="1325"/>
      <c r="H370" s="1325">
        <f>'Thanh toán BVTV'!I30</f>
        <v>560000</v>
      </c>
      <c r="I370" s="1585">
        <f t="shared" si="42"/>
        <v>2560000</v>
      </c>
      <c r="J370" s="1325"/>
      <c r="K370" s="1585">
        <f t="shared" si="43"/>
        <v>2560000</v>
      </c>
      <c r="L370" s="373"/>
      <c r="M370" s="1327">
        <f t="shared" si="44"/>
        <v>2560000</v>
      </c>
      <c r="N370" s="1588"/>
      <c r="O370" s="179"/>
      <c r="P370" s="187"/>
    </row>
    <row r="371" spans="1:16" s="180" customFormat="1" ht="26.25" customHeight="1">
      <c r="A371" s="585">
        <v>18</v>
      </c>
      <c r="B371" s="704"/>
      <c r="C371" s="1580"/>
      <c r="D371" s="420" t="str">
        <f>'Thanh toán BVTV'!B31</f>
        <v>Khăm Nôn</v>
      </c>
      <c r="E371" s="420" t="str">
        <f>'Thanh toán BVTV'!C31</f>
        <v>BVTV</v>
      </c>
      <c r="F371" s="373">
        <f>'Thanh toán BVTV'!G31</f>
        <v>2000000.0000000002</v>
      </c>
      <c r="G371" s="1325"/>
      <c r="H371" s="1325">
        <f>'Thanh toán BVTV'!I31</f>
        <v>560000</v>
      </c>
      <c r="I371" s="1585">
        <f t="shared" si="42"/>
        <v>2560000</v>
      </c>
      <c r="J371" s="1325"/>
      <c r="K371" s="1585">
        <f t="shared" si="43"/>
        <v>2560000</v>
      </c>
      <c r="L371" s="373"/>
      <c r="M371" s="1327">
        <f t="shared" si="44"/>
        <v>2560000</v>
      </c>
      <c r="N371" s="1588"/>
      <c r="O371" s="179"/>
      <c r="P371" s="187"/>
    </row>
    <row r="372" spans="1:16" s="180" customFormat="1" ht="26.25" customHeight="1">
      <c r="A372" s="585">
        <v>19</v>
      </c>
      <c r="B372" s="704"/>
      <c r="C372" s="1580"/>
      <c r="D372" s="420" t="str">
        <f>'Thanh toán BVTV'!B32</f>
        <v>T. Nin</v>
      </c>
      <c r="E372" s="420" t="str">
        <f>'Thanh toán BVTV'!C32</f>
        <v>BVTV</v>
      </c>
      <c r="F372" s="373">
        <f>'Thanh toán BVTV'!G32</f>
        <v>2000000.0000000002</v>
      </c>
      <c r="G372" s="1325"/>
      <c r="H372" s="1325">
        <f>'Thanh toán BVTV'!I32</f>
        <v>560000</v>
      </c>
      <c r="I372" s="1585">
        <f t="shared" si="42"/>
        <v>2560000</v>
      </c>
      <c r="J372" s="1325"/>
      <c r="K372" s="1585">
        <f t="shared" si="43"/>
        <v>2560000</v>
      </c>
      <c r="L372" s="373"/>
      <c r="M372" s="1327">
        <f t="shared" si="44"/>
        <v>2560000</v>
      </c>
      <c r="N372" s="1588"/>
      <c r="O372" s="179"/>
      <c r="P372" s="187"/>
    </row>
    <row r="373" spans="1:16" s="180" customFormat="1" ht="26.25" customHeight="1">
      <c r="A373" s="585">
        <v>20</v>
      </c>
      <c r="B373" s="704"/>
      <c r="C373" s="1580"/>
      <c r="D373" s="420" t="str">
        <f>'Thanh toán BVTV'!B33</f>
        <v>T. Mút</v>
      </c>
      <c r="E373" s="420" t="str">
        <f>'Thanh toán BVTV'!C33</f>
        <v>BVTV</v>
      </c>
      <c r="F373" s="373">
        <f>'Thanh toán BVTV'!G33</f>
        <v>2000000.0000000002</v>
      </c>
      <c r="G373" s="1325"/>
      <c r="H373" s="1325">
        <f>'Thanh toán BVTV'!I33</f>
        <v>560000</v>
      </c>
      <c r="I373" s="1585">
        <f t="shared" si="42"/>
        <v>2560000</v>
      </c>
      <c r="J373" s="1325"/>
      <c r="K373" s="1585">
        <f t="shared" si="43"/>
        <v>2560000</v>
      </c>
      <c r="L373" s="373"/>
      <c r="M373" s="1327">
        <f t="shared" si="44"/>
        <v>2560000</v>
      </c>
      <c r="N373" s="1588"/>
      <c r="O373" s="179"/>
      <c r="P373" s="187"/>
    </row>
    <row r="374" spans="1:16" s="180" customFormat="1" ht="26.25" customHeight="1">
      <c r="A374" s="585">
        <v>21</v>
      </c>
      <c r="B374" s="704"/>
      <c r="C374" s="1580"/>
      <c r="D374" s="420" t="str">
        <f>'Thanh toán BVTV'!B34</f>
        <v>T. Khon (4)</v>
      </c>
      <c r="E374" s="420" t="str">
        <f>'Thanh toán BVTV'!C34</f>
        <v>BVTV</v>
      </c>
      <c r="F374" s="373">
        <f>'Thanh toán BVTV'!G34</f>
        <v>2000000.0000000002</v>
      </c>
      <c r="G374" s="1325"/>
      <c r="H374" s="1325">
        <f>'Thanh toán BVTV'!I34</f>
        <v>560000</v>
      </c>
      <c r="I374" s="1585">
        <f t="shared" si="42"/>
        <v>2560000</v>
      </c>
      <c r="J374" s="1325"/>
      <c r="K374" s="1585">
        <f t="shared" si="43"/>
        <v>2560000</v>
      </c>
      <c r="L374" s="373"/>
      <c r="M374" s="1327">
        <f t="shared" si="44"/>
        <v>2560000</v>
      </c>
      <c r="N374" s="1588"/>
      <c r="O374" s="179"/>
      <c r="P374" s="187"/>
    </row>
    <row r="375" spans="1:16" s="180" customFormat="1" ht="26.25" customHeight="1">
      <c r="A375" s="585">
        <v>22</v>
      </c>
      <c r="B375" s="704"/>
      <c r="C375" s="1580"/>
      <c r="D375" s="420" t="str">
        <f>'Thanh toán BVTV'!B35</f>
        <v>A Bi</v>
      </c>
      <c r="E375" s="420" t="str">
        <f>'Thanh toán BVTV'!C35</f>
        <v>BVTV</v>
      </c>
      <c r="F375" s="373">
        <f>'Thanh toán BVTV'!G35</f>
        <v>2000000.0000000002</v>
      </c>
      <c r="G375" s="1325"/>
      <c r="H375" s="1325">
        <f>'Thanh toán BVTV'!I35</f>
        <v>560000</v>
      </c>
      <c r="I375" s="1585">
        <f t="shared" si="42"/>
        <v>2560000</v>
      </c>
      <c r="J375" s="1325"/>
      <c r="K375" s="1585">
        <f t="shared" si="43"/>
        <v>2560000</v>
      </c>
      <c r="L375" s="373"/>
      <c r="M375" s="1327">
        <f t="shared" si="44"/>
        <v>2560000</v>
      </c>
      <c r="N375" s="1588"/>
      <c r="O375" s="179"/>
      <c r="P375" s="187"/>
    </row>
    <row r="376" spans="1:16" s="180" customFormat="1" ht="26.25" customHeight="1">
      <c r="A376" s="585">
        <v>23</v>
      </c>
      <c r="B376" s="704"/>
      <c r="C376" s="1580"/>
      <c r="D376" s="420" t="str">
        <f>'Thanh toán BVTV'!B36</f>
        <v>Thông La</v>
      </c>
      <c r="E376" s="420" t="str">
        <f>'Thanh toán BVTV'!C36</f>
        <v>BVTV</v>
      </c>
      <c r="F376" s="373">
        <f>'Thanh toán BVTV'!G36</f>
        <v>2000000.0000000002</v>
      </c>
      <c r="G376" s="1325"/>
      <c r="H376" s="1325">
        <f>'Thanh toán BVTV'!I36</f>
        <v>560000</v>
      </c>
      <c r="I376" s="1585">
        <f t="shared" si="42"/>
        <v>2560000</v>
      </c>
      <c r="J376" s="1325"/>
      <c r="K376" s="1585">
        <f t="shared" si="43"/>
        <v>2560000</v>
      </c>
      <c r="L376" s="373"/>
      <c r="M376" s="1327">
        <f t="shared" si="44"/>
        <v>2560000</v>
      </c>
      <c r="N376" s="1588"/>
      <c r="O376" s="179"/>
      <c r="P376" s="187"/>
    </row>
    <row r="377" spans="1:16" s="180" customFormat="1" ht="26.25" customHeight="1">
      <c r="A377" s="585">
        <v>24</v>
      </c>
      <c r="B377" s="704"/>
      <c r="C377" s="1580"/>
      <c r="D377" s="420" t="str">
        <f>'Thanh toán BVTV'!B37</f>
        <v>T. Phút</v>
      </c>
      <c r="E377" s="420" t="str">
        <f>'Thanh toán BVTV'!C37</f>
        <v>BVTV</v>
      </c>
      <c r="F377" s="373">
        <f>'Thanh toán BVTV'!G37</f>
        <v>2000000.0000000002</v>
      </c>
      <c r="G377" s="1325"/>
      <c r="H377" s="1325">
        <f>'Thanh toán BVTV'!I37</f>
        <v>560000</v>
      </c>
      <c r="I377" s="1585">
        <f t="shared" si="42"/>
        <v>2560000</v>
      </c>
      <c r="J377" s="1325"/>
      <c r="K377" s="1585">
        <f t="shared" si="43"/>
        <v>2560000</v>
      </c>
      <c r="L377" s="373"/>
      <c r="M377" s="1327">
        <f t="shared" si="44"/>
        <v>2560000</v>
      </c>
      <c r="N377" s="1588"/>
      <c r="O377" s="179"/>
      <c r="P377" s="187"/>
    </row>
    <row r="378" spans="1:16" s="180" customFormat="1" ht="26.25" customHeight="1">
      <c r="A378" s="585">
        <v>25</v>
      </c>
      <c r="B378" s="704"/>
      <c r="C378" s="1580"/>
      <c r="D378" s="420" t="str">
        <f>'Thanh toán BVTV'!B38</f>
        <v>T. Xê</v>
      </c>
      <c r="E378" s="420" t="str">
        <f>'Thanh toán BVTV'!C38</f>
        <v>BVTV</v>
      </c>
      <c r="F378" s="373">
        <f>'Thanh toán BVTV'!G38</f>
        <v>2000000.0000000002</v>
      </c>
      <c r="G378" s="1325"/>
      <c r="H378" s="1325">
        <f>'Thanh toán BVTV'!I38</f>
        <v>560000</v>
      </c>
      <c r="I378" s="1585">
        <f t="shared" si="42"/>
        <v>2560000</v>
      </c>
      <c r="J378" s="1325"/>
      <c r="K378" s="1585">
        <f t="shared" si="43"/>
        <v>2560000</v>
      </c>
      <c r="L378" s="373"/>
      <c r="M378" s="1327">
        <f t="shared" si="44"/>
        <v>2560000</v>
      </c>
      <c r="N378" s="1588"/>
      <c r="O378" s="179"/>
      <c r="P378" s="187"/>
    </row>
    <row r="379" spans="1:16" s="180" customFormat="1" ht="26.25" customHeight="1">
      <c r="A379" s="2134" t="s">
        <v>597</v>
      </c>
      <c r="B379" s="2134"/>
      <c r="C379" s="2134"/>
      <c r="D379" s="2134"/>
      <c r="E379" s="2134"/>
      <c r="F379" s="1578">
        <f t="shared" ref="F379:M379" si="45">F13+F98+F187+F253</f>
        <v>343164503</v>
      </c>
      <c r="G379" s="1578">
        <f t="shared" si="45"/>
        <v>0</v>
      </c>
      <c r="H379" s="1578">
        <f t="shared" si="45"/>
        <v>0</v>
      </c>
      <c r="I379" s="1578">
        <f t="shared" si="45"/>
        <v>343164503</v>
      </c>
      <c r="J379" s="1578">
        <f t="shared" si="45"/>
        <v>0</v>
      </c>
      <c r="K379" s="1578">
        <f t="shared" si="45"/>
        <v>343164503</v>
      </c>
      <c r="L379" s="1578">
        <f t="shared" si="45"/>
        <v>0</v>
      </c>
      <c r="M379" s="1578">
        <f t="shared" si="45"/>
        <v>343164503</v>
      </c>
      <c r="N379" s="1591"/>
      <c r="O379" s="190">
        <f>M13+M98+M187+M253</f>
        <v>343164503</v>
      </c>
      <c r="P379" s="534"/>
    </row>
    <row r="380" spans="1:16" s="180" customFormat="1" ht="21.75" customHeight="1">
      <c r="A380" s="2133" t="s">
        <v>598</v>
      </c>
      <c r="B380" s="2133"/>
      <c r="C380" s="2133"/>
      <c r="D380" s="2133"/>
      <c r="E380" s="2133"/>
      <c r="F380" s="1578">
        <f t="shared" ref="F380:M380" si="46">F324</f>
        <v>30170940</v>
      </c>
      <c r="G380" s="1578">
        <f t="shared" si="46"/>
        <v>0</v>
      </c>
      <c r="H380" s="1578">
        <f t="shared" si="46"/>
        <v>0</v>
      </c>
      <c r="I380" s="1578">
        <f t="shared" si="46"/>
        <v>30170940</v>
      </c>
      <c r="J380" s="1578">
        <f t="shared" si="46"/>
        <v>1757094</v>
      </c>
      <c r="K380" s="1578">
        <f t="shared" si="46"/>
        <v>28413846</v>
      </c>
      <c r="L380" s="1578">
        <f t="shared" si="46"/>
        <v>0</v>
      </c>
      <c r="M380" s="1578">
        <f t="shared" si="46"/>
        <v>28413846</v>
      </c>
      <c r="N380" s="1591"/>
      <c r="O380" s="190"/>
      <c r="P380" s="534"/>
    </row>
    <row r="381" spans="1:16" s="180" customFormat="1" ht="29.25" customHeight="1">
      <c r="A381" s="2138" t="s">
        <v>849</v>
      </c>
      <c r="B381" s="2139"/>
      <c r="C381" s="2139"/>
      <c r="D381" s="2139"/>
      <c r="E381" s="2140"/>
      <c r="F381" s="1578">
        <f>F341</f>
        <v>7642857.1428571437</v>
      </c>
      <c r="G381" s="1578">
        <f t="shared" ref="G381:M381" si="47">G341</f>
        <v>0</v>
      </c>
      <c r="H381" s="1578">
        <f t="shared" si="47"/>
        <v>2292857.1428571427</v>
      </c>
      <c r="I381" s="1578">
        <f t="shared" si="47"/>
        <v>9935714.2857142854</v>
      </c>
      <c r="J381" s="1578">
        <f t="shared" si="47"/>
        <v>0</v>
      </c>
      <c r="K381" s="1578">
        <f t="shared" si="47"/>
        <v>9935714.2857142854</v>
      </c>
      <c r="L381" s="1578">
        <f t="shared" si="47"/>
        <v>0</v>
      </c>
      <c r="M381" s="1578">
        <f t="shared" si="47"/>
        <v>9935714.2857142854</v>
      </c>
      <c r="N381" s="1591"/>
      <c r="O381" s="190"/>
      <c r="P381" s="534"/>
    </row>
    <row r="382" spans="1:16" s="180" customFormat="1" ht="21.75" customHeight="1">
      <c r="A382" s="2135" t="s">
        <v>903</v>
      </c>
      <c r="B382" s="2136"/>
      <c r="C382" s="2136"/>
      <c r="D382" s="2136"/>
      <c r="E382" s="2137"/>
      <c r="F382" s="1578">
        <f>F346</f>
        <v>23379866</v>
      </c>
      <c r="G382" s="1578">
        <f t="shared" ref="G382:M382" si="48">G346</f>
        <v>0</v>
      </c>
      <c r="H382" s="1578">
        <f t="shared" si="48"/>
        <v>0</v>
      </c>
      <c r="I382" s="1578">
        <f t="shared" si="48"/>
        <v>23379866</v>
      </c>
      <c r="J382" s="1578">
        <f t="shared" si="48"/>
        <v>786489.3</v>
      </c>
      <c r="K382" s="1578">
        <f t="shared" si="48"/>
        <v>22593376.699999999</v>
      </c>
      <c r="L382" s="1578">
        <f t="shared" si="48"/>
        <v>0</v>
      </c>
      <c r="M382" s="1578">
        <f t="shared" si="48"/>
        <v>22593376.699999999</v>
      </c>
      <c r="N382" s="1591"/>
      <c r="O382" s="190"/>
      <c r="P382" s="534"/>
    </row>
    <row r="383" spans="1:16" s="180" customFormat="1" ht="21.75" customHeight="1">
      <c r="A383" s="2135" t="s">
        <v>1055</v>
      </c>
      <c r="B383" s="2136"/>
      <c r="C383" s="2136"/>
      <c r="D383" s="2136"/>
      <c r="E383" s="2137"/>
      <c r="F383" s="1578">
        <f>F353</f>
        <v>50000000.000000007</v>
      </c>
      <c r="G383" s="1578">
        <f t="shared" ref="G383:M383" si="49">G353</f>
        <v>0</v>
      </c>
      <c r="H383" s="1578">
        <f t="shared" si="49"/>
        <v>14000000</v>
      </c>
      <c r="I383" s="1578">
        <f t="shared" si="49"/>
        <v>64000000</v>
      </c>
      <c r="J383" s="1578">
        <f t="shared" si="49"/>
        <v>0</v>
      </c>
      <c r="K383" s="1578">
        <f t="shared" si="49"/>
        <v>64000000</v>
      </c>
      <c r="L383" s="1578">
        <f t="shared" si="49"/>
        <v>0</v>
      </c>
      <c r="M383" s="1578">
        <f t="shared" si="49"/>
        <v>64000000</v>
      </c>
      <c r="N383" s="1591"/>
      <c r="O383" s="190"/>
      <c r="P383" s="534"/>
    </row>
    <row r="384" spans="1:16" s="180" customFormat="1" ht="21.75" customHeight="1">
      <c r="A384" s="2133" t="s">
        <v>1056</v>
      </c>
      <c r="B384" s="2133"/>
      <c r="C384" s="2133"/>
      <c r="D384" s="2133"/>
      <c r="E384" s="2133"/>
      <c r="F384" s="1578">
        <f>SUM(F379:F383)</f>
        <v>454358166.14285713</v>
      </c>
      <c r="G384" s="1578">
        <f t="shared" ref="G384:M384" si="50">SUM(G379:G383)</f>
        <v>0</v>
      </c>
      <c r="H384" s="1578">
        <f t="shared" si="50"/>
        <v>16292857.142857142</v>
      </c>
      <c r="I384" s="1592">
        <f>SUM(I379:I383)</f>
        <v>470651023.28571427</v>
      </c>
      <c r="J384" s="1578">
        <f t="shared" si="50"/>
        <v>2543583.2999999998</v>
      </c>
      <c r="K384" s="1578">
        <f t="shared" si="50"/>
        <v>468107439.98571426</v>
      </c>
      <c r="L384" s="1578">
        <f t="shared" si="50"/>
        <v>0</v>
      </c>
      <c r="M384" s="1578">
        <f t="shared" si="50"/>
        <v>468107439.98571426</v>
      </c>
      <c r="N384" s="1593"/>
      <c r="O384" s="179">
        <v>2398773484</v>
      </c>
      <c r="P384" s="182"/>
    </row>
    <row r="385" spans="1:17" s="180" customFormat="1" ht="21.75" customHeight="1">
      <c r="A385" s="2124" t="s">
        <v>1183</v>
      </c>
      <c r="B385" s="2124"/>
      <c r="C385" s="2124"/>
      <c r="D385" s="2124"/>
      <c r="E385" s="2124"/>
      <c r="F385" s="2124"/>
      <c r="G385" s="2124"/>
      <c r="H385" s="2124"/>
      <c r="I385" s="2124"/>
      <c r="J385" s="2124"/>
      <c r="K385" s="2124"/>
      <c r="L385" s="2124"/>
      <c r="M385" s="2124"/>
      <c r="N385" s="2124"/>
      <c r="O385" s="179"/>
      <c r="P385" s="182"/>
    </row>
    <row r="386" spans="1:17" ht="16.5">
      <c r="A386" s="1702"/>
      <c r="B386" s="1701"/>
      <c r="C386" s="235"/>
      <c r="D386" s="235"/>
      <c r="E386" s="235"/>
      <c r="F386" s="243"/>
      <c r="G386" s="235"/>
      <c r="H386" s="235"/>
      <c r="I386" s="2132" t="s">
        <v>1136</v>
      </c>
      <c r="J386" s="2132"/>
      <c r="K386" s="2132"/>
      <c r="L386" s="2132"/>
      <c r="M386" s="2132"/>
      <c r="N386" s="2132"/>
      <c r="O386" s="56"/>
      <c r="Q386" s="58"/>
    </row>
    <row r="387" spans="1:17" s="47" customFormat="1" ht="16.5">
      <c r="A387" s="1708"/>
      <c r="B387" s="2111" t="s">
        <v>46</v>
      </c>
      <c r="C387" s="2111"/>
      <c r="D387" s="2111"/>
      <c r="E387" s="346"/>
      <c r="F387" s="2111" t="s">
        <v>45</v>
      </c>
      <c r="G387" s="2111"/>
      <c r="H387" s="346"/>
      <c r="I387" s="360" t="s">
        <v>101</v>
      </c>
      <c r="J387" s="346"/>
      <c r="K387" s="360"/>
      <c r="L387" s="346"/>
      <c r="M387" s="1708" t="s">
        <v>841</v>
      </c>
      <c r="N387" s="346"/>
      <c r="O387" s="58"/>
      <c r="P387" s="201"/>
    </row>
    <row r="388" spans="1:17" s="47" customFormat="1" ht="16.5">
      <c r="A388" s="1708"/>
      <c r="B388" s="1594"/>
      <c r="C388" s="360"/>
      <c r="D388" s="1708"/>
      <c r="E388" s="1708"/>
      <c r="F388" s="1711"/>
      <c r="G388" s="1595"/>
      <c r="H388" s="1595"/>
      <c r="I388" s="1596"/>
      <c r="J388" s="1708"/>
      <c r="K388" s="1708"/>
      <c r="L388" s="1708"/>
      <c r="M388" s="360"/>
      <c r="N388" s="1708"/>
      <c r="O388" s="57"/>
      <c r="P388" s="201"/>
    </row>
    <row r="389" spans="1:17" s="47" customFormat="1" ht="16.5">
      <c r="A389" s="1708"/>
      <c r="B389" s="1594"/>
      <c r="C389" s="360"/>
      <c r="D389" s="1708"/>
      <c r="E389" s="1708"/>
      <c r="F389" s="1711"/>
      <c r="G389" s="1595"/>
      <c r="H389" s="1595"/>
      <c r="I389" s="1596"/>
      <c r="J389" s="1708"/>
      <c r="K389" s="1708"/>
      <c r="L389" s="1708"/>
      <c r="M389" s="1597"/>
      <c r="N389" s="1708"/>
      <c r="O389" s="2"/>
    </row>
    <row r="390" spans="1:17" ht="16.5">
      <c r="A390" s="1702"/>
      <c r="B390" s="1701"/>
      <c r="C390" s="235"/>
      <c r="D390" s="235"/>
      <c r="E390" s="235"/>
      <c r="F390" s="238"/>
      <c r="G390" s="238"/>
      <c r="H390" s="238"/>
      <c r="I390" s="238"/>
      <c r="J390" s="238"/>
      <c r="K390" s="238"/>
      <c r="L390" s="238"/>
      <c r="M390" s="238"/>
      <c r="N390" s="1598"/>
      <c r="O390" s="58"/>
    </row>
    <row r="391" spans="1:17" ht="16.5">
      <c r="A391" s="1702"/>
      <c r="B391" s="1701"/>
      <c r="C391" s="235"/>
      <c r="D391" s="235"/>
      <c r="E391" s="235"/>
      <c r="F391" s="238"/>
      <c r="G391" s="238"/>
      <c r="H391" s="238"/>
      <c r="I391" s="238"/>
      <c r="J391" s="238"/>
      <c r="K391" s="238"/>
      <c r="L391" s="238"/>
      <c r="M391" s="238"/>
      <c r="N391" s="1598"/>
      <c r="O391" s="58"/>
    </row>
    <row r="392" spans="1:17" ht="16.5">
      <c r="A392" s="1702"/>
      <c r="B392" s="1701"/>
      <c r="C392" s="235"/>
      <c r="D392" s="235"/>
      <c r="E392" s="235"/>
      <c r="F392" s="238"/>
      <c r="G392" s="238"/>
      <c r="H392" s="238"/>
      <c r="I392" s="238"/>
      <c r="J392" s="238"/>
      <c r="K392" s="238"/>
      <c r="L392" s="238"/>
      <c r="M392" s="238"/>
      <c r="N392" s="1598"/>
      <c r="O392" s="58"/>
    </row>
    <row r="393" spans="1:17" ht="16.5">
      <c r="A393" s="1702"/>
      <c r="B393" s="1701"/>
      <c r="C393" s="235"/>
      <c r="D393" s="235"/>
      <c r="E393" s="235"/>
      <c r="F393" s="1709"/>
      <c r="G393" s="1709"/>
      <c r="H393" s="1599"/>
      <c r="I393" s="1599"/>
      <c r="J393" s="1709"/>
      <c r="K393" s="1709"/>
      <c r="L393" s="1709"/>
      <c r="M393" s="1709"/>
      <c r="N393" s="235"/>
    </row>
    <row r="394" spans="1:17" ht="16.5">
      <c r="A394" s="1702"/>
      <c r="B394" s="2111" t="s">
        <v>830</v>
      </c>
      <c r="C394" s="2111"/>
      <c r="D394" s="2111"/>
      <c r="E394" s="360"/>
      <c r="F394" s="2131" t="s">
        <v>862</v>
      </c>
      <c r="G394" s="2131"/>
      <c r="H394" s="1600"/>
      <c r="I394" s="346" t="s">
        <v>419</v>
      </c>
      <c r="J394" s="1348"/>
      <c r="K394" s="360"/>
      <c r="L394" s="346"/>
      <c r="M394" s="1708" t="s">
        <v>76</v>
      </c>
      <c r="N394" s="237"/>
    </row>
    <row r="395" spans="1:17" ht="16.5">
      <c r="A395" s="1702"/>
      <c r="B395" s="2"/>
      <c r="C395" s="2"/>
      <c r="F395" s="2"/>
      <c r="N395" s="2"/>
      <c r="O395" s="57"/>
    </row>
    <row r="396" spans="1:17" ht="16.5">
      <c r="A396" s="1702"/>
      <c r="B396" s="1701"/>
      <c r="C396" s="235"/>
      <c r="D396" s="235"/>
      <c r="E396" s="235"/>
      <c r="F396" s="243"/>
      <c r="G396" s="1601"/>
      <c r="H396" s="1602"/>
      <c r="I396" s="237"/>
      <c r="J396" s="243"/>
      <c r="K396" s="235"/>
      <c r="L396" s="235"/>
      <c r="M396" s="235"/>
      <c r="N396" s="235"/>
    </row>
    <row r="397" spans="1:17" ht="16.5">
      <c r="A397" s="1702"/>
      <c r="B397" s="1701"/>
      <c r="C397" s="235"/>
      <c r="D397" s="235"/>
      <c r="E397" s="235"/>
      <c r="F397" s="1603"/>
      <c r="G397" s="1604"/>
      <c r="H397" s="1604"/>
      <c r="I397" s="885"/>
      <c r="J397" s="2129"/>
      <c r="K397" s="2129"/>
      <c r="L397" s="235"/>
      <c r="M397" s="238"/>
      <c r="N397" s="235"/>
    </row>
    <row r="398" spans="1:17">
      <c r="F398" s="1714"/>
      <c r="G398" s="1968"/>
      <c r="H398" s="1968"/>
      <c r="I398" s="56"/>
      <c r="K398" s="57"/>
      <c r="O398" s="58" t="e">
        <f>+I384-#REF!</f>
        <v>#REF!</v>
      </c>
      <c r="P398" s="58">
        <f>+I384-J384</f>
        <v>468107439.98571426</v>
      </c>
    </row>
    <row r="399" spans="1:17">
      <c r="F399" s="1714"/>
      <c r="G399" s="2130"/>
      <c r="H399" s="2128"/>
      <c r="I399" s="1715"/>
      <c r="J399" s="1715"/>
    </row>
    <row r="400" spans="1:17" ht="18.75">
      <c r="F400" s="1712"/>
      <c r="G400" s="2125"/>
      <c r="H400" s="2126"/>
      <c r="I400" s="115"/>
      <c r="J400" s="56"/>
      <c r="K400" s="50"/>
    </row>
    <row r="401" spans="6:13">
      <c r="G401" s="2127"/>
      <c r="H401" s="2128"/>
      <c r="I401" s="58"/>
      <c r="K401" s="56"/>
    </row>
    <row r="402" spans="6:13">
      <c r="H402" s="57"/>
      <c r="I402" s="115"/>
      <c r="K402" s="114"/>
    </row>
    <row r="403" spans="6:13">
      <c r="H403" s="58"/>
      <c r="I403" s="58"/>
      <c r="J403" s="56"/>
      <c r="K403" s="56"/>
      <c r="M403" s="1714"/>
    </row>
    <row r="404" spans="6:13">
      <c r="H404" s="115"/>
      <c r="I404" s="57"/>
      <c r="M404" s="55"/>
    </row>
    <row r="405" spans="6:13">
      <c r="F405" s="1714"/>
      <c r="K405" s="58"/>
      <c r="M405" s="57"/>
    </row>
    <row r="406" spans="6:13">
      <c r="F406" s="1714"/>
      <c r="G406" s="57"/>
      <c r="K406" s="58"/>
      <c r="M406" s="57"/>
    </row>
    <row r="407" spans="6:13">
      <c r="F407" s="1714"/>
      <c r="H407" s="56"/>
      <c r="L407" s="57"/>
    </row>
    <row r="408" spans="6:13">
      <c r="M408" s="305"/>
    </row>
    <row r="415" spans="6:13">
      <c r="F415" s="55" t="s">
        <v>276</v>
      </c>
    </row>
  </sheetData>
  <mergeCells count="43">
    <mergeCell ref="A383:E383"/>
    <mergeCell ref="A382:E382"/>
    <mergeCell ref="A1:N1"/>
    <mergeCell ref="A2:N2"/>
    <mergeCell ref="A13:D13"/>
    <mergeCell ref="A9:N9"/>
    <mergeCell ref="A5:I5"/>
    <mergeCell ref="A6:I6"/>
    <mergeCell ref="A3:N3"/>
    <mergeCell ref="A8:N8"/>
    <mergeCell ref="E11:E12"/>
    <mergeCell ref="F11:H11"/>
    <mergeCell ref="I11:I12"/>
    <mergeCell ref="A346:E346"/>
    <mergeCell ref="A341:E341"/>
    <mergeCell ref="A353:E353"/>
    <mergeCell ref="A384:E384"/>
    <mergeCell ref="A379:E379"/>
    <mergeCell ref="A380:E380"/>
    <mergeCell ref="N11:N12"/>
    <mergeCell ref="A98:D98"/>
    <mergeCell ref="A187:E187"/>
    <mergeCell ref="A253:E253"/>
    <mergeCell ref="A324:E324"/>
    <mergeCell ref="M11:M12"/>
    <mergeCell ref="A381:E381"/>
    <mergeCell ref="J11:J12"/>
    <mergeCell ref="K11:K12"/>
    <mergeCell ref="L11:L12"/>
    <mergeCell ref="A11:A12"/>
    <mergeCell ref="B11:B12"/>
    <mergeCell ref="C11:D11"/>
    <mergeCell ref="A385:N385"/>
    <mergeCell ref="G400:H400"/>
    <mergeCell ref="G401:H401"/>
    <mergeCell ref="J397:K397"/>
    <mergeCell ref="G398:H398"/>
    <mergeCell ref="G399:H399"/>
    <mergeCell ref="F387:G387"/>
    <mergeCell ref="B387:D387"/>
    <mergeCell ref="F394:G394"/>
    <mergeCell ref="B394:D394"/>
    <mergeCell ref="I386:N386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40"/>
  <sheetViews>
    <sheetView topLeftCell="A10" zoomScale="85" zoomScaleNormal="85" workbookViewId="0">
      <selection activeCell="F12" sqref="F12:H21"/>
    </sheetView>
  </sheetViews>
  <sheetFormatPr defaultColWidth="9.140625" defaultRowHeight="12.75"/>
  <cols>
    <col min="1" max="1" width="5.28515625" style="379" customWidth="1"/>
    <col min="2" max="2" width="24.42578125" style="379" customWidth="1"/>
    <col min="3" max="3" width="15.85546875" style="379" customWidth="1"/>
    <col min="4" max="5" width="12.85546875" style="379" customWidth="1"/>
    <col min="6" max="6" width="14.140625" style="379" customWidth="1"/>
    <col min="7" max="7" width="20" style="389" customWidth="1"/>
    <col min="8" max="8" width="22.42578125" style="389" customWidth="1"/>
    <col min="9" max="9" width="16.140625" style="379" customWidth="1"/>
    <col min="10" max="10" width="19.5703125" style="379" customWidth="1"/>
    <col min="11" max="11" width="12.28515625" style="379" customWidth="1"/>
    <col min="12" max="12" width="21.42578125" style="389" bestFit="1" customWidth="1"/>
    <col min="13" max="13" width="18.7109375" style="389" customWidth="1"/>
    <col min="14" max="14" width="9.28515625" style="398" bestFit="1" customWidth="1"/>
    <col min="15" max="15" width="19.7109375" style="379" customWidth="1"/>
    <col min="16" max="16" width="12.5703125" style="379" customWidth="1"/>
    <col min="17" max="19" width="9.140625" style="379"/>
    <col min="20" max="20" width="9.140625" style="399"/>
    <col min="21" max="16384" width="9.140625" style="379"/>
  </cols>
  <sheetData>
    <row r="1" spans="1:261" ht="18.75">
      <c r="A1" s="2147" t="s">
        <v>90</v>
      </c>
      <c r="B1" s="2147"/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400"/>
      <c r="O1" s="400"/>
      <c r="P1" s="400"/>
      <c r="Q1" s="400"/>
      <c r="R1" s="400"/>
      <c r="S1" s="400"/>
      <c r="T1" s="400"/>
      <c r="U1" s="400"/>
    </row>
    <row r="2" spans="1:261" ht="18.75">
      <c r="A2" s="2147" t="s">
        <v>6</v>
      </c>
      <c r="B2" s="2147"/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401"/>
      <c r="O2" s="401"/>
      <c r="P2" s="401"/>
      <c r="Q2" s="401"/>
      <c r="R2" s="401"/>
      <c r="S2" s="401"/>
      <c r="T2" s="401"/>
      <c r="U2" s="401"/>
    </row>
    <row r="3" spans="1:261" ht="18.75">
      <c r="A3" s="2148" t="s">
        <v>493</v>
      </c>
      <c r="B3" s="2148"/>
      <c r="C3" s="2148"/>
      <c r="D3" s="2148"/>
      <c r="E3" s="2148"/>
      <c r="F3" s="2148"/>
      <c r="G3" s="2148"/>
      <c r="H3" s="2148"/>
      <c r="I3" s="2148"/>
      <c r="J3" s="2148"/>
      <c r="K3" s="2148"/>
      <c r="L3" s="2148"/>
      <c r="M3" s="2148"/>
      <c r="N3" s="386"/>
      <c r="O3" s="382"/>
      <c r="P3" s="382"/>
      <c r="Q3" s="382"/>
      <c r="R3" s="382"/>
      <c r="S3" s="382"/>
      <c r="T3" s="383"/>
      <c r="U3" s="382"/>
    </row>
    <row r="4" spans="1:261" ht="18.75">
      <c r="A4" s="2149" t="s">
        <v>7</v>
      </c>
      <c r="B4" s="2149"/>
      <c r="C4" s="2149"/>
      <c r="D4" s="2149"/>
      <c r="E4" s="2149"/>
      <c r="F4" s="2149"/>
      <c r="G4" s="418"/>
      <c r="H4" s="418"/>
      <c r="I4" s="1090"/>
      <c r="J4" s="1090"/>
      <c r="K4" s="1090"/>
      <c r="L4" s="418"/>
      <c r="M4" s="418"/>
      <c r="N4" s="380"/>
      <c r="O4" s="381"/>
      <c r="P4" s="381"/>
      <c r="Q4" s="381"/>
      <c r="R4" s="381"/>
      <c r="S4" s="382"/>
      <c r="T4" s="383"/>
      <c r="U4" s="382"/>
    </row>
    <row r="5" spans="1:261" ht="18.75">
      <c r="A5" s="2147" t="s">
        <v>968</v>
      </c>
      <c r="B5" s="2147"/>
      <c r="C5" s="2147"/>
      <c r="D5" s="2147"/>
      <c r="E5" s="2147"/>
      <c r="F5" s="2147"/>
      <c r="G5" s="419"/>
      <c r="H5" s="419"/>
      <c r="I5" s="1086"/>
      <c r="J5" s="1086"/>
      <c r="K5" s="1086"/>
      <c r="L5" s="419"/>
      <c r="M5" s="419"/>
      <c r="N5" s="384"/>
      <c r="O5" s="1085"/>
      <c r="P5" s="1085"/>
      <c r="Q5" s="1085"/>
      <c r="R5" s="1085"/>
      <c r="S5" s="382"/>
      <c r="T5" s="383"/>
      <c r="U5" s="382"/>
    </row>
    <row r="6" spans="1:261" ht="18.75">
      <c r="A6" s="387"/>
      <c r="B6" s="387"/>
      <c r="C6" s="387"/>
      <c r="D6" s="387"/>
      <c r="E6" s="387"/>
      <c r="F6" s="387"/>
      <c r="G6" s="388"/>
      <c r="H6" s="388"/>
      <c r="I6" s="387"/>
      <c r="J6" s="387"/>
      <c r="K6" s="387"/>
      <c r="L6" s="388"/>
      <c r="M6" s="388"/>
      <c r="N6" s="386"/>
      <c r="O6" s="382"/>
      <c r="P6" s="382"/>
      <c r="Q6" s="382"/>
      <c r="R6" s="382"/>
      <c r="S6" s="382"/>
      <c r="T6" s="383"/>
      <c r="U6" s="382"/>
    </row>
    <row r="7" spans="1:261">
      <c r="A7" s="382"/>
      <c r="B7" s="382"/>
      <c r="C7" s="382"/>
      <c r="D7" s="382"/>
      <c r="E7" s="382"/>
      <c r="F7" s="382"/>
      <c r="G7" s="385"/>
      <c r="H7" s="385"/>
      <c r="I7" s="382"/>
      <c r="J7" s="382"/>
      <c r="K7" s="382"/>
      <c r="L7" s="385"/>
      <c r="M7" s="385"/>
      <c r="N7" s="386"/>
      <c r="O7" s="382"/>
      <c r="P7" s="382"/>
      <c r="Q7" s="382"/>
      <c r="R7" s="382"/>
      <c r="S7" s="382"/>
      <c r="T7" s="383"/>
      <c r="U7" s="382"/>
    </row>
    <row r="8" spans="1:261" ht="22.5">
      <c r="A8" s="2146" t="s">
        <v>1134</v>
      </c>
      <c r="B8" s="2146"/>
      <c r="C8" s="2146"/>
      <c r="D8" s="2146"/>
      <c r="E8" s="2146"/>
      <c r="F8" s="2146"/>
      <c r="G8" s="2146"/>
      <c r="H8" s="2146"/>
      <c r="I8" s="2146"/>
      <c r="J8" s="2146"/>
      <c r="K8" s="2146"/>
      <c r="L8" s="2146"/>
      <c r="M8" s="2146"/>
      <c r="N8" s="402"/>
      <c r="O8" s="402"/>
      <c r="P8" s="402"/>
      <c r="Q8" s="402"/>
      <c r="R8" s="402"/>
      <c r="S8" s="402"/>
      <c r="T8" s="402"/>
      <c r="U8" s="402"/>
      <c r="V8" s="382"/>
      <c r="W8" s="382"/>
      <c r="X8" s="382"/>
      <c r="Y8" s="382"/>
      <c r="Z8" s="382"/>
      <c r="AA8" s="382"/>
    </row>
    <row r="9" spans="1:261" ht="20.25">
      <c r="A9" s="2151"/>
      <c r="B9" s="2151"/>
      <c r="C9" s="2151"/>
      <c r="D9" s="2151"/>
      <c r="E9" s="2151"/>
      <c r="F9" s="2151"/>
      <c r="G9" s="2151"/>
      <c r="H9" s="2151"/>
      <c r="I9" s="2151"/>
      <c r="J9" s="2151"/>
      <c r="K9" s="2151"/>
      <c r="L9" s="2151"/>
      <c r="M9" s="2151"/>
      <c r="N9" s="402"/>
      <c r="O9" s="402"/>
      <c r="P9" s="402"/>
      <c r="Q9" s="402"/>
      <c r="R9" s="402"/>
      <c r="S9" s="402"/>
      <c r="T9" s="402"/>
      <c r="U9" s="402"/>
      <c r="V9" s="382"/>
      <c r="W9" s="382"/>
      <c r="X9" s="382"/>
      <c r="Y9" s="382"/>
      <c r="Z9" s="382"/>
      <c r="AA9" s="382"/>
    </row>
    <row r="10" spans="1:261" ht="102.75" customHeight="1">
      <c r="A10" s="813" t="s">
        <v>11</v>
      </c>
      <c r="B10" s="813" t="s">
        <v>29</v>
      </c>
      <c r="C10" s="813" t="s">
        <v>15</v>
      </c>
      <c r="D10" s="813" t="s">
        <v>620</v>
      </c>
      <c r="E10" s="813" t="s">
        <v>8</v>
      </c>
      <c r="F10" s="814" t="s">
        <v>506</v>
      </c>
      <c r="G10" s="815" t="s">
        <v>507</v>
      </c>
      <c r="H10" s="816" t="s">
        <v>627</v>
      </c>
      <c r="I10" s="814" t="s">
        <v>625</v>
      </c>
      <c r="J10" s="814" t="s">
        <v>626</v>
      </c>
      <c r="K10" s="814" t="s">
        <v>31</v>
      </c>
      <c r="L10" s="816" t="s">
        <v>618</v>
      </c>
      <c r="M10" s="817" t="s">
        <v>106</v>
      </c>
      <c r="N10" s="404"/>
      <c r="O10" s="404">
        <f>5000000*4</f>
        <v>20000000</v>
      </c>
      <c r="P10" s="404"/>
      <c r="Q10" s="404"/>
      <c r="R10" s="404"/>
      <c r="S10" s="404"/>
      <c r="T10" s="404"/>
      <c r="U10" s="404"/>
      <c r="V10" s="405"/>
      <c r="W10" s="406"/>
      <c r="X10" s="406"/>
      <c r="Y10" s="406"/>
      <c r="Z10" s="406"/>
      <c r="AA10" s="406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242"/>
      <c r="CF10" s="242"/>
      <c r="CG10" s="242"/>
      <c r="CH10" s="242"/>
      <c r="CI10" s="242"/>
      <c r="CJ10" s="242"/>
      <c r="CK10" s="242"/>
      <c r="CL10" s="242"/>
      <c r="CM10" s="242"/>
      <c r="CN10" s="242"/>
      <c r="CO10" s="242"/>
      <c r="CP10" s="242"/>
      <c r="CQ10" s="242"/>
      <c r="CR10" s="242"/>
      <c r="CS10" s="242"/>
      <c r="CT10" s="242"/>
      <c r="CU10" s="242"/>
      <c r="CV10" s="242"/>
      <c r="CW10" s="242"/>
      <c r="CX10" s="242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242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2"/>
      <c r="DW10" s="242"/>
      <c r="DX10" s="242"/>
      <c r="DY10" s="242"/>
      <c r="DZ10" s="242"/>
      <c r="EA10" s="242"/>
      <c r="EB10" s="242"/>
      <c r="EC10" s="242"/>
      <c r="ED10" s="242"/>
      <c r="EE10" s="242"/>
      <c r="EF10" s="242"/>
      <c r="EG10" s="242"/>
      <c r="EH10" s="242"/>
      <c r="EI10" s="242"/>
      <c r="EJ10" s="242"/>
      <c r="EK10" s="242"/>
      <c r="EL10" s="242"/>
      <c r="EM10" s="242"/>
      <c r="EN10" s="242"/>
      <c r="EO10" s="242"/>
      <c r="EP10" s="242"/>
      <c r="EQ10" s="242"/>
      <c r="ER10" s="242"/>
      <c r="ES10" s="242"/>
      <c r="ET10" s="242"/>
      <c r="EU10" s="242"/>
      <c r="EV10" s="242"/>
      <c r="EW10" s="242"/>
      <c r="EX10" s="242"/>
      <c r="EY10" s="242"/>
      <c r="EZ10" s="242"/>
      <c r="FA10" s="242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2"/>
      <c r="FR10" s="242"/>
      <c r="FS10" s="242"/>
      <c r="FT10" s="242"/>
      <c r="FU10" s="242"/>
      <c r="FV10" s="242"/>
      <c r="FW10" s="242"/>
      <c r="FX10" s="242"/>
      <c r="FY10" s="242"/>
      <c r="FZ10" s="242"/>
      <c r="GA10" s="242"/>
      <c r="GB10" s="242"/>
      <c r="GC10" s="242"/>
      <c r="GD10" s="242"/>
      <c r="GE10" s="242"/>
      <c r="GF10" s="242"/>
      <c r="GG10" s="242"/>
      <c r="GH10" s="242"/>
      <c r="GI10" s="242"/>
      <c r="GJ10" s="242"/>
      <c r="GK10" s="242"/>
      <c r="GL10" s="242"/>
      <c r="GM10" s="242"/>
      <c r="GN10" s="242"/>
      <c r="GO10" s="242"/>
      <c r="GP10" s="242"/>
      <c r="GQ10" s="242"/>
      <c r="GR10" s="242"/>
      <c r="GS10" s="242"/>
      <c r="GT10" s="242"/>
      <c r="GU10" s="242"/>
      <c r="GV10" s="242"/>
      <c r="GW10" s="242"/>
      <c r="GX10" s="242"/>
      <c r="GY10" s="242"/>
      <c r="GZ10" s="242"/>
      <c r="HA10" s="242"/>
      <c r="HB10" s="242"/>
      <c r="HC10" s="242"/>
      <c r="HD10" s="242"/>
      <c r="HE10" s="242"/>
      <c r="HF10" s="242"/>
      <c r="HG10" s="242"/>
      <c r="HH10" s="242"/>
      <c r="HI10" s="242"/>
      <c r="HJ10" s="242"/>
      <c r="HK10" s="242"/>
      <c r="HL10" s="242"/>
      <c r="HM10" s="242"/>
      <c r="HN10" s="242"/>
      <c r="HO10" s="242"/>
      <c r="HP10" s="242"/>
      <c r="HQ10" s="242"/>
      <c r="HR10" s="242"/>
      <c r="HS10" s="242"/>
      <c r="HT10" s="242"/>
      <c r="HU10" s="242"/>
      <c r="HV10" s="242"/>
      <c r="HW10" s="242"/>
      <c r="HX10" s="242"/>
      <c r="HY10" s="242"/>
      <c r="HZ10" s="242"/>
      <c r="IA10" s="242"/>
      <c r="IB10" s="242"/>
      <c r="IC10" s="242"/>
      <c r="ID10" s="242"/>
      <c r="IE10" s="242"/>
      <c r="IF10" s="242"/>
      <c r="IG10" s="242"/>
      <c r="IH10" s="242"/>
      <c r="II10" s="242"/>
      <c r="IJ10" s="242"/>
      <c r="IK10" s="242"/>
      <c r="IL10" s="242"/>
      <c r="IM10" s="242"/>
      <c r="IN10" s="242"/>
      <c r="IO10" s="242"/>
      <c r="IP10" s="242"/>
      <c r="IQ10" s="242"/>
      <c r="IR10" s="242"/>
      <c r="IS10" s="242"/>
      <c r="IT10" s="242"/>
      <c r="IU10" s="242"/>
      <c r="IV10" s="242"/>
      <c r="IW10" s="242"/>
      <c r="IX10" s="242"/>
      <c r="IY10" s="242"/>
      <c r="IZ10" s="242"/>
      <c r="JA10" s="242"/>
    </row>
    <row r="11" spans="1:261" ht="39" customHeight="1">
      <c r="A11" s="1087"/>
      <c r="B11" s="1088"/>
      <c r="C11" s="1089"/>
      <c r="D11" s="813"/>
      <c r="E11" s="813"/>
      <c r="F11" s="818" t="s">
        <v>494</v>
      </c>
      <c r="G11" s="818" t="s">
        <v>495</v>
      </c>
      <c r="H11" s="818" t="s">
        <v>639</v>
      </c>
      <c r="I11" s="818" t="s">
        <v>497</v>
      </c>
      <c r="J11" s="818" t="s">
        <v>498</v>
      </c>
      <c r="K11" s="818" t="s">
        <v>499</v>
      </c>
      <c r="L11" s="1225" t="s">
        <v>884</v>
      </c>
      <c r="M11" s="817"/>
      <c r="N11" s="404"/>
      <c r="O11" s="404"/>
      <c r="P11" s="404"/>
      <c r="Q11" s="404"/>
      <c r="R11" s="404"/>
      <c r="S11" s="404"/>
      <c r="T11" s="404"/>
      <c r="U11" s="404"/>
      <c r="V11" s="405"/>
      <c r="W11" s="406"/>
      <c r="X11" s="406"/>
      <c r="Y11" s="406"/>
      <c r="Z11" s="406"/>
      <c r="AA11" s="406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  <c r="BX11" s="242"/>
      <c r="BY11" s="242"/>
      <c r="BZ11" s="242"/>
      <c r="CA11" s="242"/>
      <c r="CB11" s="242"/>
      <c r="CC11" s="242"/>
      <c r="CD11" s="242"/>
      <c r="CE11" s="242"/>
      <c r="CF11" s="242"/>
      <c r="CG11" s="242"/>
      <c r="CH11" s="242"/>
      <c r="CI11" s="242"/>
      <c r="CJ11" s="242"/>
      <c r="CK11" s="242"/>
      <c r="CL11" s="242"/>
      <c r="CM11" s="242"/>
      <c r="CN11" s="242"/>
      <c r="CO11" s="242"/>
      <c r="CP11" s="242"/>
      <c r="CQ11" s="242"/>
      <c r="CR11" s="242"/>
      <c r="CS11" s="242"/>
      <c r="CT11" s="242"/>
      <c r="CU11" s="242"/>
      <c r="CV11" s="242"/>
      <c r="CW11" s="242"/>
      <c r="CX11" s="242"/>
      <c r="CY11" s="242"/>
      <c r="CZ11" s="242"/>
      <c r="DA11" s="242"/>
      <c r="DB11" s="242"/>
      <c r="DC11" s="242"/>
      <c r="DD11" s="242"/>
      <c r="DE11" s="242"/>
      <c r="DF11" s="242"/>
      <c r="DG11" s="242"/>
      <c r="DH11" s="242"/>
      <c r="DI11" s="242"/>
      <c r="DJ11" s="242"/>
      <c r="DK11" s="242"/>
      <c r="DL11" s="242"/>
      <c r="DM11" s="242"/>
      <c r="DN11" s="242"/>
      <c r="DO11" s="242"/>
      <c r="DP11" s="242"/>
      <c r="DQ11" s="242"/>
      <c r="DR11" s="242"/>
      <c r="DS11" s="242"/>
      <c r="DT11" s="242"/>
      <c r="DU11" s="242"/>
      <c r="DV11" s="242"/>
      <c r="DW11" s="242"/>
      <c r="DX11" s="242"/>
      <c r="DY11" s="242"/>
      <c r="DZ11" s="242"/>
      <c r="EA11" s="242"/>
      <c r="EB11" s="242"/>
      <c r="EC11" s="242"/>
      <c r="ED11" s="242"/>
      <c r="EE11" s="242"/>
      <c r="EF11" s="242"/>
      <c r="EG11" s="242"/>
      <c r="EH11" s="242"/>
      <c r="EI11" s="242"/>
      <c r="EJ11" s="242"/>
      <c r="EK11" s="242"/>
      <c r="EL11" s="242"/>
      <c r="EM11" s="242"/>
      <c r="EN11" s="242"/>
      <c r="EO11" s="242"/>
      <c r="EP11" s="242"/>
      <c r="EQ11" s="242"/>
      <c r="ER11" s="242"/>
      <c r="ES11" s="242"/>
      <c r="ET11" s="242"/>
      <c r="EU11" s="242"/>
      <c r="EV11" s="242"/>
      <c r="EW11" s="242"/>
      <c r="EX11" s="242"/>
      <c r="EY11" s="242"/>
      <c r="EZ11" s="242"/>
      <c r="FA11" s="242"/>
      <c r="FB11" s="242"/>
      <c r="FC11" s="242"/>
      <c r="FD11" s="242"/>
      <c r="FE11" s="242"/>
      <c r="FF11" s="242"/>
      <c r="FG11" s="242"/>
      <c r="FH11" s="242"/>
      <c r="FI11" s="242"/>
      <c r="FJ11" s="242"/>
      <c r="FK11" s="242"/>
      <c r="FL11" s="242"/>
      <c r="FM11" s="242"/>
      <c r="FN11" s="242"/>
      <c r="FO11" s="242"/>
      <c r="FP11" s="242"/>
      <c r="FQ11" s="242"/>
      <c r="FR11" s="242"/>
      <c r="FS11" s="242"/>
      <c r="FT11" s="242"/>
      <c r="FU11" s="242"/>
      <c r="FV11" s="242"/>
      <c r="FW11" s="242"/>
      <c r="FX11" s="242"/>
      <c r="FY11" s="242"/>
      <c r="FZ11" s="242"/>
      <c r="GA11" s="242"/>
      <c r="GB11" s="242"/>
      <c r="GC11" s="242"/>
      <c r="GD11" s="242"/>
      <c r="GE11" s="242"/>
      <c r="GF11" s="242"/>
      <c r="GG11" s="242"/>
      <c r="GH11" s="242"/>
      <c r="GI11" s="242"/>
      <c r="GJ11" s="242"/>
      <c r="GK11" s="242"/>
      <c r="GL11" s="242"/>
      <c r="GM11" s="242"/>
      <c r="GN11" s="242"/>
      <c r="GO11" s="242"/>
      <c r="GP11" s="242"/>
      <c r="GQ11" s="242"/>
      <c r="GR11" s="242"/>
      <c r="GS11" s="242"/>
      <c r="GT11" s="242"/>
      <c r="GU11" s="242"/>
      <c r="GV11" s="242"/>
      <c r="GW11" s="242"/>
      <c r="GX11" s="242"/>
      <c r="GY11" s="242"/>
      <c r="GZ11" s="242"/>
      <c r="HA11" s="242"/>
      <c r="HB11" s="242"/>
      <c r="HC11" s="242"/>
      <c r="HD11" s="242"/>
      <c r="HE11" s="242"/>
      <c r="HF11" s="242"/>
      <c r="HG11" s="242"/>
      <c r="HH11" s="242"/>
      <c r="HI11" s="242"/>
      <c r="HJ11" s="242"/>
      <c r="HK11" s="242"/>
      <c r="HL11" s="242"/>
      <c r="HM11" s="242"/>
      <c r="HN11" s="242"/>
      <c r="HO11" s="242"/>
      <c r="HP11" s="242"/>
      <c r="HQ11" s="242"/>
      <c r="HR11" s="242"/>
      <c r="HS11" s="242"/>
      <c r="HT11" s="242"/>
      <c r="HU11" s="242"/>
      <c r="HV11" s="242"/>
      <c r="HW11" s="242"/>
      <c r="HX11" s="242"/>
      <c r="HY11" s="242"/>
      <c r="HZ11" s="242"/>
      <c r="IA11" s="242"/>
      <c r="IB11" s="242"/>
      <c r="IC11" s="242"/>
      <c r="ID11" s="242"/>
      <c r="IE11" s="242"/>
      <c r="IF11" s="242"/>
      <c r="IG11" s="242"/>
      <c r="IH11" s="242"/>
      <c r="II11" s="242"/>
      <c r="IJ11" s="242"/>
      <c r="IK11" s="242"/>
      <c r="IL11" s="242"/>
      <c r="IM11" s="242"/>
      <c r="IN11" s="242"/>
      <c r="IO11" s="242"/>
      <c r="IP11" s="242"/>
      <c r="IQ11" s="242"/>
      <c r="IR11" s="242"/>
      <c r="IS11" s="242"/>
      <c r="IT11" s="242"/>
      <c r="IU11" s="242"/>
      <c r="IV11" s="242"/>
      <c r="IW11" s="242"/>
      <c r="IX11" s="242"/>
      <c r="IY11" s="242"/>
      <c r="IZ11" s="242"/>
      <c r="JA11" s="242"/>
    </row>
    <row r="12" spans="1:261" ht="22.5" customHeight="1">
      <c r="A12" s="2152" t="s">
        <v>206</v>
      </c>
      <c r="B12" s="2153"/>
      <c r="C12" s="2154"/>
      <c r="D12" s="813"/>
      <c r="E12" s="813"/>
      <c r="F12" s="1209">
        <f>SUM(F13:F16)</f>
        <v>160</v>
      </c>
      <c r="G12" s="1224">
        <f t="shared" ref="G12" si="0">SUM(G13:G16)</f>
        <v>159.50570699999997</v>
      </c>
      <c r="H12" s="1237">
        <f>G12/F12*100%</f>
        <v>0.99691066874999978</v>
      </c>
      <c r="I12" s="1210"/>
      <c r="J12" s="1223">
        <f t="shared" ref="J12" si="1">SUM(J13:J16)</f>
        <v>997.48320458333308</v>
      </c>
      <c r="K12" s="1209">
        <f t="shared" ref="K12" si="2">SUM(K13:K16)</f>
        <v>200</v>
      </c>
      <c r="L12" s="1223">
        <f>SUM(L13:L16)</f>
        <v>2577.4832045833327</v>
      </c>
      <c r="M12" s="817"/>
      <c r="N12" s="404"/>
      <c r="O12" s="404"/>
      <c r="P12" s="404"/>
      <c r="Q12" s="404"/>
      <c r="R12" s="404"/>
      <c r="S12" s="404"/>
      <c r="T12" s="404"/>
      <c r="U12" s="404"/>
      <c r="V12" s="405"/>
      <c r="W12" s="406"/>
      <c r="X12" s="406"/>
      <c r="Y12" s="406"/>
      <c r="Z12" s="406"/>
      <c r="AA12" s="406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2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2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  <c r="HU12" s="242"/>
      <c r="HV12" s="242"/>
      <c r="HW12" s="242"/>
      <c r="HX12" s="242"/>
      <c r="HY12" s="242"/>
      <c r="HZ12" s="242"/>
      <c r="IA12" s="242"/>
      <c r="IB12" s="242"/>
      <c r="IC12" s="242"/>
      <c r="ID12" s="242"/>
      <c r="IE12" s="242"/>
      <c r="IF12" s="242"/>
      <c r="IG12" s="242"/>
      <c r="IH12" s="242"/>
      <c r="II12" s="242"/>
      <c r="IJ12" s="242"/>
      <c r="IK12" s="242"/>
      <c r="IL12" s="242"/>
      <c r="IM12" s="242"/>
      <c r="IN12" s="242"/>
      <c r="IO12" s="242"/>
      <c r="IP12" s="242"/>
      <c r="IQ12" s="242"/>
      <c r="IR12" s="242"/>
      <c r="IS12" s="242"/>
      <c r="IT12" s="242"/>
      <c r="IU12" s="242"/>
      <c r="IV12" s="242"/>
      <c r="IW12" s="242"/>
      <c r="IX12" s="242"/>
      <c r="IY12" s="242"/>
      <c r="IZ12" s="242"/>
      <c r="JA12" s="242"/>
    </row>
    <row r="13" spans="1:261" ht="22.5" customHeight="1">
      <c r="A13" s="819">
        <v>1</v>
      </c>
      <c r="B13" s="820" t="s">
        <v>188</v>
      </c>
      <c r="C13" s="820" t="s">
        <v>334</v>
      </c>
      <c r="D13" s="821" t="s">
        <v>219</v>
      </c>
      <c r="E13" s="821" t="s">
        <v>308</v>
      </c>
      <c r="F13" s="822">
        <v>45</v>
      </c>
      <c r="G13" s="1044">
        <f>'[4]CNKT Đ1'!J100/1000</f>
        <v>45.769694999999963</v>
      </c>
      <c r="H13" s="934">
        <f>G13/F13*100%</f>
        <v>1.0171043333333325</v>
      </c>
      <c r="I13" s="821">
        <v>360</v>
      </c>
      <c r="J13" s="932">
        <f>250*H13</f>
        <v>254.27608333333313</v>
      </c>
      <c r="K13" s="1806">
        <v>50</v>
      </c>
      <c r="L13" s="933">
        <f>I13+J13+K13</f>
        <v>664.27608333333319</v>
      </c>
      <c r="M13" s="823"/>
      <c r="N13" s="587" t="e">
        <f>#REF!/#REF!</f>
        <v>#REF!</v>
      </c>
      <c r="O13" s="588" t="e">
        <f>J13*N13</f>
        <v>#REF!</v>
      </c>
      <c r="P13" s="586" t="e">
        <f>I13+O13</f>
        <v>#REF!</v>
      </c>
      <c r="Q13" s="382"/>
      <c r="R13" s="382"/>
      <c r="S13" s="382"/>
      <c r="T13" s="383"/>
      <c r="U13" s="382"/>
      <c r="V13" s="382"/>
      <c r="W13" s="382"/>
      <c r="X13" s="382"/>
      <c r="Y13" s="382"/>
      <c r="Z13" s="382"/>
      <c r="AA13" s="382"/>
    </row>
    <row r="14" spans="1:261" ht="22.5" customHeight="1">
      <c r="A14" s="819">
        <v>2</v>
      </c>
      <c r="B14" s="821" t="s">
        <v>630</v>
      </c>
      <c r="C14" s="820" t="s">
        <v>334</v>
      </c>
      <c r="D14" s="821" t="s">
        <v>175</v>
      </c>
      <c r="E14" s="821" t="s">
        <v>308</v>
      </c>
      <c r="F14" s="822">
        <v>50</v>
      </c>
      <c r="G14" s="1044">
        <f>'[4]CNKT Đ2'!J105/1000</f>
        <v>51.381409000000012</v>
      </c>
      <c r="H14" s="934">
        <f>G14/F14*100%</f>
        <v>1.0276281800000002</v>
      </c>
      <c r="I14" s="821">
        <v>300</v>
      </c>
      <c r="J14" s="932">
        <f>250*H14</f>
        <v>256.90704500000004</v>
      </c>
      <c r="K14" s="1806">
        <v>50</v>
      </c>
      <c r="L14" s="933">
        <f>I14+J14+K14</f>
        <v>606.90704500000004</v>
      </c>
      <c r="M14" s="823"/>
      <c r="N14" s="587"/>
      <c r="O14" s="588">
        <f>J14*N14</f>
        <v>0</v>
      </c>
      <c r="P14" s="586">
        <f>I14+O14</f>
        <v>300</v>
      </c>
      <c r="Q14" s="382"/>
      <c r="R14" s="382"/>
      <c r="S14" s="382"/>
      <c r="T14" s="383"/>
      <c r="U14" s="382"/>
      <c r="V14" s="382"/>
      <c r="W14" s="382"/>
      <c r="X14" s="382"/>
      <c r="Y14" s="382"/>
      <c r="Z14" s="382"/>
      <c r="AA14" s="382"/>
    </row>
    <row r="15" spans="1:261" ht="22.5" customHeight="1">
      <c r="A15" s="819">
        <v>2</v>
      </c>
      <c r="B15" s="820" t="s">
        <v>78</v>
      </c>
      <c r="C15" s="820" t="s">
        <v>334</v>
      </c>
      <c r="D15" s="821" t="s">
        <v>220</v>
      </c>
      <c r="E15" s="821" t="s">
        <v>308</v>
      </c>
      <c r="F15" s="822">
        <v>40</v>
      </c>
      <c r="G15" s="1044">
        <f>'[4]CNKT Đ3'!J82/1000</f>
        <v>36.598920999999983</v>
      </c>
      <c r="H15" s="934">
        <f t="shared" ref="H15" si="3">G15/F15*100%</f>
        <v>0.91497302499999955</v>
      </c>
      <c r="I15" s="821">
        <v>360</v>
      </c>
      <c r="J15" s="932">
        <f>250*H15</f>
        <v>228.74325624999989</v>
      </c>
      <c r="K15" s="1806">
        <v>50</v>
      </c>
      <c r="L15" s="933">
        <f t="shared" ref="L15" si="4">I15+J15+K15</f>
        <v>638.74325624999983</v>
      </c>
      <c r="M15" s="823"/>
      <c r="N15" s="587" t="e">
        <f>#REF!/#REF!</f>
        <v>#REF!</v>
      </c>
      <c r="O15" s="588" t="e">
        <f>J15*N15</f>
        <v>#REF!</v>
      </c>
      <c r="P15" s="586" t="e">
        <f>I15+O15</f>
        <v>#REF!</v>
      </c>
      <c r="Q15" s="382"/>
      <c r="R15" s="382"/>
      <c r="S15" s="382"/>
      <c r="T15" s="383"/>
      <c r="U15" s="382"/>
      <c r="V15" s="382"/>
      <c r="W15" s="382"/>
      <c r="X15" s="382"/>
      <c r="Y15" s="382"/>
      <c r="Z15" s="382"/>
      <c r="AA15" s="382"/>
    </row>
    <row r="16" spans="1:261" ht="22.5" customHeight="1">
      <c r="A16" s="819">
        <v>3</v>
      </c>
      <c r="B16" s="820" t="s">
        <v>183</v>
      </c>
      <c r="C16" s="820" t="s">
        <v>334</v>
      </c>
      <c r="D16" s="821" t="s">
        <v>176</v>
      </c>
      <c r="E16" s="821" t="s">
        <v>308</v>
      </c>
      <c r="F16" s="822">
        <v>25</v>
      </c>
      <c r="G16" s="1044">
        <f>'[4]CNKTĐ4 '!J85/1000</f>
        <v>25.755682</v>
      </c>
      <c r="H16" s="934">
        <f>G16/F16*100%</f>
        <v>1.0302272800000001</v>
      </c>
      <c r="I16" s="821">
        <v>360</v>
      </c>
      <c r="J16" s="932">
        <f>250*H16</f>
        <v>257.55682000000002</v>
      </c>
      <c r="K16" s="1806">
        <v>50</v>
      </c>
      <c r="L16" s="933">
        <f>I16+J16+K16</f>
        <v>667.55682000000002</v>
      </c>
      <c r="M16" s="823"/>
      <c r="N16" s="587" t="e">
        <f>#REF!/#REF!</f>
        <v>#REF!</v>
      </c>
      <c r="O16" s="588" t="e">
        <f>J16*N16</f>
        <v>#REF!</v>
      </c>
      <c r="P16" s="586" t="e">
        <f>I16+O16</f>
        <v>#REF!</v>
      </c>
      <c r="Q16" s="382"/>
      <c r="R16" s="382"/>
      <c r="S16" s="382"/>
      <c r="T16" s="383"/>
      <c r="U16" s="382"/>
      <c r="V16" s="382"/>
      <c r="W16" s="382"/>
      <c r="X16" s="382"/>
      <c r="Y16" s="382"/>
      <c r="Z16" s="382"/>
      <c r="AA16" s="382"/>
    </row>
    <row r="17" spans="1:261" ht="28.5" customHeight="1">
      <c r="A17" s="2152" t="s">
        <v>619</v>
      </c>
      <c r="B17" s="2153"/>
      <c r="C17" s="2154"/>
      <c r="D17" s="821"/>
      <c r="E17" s="821"/>
      <c r="F17" s="1209">
        <f>SUM(F18:F21)</f>
        <v>160</v>
      </c>
      <c r="G17" s="1224">
        <f t="shared" ref="G17" si="5">SUM(G18:G21)</f>
        <v>159.50570699999997</v>
      </c>
      <c r="H17" s="1237">
        <f>G17/F17*100%</f>
        <v>0.99691066874999978</v>
      </c>
      <c r="I17" s="1210"/>
      <c r="J17" s="1209">
        <f t="shared" ref="J17" si="6">SUM(J18:J21)</f>
        <v>7979866</v>
      </c>
      <c r="K17" s="1209"/>
      <c r="L17" s="1209">
        <f t="shared" ref="L17" si="7">SUM(L18:L21)</f>
        <v>19979866</v>
      </c>
      <c r="M17" s="823"/>
      <c r="N17" s="386"/>
      <c r="O17" s="382"/>
      <c r="P17" s="382"/>
      <c r="Q17" s="382"/>
      <c r="R17" s="382"/>
      <c r="S17" s="382"/>
      <c r="T17" s="383"/>
      <c r="U17" s="382"/>
      <c r="V17" s="382"/>
      <c r="W17" s="382"/>
      <c r="X17" s="382"/>
      <c r="Y17" s="382"/>
      <c r="Z17" s="382"/>
      <c r="AA17" s="382"/>
    </row>
    <row r="18" spans="1:261" ht="26.25" customHeight="1">
      <c r="A18" s="819">
        <v>1</v>
      </c>
      <c r="B18" s="821" t="s">
        <v>9</v>
      </c>
      <c r="C18" s="821" t="s">
        <v>406</v>
      </c>
      <c r="D18" s="821" t="s">
        <v>219</v>
      </c>
      <c r="E18" s="821" t="s">
        <v>168</v>
      </c>
      <c r="F18" s="822">
        <f>F13</f>
        <v>45</v>
      </c>
      <c r="G18" s="1044">
        <f>G13</f>
        <v>45.769694999999963</v>
      </c>
      <c r="H18" s="934">
        <f>G18/F18*100%</f>
        <v>1.0171043333333325</v>
      </c>
      <c r="I18" s="824">
        <v>3000000</v>
      </c>
      <c r="J18" s="825">
        <f>ROUND((2000000*H18),0)</f>
        <v>2034209</v>
      </c>
      <c r="K18" s="825"/>
      <c r="L18" s="823">
        <f>ROUND((I18+J18),0)</f>
        <v>5034209</v>
      </c>
      <c r="M18" s="823"/>
      <c r="N18" s="587" t="e">
        <f>#REF!/#REF!</f>
        <v>#REF!</v>
      </c>
      <c r="O18" s="589" t="e">
        <f>J18*N18</f>
        <v>#REF!</v>
      </c>
      <c r="P18" s="590" t="e">
        <f>I18+O18</f>
        <v>#REF!</v>
      </c>
      <c r="Q18" s="382"/>
      <c r="R18" s="382"/>
      <c r="S18" s="382"/>
      <c r="T18" s="383"/>
      <c r="U18" s="382"/>
      <c r="V18" s="382"/>
      <c r="W18" s="382"/>
      <c r="X18" s="382"/>
      <c r="Y18" s="382"/>
      <c r="Z18" s="382"/>
      <c r="AA18" s="382"/>
    </row>
    <row r="19" spans="1:261" ht="26.25" customHeight="1">
      <c r="A19" s="819">
        <v>2</v>
      </c>
      <c r="B19" s="819" t="s">
        <v>292</v>
      </c>
      <c r="C19" s="821" t="s">
        <v>406</v>
      </c>
      <c r="D19" s="821" t="s">
        <v>175</v>
      </c>
      <c r="E19" s="821" t="s">
        <v>168</v>
      </c>
      <c r="F19" s="822">
        <f>F14</f>
        <v>50</v>
      </c>
      <c r="G19" s="1044">
        <f t="shared" ref="G19:G21" si="8">G14</f>
        <v>51.381409000000012</v>
      </c>
      <c r="H19" s="934">
        <f>G19/F19*100%</f>
        <v>1.0276281800000002</v>
      </c>
      <c r="I19" s="824">
        <v>3000000</v>
      </c>
      <c r="J19" s="825">
        <f>ROUND((2000000*H19),0)</f>
        <v>2055256</v>
      </c>
      <c r="K19" s="825"/>
      <c r="L19" s="823">
        <f>ROUND((I19+J19),0)</f>
        <v>5055256</v>
      </c>
      <c r="M19" s="823"/>
      <c r="N19" s="587"/>
      <c r="O19" s="589"/>
      <c r="P19" s="590"/>
      <c r="Q19" s="382"/>
      <c r="R19" s="382"/>
      <c r="S19" s="382"/>
      <c r="T19" s="383"/>
      <c r="U19" s="382"/>
      <c r="V19" s="382"/>
      <c r="W19" s="382"/>
      <c r="X19" s="382"/>
      <c r="Y19" s="382"/>
      <c r="Z19" s="382"/>
      <c r="AA19" s="382"/>
    </row>
    <row r="20" spans="1:261" ht="26.25" customHeight="1">
      <c r="A20" s="819">
        <v>3</v>
      </c>
      <c r="B20" s="820" t="s">
        <v>277</v>
      </c>
      <c r="C20" s="821" t="s">
        <v>406</v>
      </c>
      <c r="D20" s="821" t="s">
        <v>220</v>
      </c>
      <c r="E20" s="821" t="s">
        <v>168</v>
      </c>
      <c r="F20" s="822">
        <f>F15</f>
        <v>40</v>
      </c>
      <c r="G20" s="1044">
        <f t="shared" si="8"/>
        <v>36.598920999999983</v>
      </c>
      <c r="H20" s="934">
        <f>G20/F20*100%</f>
        <v>0.91497302499999955</v>
      </c>
      <c r="I20" s="824">
        <v>3000000</v>
      </c>
      <c r="J20" s="825">
        <f>ROUND((2000000*H20),0)</f>
        <v>1829946</v>
      </c>
      <c r="K20" s="825"/>
      <c r="L20" s="823">
        <f t="shared" ref="L20:L21" si="9">ROUND((I20+J20),0)</f>
        <v>4829946</v>
      </c>
      <c r="M20" s="825"/>
      <c r="N20" s="587" t="e">
        <f>#REF!/#REF!</f>
        <v>#REF!</v>
      </c>
      <c r="O20" s="589" t="e">
        <f>J20*N20</f>
        <v>#REF!</v>
      </c>
      <c r="P20" s="590" t="e">
        <f>I20+O20</f>
        <v>#REF!</v>
      </c>
      <c r="Q20" s="401"/>
      <c r="R20" s="401"/>
      <c r="S20" s="401"/>
      <c r="T20" s="401"/>
      <c r="U20" s="401"/>
      <c r="V20" s="410"/>
      <c r="W20" s="410"/>
      <c r="X20" s="410"/>
      <c r="Y20" s="410"/>
      <c r="Z20" s="410"/>
      <c r="AA20" s="410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5"/>
      <c r="CS20" s="225"/>
      <c r="CT20" s="225"/>
      <c r="CU20" s="225"/>
      <c r="CV20" s="225"/>
      <c r="CW20" s="225"/>
      <c r="CX20" s="225"/>
      <c r="CY20" s="225"/>
      <c r="CZ20" s="225"/>
      <c r="DA20" s="225"/>
      <c r="DB20" s="225"/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5"/>
      <c r="DP20" s="225"/>
      <c r="DQ20" s="225"/>
      <c r="DR20" s="225"/>
      <c r="DS20" s="225"/>
      <c r="DT20" s="225"/>
      <c r="DU20" s="225"/>
      <c r="DV20" s="225"/>
      <c r="DW20" s="225"/>
      <c r="DX20" s="225"/>
      <c r="DY20" s="225"/>
      <c r="DZ20" s="225"/>
      <c r="EA20" s="225"/>
      <c r="EB20" s="225"/>
      <c r="EC20" s="225"/>
      <c r="ED20" s="225"/>
      <c r="EE20" s="225"/>
      <c r="EF20" s="225"/>
      <c r="EG20" s="225"/>
      <c r="EH20" s="225"/>
      <c r="EI20" s="225"/>
      <c r="EJ20" s="225"/>
      <c r="EK20" s="225"/>
      <c r="EL20" s="225"/>
      <c r="EM20" s="225"/>
      <c r="EN20" s="225"/>
      <c r="EO20" s="225"/>
      <c r="EP20" s="225"/>
      <c r="EQ20" s="225"/>
      <c r="ER20" s="225"/>
      <c r="ES20" s="225"/>
      <c r="ET20" s="225"/>
      <c r="EU20" s="225"/>
      <c r="EV20" s="225"/>
      <c r="EW20" s="225"/>
      <c r="EX20" s="225"/>
      <c r="EY20" s="225"/>
      <c r="EZ20" s="225"/>
      <c r="FA20" s="225"/>
      <c r="FB20" s="225"/>
      <c r="FC20" s="225"/>
      <c r="FD20" s="225"/>
      <c r="FE20" s="225"/>
      <c r="FF20" s="225"/>
      <c r="FG20" s="225"/>
      <c r="FH20" s="225"/>
      <c r="FI20" s="225"/>
      <c r="FJ20" s="225"/>
      <c r="FK20" s="225"/>
      <c r="FL20" s="225"/>
      <c r="FM20" s="225"/>
      <c r="FN20" s="225"/>
      <c r="FO20" s="225"/>
      <c r="FP20" s="225"/>
      <c r="FQ20" s="225"/>
      <c r="FR20" s="225"/>
      <c r="FS20" s="225"/>
      <c r="FT20" s="225"/>
      <c r="FU20" s="225"/>
      <c r="FV20" s="225"/>
      <c r="FW20" s="225"/>
      <c r="FX20" s="225"/>
      <c r="FY20" s="225"/>
      <c r="FZ20" s="225"/>
      <c r="GA20" s="225"/>
      <c r="GB20" s="225"/>
      <c r="GC20" s="225"/>
      <c r="GD20" s="225"/>
      <c r="GE20" s="225"/>
      <c r="GF20" s="225"/>
      <c r="GG20" s="225"/>
      <c r="GH20" s="225"/>
      <c r="GI20" s="225"/>
      <c r="GJ20" s="225"/>
      <c r="GK20" s="225"/>
      <c r="GL20" s="225"/>
      <c r="GM20" s="225"/>
      <c r="GN20" s="225"/>
      <c r="GO20" s="225"/>
      <c r="GP20" s="225"/>
      <c r="GQ20" s="225"/>
      <c r="GR20" s="225"/>
      <c r="GS20" s="225"/>
      <c r="GT20" s="225"/>
      <c r="GU20" s="225"/>
      <c r="GV20" s="225"/>
      <c r="GW20" s="225"/>
      <c r="GX20" s="225"/>
      <c r="GY20" s="225"/>
      <c r="GZ20" s="225"/>
      <c r="HA20" s="225"/>
      <c r="HB20" s="225"/>
      <c r="HC20" s="225"/>
      <c r="HD20" s="225"/>
      <c r="HE20" s="225"/>
      <c r="HF20" s="225"/>
      <c r="HG20" s="225"/>
      <c r="HH20" s="225"/>
      <c r="HI20" s="225"/>
      <c r="HJ20" s="225"/>
      <c r="HK20" s="225"/>
      <c r="HL20" s="225"/>
      <c r="HM20" s="225"/>
      <c r="HN20" s="225"/>
      <c r="HO20" s="225"/>
      <c r="HP20" s="225"/>
      <c r="HQ20" s="225"/>
      <c r="HR20" s="225"/>
      <c r="HS20" s="225"/>
      <c r="HT20" s="225"/>
      <c r="HU20" s="225"/>
      <c r="HV20" s="225"/>
      <c r="HW20" s="225"/>
      <c r="HX20" s="225"/>
      <c r="HY20" s="225"/>
      <c r="HZ20" s="225"/>
      <c r="IA20" s="225"/>
      <c r="IB20" s="225"/>
      <c r="IC20" s="225"/>
      <c r="ID20" s="225"/>
      <c r="IE20" s="225"/>
      <c r="IF20" s="225"/>
      <c r="IG20" s="225"/>
      <c r="IH20" s="225"/>
      <c r="II20" s="225"/>
      <c r="IJ20" s="225"/>
      <c r="IK20" s="225"/>
      <c r="IL20" s="225"/>
      <c r="IM20" s="225"/>
      <c r="IN20" s="225"/>
      <c r="IO20" s="225"/>
      <c r="IP20" s="225"/>
      <c r="IQ20" s="225"/>
      <c r="IR20" s="225"/>
      <c r="IS20" s="225"/>
      <c r="IT20" s="225"/>
      <c r="IU20" s="225"/>
      <c r="IV20" s="225"/>
      <c r="IW20" s="225"/>
      <c r="IX20" s="225"/>
      <c r="IY20" s="225"/>
      <c r="IZ20" s="225"/>
      <c r="JA20" s="225"/>
    </row>
    <row r="21" spans="1:261" ht="26.25" customHeight="1">
      <c r="A21" s="819">
        <v>4</v>
      </c>
      <c r="B21" s="820" t="s">
        <v>278</v>
      </c>
      <c r="C21" s="820" t="s">
        <v>406</v>
      </c>
      <c r="D21" s="821" t="s">
        <v>176</v>
      </c>
      <c r="E21" s="821" t="s">
        <v>168</v>
      </c>
      <c r="F21" s="822">
        <f>F16</f>
        <v>25</v>
      </c>
      <c r="G21" s="1044">
        <f t="shared" si="8"/>
        <v>25.755682</v>
      </c>
      <c r="H21" s="934">
        <f t="shared" ref="H21" si="10">G21/F21*100%</f>
        <v>1.0302272800000001</v>
      </c>
      <c r="I21" s="824">
        <v>3000000</v>
      </c>
      <c r="J21" s="825">
        <f>ROUND((2000000*H21),0)</f>
        <v>2060455</v>
      </c>
      <c r="K21" s="825"/>
      <c r="L21" s="823">
        <f t="shared" si="9"/>
        <v>5060455</v>
      </c>
      <c r="M21" s="825"/>
      <c r="N21" s="587" t="e">
        <f>#REF!/#REF!</f>
        <v>#REF!</v>
      </c>
      <c r="O21" s="589" t="e">
        <f>J21*N21</f>
        <v>#REF!</v>
      </c>
      <c r="P21" s="590" t="e">
        <f>I21+O21</f>
        <v>#REF!</v>
      </c>
      <c r="Q21" s="390"/>
      <c r="R21" s="390"/>
      <c r="S21" s="390"/>
      <c r="T21" s="411"/>
      <c r="U21" s="390"/>
      <c r="V21" s="390"/>
      <c r="W21" s="390">
        <v>31</v>
      </c>
      <c r="X21" s="390"/>
      <c r="Y21" s="390"/>
      <c r="Z21" s="390"/>
      <c r="AA21" s="390"/>
      <c r="AB21" s="223"/>
      <c r="AC21" s="223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223"/>
      <c r="BS21" s="223"/>
      <c r="BT21" s="223"/>
      <c r="BU21" s="223"/>
      <c r="BV21" s="223"/>
      <c r="BW21" s="223"/>
      <c r="BX21" s="223"/>
      <c r="BY21" s="223"/>
      <c r="BZ21" s="223"/>
      <c r="CA21" s="223"/>
      <c r="CB21" s="223"/>
      <c r="CC21" s="223"/>
      <c r="CD21" s="223"/>
      <c r="CE21" s="223"/>
      <c r="CF21" s="223"/>
      <c r="CG21" s="223"/>
      <c r="CH21" s="223"/>
      <c r="CI21" s="223"/>
      <c r="CJ21" s="223"/>
      <c r="CK21" s="223"/>
      <c r="CL21" s="223"/>
      <c r="CM21" s="223"/>
      <c r="CN21" s="223"/>
      <c r="CO21" s="223"/>
      <c r="CP21" s="223"/>
      <c r="CQ21" s="223"/>
      <c r="CR21" s="223"/>
      <c r="CS21" s="223"/>
      <c r="CT21" s="223"/>
      <c r="CU21" s="223"/>
      <c r="CV21" s="223"/>
      <c r="CW21" s="223"/>
      <c r="CX21" s="223"/>
      <c r="CY21" s="223"/>
      <c r="CZ21" s="223"/>
      <c r="DA21" s="223"/>
      <c r="DB21" s="223"/>
      <c r="DC21" s="223"/>
      <c r="DD21" s="223"/>
      <c r="DE21" s="223"/>
      <c r="DF21" s="223"/>
      <c r="DG21" s="223"/>
      <c r="DH21" s="223"/>
      <c r="DI21" s="223"/>
      <c r="DJ21" s="223"/>
      <c r="DK21" s="223"/>
      <c r="DL21" s="223"/>
      <c r="DM21" s="223"/>
      <c r="DN21" s="223"/>
      <c r="DO21" s="223"/>
      <c r="DP21" s="223"/>
      <c r="DQ21" s="223"/>
      <c r="DR21" s="223"/>
      <c r="DS21" s="223"/>
      <c r="DT21" s="223"/>
      <c r="DU21" s="223"/>
      <c r="DV21" s="223"/>
      <c r="DW21" s="223"/>
      <c r="DX21" s="223"/>
      <c r="DY21" s="223"/>
      <c r="DZ21" s="223"/>
      <c r="EA21" s="223"/>
      <c r="EB21" s="223"/>
      <c r="EC21" s="223"/>
      <c r="ED21" s="223"/>
      <c r="EE21" s="223"/>
      <c r="EF21" s="223"/>
      <c r="EG21" s="223"/>
      <c r="EH21" s="223"/>
      <c r="EI21" s="223"/>
      <c r="EJ21" s="223"/>
      <c r="EK21" s="223"/>
      <c r="EL21" s="223"/>
      <c r="EM21" s="223"/>
      <c r="EN21" s="223"/>
      <c r="EO21" s="223"/>
      <c r="EP21" s="223"/>
      <c r="EQ21" s="223"/>
      <c r="ER21" s="223"/>
      <c r="ES21" s="223"/>
      <c r="ET21" s="223"/>
      <c r="EU21" s="223"/>
      <c r="EV21" s="223"/>
      <c r="EW21" s="223"/>
      <c r="EX21" s="223"/>
      <c r="EY21" s="223"/>
      <c r="EZ21" s="223"/>
      <c r="FA21" s="223"/>
      <c r="FB21" s="223"/>
      <c r="FC21" s="223"/>
      <c r="FD21" s="223"/>
      <c r="FE21" s="223"/>
      <c r="FF21" s="223"/>
      <c r="FG21" s="223"/>
      <c r="FH21" s="223"/>
      <c r="FI21" s="223"/>
      <c r="FJ21" s="223"/>
      <c r="FK21" s="223"/>
      <c r="FL21" s="223"/>
      <c r="FM21" s="223"/>
      <c r="FN21" s="223"/>
      <c r="FO21" s="223"/>
      <c r="FP21" s="223"/>
      <c r="FQ21" s="223"/>
      <c r="FR21" s="223"/>
      <c r="FS21" s="223"/>
      <c r="FT21" s="223"/>
      <c r="FU21" s="223"/>
      <c r="FV21" s="223"/>
      <c r="FW21" s="223"/>
      <c r="FX21" s="223"/>
      <c r="FY21" s="223"/>
      <c r="FZ21" s="223"/>
      <c r="GA21" s="223"/>
      <c r="GB21" s="223"/>
      <c r="GC21" s="223"/>
      <c r="GD21" s="223"/>
      <c r="GE21" s="223"/>
      <c r="GF21" s="223"/>
      <c r="GG21" s="223"/>
      <c r="GH21" s="223"/>
      <c r="GI21" s="223"/>
      <c r="GJ21" s="223"/>
      <c r="GK21" s="223"/>
      <c r="GL21" s="223"/>
      <c r="GM21" s="223"/>
      <c r="GN21" s="223"/>
      <c r="GO21" s="223"/>
      <c r="GP21" s="223"/>
      <c r="GQ21" s="223"/>
      <c r="GR21" s="223"/>
      <c r="GS21" s="223"/>
      <c r="GT21" s="223"/>
      <c r="GU21" s="223"/>
      <c r="GV21" s="223"/>
      <c r="GW21" s="223"/>
      <c r="GX21" s="223"/>
      <c r="GY21" s="223"/>
      <c r="GZ21" s="223"/>
      <c r="HA21" s="223"/>
      <c r="HB21" s="223"/>
      <c r="HC21" s="223"/>
      <c r="HD21" s="223"/>
      <c r="HE21" s="223"/>
      <c r="HF21" s="223"/>
      <c r="HG21" s="223"/>
      <c r="HH21" s="223"/>
      <c r="HI21" s="223"/>
      <c r="HJ21" s="223"/>
      <c r="HK21" s="223"/>
      <c r="HL21" s="223"/>
      <c r="HM21" s="223"/>
      <c r="HN21" s="223"/>
      <c r="HO21" s="223"/>
      <c r="HP21" s="223"/>
      <c r="HQ21" s="223"/>
      <c r="HR21" s="223"/>
      <c r="HS21" s="223"/>
      <c r="HT21" s="223"/>
      <c r="HU21" s="223"/>
      <c r="HV21" s="223"/>
      <c r="HW21" s="223"/>
      <c r="HX21" s="223"/>
      <c r="HY21" s="223"/>
      <c r="HZ21" s="223"/>
      <c r="IA21" s="223"/>
      <c r="IB21" s="223"/>
      <c r="IC21" s="223"/>
      <c r="ID21" s="223"/>
      <c r="IE21" s="223"/>
      <c r="IF21" s="223"/>
      <c r="IG21" s="223"/>
      <c r="IH21" s="223"/>
      <c r="II21" s="223"/>
      <c r="IJ21" s="223"/>
      <c r="IK21" s="223"/>
      <c r="IL21" s="223"/>
      <c r="IM21" s="223"/>
      <c r="IN21" s="223"/>
      <c r="IO21" s="223"/>
      <c r="IP21" s="223"/>
      <c r="IQ21" s="223"/>
      <c r="IR21" s="223"/>
      <c r="IS21" s="223"/>
      <c r="IT21" s="223"/>
      <c r="IU21" s="223"/>
      <c r="IV21" s="223"/>
      <c r="IW21" s="223"/>
      <c r="IX21" s="223"/>
      <c r="IY21" s="223"/>
      <c r="IZ21" s="223"/>
      <c r="JA21" s="223"/>
    </row>
    <row r="22" spans="1:261" ht="29.25" customHeight="1">
      <c r="A22" s="811"/>
      <c r="B22" s="811"/>
      <c r="C22" s="811"/>
      <c r="D22" s="2155" t="s">
        <v>1135</v>
      </c>
      <c r="E22" s="2155"/>
      <c r="F22" s="2155"/>
      <c r="G22" s="2155"/>
      <c r="H22" s="2155"/>
      <c r="I22" s="2155"/>
      <c r="J22" s="2155"/>
      <c r="K22" s="2155"/>
      <c r="L22" s="2155"/>
      <c r="M22" s="2155"/>
      <c r="N22" s="407"/>
      <c r="O22" s="390"/>
      <c r="P22" s="414"/>
      <c r="Q22" s="390"/>
      <c r="R22" s="390"/>
      <c r="S22" s="390"/>
      <c r="T22" s="408"/>
      <c r="U22" s="390"/>
      <c r="V22" s="390"/>
      <c r="W22" s="390"/>
      <c r="X22" s="390"/>
      <c r="Y22" s="390"/>
      <c r="Z22" s="390"/>
      <c r="AA22" s="390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  <c r="BM22" s="223"/>
      <c r="BN22" s="223"/>
      <c r="BO22" s="223"/>
      <c r="BP22" s="223"/>
      <c r="BQ22" s="223"/>
      <c r="BR22" s="223"/>
      <c r="BS22" s="223"/>
      <c r="BT22" s="223"/>
      <c r="BU22" s="223"/>
      <c r="BV22" s="223"/>
      <c r="BW22" s="223"/>
      <c r="BX22" s="223"/>
      <c r="BY22" s="223"/>
      <c r="BZ22" s="223"/>
      <c r="CA22" s="223"/>
      <c r="CB22" s="223"/>
      <c r="CC22" s="223"/>
      <c r="CD22" s="223"/>
      <c r="CE22" s="223"/>
      <c r="CF22" s="223"/>
      <c r="CG22" s="223"/>
      <c r="CH22" s="223"/>
      <c r="CI22" s="223"/>
      <c r="CJ22" s="223"/>
      <c r="CK22" s="223"/>
      <c r="CL22" s="223"/>
      <c r="CM22" s="223"/>
      <c r="CN22" s="223"/>
      <c r="CO22" s="223"/>
      <c r="CP22" s="223"/>
      <c r="CQ22" s="223"/>
      <c r="CR22" s="223"/>
      <c r="CS22" s="223"/>
      <c r="CT22" s="223"/>
      <c r="CU22" s="223"/>
      <c r="CV22" s="223"/>
      <c r="CW22" s="223"/>
      <c r="CX22" s="223"/>
      <c r="CY22" s="223"/>
      <c r="CZ22" s="223"/>
      <c r="DA22" s="223"/>
      <c r="DB22" s="223"/>
      <c r="DC22" s="223"/>
      <c r="DD22" s="223"/>
      <c r="DE22" s="223"/>
      <c r="DF22" s="223"/>
      <c r="DG22" s="223"/>
      <c r="DH22" s="223"/>
      <c r="DI22" s="223"/>
      <c r="DJ22" s="223"/>
      <c r="DK22" s="223"/>
      <c r="DL22" s="223"/>
      <c r="DM22" s="223"/>
      <c r="DN22" s="223"/>
      <c r="DO22" s="223"/>
      <c r="DP22" s="223"/>
      <c r="DQ22" s="223"/>
      <c r="DR22" s="223"/>
      <c r="DS22" s="223"/>
      <c r="DT22" s="223"/>
      <c r="DU22" s="223"/>
      <c r="DV22" s="223"/>
      <c r="DW22" s="223"/>
      <c r="DX22" s="223"/>
      <c r="DY22" s="223"/>
      <c r="DZ22" s="223"/>
      <c r="EA22" s="223"/>
      <c r="EB22" s="223"/>
      <c r="EC22" s="223"/>
      <c r="ED22" s="223"/>
      <c r="EE22" s="223"/>
      <c r="EF22" s="223"/>
      <c r="EG22" s="223"/>
      <c r="EH22" s="223"/>
      <c r="EI22" s="223"/>
      <c r="EJ22" s="223"/>
      <c r="EK22" s="223"/>
      <c r="EL22" s="223"/>
      <c r="EM22" s="223"/>
      <c r="EN22" s="223"/>
      <c r="EO22" s="223"/>
      <c r="EP22" s="223"/>
      <c r="EQ22" s="223"/>
      <c r="ER22" s="223"/>
      <c r="ES22" s="223"/>
      <c r="ET22" s="223"/>
      <c r="EU22" s="223"/>
      <c r="EV22" s="223"/>
      <c r="EW22" s="223"/>
      <c r="EX22" s="223"/>
      <c r="EY22" s="223"/>
      <c r="EZ22" s="223"/>
      <c r="FA22" s="223"/>
      <c r="FB22" s="223"/>
      <c r="FC22" s="223"/>
      <c r="FD22" s="223"/>
      <c r="FE22" s="223"/>
      <c r="FF22" s="223"/>
      <c r="FG22" s="223"/>
      <c r="FH22" s="223"/>
      <c r="FI22" s="223"/>
      <c r="FJ22" s="223"/>
      <c r="FK22" s="223"/>
      <c r="FL22" s="223"/>
      <c r="FM22" s="223"/>
      <c r="FN22" s="223"/>
      <c r="FO22" s="223"/>
      <c r="FP22" s="223"/>
      <c r="FQ22" s="223"/>
      <c r="FR22" s="223"/>
      <c r="FS22" s="223"/>
      <c r="FT22" s="223"/>
      <c r="FU22" s="223"/>
      <c r="FV22" s="223"/>
      <c r="FW22" s="223"/>
      <c r="FX22" s="223"/>
      <c r="FY22" s="223"/>
      <c r="FZ22" s="223"/>
      <c r="GA22" s="223"/>
      <c r="GB22" s="223"/>
      <c r="GC22" s="223"/>
      <c r="GD22" s="223"/>
      <c r="GE22" s="223"/>
      <c r="GF22" s="223"/>
      <c r="GG22" s="223"/>
      <c r="GH22" s="223"/>
      <c r="GI22" s="223"/>
      <c r="GJ22" s="223"/>
      <c r="GK22" s="223"/>
      <c r="GL22" s="223"/>
      <c r="GM22" s="223"/>
      <c r="GN22" s="223"/>
      <c r="GO22" s="223"/>
      <c r="GP22" s="223"/>
      <c r="GQ22" s="223"/>
      <c r="GR22" s="223"/>
      <c r="GS22" s="223"/>
      <c r="GT22" s="223"/>
      <c r="GU22" s="223"/>
      <c r="GV22" s="223"/>
      <c r="GW22" s="223"/>
      <c r="GX22" s="223"/>
      <c r="GY22" s="223"/>
      <c r="GZ22" s="223"/>
      <c r="HA22" s="223"/>
      <c r="HB22" s="223"/>
      <c r="HC22" s="223"/>
      <c r="HD22" s="223"/>
      <c r="HE22" s="223"/>
      <c r="HF22" s="223"/>
      <c r="HG22" s="223"/>
      <c r="HH22" s="223"/>
      <c r="HI22" s="223"/>
      <c r="HJ22" s="223"/>
      <c r="HK22" s="223"/>
      <c r="HL22" s="223"/>
      <c r="HM22" s="223"/>
      <c r="HN22" s="223"/>
      <c r="HO22" s="223"/>
      <c r="HP22" s="223"/>
      <c r="HQ22" s="223"/>
      <c r="HR22" s="223"/>
      <c r="HS22" s="223"/>
      <c r="HT22" s="223"/>
      <c r="HU22" s="223"/>
      <c r="HV22" s="223"/>
      <c r="HW22" s="223"/>
      <c r="HX22" s="223"/>
      <c r="HY22" s="223"/>
      <c r="HZ22" s="223"/>
      <c r="IA22" s="223"/>
      <c r="IB22" s="223"/>
      <c r="IC22" s="223"/>
      <c r="ID22" s="223"/>
      <c r="IE22" s="223"/>
      <c r="IF22" s="223"/>
      <c r="IG22" s="223"/>
      <c r="IH22" s="223"/>
      <c r="II22" s="223"/>
      <c r="IJ22" s="223"/>
      <c r="IK22" s="223"/>
      <c r="IL22" s="223"/>
      <c r="IM22" s="223"/>
      <c r="IN22" s="223"/>
      <c r="IO22" s="223"/>
      <c r="IP22" s="223"/>
      <c r="IQ22" s="223"/>
      <c r="IR22" s="223"/>
      <c r="IS22" s="223"/>
      <c r="IT22" s="223"/>
      <c r="IU22" s="223"/>
      <c r="IV22" s="223"/>
      <c r="IW22" s="223"/>
      <c r="IX22" s="223"/>
      <c r="IY22" s="223"/>
      <c r="IZ22" s="223"/>
      <c r="JA22" s="223"/>
    </row>
    <row r="23" spans="1:261" ht="12" customHeight="1">
      <c r="A23" s="387"/>
      <c r="B23" s="387"/>
      <c r="C23" s="387"/>
      <c r="D23" s="387"/>
      <c r="E23" s="387"/>
      <c r="F23" s="387"/>
      <c r="G23" s="388"/>
      <c r="H23" s="388"/>
      <c r="I23" s="387"/>
      <c r="J23" s="387"/>
      <c r="K23" s="387"/>
      <c r="L23" s="388"/>
      <c r="M23" s="388"/>
      <c r="N23" s="407"/>
      <c r="O23" s="390"/>
      <c r="P23" s="390"/>
      <c r="Q23" s="390" t="s">
        <v>508</v>
      </c>
      <c r="R23" s="390"/>
      <c r="S23" s="390"/>
      <c r="T23" s="415"/>
      <c r="U23" s="409"/>
      <c r="V23" s="390"/>
      <c r="W23" s="390"/>
      <c r="X23" s="390"/>
      <c r="Y23" s="390"/>
      <c r="Z23" s="390"/>
      <c r="AA23" s="390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223"/>
      <c r="BS23" s="223"/>
      <c r="BT23" s="223"/>
      <c r="BU23" s="223"/>
      <c r="BV23" s="223"/>
      <c r="BW23" s="223"/>
      <c r="BX23" s="223"/>
      <c r="BY23" s="223"/>
      <c r="BZ23" s="223"/>
      <c r="CA23" s="223"/>
      <c r="CB23" s="223"/>
      <c r="CC23" s="223"/>
      <c r="CD23" s="223"/>
      <c r="CE23" s="223"/>
      <c r="CF23" s="223"/>
      <c r="CG23" s="223"/>
      <c r="CH23" s="223"/>
      <c r="CI23" s="223"/>
      <c r="CJ23" s="223"/>
      <c r="CK23" s="223"/>
      <c r="CL23" s="223"/>
      <c r="CM23" s="223"/>
      <c r="CN23" s="223"/>
      <c r="CO23" s="223"/>
      <c r="CP23" s="223"/>
      <c r="CQ23" s="223"/>
      <c r="CR23" s="223"/>
      <c r="CS23" s="223"/>
      <c r="CT23" s="223"/>
      <c r="CU23" s="223"/>
      <c r="CV23" s="223"/>
      <c r="CW23" s="223"/>
      <c r="CX23" s="223"/>
      <c r="CY23" s="223"/>
      <c r="CZ23" s="223"/>
      <c r="DA23" s="223"/>
      <c r="DB23" s="223"/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  <c r="DN23" s="223"/>
      <c r="DO23" s="223"/>
      <c r="DP23" s="223"/>
      <c r="DQ23" s="223"/>
      <c r="DR23" s="223"/>
      <c r="DS23" s="223"/>
      <c r="DT23" s="223"/>
      <c r="DU23" s="223"/>
      <c r="DV23" s="223"/>
      <c r="DW23" s="223"/>
      <c r="DX23" s="223"/>
      <c r="DY23" s="223"/>
      <c r="DZ23" s="223"/>
      <c r="EA23" s="223"/>
      <c r="EB23" s="223"/>
      <c r="EC23" s="223"/>
      <c r="ED23" s="223"/>
      <c r="EE23" s="223"/>
      <c r="EF23" s="223"/>
      <c r="EG23" s="223"/>
      <c r="EH23" s="223"/>
      <c r="EI23" s="223"/>
      <c r="EJ23" s="223"/>
      <c r="EK23" s="223"/>
      <c r="EL23" s="223"/>
      <c r="EM23" s="223"/>
      <c r="EN23" s="223"/>
      <c r="EO23" s="223"/>
      <c r="EP23" s="223"/>
      <c r="EQ23" s="223"/>
      <c r="ER23" s="223"/>
      <c r="ES23" s="223"/>
      <c r="ET23" s="223"/>
      <c r="EU23" s="223"/>
      <c r="EV23" s="223"/>
      <c r="EW23" s="223"/>
      <c r="EX23" s="223"/>
      <c r="EY23" s="223"/>
      <c r="EZ23" s="223"/>
      <c r="FA23" s="223"/>
      <c r="FB23" s="223"/>
      <c r="FC23" s="223"/>
      <c r="FD23" s="223"/>
      <c r="FE23" s="223"/>
      <c r="FF23" s="223"/>
      <c r="FG23" s="223"/>
      <c r="FH23" s="223"/>
      <c r="FI23" s="223"/>
      <c r="FJ23" s="223"/>
      <c r="FK23" s="223"/>
      <c r="FL23" s="223"/>
      <c r="FM23" s="223"/>
      <c r="FN23" s="223"/>
      <c r="FO23" s="223"/>
      <c r="FP23" s="223"/>
      <c r="FQ23" s="223"/>
      <c r="FR23" s="223"/>
      <c r="FS23" s="223"/>
      <c r="FT23" s="223"/>
      <c r="FU23" s="223"/>
      <c r="FV23" s="223"/>
      <c r="FW23" s="223"/>
      <c r="FX23" s="223"/>
      <c r="FY23" s="223"/>
      <c r="FZ23" s="223"/>
      <c r="GA23" s="223"/>
      <c r="GB23" s="223"/>
      <c r="GC23" s="223"/>
      <c r="GD23" s="223"/>
      <c r="GE23" s="223"/>
      <c r="GF23" s="223"/>
      <c r="GG23" s="223"/>
      <c r="GH23" s="223"/>
      <c r="GI23" s="223"/>
      <c r="GJ23" s="223"/>
      <c r="GK23" s="223"/>
      <c r="GL23" s="223"/>
      <c r="GM23" s="223"/>
      <c r="GN23" s="223"/>
      <c r="GO23" s="223"/>
      <c r="GP23" s="223"/>
      <c r="GQ23" s="223"/>
      <c r="GR23" s="223"/>
      <c r="GS23" s="223"/>
      <c r="GT23" s="223"/>
      <c r="GU23" s="223"/>
      <c r="GV23" s="223"/>
      <c r="GW23" s="223"/>
      <c r="GX23" s="223"/>
      <c r="GY23" s="223"/>
      <c r="GZ23" s="223"/>
      <c r="HA23" s="223"/>
      <c r="HB23" s="223"/>
      <c r="HC23" s="223"/>
      <c r="HD23" s="223"/>
      <c r="HE23" s="223"/>
      <c r="HF23" s="223"/>
      <c r="HG23" s="223"/>
      <c r="HH23" s="223"/>
      <c r="HI23" s="223"/>
      <c r="HJ23" s="223"/>
      <c r="HK23" s="223"/>
      <c r="HL23" s="223"/>
      <c r="HM23" s="223"/>
      <c r="HN23" s="223"/>
      <c r="HO23" s="223"/>
      <c r="HP23" s="223"/>
      <c r="HQ23" s="223"/>
      <c r="HR23" s="223"/>
      <c r="HS23" s="223"/>
      <c r="HT23" s="223"/>
      <c r="HU23" s="223"/>
      <c r="HV23" s="223"/>
      <c r="HW23" s="223"/>
      <c r="HX23" s="223"/>
      <c r="HY23" s="223"/>
      <c r="HZ23" s="223"/>
      <c r="IA23" s="223"/>
      <c r="IB23" s="223"/>
      <c r="IC23" s="223"/>
      <c r="ID23" s="223"/>
      <c r="IE23" s="223"/>
      <c r="IF23" s="223"/>
      <c r="IG23" s="223"/>
      <c r="IH23" s="223"/>
      <c r="II23" s="223"/>
      <c r="IJ23" s="223"/>
      <c r="IK23" s="223"/>
      <c r="IL23" s="223"/>
      <c r="IM23" s="223"/>
      <c r="IN23" s="223"/>
      <c r="IO23" s="223"/>
      <c r="IP23" s="223"/>
      <c r="IQ23" s="223"/>
      <c r="IR23" s="223"/>
      <c r="IS23" s="223"/>
      <c r="IT23" s="223"/>
      <c r="IU23" s="223"/>
      <c r="IV23" s="223"/>
      <c r="IW23" s="223"/>
      <c r="IX23" s="223"/>
      <c r="IY23" s="223"/>
      <c r="IZ23" s="223"/>
      <c r="JA23" s="223"/>
    </row>
    <row r="24" spans="1:261" ht="19.5">
      <c r="A24" s="2150" t="s">
        <v>855</v>
      </c>
      <c r="B24" s="2150"/>
      <c r="C24" s="2150"/>
      <c r="D24" s="2150"/>
      <c r="E24" s="2150"/>
      <c r="F24" s="2150"/>
      <c r="G24" s="2150"/>
      <c r="H24" s="2150"/>
      <c r="I24" s="2150"/>
      <c r="J24" s="2150"/>
      <c r="K24" s="2150"/>
      <c r="L24" s="2150"/>
      <c r="M24" s="2150"/>
      <c r="N24" s="412"/>
      <c r="O24" s="854">
        <f>SUM(G13:G16)</f>
        <v>159.50570699999997</v>
      </c>
      <c r="P24" s="416"/>
      <c r="Q24" s="410"/>
      <c r="R24" s="410"/>
      <c r="S24" s="410"/>
      <c r="T24" s="413"/>
      <c r="U24" s="410"/>
      <c r="V24" s="410"/>
      <c r="W24" s="410"/>
      <c r="X24" s="410"/>
      <c r="Y24" s="410"/>
      <c r="Z24" s="410"/>
      <c r="AA24" s="410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5"/>
      <c r="CE24" s="225"/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5"/>
      <c r="CS24" s="225"/>
      <c r="CT24" s="225"/>
      <c r="CU24" s="225"/>
      <c r="CV24" s="225"/>
      <c r="CW24" s="225"/>
      <c r="CX24" s="225"/>
      <c r="CY24" s="225"/>
      <c r="CZ24" s="225"/>
      <c r="DA24" s="225"/>
      <c r="DB24" s="225"/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5"/>
      <c r="DP24" s="225"/>
      <c r="DQ24" s="225"/>
      <c r="DR24" s="225"/>
      <c r="DS24" s="225"/>
      <c r="DT24" s="225"/>
      <c r="DU24" s="225"/>
      <c r="DV24" s="225"/>
      <c r="DW24" s="225"/>
      <c r="DX24" s="225"/>
      <c r="DY24" s="225"/>
      <c r="DZ24" s="225"/>
      <c r="EA24" s="225"/>
      <c r="EB24" s="225"/>
      <c r="EC24" s="225"/>
      <c r="ED24" s="225"/>
      <c r="EE24" s="225"/>
      <c r="EF24" s="225"/>
      <c r="EG24" s="225"/>
      <c r="EH24" s="225"/>
      <c r="EI24" s="225"/>
      <c r="EJ24" s="225"/>
      <c r="EK24" s="225"/>
      <c r="EL24" s="225"/>
      <c r="EM24" s="225"/>
      <c r="EN24" s="225"/>
      <c r="EO24" s="225"/>
      <c r="EP24" s="225"/>
      <c r="EQ24" s="225"/>
      <c r="ER24" s="225"/>
      <c r="ES24" s="225"/>
      <c r="ET24" s="225"/>
      <c r="EU24" s="225"/>
      <c r="EV24" s="225"/>
      <c r="EW24" s="225"/>
      <c r="EX24" s="225"/>
      <c r="EY24" s="225"/>
      <c r="EZ24" s="225"/>
      <c r="FA24" s="225"/>
      <c r="FB24" s="225"/>
      <c r="FC24" s="225"/>
      <c r="FD24" s="225"/>
      <c r="FE24" s="225"/>
      <c r="FF24" s="225"/>
      <c r="FG24" s="225"/>
      <c r="FH24" s="225"/>
      <c r="FI24" s="225"/>
      <c r="FJ24" s="225"/>
      <c r="FK24" s="225"/>
      <c r="FL24" s="225"/>
      <c r="FM24" s="225"/>
      <c r="FN24" s="225"/>
      <c r="FO24" s="225"/>
      <c r="FP24" s="225"/>
      <c r="FQ24" s="225"/>
      <c r="FR24" s="225"/>
      <c r="FS24" s="225"/>
      <c r="FT24" s="225"/>
      <c r="FU24" s="225"/>
      <c r="FV24" s="225"/>
      <c r="FW24" s="225"/>
      <c r="FX24" s="225"/>
      <c r="FY24" s="225"/>
      <c r="FZ24" s="225"/>
      <c r="GA24" s="225"/>
      <c r="GB24" s="225"/>
      <c r="GC24" s="225"/>
      <c r="GD24" s="225"/>
      <c r="GE24" s="225"/>
      <c r="GF24" s="225"/>
      <c r="GG24" s="225"/>
      <c r="GH24" s="225"/>
      <c r="GI24" s="225"/>
      <c r="GJ24" s="225"/>
      <c r="GK24" s="225"/>
      <c r="GL24" s="225"/>
      <c r="GM24" s="225"/>
      <c r="GN24" s="225"/>
      <c r="GO24" s="225"/>
      <c r="GP24" s="225"/>
      <c r="GQ24" s="225"/>
      <c r="GR24" s="225"/>
      <c r="GS24" s="225"/>
      <c r="GT24" s="225"/>
      <c r="GU24" s="225"/>
      <c r="GV24" s="225"/>
      <c r="GW24" s="225"/>
      <c r="GX24" s="225"/>
      <c r="GY24" s="225"/>
      <c r="GZ24" s="225"/>
      <c r="HA24" s="225"/>
      <c r="HB24" s="225"/>
      <c r="HC24" s="225"/>
      <c r="HD24" s="225"/>
      <c r="HE24" s="225"/>
      <c r="HF24" s="225"/>
      <c r="HG24" s="225"/>
      <c r="HH24" s="225"/>
      <c r="HI24" s="225"/>
      <c r="HJ24" s="225"/>
      <c r="HK24" s="225"/>
      <c r="HL24" s="225"/>
      <c r="HM24" s="225"/>
      <c r="HN24" s="225"/>
      <c r="HO24" s="225"/>
      <c r="HP24" s="225"/>
      <c r="HQ24" s="225"/>
      <c r="HR24" s="225"/>
      <c r="HS24" s="225"/>
      <c r="HT24" s="225"/>
      <c r="HU24" s="225"/>
      <c r="HV24" s="225"/>
      <c r="HW24" s="225"/>
      <c r="HX24" s="225"/>
      <c r="HY24" s="225"/>
      <c r="HZ24" s="225"/>
      <c r="IA24" s="225"/>
      <c r="IB24" s="225"/>
      <c r="IC24" s="225"/>
      <c r="ID24" s="225"/>
      <c r="IE24" s="225"/>
      <c r="IF24" s="225"/>
      <c r="IG24" s="225"/>
      <c r="IH24" s="225"/>
      <c r="II24" s="225"/>
      <c r="IJ24" s="225"/>
      <c r="IK24" s="225"/>
      <c r="IL24" s="225"/>
      <c r="IM24" s="225"/>
      <c r="IN24" s="225"/>
      <c r="IO24" s="225"/>
      <c r="IP24" s="225"/>
      <c r="IQ24" s="225"/>
      <c r="IR24" s="225"/>
      <c r="IS24" s="225"/>
      <c r="IT24" s="225"/>
      <c r="IU24" s="225"/>
      <c r="IV24" s="225"/>
      <c r="IW24" s="225"/>
      <c r="IX24" s="225"/>
      <c r="IY24" s="225"/>
      <c r="IZ24" s="225"/>
      <c r="JA24" s="225"/>
    </row>
    <row r="25" spans="1:261" ht="19.5">
      <c r="A25" s="811"/>
      <c r="B25" s="811"/>
      <c r="C25" s="811"/>
      <c r="D25" s="811"/>
      <c r="E25" s="811"/>
      <c r="F25" s="811"/>
      <c r="G25" s="812"/>
      <c r="H25" s="812"/>
      <c r="I25" s="811"/>
      <c r="J25" s="811"/>
      <c r="K25" s="811"/>
      <c r="L25" s="812"/>
      <c r="M25" s="812"/>
      <c r="N25" s="407"/>
      <c r="O25" s="390"/>
      <c r="P25" s="390"/>
      <c r="Q25" s="390"/>
      <c r="R25" s="390"/>
      <c r="S25" s="390"/>
      <c r="T25" s="408"/>
      <c r="U25" s="390"/>
      <c r="V25" s="390"/>
      <c r="W25" s="390"/>
      <c r="X25" s="390"/>
      <c r="Y25" s="390"/>
      <c r="Z25" s="390"/>
      <c r="AA25" s="390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  <c r="BM25" s="223"/>
      <c r="BN25" s="223"/>
      <c r="BO25" s="223"/>
      <c r="BP25" s="223"/>
      <c r="BQ25" s="223"/>
      <c r="BR25" s="223"/>
      <c r="BS25" s="223"/>
      <c r="BT25" s="223"/>
      <c r="BU25" s="223"/>
      <c r="BV25" s="223"/>
      <c r="BW25" s="223"/>
      <c r="BX25" s="223"/>
      <c r="BY25" s="223"/>
      <c r="BZ25" s="223"/>
      <c r="CA25" s="223"/>
      <c r="CB25" s="223"/>
      <c r="CC25" s="223"/>
      <c r="CD25" s="223"/>
      <c r="CE25" s="223"/>
      <c r="CF25" s="223"/>
      <c r="CG25" s="223"/>
      <c r="CH25" s="223"/>
      <c r="CI25" s="223"/>
      <c r="CJ25" s="223"/>
      <c r="CK25" s="223"/>
      <c r="CL25" s="223"/>
      <c r="CM25" s="223"/>
      <c r="CN25" s="223"/>
      <c r="CO25" s="223"/>
      <c r="CP25" s="223"/>
      <c r="CQ25" s="223"/>
      <c r="CR25" s="223"/>
      <c r="CS25" s="223"/>
      <c r="CT25" s="223"/>
      <c r="CU25" s="223"/>
      <c r="CV25" s="223"/>
      <c r="CW25" s="223"/>
      <c r="CX25" s="223"/>
      <c r="CY25" s="223"/>
      <c r="CZ25" s="223"/>
      <c r="DA25" s="223"/>
      <c r="DB25" s="223"/>
      <c r="DC25" s="223"/>
      <c r="DD25" s="223"/>
      <c r="DE25" s="223"/>
      <c r="DF25" s="223"/>
      <c r="DG25" s="223"/>
      <c r="DH25" s="223"/>
      <c r="DI25" s="223"/>
      <c r="DJ25" s="223"/>
      <c r="DK25" s="223"/>
      <c r="DL25" s="223"/>
      <c r="DM25" s="223"/>
      <c r="DN25" s="223"/>
      <c r="DO25" s="223"/>
      <c r="DP25" s="223"/>
      <c r="DQ25" s="223"/>
      <c r="DR25" s="223"/>
      <c r="DS25" s="223"/>
      <c r="DT25" s="223"/>
      <c r="DU25" s="223"/>
      <c r="DV25" s="223"/>
      <c r="DW25" s="223"/>
      <c r="DX25" s="223"/>
      <c r="DY25" s="223"/>
      <c r="DZ25" s="223"/>
      <c r="EA25" s="223"/>
      <c r="EB25" s="223"/>
      <c r="EC25" s="223"/>
      <c r="ED25" s="223"/>
      <c r="EE25" s="223"/>
      <c r="EF25" s="223"/>
      <c r="EG25" s="223"/>
      <c r="EH25" s="223"/>
      <c r="EI25" s="223"/>
      <c r="EJ25" s="223"/>
      <c r="EK25" s="223"/>
      <c r="EL25" s="223"/>
      <c r="EM25" s="223"/>
      <c r="EN25" s="223"/>
      <c r="EO25" s="223"/>
      <c r="EP25" s="223"/>
      <c r="EQ25" s="223"/>
      <c r="ER25" s="223"/>
      <c r="ES25" s="223"/>
      <c r="ET25" s="223"/>
      <c r="EU25" s="223"/>
      <c r="EV25" s="223"/>
      <c r="EW25" s="223"/>
      <c r="EX25" s="223"/>
      <c r="EY25" s="223"/>
      <c r="EZ25" s="223"/>
      <c r="FA25" s="223"/>
      <c r="FB25" s="223"/>
      <c r="FC25" s="223"/>
      <c r="FD25" s="223"/>
      <c r="FE25" s="223"/>
      <c r="FF25" s="223"/>
      <c r="FG25" s="223"/>
      <c r="FH25" s="223"/>
      <c r="FI25" s="223"/>
      <c r="FJ25" s="223"/>
      <c r="FK25" s="223"/>
      <c r="FL25" s="223"/>
      <c r="FM25" s="223"/>
      <c r="FN25" s="223"/>
      <c r="FO25" s="223"/>
      <c r="FP25" s="223"/>
      <c r="FQ25" s="223"/>
      <c r="FR25" s="223"/>
      <c r="FS25" s="223"/>
      <c r="FT25" s="223"/>
      <c r="FU25" s="223"/>
      <c r="FV25" s="223"/>
      <c r="FW25" s="223"/>
      <c r="FX25" s="223"/>
      <c r="FY25" s="223"/>
      <c r="FZ25" s="223"/>
      <c r="GA25" s="223"/>
      <c r="GB25" s="223"/>
      <c r="GC25" s="223"/>
      <c r="GD25" s="223"/>
      <c r="GE25" s="223"/>
      <c r="GF25" s="223"/>
      <c r="GG25" s="223"/>
      <c r="GH25" s="223"/>
      <c r="GI25" s="223"/>
      <c r="GJ25" s="223"/>
      <c r="GK25" s="223"/>
      <c r="GL25" s="223"/>
      <c r="GM25" s="223"/>
      <c r="GN25" s="223"/>
      <c r="GO25" s="223"/>
      <c r="GP25" s="223"/>
      <c r="GQ25" s="223"/>
      <c r="GR25" s="223"/>
      <c r="GS25" s="223"/>
      <c r="GT25" s="223"/>
      <c r="GU25" s="223"/>
      <c r="GV25" s="223"/>
      <c r="GW25" s="223"/>
      <c r="GX25" s="223"/>
      <c r="GY25" s="223"/>
      <c r="GZ25" s="223"/>
      <c r="HA25" s="223"/>
      <c r="HB25" s="223"/>
      <c r="HC25" s="223"/>
      <c r="HD25" s="223"/>
      <c r="HE25" s="223"/>
      <c r="HF25" s="223"/>
      <c r="HG25" s="223"/>
      <c r="HH25" s="223"/>
      <c r="HI25" s="223"/>
      <c r="HJ25" s="223"/>
      <c r="HK25" s="223"/>
      <c r="HL25" s="223"/>
      <c r="HM25" s="223"/>
      <c r="HN25" s="223"/>
      <c r="HO25" s="223"/>
      <c r="HP25" s="223"/>
      <c r="HQ25" s="223"/>
      <c r="HR25" s="223"/>
      <c r="HS25" s="223"/>
      <c r="HT25" s="223"/>
      <c r="HU25" s="223"/>
      <c r="HV25" s="223"/>
      <c r="HW25" s="223"/>
      <c r="HX25" s="223"/>
      <c r="HY25" s="223"/>
      <c r="HZ25" s="223"/>
      <c r="IA25" s="223"/>
      <c r="IB25" s="223"/>
      <c r="IC25" s="223"/>
      <c r="ID25" s="223"/>
      <c r="IE25" s="223"/>
      <c r="IF25" s="223"/>
      <c r="IG25" s="223"/>
      <c r="IH25" s="223"/>
      <c r="II25" s="223"/>
      <c r="IJ25" s="223"/>
      <c r="IK25" s="223"/>
      <c r="IL25" s="223"/>
      <c r="IM25" s="223"/>
      <c r="IN25" s="223"/>
      <c r="IO25" s="223"/>
      <c r="IP25" s="223"/>
      <c r="IQ25" s="223"/>
      <c r="IR25" s="223"/>
      <c r="IS25" s="223"/>
      <c r="IT25" s="223"/>
      <c r="IU25" s="223"/>
      <c r="IV25" s="223"/>
      <c r="IW25" s="223"/>
      <c r="IX25" s="223"/>
      <c r="IY25" s="223"/>
      <c r="IZ25" s="223"/>
      <c r="JA25" s="223"/>
    </row>
    <row r="26" spans="1:261" ht="19.5">
      <c r="A26" s="811"/>
      <c r="B26" s="811"/>
      <c r="C26" s="811"/>
      <c r="D26" s="811"/>
      <c r="E26" s="811"/>
      <c r="F26" s="811"/>
      <c r="G26" s="812"/>
      <c r="H26" s="812"/>
      <c r="I26" s="811"/>
      <c r="J26" s="811"/>
      <c r="K26" s="811"/>
      <c r="L26" s="812"/>
      <c r="M26" s="812"/>
      <c r="N26" s="407"/>
      <c r="O26" s="390"/>
      <c r="P26" s="390"/>
      <c r="Q26" s="390"/>
      <c r="R26" s="390"/>
      <c r="S26" s="390"/>
      <c r="T26" s="408"/>
      <c r="U26" s="409"/>
      <c r="V26" s="390"/>
      <c r="W26" s="390"/>
      <c r="X26" s="390"/>
      <c r="Y26" s="390"/>
      <c r="Z26" s="390"/>
      <c r="AA26" s="390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3"/>
      <c r="BR26" s="223"/>
      <c r="BS26" s="223"/>
      <c r="BT26" s="223"/>
      <c r="BU26" s="223"/>
      <c r="BV26" s="223"/>
      <c r="BW26" s="223"/>
      <c r="BX26" s="223"/>
      <c r="BY26" s="223"/>
      <c r="BZ26" s="223"/>
      <c r="CA26" s="223"/>
      <c r="CB26" s="223"/>
      <c r="CC26" s="223"/>
      <c r="CD26" s="223"/>
      <c r="CE26" s="223"/>
      <c r="CF26" s="223"/>
      <c r="CG26" s="223"/>
      <c r="CH26" s="223"/>
      <c r="CI26" s="223"/>
      <c r="CJ26" s="223"/>
      <c r="CK26" s="223"/>
      <c r="CL26" s="223"/>
      <c r="CM26" s="223"/>
      <c r="CN26" s="223"/>
      <c r="CO26" s="223"/>
      <c r="CP26" s="223"/>
      <c r="CQ26" s="223"/>
      <c r="CR26" s="223"/>
      <c r="CS26" s="223"/>
      <c r="CT26" s="223"/>
      <c r="CU26" s="223"/>
      <c r="CV26" s="223"/>
      <c r="CW26" s="223"/>
      <c r="CX26" s="223"/>
      <c r="CY26" s="223"/>
      <c r="CZ26" s="223"/>
      <c r="DA26" s="223"/>
      <c r="DB26" s="223"/>
      <c r="DC26" s="223"/>
      <c r="DD26" s="223"/>
      <c r="DE26" s="223"/>
      <c r="DF26" s="223"/>
      <c r="DG26" s="223"/>
      <c r="DH26" s="223"/>
      <c r="DI26" s="223"/>
      <c r="DJ26" s="223"/>
      <c r="DK26" s="223"/>
      <c r="DL26" s="223"/>
      <c r="DM26" s="223"/>
      <c r="DN26" s="223"/>
      <c r="DO26" s="223"/>
      <c r="DP26" s="223"/>
      <c r="DQ26" s="223"/>
      <c r="DR26" s="223"/>
      <c r="DS26" s="223"/>
      <c r="DT26" s="223"/>
      <c r="DU26" s="223"/>
      <c r="DV26" s="223"/>
      <c r="DW26" s="223"/>
      <c r="DX26" s="223"/>
      <c r="DY26" s="223"/>
      <c r="DZ26" s="223"/>
      <c r="EA26" s="223"/>
      <c r="EB26" s="223"/>
      <c r="EC26" s="223"/>
      <c r="ED26" s="223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23"/>
      <c r="FG26" s="223"/>
      <c r="FH26" s="223"/>
      <c r="FI26" s="223"/>
      <c r="FJ26" s="223"/>
      <c r="FK26" s="223"/>
      <c r="FL26" s="223"/>
      <c r="FM26" s="223"/>
      <c r="FN26" s="223"/>
      <c r="FO26" s="223"/>
      <c r="FP26" s="223"/>
      <c r="FQ26" s="223"/>
      <c r="FR26" s="223"/>
      <c r="FS26" s="223"/>
      <c r="FT26" s="223"/>
      <c r="FU26" s="223"/>
      <c r="FV26" s="223"/>
      <c r="FW26" s="223"/>
      <c r="FX26" s="223"/>
      <c r="FY26" s="223"/>
      <c r="FZ26" s="223"/>
      <c r="GA26" s="223"/>
      <c r="GB26" s="223"/>
      <c r="GC26" s="223"/>
      <c r="GD26" s="223"/>
      <c r="GE26" s="223"/>
      <c r="GF26" s="223"/>
      <c r="GG26" s="223"/>
      <c r="GH26" s="223"/>
      <c r="GI26" s="223"/>
      <c r="GJ26" s="223"/>
      <c r="GK26" s="223"/>
      <c r="GL26" s="223"/>
      <c r="GM26" s="223"/>
      <c r="GN26" s="223"/>
      <c r="GO26" s="223"/>
      <c r="GP26" s="223"/>
      <c r="GQ26" s="223"/>
      <c r="GR26" s="223"/>
      <c r="GS26" s="223"/>
      <c r="GT26" s="223"/>
      <c r="GU26" s="223"/>
      <c r="GV26" s="223"/>
      <c r="GW26" s="223"/>
      <c r="GX26" s="223"/>
      <c r="GY26" s="223"/>
      <c r="GZ26" s="223"/>
      <c r="HA26" s="223"/>
      <c r="HB26" s="223"/>
      <c r="HC26" s="223"/>
      <c r="HD26" s="223"/>
      <c r="HE26" s="223"/>
      <c r="HF26" s="223"/>
      <c r="HG26" s="223"/>
      <c r="HH26" s="223"/>
      <c r="HI26" s="223"/>
      <c r="HJ26" s="223"/>
      <c r="HK26" s="223"/>
      <c r="HL26" s="223"/>
      <c r="HM26" s="223"/>
      <c r="HN26" s="223"/>
      <c r="HO26" s="223"/>
      <c r="HP26" s="223"/>
      <c r="HQ26" s="223"/>
      <c r="HR26" s="223"/>
      <c r="HS26" s="223"/>
      <c r="HT26" s="223"/>
      <c r="HU26" s="223"/>
      <c r="HV26" s="223"/>
      <c r="HW26" s="223"/>
      <c r="HX26" s="223"/>
      <c r="HY26" s="223"/>
      <c r="HZ26" s="223"/>
      <c r="IA26" s="223"/>
      <c r="IB26" s="223"/>
      <c r="IC26" s="223"/>
      <c r="ID26" s="223"/>
      <c r="IE26" s="223"/>
      <c r="IF26" s="223"/>
      <c r="IG26" s="223"/>
      <c r="IH26" s="223"/>
      <c r="II26" s="223"/>
      <c r="IJ26" s="223"/>
      <c r="IK26" s="223"/>
      <c r="IL26" s="223"/>
      <c r="IM26" s="223"/>
      <c r="IN26" s="223"/>
      <c r="IO26" s="223"/>
      <c r="IP26" s="223"/>
      <c r="IQ26" s="223"/>
      <c r="IR26" s="223"/>
      <c r="IS26" s="223"/>
      <c r="IT26" s="223"/>
      <c r="IU26" s="223"/>
      <c r="IV26" s="223"/>
      <c r="IW26" s="223"/>
      <c r="IX26" s="223"/>
      <c r="IY26" s="223"/>
      <c r="IZ26" s="223"/>
      <c r="JA26" s="223"/>
    </row>
    <row r="27" spans="1:261" ht="19.5">
      <c r="A27" s="811"/>
      <c r="B27" s="811"/>
      <c r="C27" s="811"/>
      <c r="D27" s="811"/>
      <c r="E27" s="811"/>
      <c r="F27" s="811"/>
      <c r="G27" s="812"/>
      <c r="H27" s="812"/>
      <c r="I27" s="811"/>
      <c r="J27" s="811"/>
      <c r="K27" s="811"/>
      <c r="L27" s="812"/>
      <c r="M27" s="812"/>
      <c r="N27" s="407"/>
      <c r="O27" s="417"/>
      <c r="P27" s="417"/>
      <c r="Q27" s="417"/>
      <c r="R27" s="417"/>
      <c r="S27" s="390"/>
      <c r="T27" s="408"/>
      <c r="U27" s="390"/>
      <c r="V27" s="390"/>
      <c r="W27" s="390"/>
      <c r="X27" s="390"/>
      <c r="Y27" s="390"/>
      <c r="Z27" s="390"/>
      <c r="AA27" s="390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3"/>
      <c r="BT27" s="223"/>
      <c r="BU27" s="223"/>
      <c r="BV27" s="223"/>
      <c r="BW27" s="223"/>
      <c r="BX27" s="223"/>
      <c r="BY27" s="223"/>
      <c r="BZ27" s="223"/>
      <c r="CA27" s="223"/>
      <c r="CB27" s="223"/>
      <c r="CC27" s="223"/>
      <c r="CD27" s="223"/>
      <c r="CE27" s="223"/>
      <c r="CF27" s="223"/>
      <c r="CG27" s="223"/>
      <c r="CH27" s="223"/>
      <c r="CI27" s="223"/>
      <c r="CJ27" s="223"/>
      <c r="CK27" s="223"/>
      <c r="CL27" s="223"/>
      <c r="CM27" s="223"/>
      <c r="CN27" s="223"/>
      <c r="CO27" s="223"/>
      <c r="CP27" s="223"/>
      <c r="CQ27" s="223"/>
      <c r="CR27" s="223"/>
      <c r="CS27" s="223"/>
      <c r="CT27" s="223"/>
      <c r="CU27" s="223"/>
      <c r="CV27" s="223"/>
      <c r="CW27" s="2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  <c r="DV27" s="223"/>
      <c r="DW27" s="223"/>
      <c r="DX27" s="223"/>
      <c r="DY27" s="223"/>
      <c r="DZ27" s="223"/>
      <c r="EA27" s="223"/>
      <c r="EB27" s="223"/>
      <c r="EC27" s="223"/>
      <c r="ED27" s="223"/>
      <c r="EE27" s="223"/>
      <c r="EF27" s="223"/>
      <c r="EG27" s="223"/>
      <c r="EH27" s="223"/>
      <c r="EI27" s="223"/>
      <c r="EJ27" s="223"/>
      <c r="EK27" s="223"/>
      <c r="EL27" s="223"/>
      <c r="EM27" s="223"/>
      <c r="EN27" s="223"/>
      <c r="EO27" s="223"/>
      <c r="EP27" s="223"/>
      <c r="EQ27" s="223"/>
      <c r="ER27" s="223"/>
      <c r="ES27" s="223"/>
      <c r="ET27" s="223"/>
      <c r="EU27" s="223"/>
      <c r="EV27" s="223"/>
      <c r="EW27" s="223"/>
      <c r="EX27" s="223"/>
      <c r="EY27" s="223"/>
      <c r="EZ27" s="223"/>
      <c r="FA27" s="223"/>
      <c r="FB27" s="223"/>
      <c r="FC27" s="223"/>
      <c r="FD27" s="223"/>
      <c r="FE27" s="223"/>
      <c r="FF27" s="223"/>
      <c r="FG27" s="223"/>
      <c r="FH27" s="223"/>
      <c r="FI27" s="223"/>
      <c r="FJ27" s="223"/>
      <c r="FK27" s="223"/>
      <c r="FL27" s="223"/>
      <c r="FM27" s="223"/>
      <c r="FN27" s="223"/>
      <c r="FO27" s="223"/>
      <c r="FP27" s="223"/>
      <c r="FQ27" s="223"/>
      <c r="FR27" s="223"/>
      <c r="FS27" s="223"/>
      <c r="FT27" s="223"/>
      <c r="FU27" s="223"/>
      <c r="FV27" s="223"/>
      <c r="FW27" s="223"/>
      <c r="FX27" s="223"/>
      <c r="FY27" s="223"/>
      <c r="FZ27" s="223"/>
      <c r="GA27" s="223"/>
      <c r="GB27" s="223"/>
      <c r="GC27" s="223"/>
      <c r="GD27" s="223"/>
      <c r="GE27" s="223"/>
      <c r="GF27" s="223"/>
      <c r="GG27" s="223"/>
      <c r="GH27" s="223"/>
      <c r="GI27" s="223"/>
      <c r="GJ27" s="223"/>
      <c r="GK27" s="223"/>
      <c r="GL27" s="223"/>
      <c r="GM27" s="223"/>
      <c r="GN27" s="223"/>
      <c r="GO27" s="223"/>
      <c r="GP27" s="223"/>
      <c r="GQ27" s="223"/>
      <c r="GR27" s="223"/>
      <c r="GS27" s="223"/>
      <c r="GT27" s="223"/>
      <c r="GU27" s="223"/>
      <c r="GV27" s="223"/>
      <c r="GW27" s="223"/>
      <c r="GX27" s="223"/>
      <c r="GY27" s="223"/>
      <c r="GZ27" s="223"/>
      <c r="HA27" s="223"/>
      <c r="HB27" s="223"/>
      <c r="HC27" s="223"/>
      <c r="HD27" s="223"/>
      <c r="HE27" s="223"/>
      <c r="HF27" s="223"/>
      <c r="HG27" s="223"/>
      <c r="HH27" s="223"/>
      <c r="HI27" s="223"/>
      <c r="HJ27" s="223"/>
      <c r="HK27" s="223"/>
      <c r="HL27" s="223"/>
      <c r="HM27" s="223"/>
      <c r="HN27" s="223"/>
      <c r="HO27" s="223"/>
      <c r="HP27" s="223"/>
      <c r="HQ27" s="223"/>
      <c r="HR27" s="223"/>
      <c r="HS27" s="223"/>
      <c r="HT27" s="223"/>
      <c r="HU27" s="223"/>
      <c r="HV27" s="223"/>
      <c r="HW27" s="223"/>
      <c r="HX27" s="223"/>
      <c r="HY27" s="223"/>
      <c r="HZ27" s="223"/>
      <c r="IA27" s="223"/>
      <c r="IB27" s="223"/>
      <c r="IC27" s="223"/>
      <c r="ID27" s="223"/>
      <c r="IE27" s="223"/>
      <c r="IF27" s="223"/>
      <c r="IG27" s="223"/>
      <c r="IH27" s="223"/>
      <c r="II27" s="223"/>
      <c r="IJ27" s="223"/>
      <c r="IK27" s="223"/>
      <c r="IL27" s="223"/>
      <c r="IM27" s="223"/>
      <c r="IN27" s="223"/>
      <c r="IO27" s="223"/>
      <c r="IP27" s="223"/>
      <c r="IQ27" s="223"/>
      <c r="IR27" s="223"/>
      <c r="IS27" s="223"/>
      <c r="IT27" s="223"/>
      <c r="IU27" s="223"/>
      <c r="IV27" s="223"/>
      <c r="IW27" s="223"/>
      <c r="IX27" s="223"/>
      <c r="IY27" s="223"/>
      <c r="IZ27" s="223"/>
      <c r="JA27" s="223"/>
    </row>
    <row r="28" spans="1:261" ht="19.5">
      <c r="A28" s="811"/>
      <c r="B28" s="811"/>
      <c r="C28" s="811"/>
      <c r="D28" s="811"/>
      <c r="E28" s="811"/>
      <c r="F28" s="811"/>
      <c r="G28" s="812"/>
      <c r="H28" s="812"/>
      <c r="I28" s="811"/>
      <c r="J28" s="811"/>
      <c r="K28" s="811"/>
      <c r="L28" s="812"/>
      <c r="M28" s="812"/>
      <c r="N28" s="407"/>
      <c r="O28" s="390"/>
      <c r="P28" s="390"/>
      <c r="Q28" s="390"/>
      <c r="R28" s="390"/>
      <c r="S28" s="390"/>
      <c r="T28" s="415"/>
      <c r="U28" s="390"/>
      <c r="V28" s="390"/>
      <c r="W28" s="382"/>
      <c r="X28" s="387"/>
      <c r="Y28" s="387"/>
      <c r="Z28" s="387"/>
      <c r="AA28" s="390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3"/>
      <c r="BT28" s="223"/>
      <c r="BU28" s="223"/>
      <c r="BV28" s="223"/>
      <c r="BW28" s="223"/>
      <c r="BX28" s="223"/>
      <c r="BY28" s="223"/>
      <c r="BZ28" s="223"/>
      <c r="CA28" s="223"/>
      <c r="CB28" s="223"/>
      <c r="CC28" s="223"/>
      <c r="CD28" s="223"/>
      <c r="CE28" s="223"/>
      <c r="CF28" s="223"/>
      <c r="CG28" s="223"/>
      <c r="CH28" s="223"/>
      <c r="CI28" s="223"/>
      <c r="CJ28" s="223"/>
      <c r="CK28" s="223"/>
      <c r="CL28" s="223"/>
      <c r="CM28" s="223"/>
      <c r="CN28" s="223"/>
      <c r="CO28" s="223"/>
      <c r="CP28" s="223"/>
      <c r="CQ28" s="223"/>
      <c r="CR28" s="223"/>
      <c r="CS28" s="223"/>
      <c r="CT28" s="223"/>
      <c r="CU28" s="223"/>
      <c r="CV28" s="223"/>
      <c r="CW28" s="2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  <c r="DV28" s="223"/>
      <c r="DW28" s="223"/>
      <c r="DX28" s="223"/>
      <c r="DY28" s="223"/>
      <c r="DZ28" s="223"/>
      <c r="EA28" s="223"/>
      <c r="EB28" s="223"/>
      <c r="EC28" s="223"/>
      <c r="ED28" s="223"/>
      <c r="EE28" s="223"/>
      <c r="EF28" s="223"/>
      <c r="EG28" s="223"/>
      <c r="EH28" s="223"/>
      <c r="EI28" s="223"/>
      <c r="EJ28" s="223"/>
      <c r="EK28" s="223"/>
      <c r="EL28" s="223"/>
      <c r="EM28" s="223"/>
      <c r="EN28" s="223"/>
      <c r="EO28" s="223"/>
      <c r="EP28" s="223"/>
      <c r="EQ28" s="223"/>
      <c r="ER28" s="223"/>
      <c r="ES28" s="223"/>
      <c r="ET28" s="223"/>
      <c r="EU28" s="223"/>
      <c r="EV28" s="223"/>
      <c r="EW28" s="223"/>
      <c r="EX28" s="223"/>
      <c r="EY28" s="223"/>
      <c r="EZ28" s="223"/>
      <c r="FA28" s="223"/>
      <c r="FB28" s="223"/>
      <c r="FC28" s="223"/>
      <c r="FD28" s="223"/>
      <c r="FE28" s="223"/>
      <c r="FF28" s="223"/>
      <c r="FG28" s="223"/>
      <c r="FH28" s="223"/>
      <c r="FI28" s="223"/>
      <c r="FJ28" s="223"/>
      <c r="FK28" s="223"/>
      <c r="FL28" s="223"/>
      <c r="FM28" s="223"/>
      <c r="FN28" s="223"/>
      <c r="FO28" s="223"/>
      <c r="FP28" s="223"/>
      <c r="FQ28" s="223"/>
      <c r="FR28" s="223"/>
      <c r="FS28" s="223"/>
      <c r="FT28" s="223"/>
      <c r="FU28" s="223"/>
      <c r="FV28" s="223"/>
      <c r="FW28" s="223"/>
      <c r="FX28" s="223"/>
      <c r="FY28" s="223"/>
      <c r="FZ28" s="223"/>
      <c r="GA28" s="223"/>
      <c r="GB28" s="223"/>
      <c r="GC28" s="223"/>
      <c r="GD28" s="223"/>
      <c r="GE28" s="223"/>
      <c r="GF28" s="223"/>
      <c r="GG28" s="223"/>
      <c r="GH28" s="223"/>
      <c r="GI28" s="223"/>
      <c r="GJ28" s="223"/>
      <c r="GK28" s="223"/>
      <c r="GL28" s="223"/>
      <c r="GM28" s="223"/>
      <c r="GN28" s="223"/>
      <c r="GO28" s="223"/>
      <c r="GP28" s="223"/>
      <c r="GQ28" s="223"/>
      <c r="GR28" s="223"/>
      <c r="GS28" s="223"/>
      <c r="GT28" s="223"/>
      <c r="GU28" s="223"/>
      <c r="GV28" s="223"/>
      <c r="GW28" s="223"/>
      <c r="GX28" s="223"/>
      <c r="GY28" s="223"/>
      <c r="GZ28" s="223"/>
      <c r="HA28" s="223"/>
      <c r="HB28" s="223"/>
      <c r="HC28" s="223"/>
      <c r="HD28" s="223"/>
      <c r="HE28" s="223"/>
      <c r="HF28" s="223"/>
      <c r="HG28" s="223"/>
      <c r="HH28" s="223"/>
      <c r="HI28" s="223"/>
      <c r="HJ28" s="223"/>
      <c r="HK28" s="223"/>
      <c r="HL28" s="223"/>
      <c r="HM28" s="223"/>
      <c r="HN28" s="223"/>
      <c r="HO28" s="223"/>
      <c r="HP28" s="223"/>
      <c r="HQ28" s="223"/>
      <c r="HR28" s="223"/>
      <c r="HS28" s="223"/>
      <c r="HT28" s="223"/>
      <c r="HU28" s="223"/>
      <c r="HV28" s="223"/>
      <c r="HW28" s="223"/>
      <c r="HX28" s="223"/>
      <c r="HY28" s="223"/>
      <c r="HZ28" s="223"/>
      <c r="IA28" s="223"/>
      <c r="IB28" s="223"/>
      <c r="IC28" s="223"/>
      <c r="ID28" s="223"/>
      <c r="IE28" s="223"/>
      <c r="IF28" s="223"/>
      <c r="IG28" s="223"/>
      <c r="IH28" s="223"/>
      <c r="II28" s="223"/>
      <c r="IJ28" s="223"/>
      <c r="IK28" s="223"/>
      <c r="IL28" s="223"/>
      <c r="IM28" s="223"/>
      <c r="IN28" s="223"/>
      <c r="IO28" s="223"/>
      <c r="IP28" s="223"/>
      <c r="IQ28" s="223"/>
      <c r="IR28" s="223"/>
      <c r="IS28" s="223"/>
      <c r="IT28" s="223"/>
      <c r="IU28" s="223"/>
      <c r="IV28" s="223"/>
      <c r="IW28" s="223"/>
      <c r="IX28" s="223"/>
      <c r="IY28" s="223"/>
      <c r="IZ28" s="223"/>
      <c r="JA28" s="223"/>
    </row>
    <row r="29" spans="1:261" ht="19.5">
      <c r="A29" s="811"/>
      <c r="B29" s="811"/>
      <c r="C29" s="811"/>
      <c r="D29" s="811"/>
      <c r="E29" s="811"/>
      <c r="F29" s="811"/>
      <c r="G29" s="812"/>
      <c r="H29" s="812"/>
      <c r="I29" s="811"/>
      <c r="J29" s="811"/>
      <c r="K29" s="811"/>
      <c r="L29" s="812"/>
      <c r="M29" s="812"/>
      <c r="N29" s="407"/>
      <c r="O29" s="390"/>
      <c r="P29" s="390"/>
      <c r="Q29" s="390"/>
      <c r="R29" s="390"/>
      <c r="S29" s="390"/>
      <c r="T29" s="408"/>
      <c r="U29" s="390"/>
      <c r="V29" s="390"/>
      <c r="W29" s="382"/>
      <c r="X29" s="387"/>
      <c r="Y29" s="387"/>
      <c r="Z29" s="387"/>
      <c r="AA29" s="390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3"/>
      <c r="BL29" s="223"/>
      <c r="BM29" s="223"/>
      <c r="BN29" s="223"/>
      <c r="BO29" s="223"/>
      <c r="BP29" s="223"/>
      <c r="BQ29" s="223"/>
      <c r="BR29" s="223"/>
      <c r="BS29" s="223"/>
      <c r="BT29" s="223"/>
      <c r="BU29" s="223"/>
      <c r="BV29" s="223"/>
      <c r="BW29" s="223"/>
      <c r="BX29" s="223"/>
      <c r="BY29" s="223"/>
      <c r="BZ29" s="223"/>
      <c r="CA29" s="223"/>
      <c r="CB29" s="223"/>
      <c r="CC29" s="223"/>
      <c r="CD29" s="223"/>
      <c r="CE29" s="223"/>
      <c r="CF29" s="223"/>
      <c r="CG29" s="223"/>
      <c r="CH29" s="223"/>
      <c r="CI29" s="223"/>
      <c r="CJ29" s="223"/>
      <c r="CK29" s="223"/>
      <c r="CL29" s="223"/>
      <c r="CM29" s="223"/>
      <c r="CN29" s="223"/>
      <c r="CO29" s="223"/>
      <c r="CP29" s="223"/>
      <c r="CQ29" s="223"/>
      <c r="CR29" s="223"/>
      <c r="CS29" s="223"/>
      <c r="CT29" s="223"/>
      <c r="CU29" s="223"/>
      <c r="CV29" s="223"/>
      <c r="CW29" s="223"/>
      <c r="CX29" s="223"/>
      <c r="CY29" s="223"/>
      <c r="CZ29" s="223"/>
      <c r="DA29" s="223"/>
      <c r="DB29" s="223"/>
      <c r="DC29" s="223"/>
      <c r="DD29" s="223"/>
      <c r="DE29" s="223"/>
      <c r="DF29" s="223"/>
      <c r="DG29" s="223"/>
      <c r="DH29" s="223"/>
      <c r="DI29" s="223"/>
      <c r="DJ29" s="223"/>
      <c r="DK29" s="223"/>
      <c r="DL29" s="223"/>
      <c r="DM29" s="223"/>
      <c r="DN29" s="223"/>
      <c r="DO29" s="223"/>
      <c r="DP29" s="223"/>
      <c r="DQ29" s="223"/>
      <c r="DR29" s="223"/>
      <c r="DS29" s="223"/>
      <c r="DT29" s="223"/>
      <c r="DU29" s="223"/>
      <c r="DV29" s="223"/>
      <c r="DW29" s="223"/>
      <c r="DX29" s="223"/>
      <c r="DY29" s="223"/>
      <c r="DZ29" s="223"/>
      <c r="EA29" s="223"/>
      <c r="EB29" s="223"/>
      <c r="EC29" s="223"/>
      <c r="ED29" s="223"/>
      <c r="EE29" s="223"/>
      <c r="EF29" s="223"/>
      <c r="EG29" s="223"/>
      <c r="EH29" s="223"/>
      <c r="EI29" s="223"/>
      <c r="EJ29" s="223"/>
      <c r="EK29" s="223"/>
      <c r="EL29" s="223"/>
      <c r="EM29" s="223"/>
      <c r="EN29" s="223"/>
      <c r="EO29" s="223"/>
      <c r="EP29" s="223"/>
      <c r="EQ29" s="223"/>
      <c r="ER29" s="223"/>
      <c r="ES29" s="223"/>
      <c r="ET29" s="223"/>
      <c r="EU29" s="223"/>
      <c r="EV29" s="223"/>
      <c r="EW29" s="223"/>
      <c r="EX29" s="223"/>
      <c r="EY29" s="223"/>
      <c r="EZ29" s="223"/>
      <c r="FA29" s="223"/>
      <c r="FB29" s="223"/>
      <c r="FC29" s="223"/>
      <c r="FD29" s="223"/>
      <c r="FE29" s="223"/>
      <c r="FF29" s="223"/>
      <c r="FG29" s="223"/>
      <c r="FH29" s="223"/>
      <c r="FI29" s="223"/>
      <c r="FJ29" s="223"/>
      <c r="FK29" s="223"/>
      <c r="FL29" s="223"/>
      <c r="FM29" s="223"/>
      <c r="FN29" s="223"/>
      <c r="FO29" s="223"/>
      <c r="FP29" s="223"/>
      <c r="FQ29" s="223"/>
      <c r="FR29" s="223"/>
      <c r="FS29" s="223"/>
      <c r="FT29" s="223"/>
      <c r="FU29" s="223"/>
      <c r="FV29" s="223"/>
      <c r="FW29" s="223"/>
      <c r="FX29" s="223"/>
      <c r="FY29" s="223"/>
      <c r="FZ29" s="223"/>
      <c r="GA29" s="223"/>
      <c r="GB29" s="223"/>
      <c r="GC29" s="223"/>
      <c r="GD29" s="223"/>
      <c r="GE29" s="223"/>
      <c r="GF29" s="223"/>
      <c r="GG29" s="223"/>
      <c r="GH29" s="223"/>
      <c r="GI29" s="223"/>
      <c r="GJ29" s="223"/>
      <c r="GK29" s="223"/>
      <c r="GL29" s="223"/>
      <c r="GM29" s="223"/>
      <c r="GN29" s="223"/>
      <c r="GO29" s="223"/>
      <c r="GP29" s="223"/>
      <c r="GQ29" s="223"/>
      <c r="GR29" s="223"/>
      <c r="GS29" s="223"/>
      <c r="GT29" s="223"/>
      <c r="GU29" s="223"/>
      <c r="GV29" s="223"/>
      <c r="GW29" s="223"/>
      <c r="GX29" s="223"/>
      <c r="GY29" s="223"/>
      <c r="GZ29" s="223"/>
      <c r="HA29" s="223"/>
      <c r="HB29" s="223"/>
      <c r="HC29" s="223"/>
      <c r="HD29" s="223"/>
      <c r="HE29" s="223"/>
      <c r="HF29" s="223"/>
      <c r="HG29" s="223"/>
      <c r="HH29" s="223"/>
      <c r="HI29" s="223"/>
      <c r="HJ29" s="223"/>
      <c r="HK29" s="223"/>
      <c r="HL29" s="223"/>
      <c r="HM29" s="223"/>
      <c r="HN29" s="223"/>
      <c r="HO29" s="223"/>
      <c r="HP29" s="223"/>
      <c r="HQ29" s="223"/>
      <c r="HR29" s="223"/>
      <c r="HS29" s="223"/>
      <c r="HT29" s="223"/>
      <c r="HU29" s="223"/>
      <c r="HV29" s="223"/>
      <c r="HW29" s="223"/>
      <c r="HX29" s="223"/>
      <c r="HY29" s="223"/>
      <c r="HZ29" s="223"/>
      <c r="IA29" s="223"/>
      <c r="IB29" s="223"/>
      <c r="IC29" s="223"/>
      <c r="ID29" s="223"/>
      <c r="IE29" s="223"/>
      <c r="IF29" s="223"/>
      <c r="IG29" s="223"/>
      <c r="IH29" s="223"/>
      <c r="II29" s="223"/>
      <c r="IJ29" s="223"/>
      <c r="IK29" s="223"/>
      <c r="IL29" s="223"/>
      <c r="IM29" s="223"/>
      <c r="IN29" s="223"/>
      <c r="IO29" s="223"/>
      <c r="IP29" s="223"/>
      <c r="IQ29" s="223"/>
      <c r="IR29" s="223"/>
      <c r="IS29" s="223"/>
      <c r="IT29" s="223"/>
      <c r="IU29" s="223"/>
      <c r="IV29" s="223"/>
      <c r="IW29" s="223"/>
      <c r="IX29" s="223"/>
      <c r="IY29" s="223"/>
      <c r="IZ29" s="223"/>
      <c r="JA29" s="223"/>
    </row>
    <row r="30" spans="1:261" ht="19.5">
      <c r="A30" s="2156"/>
      <c r="B30" s="2156"/>
      <c r="C30" s="811"/>
      <c r="D30" s="811"/>
      <c r="E30" s="811"/>
      <c r="F30" s="811"/>
      <c r="G30" s="812"/>
      <c r="H30" s="812"/>
      <c r="I30" s="811"/>
      <c r="J30" s="811"/>
      <c r="K30" s="811"/>
      <c r="L30" s="812"/>
      <c r="M30" s="812"/>
      <c r="N30" s="407"/>
      <c r="O30" s="390"/>
      <c r="P30" s="390"/>
      <c r="Q30" s="390"/>
      <c r="R30" s="390"/>
      <c r="S30" s="390"/>
      <c r="T30" s="408"/>
      <c r="U30" s="390"/>
      <c r="V30" s="390"/>
      <c r="W30" s="381"/>
      <c r="X30" s="391"/>
      <c r="Y30" s="391"/>
      <c r="Z30" s="222"/>
      <c r="AA30" s="390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3"/>
      <c r="BK30" s="223"/>
      <c r="BL30" s="223"/>
      <c r="BM30" s="223"/>
      <c r="BN30" s="223"/>
      <c r="BO30" s="223"/>
      <c r="BP30" s="223"/>
      <c r="BQ30" s="223"/>
      <c r="BR30" s="223"/>
      <c r="BS30" s="223"/>
      <c r="BT30" s="223"/>
      <c r="BU30" s="223"/>
      <c r="BV30" s="223"/>
      <c r="BW30" s="223"/>
      <c r="BX30" s="223"/>
      <c r="BY30" s="223"/>
      <c r="BZ30" s="223"/>
      <c r="CA30" s="223"/>
      <c r="CB30" s="223"/>
      <c r="CC30" s="223"/>
      <c r="CD30" s="223"/>
      <c r="CE30" s="223"/>
      <c r="CF30" s="223"/>
      <c r="CG30" s="223"/>
      <c r="CH30" s="223"/>
      <c r="CI30" s="223"/>
      <c r="CJ30" s="223"/>
      <c r="CK30" s="223"/>
      <c r="CL30" s="223"/>
      <c r="CM30" s="223"/>
      <c r="CN30" s="223"/>
      <c r="CO30" s="223"/>
      <c r="CP30" s="223"/>
      <c r="CQ30" s="223"/>
      <c r="CR30" s="223"/>
      <c r="CS30" s="223"/>
      <c r="CT30" s="223"/>
      <c r="CU30" s="223"/>
      <c r="CV30" s="223"/>
      <c r="CW30" s="223"/>
      <c r="CX30" s="223"/>
      <c r="CY30" s="223"/>
      <c r="CZ30" s="223"/>
      <c r="DA30" s="223"/>
      <c r="DB30" s="223"/>
      <c r="DC30" s="223"/>
      <c r="DD30" s="223"/>
      <c r="DE30" s="223"/>
      <c r="DF30" s="223"/>
      <c r="DG30" s="223"/>
      <c r="DH30" s="223"/>
      <c r="DI30" s="223"/>
      <c r="DJ30" s="223"/>
      <c r="DK30" s="223"/>
      <c r="DL30" s="223"/>
      <c r="DM30" s="223"/>
      <c r="DN30" s="223"/>
      <c r="DO30" s="223"/>
      <c r="DP30" s="223"/>
      <c r="DQ30" s="223"/>
      <c r="DR30" s="223"/>
      <c r="DS30" s="223"/>
      <c r="DT30" s="223"/>
      <c r="DU30" s="223"/>
      <c r="DV30" s="223"/>
      <c r="DW30" s="223"/>
      <c r="DX30" s="223"/>
      <c r="DY30" s="223"/>
      <c r="DZ30" s="223"/>
      <c r="EA30" s="223"/>
      <c r="EB30" s="223"/>
      <c r="EC30" s="223"/>
      <c r="ED30" s="223"/>
      <c r="EE30" s="223"/>
      <c r="EF30" s="223"/>
      <c r="EG30" s="223"/>
      <c r="EH30" s="223"/>
      <c r="EI30" s="223"/>
      <c r="EJ30" s="223"/>
      <c r="EK30" s="223"/>
      <c r="EL30" s="223"/>
      <c r="EM30" s="223"/>
      <c r="EN30" s="223"/>
      <c r="EO30" s="223"/>
      <c r="EP30" s="223"/>
      <c r="EQ30" s="223"/>
      <c r="ER30" s="223"/>
      <c r="ES30" s="223"/>
      <c r="ET30" s="223"/>
      <c r="EU30" s="223"/>
      <c r="EV30" s="223"/>
      <c r="EW30" s="223"/>
      <c r="EX30" s="223"/>
      <c r="EY30" s="223"/>
      <c r="EZ30" s="223"/>
      <c r="FA30" s="223"/>
      <c r="FB30" s="223"/>
      <c r="FC30" s="223"/>
      <c r="FD30" s="223"/>
      <c r="FE30" s="223"/>
      <c r="FF30" s="223"/>
      <c r="FG30" s="223"/>
      <c r="FH30" s="223"/>
      <c r="FI30" s="223"/>
      <c r="FJ30" s="223"/>
      <c r="FK30" s="223"/>
      <c r="FL30" s="223"/>
      <c r="FM30" s="223"/>
      <c r="FN30" s="223"/>
      <c r="FO30" s="223"/>
      <c r="FP30" s="223"/>
      <c r="FQ30" s="223"/>
      <c r="FR30" s="223"/>
      <c r="FS30" s="223"/>
      <c r="FT30" s="223"/>
      <c r="FU30" s="223"/>
      <c r="FV30" s="223"/>
      <c r="FW30" s="223"/>
      <c r="FX30" s="223"/>
      <c r="FY30" s="223"/>
      <c r="FZ30" s="223"/>
      <c r="GA30" s="223"/>
      <c r="GB30" s="223"/>
      <c r="GC30" s="223"/>
      <c r="GD30" s="223"/>
      <c r="GE30" s="223"/>
      <c r="GF30" s="223"/>
      <c r="GG30" s="223"/>
      <c r="GH30" s="223"/>
      <c r="GI30" s="223"/>
      <c r="GJ30" s="223"/>
      <c r="GK30" s="223"/>
      <c r="GL30" s="223"/>
      <c r="GM30" s="223"/>
      <c r="GN30" s="223"/>
      <c r="GO30" s="223"/>
      <c r="GP30" s="223"/>
      <c r="GQ30" s="223"/>
      <c r="GR30" s="223"/>
      <c r="GS30" s="223"/>
      <c r="GT30" s="223"/>
      <c r="GU30" s="223"/>
      <c r="GV30" s="223"/>
      <c r="GW30" s="223"/>
      <c r="GX30" s="223"/>
      <c r="GY30" s="223"/>
      <c r="GZ30" s="223"/>
      <c r="HA30" s="223"/>
      <c r="HB30" s="223"/>
      <c r="HC30" s="223"/>
      <c r="HD30" s="223"/>
      <c r="HE30" s="223"/>
      <c r="HF30" s="223"/>
      <c r="HG30" s="223"/>
      <c r="HH30" s="223"/>
      <c r="HI30" s="223"/>
      <c r="HJ30" s="223"/>
      <c r="HK30" s="223"/>
      <c r="HL30" s="223"/>
      <c r="HM30" s="223"/>
      <c r="HN30" s="223"/>
      <c r="HO30" s="223"/>
      <c r="HP30" s="223"/>
      <c r="HQ30" s="223"/>
      <c r="HR30" s="223"/>
      <c r="HS30" s="223"/>
      <c r="HT30" s="223"/>
      <c r="HU30" s="223"/>
      <c r="HV30" s="223"/>
      <c r="HW30" s="223"/>
      <c r="HX30" s="223"/>
      <c r="HY30" s="223"/>
      <c r="HZ30" s="223"/>
      <c r="IA30" s="223"/>
      <c r="IB30" s="223"/>
      <c r="IC30" s="223"/>
      <c r="ID30" s="223"/>
      <c r="IE30" s="223"/>
      <c r="IF30" s="223"/>
      <c r="IG30" s="223"/>
      <c r="IH30" s="223"/>
      <c r="II30" s="223"/>
      <c r="IJ30" s="223"/>
      <c r="IK30" s="223"/>
      <c r="IL30" s="223"/>
      <c r="IM30" s="223"/>
      <c r="IN30" s="223"/>
      <c r="IO30" s="223"/>
      <c r="IP30" s="223"/>
      <c r="IQ30" s="223"/>
      <c r="IR30" s="223"/>
      <c r="IS30" s="223"/>
      <c r="IT30" s="223"/>
      <c r="IU30" s="223"/>
      <c r="IV30" s="223"/>
      <c r="IW30" s="223"/>
      <c r="IX30" s="223"/>
      <c r="IY30" s="223"/>
      <c r="IZ30" s="223"/>
      <c r="JA30" s="223"/>
    </row>
    <row r="31" spans="1:261" ht="19.5">
      <c r="A31" s="2150" t="s">
        <v>1180</v>
      </c>
      <c r="B31" s="2150"/>
      <c r="C31" s="2150"/>
      <c r="D31" s="2150"/>
      <c r="E31" s="2150"/>
      <c r="F31" s="2150"/>
      <c r="G31" s="2150"/>
      <c r="H31" s="2150"/>
      <c r="I31" s="2150"/>
      <c r="J31" s="2150"/>
      <c r="K31" s="2150"/>
      <c r="L31" s="2150"/>
      <c r="M31" s="2150"/>
      <c r="N31" s="407"/>
      <c r="O31" s="390"/>
      <c r="P31" s="390"/>
      <c r="Q31" s="390"/>
      <c r="R31" s="390"/>
      <c r="S31" s="390"/>
      <c r="T31" s="408"/>
      <c r="U31" s="390"/>
      <c r="V31" s="390"/>
      <c r="W31" s="381"/>
      <c r="X31" s="381"/>
      <c r="Y31" s="381"/>
      <c r="Z31" s="392"/>
      <c r="AA31" s="390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3"/>
      <c r="BK31" s="223"/>
      <c r="BL31" s="223"/>
      <c r="BM31" s="223"/>
      <c r="BN31" s="223"/>
      <c r="BO31" s="223"/>
      <c r="BP31" s="223"/>
      <c r="BQ31" s="223"/>
      <c r="BR31" s="223"/>
      <c r="BS31" s="223"/>
      <c r="BT31" s="223"/>
      <c r="BU31" s="223"/>
      <c r="BV31" s="223"/>
      <c r="BW31" s="223"/>
      <c r="BX31" s="223"/>
      <c r="BY31" s="223"/>
      <c r="BZ31" s="223"/>
      <c r="CA31" s="223"/>
      <c r="CB31" s="223"/>
      <c r="CC31" s="223"/>
      <c r="CD31" s="223"/>
      <c r="CE31" s="223"/>
      <c r="CF31" s="223"/>
      <c r="CG31" s="223"/>
      <c r="CH31" s="223"/>
      <c r="CI31" s="223"/>
      <c r="CJ31" s="223"/>
      <c r="CK31" s="223"/>
      <c r="CL31" s="223"/>
      <c r="CM31" s="223"/>
      <c r="CN31" s="223"/>
      <c r="CO31" s="223"/>
      <c r="CP31" s="223"/>
      <c r="CQ31" s="223"/>
      <c r="CR31" s="223"/>
      <c r="CS31" s="223"/>
      <c r="CT31" s="223"/>
      <c r="CU31" s="223"/>
      <c r="CV31" s="223"/>
      <c r="CW31" s="223"/>
      <c r="CX31" s="223"/>
      <c r="CY31" s="223"/>
      <c r="CZ31" s="223"/>
      <c r="DA31" s="223"/>
      <c r="DB31" s="223"/>
      <c r="DC31" s="223"/>
      <c r="DD31" s="223"/>
      <c r="DE31" s="223"/>
      <c r="DF31" s="223"/>
      <c r="DG31" s="223"/>
      <c r="DH31" s="223"/>
      <c r="DI31" s="223"/>
      <c r="DJ31" s="223"/>
      <c r="DK31" s="223"/>
      <c r="DL31" s="223"/>
      <c r="DM31" s="223"/>
      <c r="DN31" s="223"/>
      <c r="DO31" s="223"/>
      <c r="DP31" s="223"/>
      <c r="DQ31" s="223"/>
      <c r="DR31" s="223"/>
      <c r="DS31" s="223"/>
      <c r="DT31" s="223"/>
      <c r="DU31" s="223"/>
      <c r="DV31" s="223"/>
      <c r="DW31" s="223"/>
      <c r="DX31" s="223"/>
      <c r="DY31" s="223"/>
      <c r="DZ31" s="223"/>
      <c r="EA31" s="223"/>
      <c r="EB31" s="223"/>
      <c r="EC31" s="223"/>
      <c r="ED31" s="223"/>
      <c r="EE31" s="223"/>
      <c r="EF31" s="223"/>
      <c r="EG31" s="223"/>
      <c r="EH31" s="223"/>
      <c r="EI31" s="223"/>
      <c r="EJ31" s="223"/>
      <c r="EK31" s="223"/>
      <c r="EL31" s="223"/>
      <c r="EM31" s="223"/>
      <c r="EN31" s="223"/>
      <c r="EO31" s="223"/>
      <c r="EP31" s="223"/>
      <c r="EQ31" s="223"/>
      <c r="ER31" s="223"/>
      <c r="ES31" s="223"/>
      <c r="ET31" s="223"/>
      <c r="EU31" s="223"/>
      <c r="EV31" s="223"/>
      <c r="EW31" s="223"/>
      <c r="EX31" s="223"/>
      <c r="EY31" s="223"/>
      <c r="EZ31" s="223"/>
      <c r="FA31" s="223"/>
      <c r="FB31" s="223"/>
      <c r="FC31" s="223"/>
      <c r="FD31" s="223"/>
      <c r="FE31" s="223"/>
      <c r="FF31" s="223"/>
      <c r="FG31" s="223"/>
      <c r="FH31" s="223"/>
      <c r="FI31" s="223"/>
      <c r="FJ31" s="223"/>
      <c r="FK31" s="223"/>
      <c r="FL31" s="223"/>
      <c r="FM31" s="223"/>
      <c r="FN31" s="223"/>
      <c r="FO31" s="223"/>
      <c r="FP31" s="223"/>
      <c r="FQ31" s="223"/>
      <c r="FR31" s="223"/>
      <c r="FS31" s="223"/>
      <c r="FT31" s="223"/>
      <c r="FU31" s="223"/>
      <c r="FV31" s="223"/>
      <c r="FW31" s="223"/>
      <c r="FX31" s="223"/>
      <c r="FY31" s="223"/>
      <c r="FZ31" s="223"/>
      <c r="GA31" s="223"/>
      <c r="GB31" s="223"/>
      <c r="GC31" s="223"/>
      <c r="GD31" s="223"/>
      <c r="GE31" s="223"/>
      <c r="GF31" s="223"/>
      <c r="GG31" s="223"/>
      <c r="GH31" s="223"/>
      <c r="GI31" s="223"/>
      <c r="GJ31" s="223"/>
      <c r="GK31" s="223"/>
      <c r="GL31" s="223"/>
      <c r="GM31" s="223"/>
      <c r="GN31" s="223"/>
      <c r="GO31" s="223"/>
      <c r="GP31" s="223"/>
      <c r="GQ31" s="223"/>
      <c r="GR31" s="223"/>
      <c r="GS31" s="223"/>
      <c r="GT31" s="223"/>
      <c r="GU31" s="223"/>
      <c r="GV31" s="223"/>
      <c r="GW31" s="223"/>
      <c r="GX31" s="223"/>
      <c r="GY31" s="223"/>
      <c r="GZ31" s="223"/>
      <c r="HA31" s="223"/>
      <c r="HB31" s="223"/>
      <c r="HC31" s="223"/>
      <c r="HD31" s="223"/>
      <c r="HE31" s="223"/>
      <c r="HF31" s="223"/>
      <c r="HG31" s="223"/>
      <c r="HH31" s="223"/>
      <c r="HI31" s="223"/>
      <c r="HJ31" s="223"/>
      <c r="HK31" s="223"/>
      <c r="HL31" s="223"/>
      <c r="HM31" s="223"/>
      <c r="HN31" s="223"/>
      <c r="HO31" s="223"/>
      <c r="HP31" s="223"/>
      <c r="HQ31" s="223"/>
      <c r="HR31" s="223"/>
      <c r="HS31" s="223"/>
      <c r="HT31" s="223"/>
      <c r="HU31" s="223"/>
      <c r="HV31" s="223"/>
      <c r="HW31" s="223"/>
      <c r="HX31" s="223"/>
      <c r="HY31" s="223"/>
      <c r="HZ31" s="223"/>
      <c r="IA31" s="223"/>
      <c r="IB31" s="223"/>
      <c r="IC31" s="223"/>
      <c r="ID31" s="223"/>
      <c r="IE31" s="223"/>
      <c r="IF31" s="223"/>
      <c r="IG31" s="223"/>
      <c r="IH31" s="223"/>
      <c r="II31" s="223"/>
      <c r="IJ31" s="223"/>
      <c r="IK31" s="223"/>
      <c r="IL31" s="223"/>
      <c r="IM31" s="223"/>
      <c r="IN31" s="223"/>
      <c r="IO31" s="223"/>
      <c r="IP31" s="223"/>
      <c r="IQ31" s="223"/>
      <c r="IR31" s="223"/>
      <c r="IS31" s="223"/>
      <c r="IT31" s="223"/>
      <c r="IU31" s="223"/>
      <c r="IV31" s="223"/>
      <c r="IW31" s="223"/>
      <c r="IX31" s="223"/>
      <c r="IY31" s="223"/>
      <c r="IZ31" s="223"/>
      <c r="JA31" s="223"/>
    </row>
    <row r="32" spans="1:261" ht="19.5">
      <c r="A32" s="811"/>
      <c r="B32" s="811"/>
      <c r="C32" s="811"/>
      <c r="D32" s="811"/>
      <c r="E32" s="811"/>
      <c r="F32" s="811"/>
      <c r="G32" s="812"/>
      <c r="H32" s="812"/>
      <c r="I32" s="811"/>
      <c r="J32" s="811"/>
      <c r="K32" s="811"/>
      <c r="L32" s="812"/>
      <c r="M32" s="812"/>
      <c r="N32" s="407"/>
      <c r="O32" s="390"/>
      <c r="P32" s="390"/>
      <c r="Q32" s="390"/>
      <c r="R32" s="390"/>
      <c r="S32" s="390"/>
      <c r="T32" s="408"/>
      <c r="U32" s="390"/>
      <c r="V32" s="390"/>
      <c r="W32" s="381"/>
      <c r="X32" s="381"/>
      <c r="Y32" s="381"/>
      <c r="Z32" s="392"/>
      <c r="AA32" s="390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3"/>
      <c r="CG32" s="223"/>
      <c r="CH32" s="223"/>
      <c r="CI32" s="223"/>
      <c r="CJ32" s="223"/>
      <c r="CK32" s="223"/>
      <c r="CL32" s="223"/>
      <c r="CM32" s="223"/>
      <c r="CN32" s="223"/>
      <c r="CO32" s="223"/>
      <c r="CP32" s="223"/>
      <c r="CQ32" s="223"/>
      <c r="CR32" s="223"/>
      <c r="CS32" s="223"/>
      <c r="CT32" s="223"/>
      <c r="CU32" s="223"/>
      <c r="CV32" s="223"/>
      <c r="CW32" s="223"/>
      <c r="CX32" s="223"/>
      <c r="CY32" s="223"/>
      <c r="CZ32" s="223"/>
      <c r="DA32" s="223"/>
      <c r="DB32" s="223"/>
      <c r="DC32" s="223"/>
      <c r="DD32" s="223"/>
      <c r="DE32" s="223"/>
      <c r="DF32" s="223"/>
      <c r="DG32" s="223"/>
      <c r="DH32" s="223"/>
      <c r="DI32" s="223"/>
      <c r="DJ32" s="223"/>
      <c r="DK32" s="223"/>
      <c r="DL32" s="223"/>
      <c r="DM32" s="223"/>
      <c r="DN32" s="223"/>
      <c r="DO32" s="223"/>
      <c r="DP32" s="223"/>
      <c r="DQ32" s="223"/>
      <c r="DR32" s="223"/>
      <c r="DS32" s="223"/>
      <c r="DT32" s="223"/>
      <c r="DU32" s="223"/>
      <c r="DV32" s="223"/>
      <c r="DW32" s="223"/>
      <c r="DX32" s="223"/>
      <c r="DY32" s="223"/>
      <c r="DZ32" s="223"/>
      <c r="EA32" s="223"/>
      <c r="EB32" s="223"/>
      <c r="EC32" s="223"/>
      <c r="ED32" s="223"/>
      <c r="EE32" s="223"/>
      <c r="EF32" s="223"/>
      <c r="EG32" s="223"/>
      <c r="EH32" s="223"/>
      <c r="EI32" s="223"/>
      <c r="EJ32" s="223"/>
      <c r="EK32" s="223"/>
      <c r="EL32" s="223"/>
      <c r="EM32" s="223"/>
      <c r="EN32" s="223"/>
      <c r="EO32" s="223"/>
      <c r="EP32" s="223"/>
      <c r="EQ32" s="223"/>
      <c r="ER32" s="223"/>
      <c r="ES32" s="223"/>
      <c r="ET32" s="223"/>
      <c r="EU32" s="223"/>
      <c r="EV32" s="223"/>
      <c r="EW32" s="223"/>
      <c r="EX32" s="223"/>
      <c r="EY32" s="223"/>
      <c r="EZ32" s="223"/>
      <c r="FA32" s="223"/>
      <c r="FB32" s="223"/>
      <c r="FC32" s="223"/>
      <c r="FD32" s="223"/>
      <c r="FE32" s="223"/>
      <c r="FF32" s="223"/>
      <c r="FG32" s="223"/>
      <c r="FH32" s="223"/>
      <c r="FI32" s="223"/>
      <c r="FJ32" s="223"/>
      <c r="FK32" s="223"/>
      <c r="FL32" s="223"/>
      <c r="FM32" s="223"/>
      <c r="FN32" s="223"/>
      <c r="FO32" s="223"/>
      <c r="FP32" s="223"/>
      <c r="FQ32" s="223"/>
      <c r="FR32" s="223"/>
      <c r="FS32" s="223"/>
      <c r="FT32" s="223"/>
      <c r="FU32" s="223"/>
      <c r="FV32" s="223"/>
      <c r="FW32" s="223"/>
      <c r="FX32" s="223"/>
      <c r="FY32" s="223"/>
      <c r="FZ32" s="223"/>
      <c r="GA32" s="223"/>
      <c r="GB32" s="223"/>
      <c r="GC32" s="223"/>
      <c r="GD32" s="223"/>
      <c r="GE32" s="223"/>
      <c r="GF32" s="223"/>
      <c r="GG32" s="223"/>
      <c r="GH32" s="223"/>
      <c r="GI32" s="223"/>
      <c r="GJ32" s="223"/>
      <c r="GK32" s="223"/>
      <c r="GL32" s="223"/>
      <c r="GM32" s="223"/>
      <c r="GN32" s="223"/>
      <c r="GO32" s="223"/>
      <c r="GP32" s="223"/>
      <c r="GQ32" s="223"/>
      <c r="GR32" s="223"/>
      <c r="GS32" s="223"/>
      <c r="GT32" s="223"/>
      <c r="GU32" s="223"/>
      <c r="GV32" s="223"/>
      <c r="GW32" s="223"/>
      <c r="GX32" s="223"/>
      <c r="GY32" s="223"/>
      <c r="GZ32" s="223"/>
      <c r="HA32" s="223"/>
      <c r="HB32" s="223"/>
      <c r="HC32" s="223"/>
      <c r="HD32" s="223"/>
      <c r="HE32" s="223"/>
      <c r="HF32" s="223"/>
      <c r="HG32" s="223"/>
      <c r="HH32" s="223"/>
      <c r="HI32" s="223"/>
      <c r="HJ32" s="223"/>
      <c r="HK32" s="223"/>
      <c r="HL32" s="223"/>
      <c r="HM32" s="223"/>
      <c r="HN32" s="223"/>
      <c r="HO32" s="223"/>
      <c r="HP32" s="223"/>
      <c r="HQ32" s="223"/>
      <c r="HR32" s="223"/>
      <c r="HS32" s="223"/>
      <c r="HT32" s="223"/>
      <c r="HU32" s="223"/>
      <c r="HV32" s="223"/>
      <c r="HW32" s="223"/>
      <c r="HX32" s="223"/>
      <c r="HY32" s="223"/>
      <c r="HZ32" s="223"/>
      <c r="IA32" s="223"/>
      <c r="IB32" s="223"/>
      <c r="IC32" s="223"/>
      <c r="ID32" s="223"/>
      <c r="IE32" s="223"/>
      <c r="IF32" s="223"/>
      <c r="IG32" s="223"/>
      <c r="IH32" s="223"/>
      <c r="II32" s="223"/>
      <c r="IJ32" s="223"/>
      <c r="IK32" s="223"/>
      <c r="IL32" s="223"/>
      <c r="IM32" s="223"/>
      <c r="IN32" s="223"/>
      <c r="IO32" s="223"/>
      <c r="IP32" s="223"/>
      <c r="IQ32" s="223"/>
      <c r="IR32" s="223"/>
      <c r="IS32" s="223"/>
      <c r="IT32" s="223"/>
      <c r="IU32" s="223"/>
      <c r="IV32" s="223"/>
      <c r="IW32" s="223"/>
      <c r="IX32" s="223"/>
      <c r="IY32" s="223"/>
      <c r="IZ32" s="223"/>
      <c r="JA32" s="223"/>
    </row>
    <row r="33" spans="1:261" ht="16.5">
      <c r="A33" s="390"/>
      <c r="B33" s="390"/>
      <c r="C33" s="390"/>
      <c r="D33" s="390"/>
      <c r="E33" s="390"/>
      <c r="F33" s="390"/>
      <c r="G33" s="403"/>
      <c r="H33" s="403"/>
      <c r="I33" s="390"/>
      <c r="J33" s="390"/>
      <c r="K33" s="390"/>
      <c r="L33" s="403"/>
      <c r="M33" s="403"/>
      <c r="N33" s="407"/>
      <c r="O33" s="390"/>
      <c r="P33" s="390"/>
      <c r="Q33" s="390"/>
      <c r="R33" s="390"/>
      <c r="S33" s="390"/>
      <c r="T33" s="408"/>
      <c r="U33" s="390"/>
      <c r="V33" s="390"/>
      <c r="W33" s="381"/>
      <c r="X33" s="381"/>
      <c r="Y33" s="381"/>
      <c r="Z33" s="392"/>
      <c r="AA33" s="390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3"/>
      <c r="BK33" s="223"/>
      <c r="BL33" s="223"/>
      <c r="BM33" s="223"/>
      <c r="BN33" s="223"/>
      <c r="BO33" s="223"/>
      <c r="BP33" s="223"/>
      <c r="BQ33" s="223"/>
      <c r="BR33" s="223"/>
      <c r="BS33" s="223"/>
      <c r="BT33" s="223"/>
      <c r="BU33" s="223"/>
      <c r="BV33" s="223"/>
      <c r="BW33" s="223"/>
      <c r="BX33" s="223"/>
      <c r="BY33" s="223"/>
      <c r="BZ33" s="223"/>
      <c r="CA33" s="223"/>
      <c r="CB33" s="223"/>
      <c r="CC33" s="223"/>
      <c r="CD33" s="223"/>
      <c r="CE33" s="223"/>
      <c r="CF33" s="223"/>
      <c r="CG33" s="223"/>
      <c r="CH33" s="223"/>
      <c r="CI33" s="223"/>
      <c r="CJ33" s="223"/>
      <c r="CK33" s="223"/>
      <c r="CL33" s="223"/>
      <c r="CM33" s="223"/>
      <c r="CN33" s="223"/>
      <c r="CO33" s="223"/>
      <c r="CP33" s="223"/>
      <c r="CQ33" s="223"/>
      <c r="CR33" s="223"/>
      <c r="CS33" s="223"/>
      <c r="CT33" s="223"/>
      <c r="CU33" s="223"/>
      <c r="CV33" s="223"/>
      <c r="CW33" s="223"/>
      <c r="CX33" s="223"/>
      <c r="CY33" s="223"/>
      <c r="CZ33" s="223"/>
      <c r="DA33" s="223"/>
      <c r="DB33" s="223"/>
      <c r="DC33" s="223"/>
      <c r="DD33" s="223"/>
      <c r="DE33" s="223"/>
      <c r="DF33" s="223"/>
      <c r="DG33" s="223"/>
      <c r="DH33" s="223"/>
      <c r="DI33" s="223"/>
      <c r="DJ33" s="223"/>
      <c r="DK33" s="223"/>
      <c r="DL33" s="223"/>
      <c r="DM33" s="223"/>
      <c r="DN33" s="223"/>
      <c r="DO33" s="223"/>
      <c r="DP33" s="223"/>
      <c r="DQ33" s="223"/>
      <c r="DR33" s="223"/>
      <c r="DS33" s="223"/>
      <c r="DT33" s="223"/>
      <c r="DU33" s="223"/>
      <c r="DV33" s="223"/>
      <c r="DW33" s="223"/>
      <c r="DX33" s="223"/>
      <c r="DY33" s="223"/>
      <c r="DZ33" s="223"/>
      <c r="EA33" s="223"/>
      <c r="EB33" s="223"/>
      <c r="EC33" s="223"/>
      <c r="ED33" s="223"/>
      <c r="EE33" s="223"/>
      <c r="EF33" s="223"/>
      <c r="EG33" s="223"/>
      <c r="EH33" s="223"/>
      <c r="EI33" s="223"/>
      <c r="EJ33" s="223"/>
      <c r="EK33" s="223"/>
      <c r="EL33" s="223"/>
      <c r="EM33" s="223"/>
      <c r="EN33" s="223"/>
      <c r="EO33" s="223"/>
      <c r="EP33" s="223"/>
      <c r="EQ33" s="223"/>
      <c r="ER33" s="223"/>
      <c r="ES33" s="223"/>
      <c r="ET33" s="223"/>
      <c r="EU33" s="223"/>
      <c r="EV33" s="223"/>
      <c r="EW33" s="223"/>
      <c r="EX33" s="223"/>
      <c r="EY33" s="223"/>
      <c r="EZ33" s="223"/>
      <c r="FA33" s="223"/>
      <c r="FB33" s="223"/>
      <c r="FC33" s="223"/>
      <c r="FD33" s="223"/>
      <c r="FE33" s="223"/>
      <c r="FF33" s="223"/>
      <c r="FG33" s="223"/>
      <c r="FH33" s="223"/>
      <c r="FI33" s="223"/>
      <c r="FJ33" s="223"/>
      <c r="FK33" s="223"/>
      <c r="FL33" s="223"/>
      <c r="FM33" s="223"/>
      <c r="FN33" s="223"/>
      <c r="FO33" s="223"/>
      <c r="FP33" s="223"/>
      <c r="FQ33" s="223"/>
      <c r="FR33" s="223"/>
      <c r="FS33" s="223"/>
      <c r="FT33" s="223"/>
      <c r="FU33" s="223"/>
      <c r="FV33" s="223"/>
      <c r="FW33" s="223"/>
      <c r="FX33" s="223"/>
      <c r="FY33" s="223"/>
      <c r="FZ33" s="223"/>
      <c r="GA33" s="223"/>
      <c r="GB33" s="223"/>
      <c r="GC33" s="223"/>
      <c r="GD33" s="223"/>
      <c r="GE33" s="223"/>
      <c r="GF33" s="223"/>
      <c r="GG33" s="223"/>
      <c r="GH33" s="223"/>
      <c r="GI33" s="223"/>
      <c r="GJ33" s="223"/>
      <c r="GK33" s="223"/>
      <c r="GL33" s="223"/>
      <c r="GM33" s="223"/>
      <c r="GN33" s="223"/>
      <c r="GO33" s="223"/>
      <c r="GP33" s="223"/>
      <c r="GQ33" s="223"/>
      <c r="GR33" s="223"/>
      <c r="GS33" s="223"/>
      <c r="GT33" s="223"/>
      <c r="GU33" s="223"/>
      <c r="GV33" s="223"/>
      <c r="GW33" s="223"/>
      <c r="GX33" s="223"/>
      <c r="GY33" s="223"/>
      <c r="GZ33" s="223"/>
      <c r="HA33" s="223"/>
      <c r="HB33" s="223"/>
      <c r="HC33" s="223"/>
      <c r="HD33" s="223"/>
      <c r="HE33" s="223"/>
      <c r="HF33" s="223"/>
      <c r="HG33" s="223"/>
      <c r="HH33" s="223"/>
      <c r="HI33" s="223"/>
      <c r="HJ33" s="223"/>
      <c r="HK33" s="223"/>
      <c r="HL33" s="223"/>
      <c r="HM33" s="223"/>
      <c r="HN33" s="223"/>
      <c r="HO33" s="223"/>
      <c r="HP33" s="223"/>
      <c r="HQ33" s="223"/>
      <c r="HR33" s="223"/>
      <c r="HS33" s="223"/>
      <c r="HT33" s="223"/>
      <c r="HU33" s="223"/>
      <c r="HV33" s="223"/>
      <c r="HW33" s="223"/>
      <c r="HX33" s="223"/>
      <c r="HY33" s="223"/>
      <c r="HZ33" s="223"/>
      <c r="IA33" s="223"/>
      <c r="IB33" s="223"/>
      <c r="IC33" s="223"/>
      <c r="ID33" s="223"/>
      <c r="IE33" s="223"/>
      <c r="IF33" s="223"/>
      <c r="IG33" s="223"/>
      <c r="IH33" s="223"/>
      <c r="II33" s="223"/>
      <c r="IJ33" s="223"/>
      <c r="IK33" s="223"/>
      <c r="IL33" s="223"/>
      <c r="IM33" s="223"/>
      <c r="IN33" s="223"/>
      <c r="IO33" s="223"/>
      <c r="IP33" s="223"/>
      <c r="IQ33" s="223"/>
      <c r="IR33" s="223"/>
      <c r="IS33" s="223"/>
      <c r="IT33" s="223"/>
      <c r="IU33" s="223"/>
      <c r="IV33" s="223"/>
      <c r="IW33" s="223"/>
      <c r="IX33" s="223"/>
      <c r="IY33" s="223"/>
      <c r="IZ33" s="223"/>
      <c r="JA33" s="223"/>
    </row>
    <row r="34" spans="1:261" ht="16.5">
      <c r="A34" s="390"/>
      <c r="B34" s="390"/>
      <c r="C34" s="390"/>
      <c r="D34" s="390"/>
      <c r="E34" s="390"/>
      <c r="F34" s="390"/>
      <c r="G34" s="403"/>
      <c r="H34" s="403"/>
      <c r="I34" s="390"/>
      <c r="J34" s="390"/>
      <c r="K34" s="390"/>
      <c r="L34" s="403"/>
      <c r="M34" s="403"/>
      <c r="N34" s="407"/>
      <c r="O34" s="390"/>
      <c r="P34" s="390"/>
      <c r="Q34" s="390"/>
      <c r="R34" s="390"/>
      <c r="S34" s="390"/>
      <c r="T34" s="408"/>
      <c r="U34" s="390"/>
      <c r="V34" s="390"/>
      <c r="W34" s="381"/>
      <c r="X34" s="381"/>
      <c r="Y34" s="381"/>
      <c r="Z34" s="392"/>
      <c r="AA34" s="390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3"/>
      <c r="BL34" s="223"/>
      <c r="BM34" s="223"/>
      <c r="BN34" s="223"/>
      <c r="BO34" s="223"/>
      <c r="BP34" s="223"/>
      <c r="BQ34" s="223"/>
      <c r="BR34" s="223"/>
      <c r="BS34" s="223"/>
      <c r="BT34" s="223"/>
      <c r="BU34" s="223"/>
      <c r="BV34" s="223"/>
      <c r="BW34" s="223"/>
      <c r="BX34" s="223"/>
      <c r="BY34" s="223"/>
      <c r="BZ34" s="223"/>
      <c r="CA34" s="223"/>
      <c r="CB34" s="223"/>
      <c r="CC34" s="223"/>
      <c r="CD34" s="223"/>
      <c r="CE34" s="223"/>
      <c r="CF34" s="223"/>
      <c r="CG34" s="223"/>
      <c r="CH34" s="223"/>
      <c r="CI34" s="223"/>
      <c r="CJ34" s="223"/>
      <c r="CK34" s="223"/>
      <c r="CL34" s="223"/>
      <c r="CM34" s="223"/>
      <c r="CN34" s="223"/>
      <c r="CO34" s="223"/>
      <c r="CP34" s="223"/>
      <c r="CQ34" s="223"/>
      <c r="CR34" s="223"/>
      <c r="CS34" s="223"/>
      <c r="CT34" s="223"/>
      <c r="CU34" s="223"/>
      <c r="CV34" s="223"/>
      <c r="CW34" s="223"/>
      <c r="CX34" s="223"/>
      <c r="CY34" s="223"/>
      <c r="CZ34" s="223"/>
      <c r="DA34" s="223"/>
      <c r="DB34" s="223"/>
      <c r="DC34" s="223"/>
      <c r="DD34" s="223"/>
      <c r="DE34" s="223"/>
      <c r="DF34" s="223"/>
      <c r="DG34" s="223"/>
      <c r="DH34" s="223"/>
      <c r="DI34" s="223"/>
      <c r="DJ34" s="223"/>
      <c r="DK34" s="223"/>
      <c r="DL34" s="223"/>
      <c r="DM34" s="223"/>
      <c r="DN34" s="223"/>
      <c r="DO34" s="223"/>
      <c r="DP34" s="223"/>
      <c r="DQ34" s="223"/>
      <c r="DR34" s="223"/>
      <c r="DS34" s="223"/>
      <c r="DT34" s="223"/>
      <c r="DU34" s="223"/>
      <c r="DV34" s="223"/>
      <c r="DW34" s="223"/>
      <c r="DX34" s="223"/>
      <c r="DY34" s="223"/>
      <c r="DZ34" s="223"/>
      <c r="EA34" s="223"/>
      <c r="EB34" s="223"/>
      <c r="EC34" s="223"/>
      <c r="ED34" s="223"/>
      <c r="EE34" s="223"/>
      <c r="EF34" s="223"/>
      <c r="EG34" s="223"/>
      <c r="EH34" s="223"/>
      <c r="EI34" s="223"/>
      <c r="EJ34" s="223"/>
      <c r="EK34" s="223"/>
      <c r="EL34" s="223"/>
      <c r="EM34" s="223"/>
      <c r="EN34" s="223"/>
      <c r="EO34" s="223"/>
      <c r="EP34" s="223"/>
      <c r="EQ34" s="223"/>
      <c r="ER34" s="223"/>
      <c r="ES34" s="223"/>
      <c r="ET34" s="223"/>
      <c r="EU34" s="223"/>
      <c r="EV34" s="223"/>
      <c r="EW34" s="223"/>
      <c r="EX34" s="223"/>
      <c r="EY34" s="223"/>
      <c r="EZ34" s="223"/>
      <c r="FA34" s="223"/>
      <c r="FB34" s="223"/>
      <c r="FC34" s="223"/>
      <c r="FD34" s="223"/>
      <c r="FE34" s="223"/>
      <c r="FF34" s="223"/>
      <c r="FG34" s="223"/>
      <c r="FH34" s="223"/>
      <c r="FI34" s="223"/>
      <c r="FJ34" s="223"/>
      <c r="FK34" s="223"/>
      <c r="FL34" s="223"/>
      <c r="FM34" s="223"/>
      <c r="FN34" s="223"/>
      <c r="FO34" s="223"/>
      <c r="FP34" s="223"/>
      <c r="FQ34" s="223"/>
      <c r="FR34" s="223"/>
      <c r="FS34" s="223"/>
      <c r="FT34" s="223"/>
      <c r="FU34" s="223"/>
      <c r="FV34" s="223"/>
      <c r="FW34" s="223"/>
      <c r="FX34" s="223"/>
      <c r="FY34" s="223"/>
      <c r="FZ34" s="223"/>
      <c r="GA34" s="223"/>
      <c r="GB34" s="223"/>
      <c r="GC34" s="223"/>
      <c r="GD34" s="223"/>
      <c r="GE34" s="223"/>
      <c r="GF34" s="223"/>
      <c r="GG34" s="223"/>
      <c r="GH34" s="223"/>
      <c r="GI34" s="223"/>
      <c r="GJ34" s="223"/>
      <c r="GK34" s="223"/>
      <c r="GL34" s="223"/>
      <c r="GM34" s="223"/>
      <c r="GN34" s="223"/>
      <c r="GO34" s="223"/>
      <c r="GP34" s="223"/>
      <c r="GQ34" s="223"/>
      <c r="GR34" s="223"/>
      <c r="GS34" s="223"/>
      <c r="GT34" s="223"/>
      <c r="GU34" s="223"/>
      <c r="GV34" s="223"/>
      <c r="GW34" s="223"/>
      <c r="GX34" s="223"/>
      <c r="GY34" s="223"/>
      <c r="GZ34" s="223"/>
      <c r="HA34" s="223"/>
      <c r="HB34" s="223"/>
      <c r="HC34" s="223"/>
      <c r="HD34" s="223"/>
      <c r="HE34" s="223"/>
      <c r="HF34" s="223"/>
      <c r="HG34" s="223"/>
      <c r="HH34" s="223"/>
      <c r="HI34" s="223"/>
      <c r="HJ34" s="223"/>
      <c r="HK34" s="223"/>
      <c r="HL34" s="223"/>
      <c r="HM34" s="223"/>
      <c r="HN34" s="223"/>
      <c r="HO34" s="223"/>
      <c r="HP34" s="223"/>
      <c r="HQ34" s="223"/>
      <c r="HR34" s="223"/>
      <c r="HS34" s="223"/>
      <c r="HT34" s="223"/>
      <c r="HU34" s="223"/>
      <c r="HV34" s="223"/>
      <c r="HW34" s="223"/>
      <c r="HX34" s="223"/>
      <c r="HY34" s="223"/>
      <c r="HZ34" s="223"/>
      <c r="IA34" s="223"/>
      <c r="IB34" s="223"/>
      <c r="IC34" s="223"/>
      <c r="ID34" s="223"/>
      <c r="IE34" s="223"/>
      <c r="IF34" s="223"/>
      <c r="IG34" s="223"/>
      <c r="IH34" s="223"/>
      <c r="II34" s="223"/>
      <c r="IJ34" s="223"/>
      <c r="IK34" s="223"/>
      <c r="IL34" s="223"/>
      <c r="IM34" s="223"/>
      <c r="IN34" s="223"/>
      <c r="IO34" s="223"/>
      <c r="IP34" s="223"/>
      <c r="IQ34" s="223"/>
      <c r="IR34" s="223"/>
      <c r="IS34" s="223"/>
      <c r="IT34" s="223"/>
      <c r="IU34" s="223"/>
      <c r="IV34" s="223"/>
      <c r="IW34" s="223"/>
      <c r="IX34" s="223"/>
      <c r="IY34" s="223"/>
      <c r="IZ34" s="223"/>
      <c r="JA34" s="223"/>
    </row>
    <row r="35" spans="1:261" ht="16.5">
      <c r="A35" s="390"/>
      <c r="B35" s="390"/>
      <c r="C35" s="390"/>
      <c r="D35" s="390"/>
      <c r="E35" s="390"/>
      <c r="F35" s="390"/>
      <c r="G35" s="403"/>
      <c r="H35" s="403"/>
      <c r="I35" s="390"/>
      <c r="J35" s="390"/>
      <c r="K35" s="390"/>
      <c r="L35" s="403"/>
      <c r="M35" s="403"/>
      <c r="N35" s="407"/>
      <c r="O35" s="390"/>
      <c r="P35" s="390"/>
      <c r="Q35" s="390"/>
      <c r="R35" s="390"/>
      <c r="S35" s="390"/>
      <c r="T35" s="408"/>
      <c r="U35" s="390"/>
      <c r="V35" s="390"/>
      <c r="W35" s="393"/>
      <c r="X35" s="394"/>
      <c r="Y35" s="394"/>
      <c r="Z35" s="394"/>
      <c r="AA35" s="390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223"/>
      <c r="BS35" s="223"/>
      <c r="BT35" s="223"/>
      <c r="BU35" s="223"/>
      <c r="BV35" s="223"/>
      <c r="BW35" s="223"/>
      <c r="BX35" s="223"/>
      <c r="BY35" s="223"/>
      <c r="BZ35" s="223"/>
      <c r="CA35" s="223"/>
      <c r="CB35" s="223"/>
      <c r="CC35" s="223"/>
      <c r="CD35" s="223"/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3"/>
      <c r="CR35" s="223"/>
      <c r="CS35" s="223"/>
      <c r="CT35" s="223"/>
      <c r="CU35" s="223"/>
      <c r="CV35" s="223"/>
      <c r="CW35" s="223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23"/>
      <c r="ED35" s="223"/>
      <c r="EE35" s="223"/>
      <c r="EF35" s="223"/>
      <c r="EG35" s="223"/>
      <c r="EH35" s="223"/>
      <c r="EI35" s="223"/>
      <c r="EJ35" s="223"/>
      <c r="EK35" s="223"/>
      <c r="EL35" s="223"/>
      <c r="EM35" s="223"/>
      <c r="EN35" s="223"/>
      <c r="EO35" s="223"/>
      <c r="EP35" s="223"/>
      <c r="EQ35" s="223"/>
      <c r="ER35" s="223"/>
      <c r="ES35" s="223"/>
      <c r="ET35" s="223"/>
      <c r="EU35" s="223"/>
      <c r="EV35" s="223"/>
      <c r="EW35" s="223"/>
      <c r="EX35" s="223"/>
      <c r="EY35" s="223"/>
      <c r="EZ35" s="223"/>
      <c r="FA35" s="223"/>
      <c r="FB35" s="223"/>
      <c r="FC35" s="223"/>
      <c r="FD35" s="223"/>
      <c r="FE35" s="223"/>
      <c r="FF35" s="223"/>
      <c r="FG35" s="223"/>
      <c r="FH35" s="223"/>
      <c r="FI35" s="223"/>
      <c r="FJ35" s="223"/>
      <c r="FK35" s="223"/>
      <c r="FL35" s="223"/>
      <c r="FM35" s="223"/>
      <c r="FN35" s="223"/>
      <c r="FO35" s="223"/>
      <c r="FP35" s="223"/>
      <c r="FQ35" s="223"/>
      <c r="FR35" s="223"/>
      <c r="FS35" s="223"/>
      <c r="FT35" s="223"/>
      <c r="FU35" s="223"/>
      <c r="FV35" s="223"/>
      <c r="FW35" s="223"/>
      <c r="FX35" s="223"/>
      <c r="FY35" s="223"/>
      <c r="FZ35" s="223"/>
      <c r="GA35" s="223"/>
      <c r="GB35" s="223"/>
      <c r="GC35" s="223"/>
      <c r="GD35" s="223"/>
      <c r="GE35" s="223"/>
      <c r="GF35" s="223"/>
      <c r="GG35" s="223"/>
      <c r="GH35" s="223"/>
      <c r="GI35" s="223"/>
      <c r="GJ35" s="223"/>
      <c r="GK35" s="223"/>
      <c r="GL35" s="223"/>
      <c r="GM35" s="223"/>
      <c r="GN35" s="223"/>
      <c r="GO35" s="223"/>
      <c r="GP35" s="223"/>
      <c r="GQ35" s="223"/>
      <c r="GR35" s="223"/>
      <c r="GS35" s="223"/>
      <c r="GT35" s="223"/>
      <c r="GU35" s="223"/>
      <c r="GV35" s="223"/>
      <c r="GW35" s="223"/>
      <c r="GX35" s="223"/>
      <c r="GY35" s="223"/>
      <c r="GZ35" s="223"/>
      <c r="HA35" s="223"/>
      <c r="HB35" s="223"/>
      <c r="HC35" s="223"/>
      <c r="HD35" s="223"/>
      <c r="HE35" s="223"/>
      <c r="HF35" s="223"/>
      <c r="HG35" s="223"/>
      <c r="HH35" s="223"/>
      <c r="HI35" s="223"/>
      <c r="HJ35" s="223"/>
      <c r="HK35" s="223"/>
      <c r="HL35" s="223"/>
      <c r="HM35" s="223"/>
      <c r="HN35" s="223"/>
      <c r="HO35" s="223"/>
      <c r="HP35" s="223"/>
      <c r="HQ35" s="223"/>
      <c r="HR35" s="223"/>
      <c r="HS35" s="223"/>
      <c r="HT35" s="223"/>
      <c r="HU35" s="223"/>
      <c r="HV35" s="223"/>
      <c r="HW35" s="223"/>
      <c r="HX35" s="223"/>
      <c r="HY35" s="223"/>
      <c r="HZ35" s="223"/>
      <c r="IA35" s="223"/>
      <c r="IB35" s="223"/>
      <c r="IC35" s="223"/>
      <c r="ID35" s="223"/>
      <c r="IE35" s="223"/>
      <c r="IF35" s="223"/>
      <c r="IG35" s="223"/>
      <c r="IH35" s="223"/>
      <c r="II35" s="223"/>
      <c r="IJ35" s="223"/>
      <c r="IK35" s="223"/>
      <c r="IL35" s="223"/>
      <c r="IM35" s="223"/>
      <c r="IN35" s="223"/>
      <c r="IO35" s="223"/>
      <c r="IP35" s="223"/>
      <c r="IQ35" s="223"/>
      <c r="IR35" s="223"/>
      <c r="IS35" s="223"/>
      <c r="IT35" s="223"/>
      <c r="IU35" s="223"/>
      <c r="IV35" s="223"/>
      <c r="IW35" s="223"/>
      <c r="IX35" s="223"/>
      <c r="IY35" s="223"/>
      <c r="IZ35" s="223"/>
      <c r="JA35" s="223"/>
    </row>
    <row r="36" spans="1:261" ht="16.5">
      <c r="A36" s="390"/>
      <c r="B36" s="390"/>
      <c r="C36" s="390"/>
      <c r="D36" s="390"/>
      <c r="E36" s="390"/>
      <c r="F36" s="390"/>
      <c r="G36" s="403"/>
      <c r="H36" s="403"/>
      <c r="I36" s="390"/>
      <c r="J36" s="390"/>
      <c r="K36" s="390"/>
      <c r="L36" s="403"/>
      <c r="M36" s="403"/>
      <c r="N36" s="407"/>
      <c r="O36" s="390"/>
      <c r="P36" s="390"/>
      <c r="Q36" s="390"/>
      <c r="R36" s="390"/>
      <c r="S36" s="390"/>
      <c r="T36" s="408"/>
      <c r="U36" s="390"/>
      <c r="V36" s="390"/>
      <c r="W36" s="395"/>
      <c r="X36" s="396"/>
      <c r="Y36" s="396"/>
      <c r="Z36" s="396"/>
      <c r="AA36" s="390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3"/>
      <c r="BK36" s="223"/>
      <c r="BL36" s="223"/>
      <c r="BM36" s="223"/>
      <c r="BN36" s="223"/>
      <c r="BO36" s="223"/>
      <c r="BP36" s="223"/>
      <c r="BQ36" s="223"/>
      <c r="BR36" s="223"/>
      <c r="BS36" s="223"/>
      <c r="BT36" s="223"/>
      <c r="BU36" s="223"/>
      <c r="BV36" s="223"/>
      <c r="BW36" s="223"/>
      <c r="BX36" s="223"/>
      <c r="BY36" s="223"/>
      <c r="BZ36" s="223"/>
      <c r="CA36" s="223"/>
      <c r="CB36" s="223"/>
      <c r="CC36" s="223"/>
      <c r="CD36" s="223"/>
      <c r="CE36" s="223"/>
      <c r="CF36" s="223"/>
      <c r="CG36" s="223"/>
      <c r="CH36" s="223"/>
      <c r="CI36" s="223"/>
      <c r="CJ36" s="223"/>
      <c r="CK36" s="223"/>
      <c r="CL36" s="223"/>
      <c r="CM36" s="223"/>
      <c r="CN36" s="223"/>
      <c r="CO36" s="223"/>
      <c r="CP36" s="223"/>
      <c r="CQ36" s="223"/>
      <c r="CR36" s="223"/>
      <c r="CS36" s="223"/>
      <c r="CT36" s="223"/>
      <c r="CU36" s="223"/>
      <c r="CV36" s="223"/>
      <c r="CW36" s="223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23"/>
      <c r="ED36" s="223"/>
      <c r="EE36" s="223"/>
      <c r="EF36" s="223"/>
      <c r="EG36" s="223"/>
      <c r="EH36" s="223"/>
      <c r="EI36" s="223"/>
      <c r="EJ36" s="223"/>
      <c r="EK36" s="223"/>
      <c r="EL36" s="223"/>
      <c r="EM36" s="223"/>
      <c r="EN36" s="223"/>
      <c r="EO36" s="223"/>
      <c r="EP36" s="223"/>
      <c r="EQ36" s="223"/>
      <c r="ER36" s="223"/>
      <c r="ES36" s="223"/>
      <c r="ET36" s="223"/>
      <c r="EU36" s="223"/>
      <c r="EV36" s="223"/>
      <c r="EW36" s="223"/>
      <c r="EX36" s="223"/>
      <c r="EY36" s="223"/>
      <c r="EZ36" s="223"/>
      <c r="FA36" s="223"/>
      <c r="FB36" s="223"/>
      <c r="FC36" s="223"/>
      <c r="FD36" s="223"/>
      <c r="FE36" s="223"/>
      <c r="FF36" s="223"/>
      <c r="FG36" s="223"/>
      <c r="FH36" s="223"/>
      <c r="FI36" s="223"/>
      <c r="FJ36" s="223"/>
      <c r="FK36" s="223"/>
      <c r="FL36" s="223"/>
      <c r="FM36" s="223"/>
      <c r="FN36" s="223"/>
      <c r="FO36" s="223"/>
      <c r="FP36" s="223"/>
      <c r="FQ36" s="223"/>
      <c r="FR36" s="223"/>
      <c r="FS36" s="223"/>
      <c r="FT36" s="223"/>
      <c r="FU36" s="223"/>
      <c r="FV36" s="223"/>
      <c r="FW36" s="223"/>
      <c r="FX36" s="223"/>
      <c r="FY36" s="223"/>
      <c r="FZ36" s="223"/>
      <c r="GA36" s="223"/>
      <c r="GB36" s="223"/>
      <c r="GC36" s="223"/>
      <c r="GD36" s="223"/>
      <c r="GE36" s="223"/>
      <c r="GF36" s="223"/>
      <c r="GG36" s="223"/>
      <c r="GH36" s="223"/>
      <c r="GI36" s="223"/>
      <c r="GJ36" s="223"/>
      <c r="GK36" s="223"/>
      <c r="GL36" s="223"/>
      <c r="GM36" s="223"/>
      <c r="GN36" s="223"/>
      <c r="GO36" s="223"/>
      <c r="GP36" s="223"/>
      <c r="GQ36" s="223"/>
      <c r="GR36" s="223"/>
      <c r="GS36" s="223"/>
      <c r="GT36" s="223"/>
      <c r="GU36" s="223"/>
      <c r="GV36" s="223"/>
      <c r="GW36" s="223"/>
      <c r="GX36" s="223"/>
      <c r="GY36" s="223"/>
      <c r="GZ36" s="223"/>
      <c r="HA36" s="223"/>
      <c r="HB36" s="223"/>
      <c r="HC36" s="223"/>
      <c r="HD36" s="223"/>
      <c r="HE36" s="223"/>
      <c r="HF36" s="223"/>
      <c r="HG36" s="223"/>
      <c r="HH36" s="223"/>
      <c r="HI36" s="223"/>
      <c r="HJ36" s="223"/>
      <c r="HK36" s="223"/>
      <c r="HL36" s="223"/>
      <c r="HM36" s="223"/>
      <c r="HN36" s="223"/>
      <c r="HO36" s="223"/>
      <c r="HP36" s="223"/>
      <c r="HQ36" s="223"/>
      <c r="HR36" s="223"/>
      <c r="HS36" s="223"/>
      <c r="HT36" s="223"/>
      <c r="HU36" s="223"/>
      <c r="HV36" s="223"/>
      <c r="HW36" s="223"/>
      <c r="HX36" s="223"/>
      <c r="HY36" s="223"/>
      <c r="HZ36" s="223"/>
      <c r="IA36" s="223"/>
      <c r="IB36" s="223"/>
      <c r="IC36" s="223"/>
      <c r="ID36" s="223"/>
      <c r="IE36" s="223"/>
      <c r="IF36" s="223"/>
      <c r="IG36" s="223"/>
      <c r="IH36" s="223"/>
      <c r="II36" s="223"/>
      <c r="IJ36" s="223"/>
      <c r="IK36" s="223"/>
      <c r="IL36" s="223"/>
      <c r="IM36" s="223"/>
      <c r="IN36" s="223"/>
      <c r="IO36" s="223"/>
      <c r="IP36" s="223"/>
      <c r="IQ36" s="223"/>
      <c r="IR36" s="223"/>
      <c r="IS36" s="223"/>
      <c r="IT36" s="223"/>
      <c r="IU36" s="223"/>
      <c r="IV36" s="223"/>
      <c r="IW36" s="223"/>
      <c r="IX36" s="223"/>
      <c r="IY36" s="223"/>
      <c r="IZ36" s="223"/>
      <c r="JA36" s="223"/>
    </row>
    <row r="37" spans="1:261" ht="16.5">
      <c r="A37" s="390"/>
      <c r="B37" s="390"/>
      <c r="C37" s="390"/>
      <c r="D37" s="390"/>
      <c r="E37" s="390"/>
      <c r="F37" s="390"/>
      <c r="G37" s="403"/>
      <c r="H37" s="403"/>
      <c r="I37" s="390"/>
      <c r="J37" s="390"/>
      <c r="K37" s="390"/>
      <c r="L37" s="403"/>
      <c r="M37" s="403"/>
      <c r="N37" s="407"/>
      <c r="O37" s="390"/>
      <c r="P37" s="390"/>
      <c r="Q37" s="390"/>
      <c r="R37" s="390"/>
      <c r="S37" s="390"/>
      <c r="T37" s="408"/>
      <c r="U37" s="390"/>
      <c r="V37" s="390"/>
      <c r="W37" s="381"/>
      <c r="X37" s="390"/>
      <c r="Y37" s="390"/>
      <c r="Z37" s="397"/>
      <c r="AA37" s="390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  <c r="CA37" s="223"/>
      <c r="CB37" s="223"/>
      <c r="CC37" s="223"/>
      <c r="CD37" s="223"/>
      <c r="CE37" s="223"/>
      <c r="CF37" s="223"/>
      <c r="CG37" s="223"/>
      <c r="CH37" s="223"/>
      <c r="CI37" s="223"/>
      <c r="CJ37" s="223"/>
      <c r="CK37" s="223"/>
      <c r="CL37" s="223"/>
      <c r="CM37" s="223"/>
      <c r="CN37" s="223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23"/>
      <c r="ED37" s="223"/>
      <c r="EE37" s="223"/>
      <c r="EF37" s="223"/>
      <c r="EG37" s="223"/>
      <c r="EH37" s="223"/>
      <c r="EI37" s="223"/>
      <c r="EJ37" s="223"/>
      <c r="EK37" s="223"/>
      <c r="EL37" s="223"/>
      <c r="EM37" s="223"/>
      <c r="EN37" s="223"/>
      <c r="EO37" s="223"/>
      <c r="EP37" s="223"/>
      <c r="EQ37" s="223"/>
      <c r="ER37" s="223"/>
      <c r="ES37" s="223"/>
      <c r="ET37" s="223"/>
      <c r="EU37" s="223"/>
      <c r="EV37" s="223"/>
      <c r="EW37" s="223"/>
      <c r="EX37" s="223"/>
      <c r="EY37" s="223"/>
      <c r="EZ37" s="223"/>
      <c r="FA37" s="223"/>
      <c r="FB37" s="223"/>
      <c r="FC37" s="223"/>
      <c r="FD37" s="223"/>
      <c r="FE37" s="223"/>
      <c r="FF37" s="223"/>
      <c r="FG37" s="223"/>
      <c r="FH37" s="223"/>
      <c r="FI37" s="223"/>
      <c r="FJ37" s="223"/>
      <c r="FK37" s="223"/>
      <c r="FL37" s="223"/>
      <c r="FM37" s="223"/>
      <c r="FN37" s="223"/>
      <c r="FO37" s="223"/>
      <c r="FP37" s="223"/>
      <c r="FQ37" s="223"/>
      <c r="FR37" s="223"/>
      <c r="FS37" s="223"/>
      <c r="FT37" s="223"/>
      <c r="FU37" s="223"/>
      <c r="FV37" s="223"/>
      <c r="FW37" s="223"/>
      <c r="FX37" s="223"/>
      <c r="FY37" s="223"/>
      <c r="FZ37" s="223"/>
      <c r="GA37" s="223"/>
      <c r="GB37" s="223"/>
      <c r="GC37" s="223"/>
      <c r="GD37" s="223"/>
      <c r="GE37" s="223"/>
      <c r="GF37" s="223"/>
      <c r="GG37" s="223"/>
      <c r="GH37" s="223"/>
      <c r="GI37" s="223"/>
      <c r="GJ37" s="223"/>
      <c r="GK37" s="223"/>
      <c r="GL37" s="223"/>
      <c r="GM37" s="223"/>
      <c r="GN37" s="223"/>
      <c r="GO37" s="223"/>
      <c r="GP37" s="223"/>
      <c r="GQ37" s="223"/>
      <c r="GR37" s="223"/>
      <c r="GS37" s="223"/>
      <c r="GT37" s="223"/>
      <c r="GU37" s="223"/>
      <c r="GV37" s="223"/>
      <c r="GW37" s="223"/>
      <c r="GX37" s="223"/>
      <c r="GY37" s="223"/>
      <c r="GZ37" s="223"/>
      <c r="HA37" s="223"/>
      <c r="HB37" s="223"/>
      <c r="HC37" s="223"/>
      <c r="HD37" s="223"/>
      <c r="HE37" s="223"/>
      <c r="HF37" s="223"/>
      <c r="HG37" s="223"/>
      <c r="HH37" s="223"/>
      <c r="HI37" s="223"/>
      <c r="HJ37" s="223"/>
      <c r="HK37" s="223"/>
      <c r="HL37" s="223"/>
      <c r="HM37" s="223"/>
      <c r="HN37" s="223"/>
      <c r="HO37" s="223"/>
      <c r="HP37" s="223"/>
      <c r="HQ37" s="223"/>
      <c r="HR37" s="223"/>
      <c r="HS37" s="223"/>
      <c r="HT37" s="223"/>
      <c r="HU37" s="223"/>
      <c r="HV37" s="223"/>
      <c r="HW37" s="223"/>
      <c r="HX37" s="223"/>
      <c r="HY37" s="223"/>
      <c r="HZ37" s="223"/>
      <c r="IA37" s="223"/>
      <c r="IB37" s="223"/>
      <c r="IC37" s="223"/>
      <c r="ID37" s="223"/>
      <c r="IE37" s="223"/>
      <c r="IF37" s="223"/>
      <c r="IG37" s="223"/>
      <c r="IH37" s="223"/>
      <c r="II37" s="223"/>
      <c r="IJ37" s="223"/>
      <c r="IK37" s="223"/>
      <c r="IL37" s="223"/>
      <c r="IM37" s="223"/>
      <c r="IN37" s="223"/>
      <c r="IO37" s="223"/>
      <c r="IP37" s="223"/>
      <c r="IQ37" s="223"/>
      <c r="IR37" s="223"/>
      <c r="IS37" s="223"/>
      <c r="IT37" s="223"/>
      <c r="IU37" s="223"/>
      <c r="IV37" s="223"/>
      <c r="IW37" s="223"/>
      <c r="IX37" s="223"/>
      <c r="IY37" s="223"/>
      <c r="IZ37" s="223"/>
      <c r="JA37" s="223"/>
    </row>
    <row r="38" spans="1:261" ht="16.5">
      <c r="A38" s="390"/>
      <c r="B38" s="390"/>
      <c r="C38" s="390"/>
      <c r="D38" s="390"/>
      <c r="E38" s="390"/>
      <c r="F38" s="390"/>
      <c r="G38" s="403"/>
      <c r="H38" s="403"/>
      <c r="I38" s="390"/>
      <c r="J38" s="390"/>
      <c r="K38" s="390"/>
      <c r="L38" s="403"/>
      <c r="M38" s="403"/>
      <c r="N38" s="407"/>
      <c r="O38" s="390"/>
      <c r="P38" s="390"/>
      <c r="Q38" s="390"/>
      <c r="R38" s="390"/>
      <c r="S38" s="390"/>
      <c r="T38" s="408"/>
      <c r="U38" s="390"/>
      <c r="V38" s="390"/>
      <c r="W38" s="381"/>
      <c r="X38" s="390"/>
      <c r="Y38" s="390"/>
      <c r="Z38" s="397"/>
      <c r="AA38" s="390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  <c r="BY38" s="223"/>
      <c r="BZ38" s="223"/>
      <c r="CA38" s="223"/>
      <c r="CB38" s="223"/>
      <c r="CC38" s="223"/>
      <c r="CD38" s="223"/>
      <c r="CE38" s="223"/>
      <c r="CF38" s="223"/>
      <c r="CG38" s="223"/>
      <c r="CH38" s="223"/>
      <c r="CI38" s="223"/>
      <c r="CJ38" s="223"/>
      <c r="CK38" s="223"/>
      <c r="CL38" s="223"/>
      <c r="CM38" s="223"/>
      <c r="CN38" s="223"/>
      <c r="CO38" s="223"/>
      <c r="CP38" s="223"/>
      <c r="CQ38" s="223"/>
      <c r="CR38" s="223"/>
      <c r="CS38" s="223"/>
      <c r="CT38" s="223"/>
      <c r="CU38" s="223"/>
      <c r="CV38" s="223"/>
      <c r="CW38" s="223"/>
      <c r="CX38" s="223"/>
      <c r="CY38" s="223"/>
      <c r="CZ38" s="223"/>
      <c r="DA38" s="223"/>
      <c r="DB38" s="223"/>
      <c r="DC38" s="223"/>
      <c r="DD38" s="223"/>
      <c r="DE38" s="223"/>
      <c r="DF38" s="223"/>
      <c r="DG38" s="223"/>
      <c r="DH38" s="223"/>
      <c r="DI38" s="223"/>
      <c r="DJ38" s="223"/>
      <c r="DK38" s="223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23"/>
      <c r="ED38" s="223"/>
      <c r="EE38" s="223"/>
      <c r="EF38" s="223"/>
      <c r="EG38" s="223"/>
      <c r="EH38" s="223"/>
      <c r="EI38" s="223"/>
      <c r="EJ38" s="223"/>
      <c r="EK38" s="223"/>
      <c r="EL38" s="223"/>
      <c r="EM38" s="223"/>
      <c r="EN38" s="223"/>
      <c r="EO38" s="223"/>
      <c r="EP38" s="223"/>
      <c r="EQ38" s="223"/>
      <c r="ER38" s="223"/>
      <c r="ES38" s="223"/>
      <c r="ET38" s="223"/>
      <c r="EU38" s="223"/>
      <c r="EV38" s="223"/>
      <c r="EW38" s="223"/>
      <c r="EX38" s="223"/>
      <c r="EY38" s="223"/>
      <c r="EZ38" s="223"/>
      <c r="FA38" s="223"/>
      <c r="FB38" s="223"/>
      <c r="FC38" s="223"/>
      <c r="FD38" s="223"/>
      <c r="FE38" s="223"/>
      <c r="FF38" s="223"/>
      <c r="FG38" s="223"/>
      <c r="FH38" s="223"/>
      <c r="FI38" s="223"/>
      <c r="FJ38" s="223"/>
      <c r="FK38" s="223"/>
      <c r="FL38" s="223"/>
      <c r="FM38" s="223"/>
      <c r="FN38" s="223"/>
      <c r="FO38" s="223"/>
      <c r="FP38" s="223"/>
      <c r="FQ38" s="223"/>
      <c r="FR38" s="223"/>
      <c r="FS38" s="223"/>
      <c r="FT38" s="223"/>
      <c r="FU38" s="223"/>
      <c r="FV38" s="223"/>
      <c r="FW38" s="223"/>
      <c r="FX38" s="223"/>
      <c r="FY38" s="223"/>
      <c r="FZ38" s="223"/>
      <c r="GA38" s="223"/>
      <c r="GB38" s="223"/>
      <c r="GC38" s="223"/>
      <c r="GD38" s="223"/>
      <c r="GE38" s="223"/>
      <c r="GF38" s="223"/>
      <c r="GG38" s="223"/>
      <c r="GH38" s="223"/>
      <c r="GI38" s="223"/>
      <c r="GJ38" s="223"/>
      <c r="GK38" s="223"/>
      <c r="GL38" s="223"/>
      <c r="GM38" s="223"/>
      <c r="GN38" s="223"/>
      <c r="GO38" s="223"/>
      <c r="GP38" s="223"/>
      <c r="GQ38" s="223"/>
      <c r="GR38" s="223"/>
      <c r="GS38" s="223"/>
      <c r="GT38" s="223"/>
      <c r="GU38" s="223"/>
      <c r="GV38" s="223"/>
      <c r="GW38" s="223"/>
      <c r="GX38" s="223"/>
      <c r="GY38" s="223"/>
      <c r="GZ38" s="223"/>
      <c r="HA38" s="223"/>
      <c r="HB38" s="223"/>
      <c r="HC38" s="223"/>
      <c r="HD38" s="223"/>
      <c r="HE38" s="223"/>
      <c r="HF38" s="223"/>
      <c r="HG38" s="223"/>
      <c r="HH38" s="223"/>
      <c r="HI38" s="223"/>
      <c r="HJ38" s="223"/>
      <c r="HK38" s="223"/>
      <c r="HL38" s="223"/>
      <c r="HM38" s="223"/>
      <c r="HN38" s="223"/>
      <c r="HO38" s="223"/>
      <c r="HP38" s="223"/>
      <c r="HQ38" s="223"/>
      <c r="HR38" s="223"/>
      <c r="HS38" s="223"/>
      <c r="HT38" s="223"/>
      <c r="HU38" s="223"/>
      <c r="HV38" s="223"/>
      <c r="HW38" s="223"/>
      <c r="HX38" s="223"/>
      <c r="HY38" s="223"/>
      <c r="HZ38" s="223"/>
      <c r="IA38" s="223"/>
      <c r="IB38" s="223"/>
      <c r="IC38" s="223"/>
      <c r="ID38" s="223"/>
      <c r="IE38" s="223"/>
      <c r="IF38" s="223"/>
      <c r="IG38" s="223"/>
      <c r="IH38" s="223"/>
      <c r="II38" s="223"/>
      <c r="IJ38" s="223"/>
      <c r="IK38" s="223"/>
      <c r="IL38" s="223"/>
      <c r="IM38" s="223"/>
      <c r="IN38" s="223"/>
      <c r="IO38" s="223"/>
      <c r="IP38" s="223"/>
      <c r="IQ38" s="223"/>
      <c r="IR38" s="223"/>
      <c r="IS38" s="223"/>
      <c r="IT38" s="223"/>
      <c r="IU38" s="223"/>
      <c r="IV38" s="223"/>
      <c r="IW38" s="223"/>
      <c r="IX38" s="223"/>
      <c r="IY38" s="223"/>
      <c r="IZ38" s="223"/>
      <c r="JA38" s="223"/>
    </row>
    <row r="39" spans="1:261" ht="16.5">
      <c r="A39" s="390"/>
      <c r="B39" s="390"/>
      <c r="C39" s="390"/>
      <c r="D39" s="390"/>
      <c r="E39" s="390"/>
      <c r="F39" s="390"/>
      <c r="G39" s="403"/>
      <c r="H39" s="403"/>
      <c r="I39" s="390"/>
      <c r="J39" s="390"/>
      <c r="K39" s="390"/>
      <c r="L39" s="403"/>
      <c r="M39" s="403"/>
      <c r="N39" s="407"/>
      <c r="O39" s="390"/>
      <c r="P39" s="390"/>
      <c r="Q39" s="390"/>
      <c r="R39" s="390"/>
      <c r="S39" s="390"/>
      <c r="T39" s="408"/>
      <c r="U39" s="390"/>
      <c r="V39" s="390"/>
      <c r="W39" s="381"/>
      <c r="X39" s="390"/>
      <c r="Y39" s="390"/>
      <c r="Z39" s="397"/>
      <c r="AA39" s="390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3"/>
      <c r="BT39" s="223"/>
      <c r="BU39" s="223"/>
      <c r="BV39" s="223"/>
      <c r="BW39" s="223"/>
      <c r="BX39" s="223"/>
      <c r="BY39" s="223"/>
      <c r="BZ39" s="223"/>
      <c r="CA39" s="223"/>
      <c r="CB39" s="223"/>
      <c r="CC39" s="223"/>
      <c r="CD39" s="223"/>
      <c r="CE39" s="223"/>
      <c r="CF39" s="223"/>
      <c r="CG39" s="223"/>
      <c r="CH39" s="223"/>
      <c r="CI39" s="223"/>
      <c r="CJ39" s="223"/>
      <c r="CK39" s="223"/>
      <c r="CL39" s="223"/>
      <c r="CM39" s="223"/>
      <c r="CN39" s="223"/>
      <c r="CO39" s="223"/>
      <c r="CP39" s="223"/>
      <c r="CQ39" s="223"/>
      <c r="CR39" s="223"/>
      <c r="CS39" s="223"/>
      <c r="CT39" s="223"/>
      <c r="CU39" s="223"/>
      <c r="CV39" s="223"/>
      <c r="CW39" s="223"/>
      <c r="CX39" s="223"/>
      <c r="CY39" s="223"/>
      <c r="CZ39" s="223"/>
      <c r="DA39" s="223"/>
      <c r="DB39" s="223"/>
      <c r="DC39" s="223"/>
      <c r="DD39" s="223"/>
      <c r="DE39" s="223"/>
      <c r="DF39" s="223"/>
      <c r="DG39" s="223"/>
      <c r="DH39" s="223"/>
      <c r="DI39" s="223"/>
      <c r="DJ39" s="223"/>
      <c r="DK39" s="223"/>
      <c r="DL39" s="223"/>
      <c r="DM39" s="223"/>
      <c r="DN39" s="223"/>
      <c r="DO39" s="223"/>
      <c r="DP39" s="223"/>
      <c r="DQ39" s="223"/>
      <c r="DR39" s="223"/>
      <c r="DS39" s="223"/>
      <c r="DT39" s="223"/>
      <c r="DU39" s="223"/>
      <c r="DV39" s="223"/>
      <c r="DW39" s="223"/>
      <c r="DX39" s="223"/>
      <c r="DY39" s="223"/>
      <c r="DZ39" s="223"/>
      <c r="EA39" s="223"/>
      <c r="EB39" s="223"/>
      <c r="EC39" s="223"/>
      <c r="ED39" s="223"/>
      <c r="EE39" s="223"/>
      <c r="EF39" s="223"/>
      <c r="EG39" s="223"/>
      <c r="EH39" s="223"/>
      <c r="EI39" s="223"/>
      <c r="EJ39" s="223"/>
      <c r="EK39" s="223"/>
      <c r="EL39" s="223"/>
      <c r="EM39" s="223"/>
      <c r="EN39" s="223"/>
      <c r="EO39" s="223"/>
      <c r="EP39" s="223"/>
      <c r="EQ39" s="223"/>
      <c r="ER39" s="223"/>
      <c r="ES39" s="223"/>
      <c r="ET39" s="223"/>
      <c r="EU39" s="223"/>
      <c r="EV39" s="223"/>
      <c r="EW39" s="223"/>
      <c r="EX39" s="223"/>
      <c r="EY39" s="223"/>
      <c r="EZ39" s="223"/>
      <c r="FA39" s="223"/>
      <c r="FB39" s="223"/>
      <c r="FC39" s="223"/>
      <c r="FD39" s="223"/>
      <c r="FE39" s="223"/>
      <c r="FF39" s="223"/>
      <c r="FG39" s="223"/>
      <c r="FH39" s="223"/>
      <c r="FI39" s="223"/>
      <c r="FJ39" s="223"/>
      <c r="FK39" s="223"/>
      <c r="FL39" s="223"/>
      <c r="FM39" s="223"/>
      <c r="FN39" s="223"/>
      <c r="FO39" s="223"/>
      <c r="FP39" s="223"/>
      <c r="FQ39" s="223"/>
      <c r="FR39" s="223"/>
      <c r="FS39" s="223"/>
      <c r="FT39" s="223"/>
      <c r="FU39" s="223"/>
      <c r="FV39" s="223"/>
      <c r="FW39" s="223"/>
      <c r="FX39" s="223"/>
      <c r="FY39" s="223"/>
      <c r="FZ39" s="223"/>
      <c r="GA39" s="223"/>
      <c r="GB39" s="223"/>
      <c r="GC39" s="223"/>
      <c r="GD39" s="223"/>
      <c r="GE39" s="223"/>
      <c r="GF39" s="223"/>
      <c r="GG39" s="223"/>
      <c r="GH39" s="223"/>
      <c r="GI39" s="223"/>
      <c r="GJ39" s="223"/>
      <c r="GK39" s="223"/>
      <c r="GL39" s="223"/>
      <c r="GM39" s="223"/>
      <c r="GN39" s="223"/>
      <c r="GO39" s="223"/>
      <c r="GP39" s="223"/>
      <c r="GQ39" s="223"/>
      <c r="GR39" s="223"/>
      <c r="GS39" s="223"/>
      <c r="GT39" s="223"/>
      <c r="GU39" s="223"/>
      <c r="GV39" s="223"/>
      <c r="GW39" s="223"/>
      <c r="GX39" s="223"/>
      <c r="GY39" s="223"/>
      <c r="GZ39" s="223"/>
      <c r="HA39" s="223"/>
      <c r="HB39" s="223"/>
      <c r="HC39" s="223"/>
      <c r="HD39" s="223"/>
      <c r="HE39" s="223"/>
      <c r="HF39" s="223"/>
      <c r="HG39" s="223"/>
      <c r="HH39" s="223"/>
      <c r="HI39" s="223"/>
      <c r="HJ39" s="223"/>
      <c r="HK39" s="223"/>
      <c r="HL39" s="223"/>
      <c r="HM39" s="223"/>
      <c r="HN39" s="223"/>
      <c r="HO39" s="223"/>
      <c r="HP39" s="223"/>
      <c r="HQ39" s="223"/>
      <c r="HR39" s="223"/>
      <c r="HS39" s="223"/>
      <c r="HT39" s="223"/>
      <c r="HU39" s="223"/>
      <c r="HV39" s="223"/>
      <c r="HW39" s="223"/>
      <c r="HX39" s="223"/>
      <c r="HY39" s="223"/>
      <c r="HZ39" s="223"/>
      <c r="IA39" s="223"/>
      <c r="IB39" s="223"/>
      <c r="IC39" s="223"/>
      <c r="ID39" s="223"/>
      <c r="IE39" s="223"/>
      <c r="IF39" s="223"/>
      <c r="IG39" s="223"/>
      <c r="IH39" s="223"/>
      <c r="II39" s="223"/>
      <c r="IJ39" s="223"/>
      <c r="IK39" s="223"/>
      <c r="IL39" s="223"/>
      <c r="IM39" s="223"/>
      <c r="IN39" s="223"/>
      <c r="IO39" s="223"/>
      <c r="IP39" s="223"/>
      <c r="IQ39" s="223"/>
      <c r="IR39" s="223"/>
      <c r="IS39" s="223"/>
      <c r="IT39" s="223"/>
      <c r="IU39" s="223"/>
      <c r="IV39" s="223"/>
      <c r="IW39" s="223"/>
      <c r="IX39" s="223"/>
      <c r="IY39" s="223"/>
      <c r="IZ39" s="223"/>
      <c r="JA39" s="223"/>
    </row>
    <row r="40" spans="1:261" ht="16.5">
      <c r="A40" s="390"/>
      <c r="B40" s="390"/>
      <c r="C40" s="390"/>
      <c r="D40" s="390"/>
      <c r="E40" s="390"/>
      <c r="F40" s="390"/>
      <c r="G40" s="403"/>
      <c r="H40" s="403"/>
      <c r="I40" s="390"/>
      <c r="J40" s="390"/>
      <c r="K40" s="390"/>
      <c r="L40" s="403"/>
      <c r="M40" s="403"/>
      <c r="N40" s="407"/>
      <c r="O40" s="390"/>
      <c r="P40" s="390"/>
      <c r="Q40" s="390"/>
      <c r="R40" s="390"/>
      <c r="S40" s="390"/>
      <c r="T40" s="408"/>
      <c r="U40" s="390"/>
      <c r="V40" s="390"/>
      <c r="W40" s="381"/>
      <c r="X40" s="390"/>
      <c r="Y40" s="390"/>
      <c r="Z40" s="397"/>
      <c r="AA40" s="390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3"/>
      <c r="BR40" s="223"/>
      <c r="BS40" s="223"/>
      <c r="BT40" s="223"/>
      <c r="BU40" s="223"/>
      <c r="BV40" s="223"/>
      <c r="BW40" s="223"/>
      <c r="BX40" s="223"/>
      <c r="BY40" s="223"/>
      <c r="BZ40" s="223"/>
      <c r="CA40" s="223"/>
      <c r="CB40" s="223"/>
      <c r="CC40" s="223"/>
      <c r="CD40" s="223"/>
      <c r="CE40" s="223"/>
      <c r="CF40" s="223"/>
      <c r="CG40" s="223"/>
      <c r="CH40" s="223"/>
      <c r="CI40" s="223"/>
      <c r="CJ40" s="223"/>
      <c r="CK40" s="223"/>
      <c r="CL40" s="223"/>
      <c r="CM40" s="223"/>
      <c r="CN40" s="223"/>
      <c r="CO40" s="223"/>
      <c r="CP40" s="223"/>
      <c r="CQ40" s="223"/>
      <c r="CR40" s="223"/>
      <c r="CS40" s="223"/>
      <c r="CT40" s="223"/>
      <c r="CU40" s="223"/>
      <c r="CV40" s="223"/>
      <c r="CW40" s="223"/>
      <c r="CX40" s="223"/>
      <c r="CY40" s="223"/>
      <c r="CZ40" s="223"/>
      <c r="DA40" s="223"/>
      <c r="DB40" s="223"/>
      <c r="DC40" s="223"/>
      <c r="DD40" s="223"/>
      <c r="DE40" s="223"/>
      <c r="DF40" s="223"/>
      <c r="DG40" s="223"/>
      <c r="DH40" s="223"/>
      <c r="DI40" s="223"/>
      <c r="DJ40" s="223"/>
      <c r="DK40" s="223"/>
      <c r="DL40" s="223"/>
      <c r="DM40" s="223"/>
      <c r="DN40" s="223"/>
      <c r="DO40" s="223"/>
      <c r="DP40" s="223"/>
      <c r="DQ40" s="223"/>
      <c r="DR40" s="223"/>
      <c r="DS40" s="223"/>
      <c r="DT40" s="223"/>
      <c r="DU40" s="223"/>
      <c r="DV40" s="223"/>
      <c r="DW40" s="223"/>
      <c r="DX40" s="223"/>
      <c r="DY40" s="223"/>
      <c r="DZ40" s="223"/>
      <c r="EA40" s="223"/>
      <c r="EB40" s="223"/>
      <c r="EC40" s="223"/>
      <c r="ED40" s="223"/>
      <c r="EE40" s="223"/>
      <c r="EF40" s="223"/>
      <c r="EG40" s="223"/>
      <c r="EH40" s="223"/>
      <c r="EI40" s="223"/>
      <c r="EJ40" s="223"/>
      <c r="EK40" s="223"/>
      <c r="EL40" s="223"/>
      <c r="EM40" s="223"/>
      <c r="EN40" s="223"/>
      <c r="EO40" s="223"/>
      <c r="EP40" s="223"/>
      <c r="EQ40" s="223"/>
      <c r="ER40" s="223"/>
      <c r="ES40" s="223"/>
      <c r="ET40" s="223"/>
      <c r="EU40" s="223"/>
      <c r="EV40" s="223"/>
      <c r="EW40" s="223"/>
      <c r="EX40" s="223"/>
      <c r="EY40" s="223"/>
      <c r="EZ40" s="223"/>
      <c r="FA40" s="223"/>
      <c r="FB40" s="223"/>
      <c r="FC40" s="223"/>
      <c r="FD40" s="223"/>
      <c r="FE40" s="223"/>
      <c r="FF40" s="223"/>
      <c r="FG40" s="223"/>
      <c r="FH40" s="223"/>
      <c r="FI40" s="223"/>
      <c r="FJ40" s="223"/>
      <c r="FK40" s="223"/>
      <c r="FL40" s="223"/>
      <c r="FM40" s="223"/>
      <c r="FN40" s="223"/>
      <c r="FO40" s="223"/>
      <c r="FP40" s="223"/>
      <c r="FQ40" s="223"/>
      <c r="FR40" s="223"/>
      <c r="FS40" s="223"/>
      <c r="FT40" s="223"/>
      <c r="FU40" s="223"/>
      <c r="FV40" s="223"/>
      <c r="FW40" s="223"/>
      <c r="FX40" s="223"/>
      <c r="FY40" s="223"/>
      <c r="FZ40" s="223"/>
      <c r="GA40" s="223"/>
      <c r="GB40" s="223"/>
      <c r="GC40" s="223"/>
      <c r="GD40" s="223"/>
      <c r="GE40" s="223"/>
      <c r="GF40" s="223"/>
      <c r="GG40" s="223"/>
      <c r="GH40" s="223"/>
      <c r="GI40" s="223"/>
      <c r="GJ40" s="223"/>
      <c r="GK40" s="223"/>
      <c r="GL40" s="223"/>
      <c r="GM40" s="223"/>
      <c r="GN40" s="223"/>
      <c r="GO40" s="223"/>
      <c r="GP40" s="223"/>
      <c r="GQ40" s="223"/>
      <c r="GR40" s="223"/>
      <c r="GS40" s="223"/>
      <c r="GT40" s="223"/>
      <c r="GU40" s="223"/>
      <c r="GV40" s="223"/>
      <c r="GW40" s="223"/>
      <c r="GX40" s="223"/>
      <c r="GY40" s="223"/>
      <c r="GZ40" s="223"/>
      <c r="HA40" s="223"/>
      <c r="HB40" s="223"/>
      <c r="HC40" s="223"/>
      <c r="HD40" s="223"/>
      <c r="HE40" s="223"/>
      <c r="HF40" s="223"/>
      <c r="HG40" s="223"/>
      <c r="HH40" s="223"/>
      <c r="HI40" s="223"/>
      <c r="HJ40" s="223"/>
      <c r="HK40" s="223"/>
      <c r="HL40" s="223"/>
      <c r="HM40" s="223"/>
      <c r="HN40" s="223"/>
      <c r="HO40" s="223"/>
      <c r="HP40" s="223"/>
      <c r="HQ40" s="223"/>
      <c r="HR40" s="223"/>
      <c r="HS40" s="223"/>
      <c r="HT40" s="223"/>
      <c r="HU40" s="223"/>
      <c r="HV40" s="223"/>
      <c r="HW40" s="223"/>
      <c r="HX40" s="223"/>
      <c r="HY40" s="223"/>
      <c r="HZ40" s="223"/>
      <c r="IA40" s="223"/>
      <c r="IB40" s="223"/>
      <c r="IC40" s="223"/>
      <c r="ID40" s="223"/>
      <c r="IE40" s="223"/>
      <c r="IF40" s="223"/>
      <c r="IG40" s="223"/>
      <c r="IH40" s="223"/>
      <c r="II40" s="223"/>
      <c r="IJ40" s="223"/>
      <c r="IK40" s="223"/>
      <c r="IL40" s="223"/>
      <c r="IM40" s="223"/>
      <c r="IN40" s="223"/>
      <c r="IO40" s="223"/>
      <c r="IP40" s="223"/>
      <c r="IQ40" s="223"/>
      <c r="IR40" s="223"/>
      <c r="IS40" s="223"/>
      <c r="IT40" s="223"/>
      <c r="IU40" s="223"/>
      <c r="IV40" s="223"/>
      <c r="IW40" s="223"/>
      <c r="IX40" s="223"/>
      <c r="IY40" s="223"/>
      <c r="IZ40" s="223"/>
      <c r="JA40" s="223"/>
    </row>
  </sheetData>
  <mergeCells count="13">
    <mergeCell ref="A31:M31"/>
    <mergeCell ref="A9:M9"/>
    <mergeCell ref="A12:C12"/>
    <mergeCell ref="A17:C17"/>
    <mergeCell ref="D22:M22"/>
    <mergeCell ref="A24:M24"/>
    <mergeCell ref="A30:B30"/>
    <mergeCell ref="A8:M8"/>
    <mergeCell ref="A1:M1"/>
    <mergeCell ref="A2:M2"/>
    <mergeCell ref="A3:M3"/>
    <mergeCell ref="A4:F4"/>
    <mergeCell ref="A5:F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54"/>
  <sheetViews>
    <sheetView tabSelected="1" zoomScale="90" zoomScaleNormal="90" zoomScaleSheetLayoutView="100" workbookViewId="0">
      <selection activeCell="M38" sqref="M38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6" customWidth="1"/>
    <col min="4" max="4" width="16.140625" style="314" customWidth="1"/>
    <col min="5" max="5" width="17.7109375" style="1839" customWidth="1"/>
    <col min="6" max="6" width="18.42578125" style="200" customWidth="1"/>
    <col min="7" max="7" width="19.28515625" style="200" customWidth="1"/>
    <col min="8" max="8" width="19.42578125" style="200" hidden="1" customWidth="1"/>
    <col min="9" max="9" width="24.42578125" style="325" customWidth="1"/>
    <col min="10" max="10" width="15" style="4" hidden="1" customWidth="1"/>
    <col min="11" max="11" width="18.42578125" style="4" hidden="1" customWidth="1"/>
    <col min="12" max="12" width="21.28515625" style="4" hidden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978" t="s">
        <v>90</v>
      </c>
      <c r="B2" s="1978"/>
      <c r="C2" s="1978"/>
      <c r="D2" s="1978"/>
      <c r="E2" s="1978"/>
      <c r="F2" s="1978"/>
      <c r="G2" s="1978"/>
      <c r="H2" s="1978"/>
      <c r="I2" s="1978"/>
    </row>
    <row r="3" spans="1:13">
      <c r="A3" s="1978" t="s">
        <v>6</v>
      </c>
      <c r="B3" s="1978"/>
      <c r="C3" s="1978"/>
      <c r="D3" s="1978"/>
      <c r="E3" s="1978"/>
      <c r="F3" s="1978"/>
      <c r="G3" s="1978"/>
      <c r="H3" s="1978"/>
      <c r="I3" s="1978"/>
    </row>
    <row r="4" spans="1:13">
      <c r="A4" s="2158" t="s">
        <v>605</v>
      </c>
      <c r="B4" s="1978"/>
      <c r="C4" s="1978"/>
      <c r="D4" s="1978"/>
      <c r="E4" s="1978"/>
      <c r="F4" s="1978"/>
      <c r="G4" s="1978"/>
      <c r="H4" s="1978"/>
      <c r="I4" s="1978"/>
    </row>
    <row r="5" spans="1:13" ht="13.5" customHeight="1">
      <c r="H5" s="314"/>
      <c r="I5" s="321"/>
    </row>
    <row r="6" spans="1:13" ht="18" customHeight="1">
      <c r="A6" s="2159" t="s">
        <v>5</v>
      </c>
      <c r="B6" s="2159"/>
      <c r="C6" s="2159"/>
      <c r="H6" s="314"/>
      <c r="I6" s="321"/>
    </row>
    <row r="7" spans="1:13" ht="15" customHeight="1">
      <c r="A7" s="2080" t="s">
        <v>101</v>
      </c>
      <c r="B7" s="2080"/>
      <c r="C7" s="2080"/>
      <c r="H7" s="314"/>
      <c r="I7" s="321"/>
    </row>
    <row r="8" spans="1:13" ht="15" customHeight="1">
      <c r="A8" s="1835"/>
      <c r="B8" s="1835"/>
      <c r="C8" s="1835"/>
      <c r="H8" s="314"/>
      <c r="I8" s="321"/>
    </row>
    <row r="9" spans="1:13" s="107" customFormat="1" ht="20.25" customHeight="1">
      <c r="A9" s="2157" t="s">
        <v>1133</v>
      </c>
      <c r="B9" s="2157"/>
      <c r="C9" s="2157"/>
      <c r="D9" s="2157"/>
      <c r="E9" s="2157"/>
      <c r="F9" s="2157"/>
      <c r="G9" s="2157"/>
      <c r="H9" s="2157"/>
      <c r="I9" s="2157"/>
    </row>
    <row r="10" spans="1:13" ht="15.75" customHeight="1">
      <c r="A10" s="2161" t="s">
        <v>1117</v>
      </c>
      <c r="B10" s="2162"/>
      <c r="C10" s="2162"/>
      <c r="D10" s="2162"/>
      <c r="E10" s="2162"/>
      <c r="F10" s="2162"/>
      <c r="G10" s="2162"/>
      <c r="H10" s="2162"/>
      <c r="I10" s="2162"/>
    </row>
    <row r="11" spans="1:13" ht="15.75" customHeight="1">
      <c r="A11" s="1834"/>
      <c r="B11" s="1834"/>
      <c r="F11" s="314"/>
      <c r="G11" s="314"/>
      <c r="H11" s="2163" t="s">
        <v>857</v>
      </c>
      <c r="I11" s="2163"/>
      <c r="J11" s="4">
        <f>'CNKT '!E11</f>
        <v>656</v>
      </c>
    </row>
    <row r="12" spans="1:13" s="280" customFormat="1" ht="53.25" customHeight="1">
      <c r="A12" s="669" t="s">
        <v>11</v>
      </c>
      <c r="B12" s="669" t="s">
        <v>298</v>
      </c>
      <c r="C12" s="279" t="s">
        <v>17</v>
      </c>
      <c r="D12" s="315" t="s">
        <v>299</v>
      </c>
      <c r="E12" s="315" t="s">
        <v>300</v>
      </c>
      <c r="F12" s="315" t="s">
        <v>301</v>
      </c>
      <c r="G12" s="315" t="s">
        <v>835</v>
      </c>
      <c r="H12" s="315" t="s">
        <v>836</v>
      </c>
      <c r="I12" s="322" t="s">
        <v>106</v>
      </c>
    </row>
    <row r="13" spans="1:13" ht="20.100000000000001" customHeight="1">
      <c r="A13" s="1840" t="s">
        <v>114</v>
      </c>
      <c r="B13" s="1841" t="s">
        <v>767</v>
      </c>
      <c r="C13" s="1842"/>
      <c r="D13" s="316"/>
      <c r="E13" s="316"/>
      <c r="F13" s="316"/>
      <c r="G13" s="317">
        <f>G14+G31+G32</f>
        <v>417100217</v>
      </c>
      <c r="H13" s="317">
        <f>H14+H31</f>
        <v>353100217.28571427</v>
      </c>
      <c r="I13" s="323"/>
      <c r="K13" s="1843"/>
      <c r="L13" s="1844"/>
    </row>
    <row r="14" spans="1:13" ht="22.5" hidden="1" customHeight="1">
      <c r="A14" s="1845">
        <v>1</v>
      </c>
      <c r="B14" s="302" t="s">
        <v>303</v>
      </c>
      <c r="C14" s="1846"/>
      <c r="D14" s="316"/>
      <c r="E14" s="316"/>
      <c r="F14" s="316"/>
      <c r="G14" s="316">
        <f>G15+G21+G30</f>
        <v>343164503</v>
      </c>
      <c r="H14" s="316">
        <f>H15+H21+H30</f>
        <v>343164503</v>
      </c>
      <c r="I14" s="324"/>
      <c r="K14" s="1847"/>
    </row>
    <row r="15" spans="1:13" ht="22.5" hidden="1" customHeight="1">
      <c r="A15" s="281" t="s">
        <v>640</v>
      </c>
      <c r="B15" s="1848" t="s">
        <v>304</v>
      </c>
      <c r="C15" s="1849"/>
      <c r="D15" s="316"/>
      <c r="E15" s="316">
        <f>SUM(E16:E20)</f>
        <v>0</v>
      </c>
      <c r="F15" s="316"/>
      <c r="G15" s="316">
        <f>SUM(G16:G20)</f>
        <v>3</v>
      </c>
      <c r="H15" s="316">
        <f>SUM(H16:H19)</f>
        <v>0</v>
      </c>
      <c r="I15" s="324"/>
      <c r="K15" s="282">
        <f>17000*4000</f>
        <v>68000000</v>
      </c>
      <c r="L15" s="1850"/>
      <c r="M15" s="1851"/>
    </row>
    <row r="16" spans="1:13" ht="22.5" hidden="1" customHeight="1">
      <c r="A16" s="1845"/>
      <c r="B16" s="302" t="s">
        <v>621</v>
      </c>
      <c r="C16" s="1852" t="s">
        <v>305</v>
      </c>
      <c r="D16" s="316"/>
      <c r="E16" s="316">
        <f>SUMIF('BTH mủ tạp'!AL15:AL314,"A",'BTH mủ tạp'!AK15:AK314)</f>
        <v>0</v>
      </c>
      <c r="F16" s="1853">
        <f>6.1*$J$11</f>
        <v>4001.6</v>
      </c>
      <c r="G16" s="1853">
        <f>ROUND((E16*F16),0)+2</f>
        <v>2</v>
      </c>
      <c r="H16" s="316">
        <f>E16*F16</f>
        <v>0</v>
      </c>
      <c r="I16" s="324"/>
      <c r="K16" s="1287"/>
      <c r="L16" s="247"/>
    </row>
    <row r="17" spans="1:14" ht="22.5" hidden="1" customHeight="1">
      <c r="A17" s="1845"/>
      <c r="B17" s="302" t="s">
        <v>622</v>
      </c>
      <c r="C17" s="1849" t="s">
        <v>305</v>
      </c>
      <c r="D17" s="316"/>
      <c r="E17" s="316">
        <f>SUMIF('BTH mủ tạp'!AL15:AL313,"B",'BTH mủ tạp'!AK15:AK313)</f>
        <v>0</v>
      </c>
      <c r="F17" s="1853">
        <f>5.8*$J$11</f>
        <v>3804.7999999999997</v>
      </c>
      <c r="G17" s="1853">
        <f>ROUND((E17*F17),0)+1</f>
        <v>1</v>
      </c>
      <c r="H17" s="316">
        <f>E17*F17</f>
        <v>0</v>
      </c>
      <c r="I17" s="324"/>
    </row>
    <row r="18" spans="1:14" ht="22.5" hidden="1" customHeight="1">
      <c r="A18" s="1845"/>
      <c r="B18" s="302" t="s">
        <v>623</v>
      </c>
      <c r="C18" s="1849" t="s">
        <v>305</v>
      </c>
      <c r="D18" s="316"/>
      <c r="E18" s="316">
        <f>SUMIF('BTH mủ tạp'!AL15:AL313,"C",'BTH mủ tạp'!AK15:AK313)+SUMIF('BTH mủ tạp'!AL15:AL313,"C.",'BTH mủ tạp'!AK15:AK313)</f>
        <v>0</v>
      </c>
      <c r="F18" s="1853">
        <f>5.5*$J$11</f>
        <v>3608</v>
      </c>
      <c r="G18" s="1853">
        <f>ROUND((E18*F18),0)</f>
        <v>0</v>
      </c>
      <c r="H18" s="316">
        <f>E18*F18</f>
        <v>0</v>
      </c>
      <c r="I18" s="324"/>
      <c r="K18" s="316">
        <v>60564.800000000003</v>
      </c>
    </row>
    <row r="19" spans="1:14" ht="22.5" hidden="1" customHeight="1">
      <c r="A19" s="1845"/>
      <c r="B19" s="302" t="s">
        <v>624</v>
      </c>
      <c r="C19" s="1849" t="s">
        <v>305</v>
      </c>
      <c r="D19" s="316"/>
      <c r="E19" s="316">
        <f>SUMIF('BTH mủ tạp'!AL15:AL305,"D",'BTH mủ tạp'!AK15:AK305)</f>
        <v>0</v>
      </c>
      <c r="F19" s="1853">
        <f>5.2*$J$11</f>
        <v>3411.2000000000003</v>
      </c>
      <c r="G19" s="1853">
        <f t="shared" ref="G19" si="0">E19*F19</f>
        <v>0</v>
      </c>
      <c r="H19" s="316">
        <f>E19*F19</f>
        <v>0</v>
      </c>
      <c r="I19" s="324"/>
    </row>
    <row r="20" spans="1:14" ht="22.5" hidden="1" customHeight="1">
      <c r="A20" s="1845"/>
      <c r="B20" s="302" t="s">
        <v>988</v>
      </c>
      <c r="C20" s="1849" t="s">
        <v>305</v>
      </c>
      <c r="D20" s="316"/>
      <c r="E20" s="316">
        <f>'BTH mủ Sỉum'!AJ21</f>
        <v>0</v>
      </c>
      <c r="F20" s="1853">
        <f>6.1*$J$11</f>
        <v>4001.6</v>
      </c>
      <c r="G20" s="1853">
        <f>ROUND((E20*F20),0)</f>
        <v>0</v>
      </c>
      <c r="H20" s="316"/>
      <c r="I20" s="324"/>
    </row>
    <row r="21" spans="1:14" ht="22.5" hidden="1" customHeight="1">
      <c r="A21" s="281" t="s">
        <v>641</v>
      </c>
      <c r="B21" s="1848" t="s">
        <v>306</v>
      </c>
      <c r="C21" s="1842" t="s">
        <v>185</v>
      </c>
      <c r="D21" s="316"/>
      <c r="E21" s="1854"/>
      <c r="F21" s="1853"/>
      <c r="G21" s="316">
        <f>SUM(G22:G29)</f>
        <v>0</v>
      </c>
      <c r="H21" s="316">
        <f t="shared" ref="H21" si="1">SUM(H22:H29)</f>
        <v>0</v>
      </c>
      <c r="I21" s="316"/>
      <c r="K21" s="282"/>
      <c r="L21" s="1844"/>
      <c r="M21" s="247"/>
    </row>
    <row r="22" spans="1:14" ht="22.5" hidden="1" customHeight="1">
      <c r="A22" s="1845"/>
      <c r="B22" s="302" t="s">
        <v>882</v>
      </c>
      <c r="C22" s="1842" t="s">
        <v>185</v>
      </c>
      <c r="D22" s="1853">
        <f>'CNKT '!M326</f>
        <v>0</v>
      </c>
      <c r="E22" s="1854"/>
      <c r="F22" s="1853">
        <f>46.1*$J$11</f>
        <v>30241.600000000002</v>
      </c>
      <c r="G22" s="1853">
        <f>ROUND((D22*F22),0)</f>
        <v>0</v>
      </c>
      <c r="H22" s="316">
        <f>D22*F22</f>
        <v>0</v>
      </c>
      <c r="I22" s="316"/>
      <c r="K22" s="1847">
        <f>G15+G21+G30</f>
        <v>343164503</v>
      </c>
      <c r="M22" s="1847"/>
    </row>
    <row r="23" spans="1:14" ht="22.5" hidden="1" customHeight="1">
      <c r="A23" s="1845"/>
      <c r="B23" s="302" t="s">
        <v>459</v>
      </c>
      <c r="C23" s="1842" t="s">
        <v>185</v>
      </c>
      <c r="D23" s="1853">
        <f>'CNKT '!N326</f>
        <v>0</v>
      </c>
      <c r="E23" s="1854"/>
      <c r="F23" s="1853">
        <f>76.9*$J$11</f>
        <v>50446.400000000001</v>
      </c>
      <c r="G23" s="1853">
        <f>ROUND((D23*F23),0)</f>
        <v>0</v>
      </c>
      <c r="H23" s="316">
        <f>D23*F23</f>
        <v>0</v>
      </c>
      <c r="I23" s="316"/>
      <c r="K23" s="1847">
        <f>'LƯƠNG CN TRỰC TIẾP '!O379</f>
        <v>343164503</v>
      </c>
      <c r="L23" s="1847">
        <f>K23-K22</f>
        <v>0</v>
      </c>
      <c r="M23" s="1847"/>
    </row>
    <row r="24" spans="1:14" s="99" customFormat="1" ht="22.5" hidden="1" customHeight="1">
      <c r="A24" s="1845"/>
      <c r="B24" s="302" t="s">
        <v>934</v>
      </c>
      <c r="C24" s="1842" t="s">
        <v>185</v>
      </c>
      <c r="D24" s="1853">
        <f>'CNKT '!O326</f>
        <v>0</v>
      </c>
      <c r="E24" s="316"/>
      <c r="F24" s="1853">
        <f>92.2*$J$11</f>
        <v>60483.200000000004</v>
      </c>
      <c r="G24" s="1853">
        <f t="shared" ref="G24:G27" si="2">D24*F24</f>
        <v>0</v>
      </c>
      <c r="H24" s="316">
        <f>D24*F24</f>
        <v>0</v>
      </c>
      <c r="I24" s="316"/>
      <c r="K24" s="1855"/>
    </row>
    <row r="25" spans="1:14" s="99" customFormat="1" ht="21.75" hidden="1" customHeight="1">
      <c r="A25" s="1845"/>
      <c r="B25" s="302" t="s">
        <v>883</v>
      </c>
      <c r="C25" s="1842" t="s">
        <v>185</v>
      </c>
      <c r="D25" s="1853">
        <f>'CNKT '!P326</f>
        <v>0</v>
      </c>
      <c r="E25" s="316"/>
      <c r="F25" s="1853">
        <f>153.8*$J$11</f>
        <v>100892.8</v>
      </c>
      <c r="G25" s="1853">
        <f t="shared" si="2"/>
        <v>0</v>
      </c>
      <c r="H25" s="316">
        <f t="shared" ref="H25:H27" si="3">D25*F25</f>
        <v>0</v>
      </c>
      <c r="I25" s="316"/>
      <c r="K25" s="1855"/>
    </row>
    <row r="26" spans="1:14" s="99" customFormat="1" ht="22.5" hidden="1" customHeight="1">
      <c r="A26" s="1845"/>
      <c r="B26" s="302" t="s">
        <v>935</v>
      </c>
      <c r="C26" s="1842" t="s">
        <v>185</v>
      </c>
      <c r="D26" s="1853">
        <f>'CNKT '!Q326</f>
        <v>0</v>
      </c>
      <c r="E26" s="316"/>
      <c r="F26" s="1853">
        <f>92.2*$J$11</f>
        <v>60483.200000000004</v>
      </c>
      <c r="G26" s="1853">
        <f>ROUND((D26*F26),0)</f>
        <v>0</v>
      </c>
      <c r="H26" s="316">
        <f t="shared" si="3"/>
        <v>0</v>
      </c>
      <c r="I26" s="316"/>
      <c r="K26" s="1855">
        <v>1793573709</v>
      </c>
    </row>
    <row r="27" spans="1:14" s="99" customFormat="1" ht="22.5" hidden="1" customHeight="1">
      <c r="A27" s="1845"/>
      <c r="B27" s="302" t="s">
        <v>931</v>
      </c>
      <c r="C27" s="1842" t="s">
        <v>185</v>
      </c>
      <c r="D27" s="1853">
        <f>'CNKT '!R326</f>
        <v>0</v>
      </c>
      <c r="E27" s="316"/>
      <c r="F27" s="1853">
        <f>153.8*$J$11</f>
        <v>100892.8</v>
      </c>
      <c r="G27" s="1853">
        <f t="shared" si="2"/>
        <v>0</v>
      </c>
      <c r="H27" s="316">
        <f t="shared" si="3"/>
        <v>0</v>
      </c>
      <c r="I27" s="316"/>
      <c r="K27" s="1855">
        <v>27159261</v>
      </c>
    </row>
    <row r="28" spans="1:14" s="99" customFormat="1" ht="20.25" hidden="1" customHeight="1">
      <c r="A28" s="1845"/>
      <c r="B28" s="302" t="s">
        <v>1058</v>
      </c>
      <c r="C28" s="1842" t="s">
        <v>185</v>
      </c>
      <c r="D28" s="1853">
        <f>'CNKT '!T326</f>
        <v>0</v>
      </c>
      <c r="E28" s="316"/>
      <c r="F28" s="1853">
        <v>10000</v>
      </c>
      <c r="G28" s="1853">
        <f>ROUND((D28*F28),0)</f>
        <v>0</v>
      </c>
      <c r="H28" s="316">
        <f>D28*F28</f>
        <v>0</v>
      </c>
      <c r="I28" s="316"/>
      <c r="K28" s="1855">
        <v>30253740</v>
      </c>
    </row>
    <row r="29" spans="1:14" s="99" customFormat="1" ht="20.25" hidden="1" customHeight="1">
      <c r="A29" s="1845"/>
      <c r="B29" s="302" t="s">
        <v>1169</v>
      </c>
      <c r="C29" s="1842" t="s">
        <v>185</v>
      </c>
      <c r="D29" s="1853">
        <f>'CNKT '!U326</f>
        <v>0</v>
      </c>
      <c r="E29" s="316"/>
      <c r="F29" s="1853">
        <v>30000</v>
      </c>
      <c r="G29" s="1853">
        <f>ROUND((D29*F29),0)</f>
        <v>0</v>
      </c>
      <c r="H29" s="316">
        <f>D29*F29</f>
        <v>0</v>
      </c>
      <c r="I29" s="316"/>
      <c r="K29" s="1855">
        <v>21672401</v>
      </c>
    </row>
    <row r="30" spans="1:14" ht="22.5" customHeight="1">
      <c r="A30" s="281" t="s">
        <v>640</v>
      </c>
      <c r="B30" s="302" t="s">
        <v>307</v>
      </c>
      <c r="C30" s="1842" t="s">
        <v>185</v>
      </c>
      <c r="D30" s="1856">
        <f>'CNKT '!E326</f>
        <v>13726.58</v>
      </c>
      <c r="E30" s="316"/>
      <c r="F30" s="1853">
        <v>25000</v>
      </c>
      <c r="G30" s="1853">
        <f>ROUND((D30*F30),0)</f>
        <v>343164500</v>
      </c>
      <c r="H30" s="316">
        <f>'CNKT '!F326</f>
        <v>343164503</v>
      </c>
      <c r="I30" s="316"/>
      <c r="K30" s="1847"/>
      <c r="L30" s="1857"/>
    </row>
    <row r="31" spans="1:14" s="5" customFormat="1" ht="22.5" customHeight="1">
      <c r="A31" s="1845">
        <v>1</v>
      </c>
      <c r="B31" s="302" t="s">
        <v>309</v>
      </c>
      <c r="C31" s="1842" t="s">
        <v>185</v>
      </c>
      <c r="D31" s="1853">
        <f>H31/F31</f>
        <v>397.42857142857144</v>
      </c>
      <c r="E31" s="316"/>
      <c r="F31" s="1853">
        <v>25000</v>
      </c>
      <c r="G31" s="1853">
        <f>ROUND((D31*F31),0)</f>
        <v>9935714</v>
      </c>
      <c r="H31" s="316">
        <f>'Lương bảo vệ '!G17</f>
        <v>9935714.2857142854</v>
      </c>
      <c r="I31" s="316"/>
      <c r="K31" s="200"/>
      <c r="L31" s="1858"/>
      <c r="N31" s="1858"/>
    </row>
    <row r="32" spans="1:14" s="5" customFormat="1" ht="22.5" customHeight="1">
      <c r="A32" s="1845">
        <v>2</v>
      </c>
      <c r="B32" s="302" t="s">
        <v>1057</v>
      </c>
      <c r="C32" s="1842" t="s">
        <v>185</v>
      </c>
      <c r="D32" s="1853">
        <f>'Thanh toán BVTV'!J39/25000</f>
        <v>2560</v>
      </c>
      <c r="E32" s="316"/>
      <c r="F32" s="1853">
        <v>25000</v>
      </c>
      <c r="G32" s="1853">
        <f>ROUND((D32*F32),0)</f>
        <v>64000000</v>
      </c>
      <c r="H32" s="316"/>
      <c r="I32" s="316"/>
      <c r="K32" s="200"/>
      <c r="L32" s="1858"/>
      <c r="N32" s="1858"/>
    </row>
    <row r="33" spans="1:14" s="5" customFormat="1" ht="22.5" hidden="1" customHeight="1">
      <c r="A33" s="1859" t="s">
        <v>99</v>
      </c>
      <c r="B33" s="1860" t="s">
        <v>768</v>
      </c>
      <c r="C33" s="309"/>
      <c r="D33" s="324"/>
      <c r="E33" s="316"/>
      <c r="F33" s="1853"/>
      <c r="G33" s="1861">
        <f>SUM(G34:G36)</f>
        <v>0</v>
      </c>
      <c r="H33" s="317">
        <f>SUM(H34:H36)</f>
        <v>0</v>
      </c>
      <c r="I33" s="323"/>
      <c r="K33" s="1858"/>
      <c r="L33" s="1858"/>
      <c r="N33" s="1858"/>
    </row>
    <row r="34" spans="1:14" s="5" customFormat="1" ht="22.5" hidden="1" customHeight="1">
      <c r="A34" s="1845">
        <v>1</v>
      </c>
      <c r="B34" s="302" t="s">
        <v>936</v>
      </c>
      <c r="C34" s="309" t="s">
        <v>310</v>
      </c>
      <c r="D34" s="1862">
        <f>'Trạm cán '!M35</f>
        <v>0</v>
      </c>
      <c r="E34" s="316"/>
      <c r="F34" s="1853">
        <f>130.79*$J$11</f>
        <v>85798.239999999991</v>
      </c>
      <c r="G34" s="1853">
        <f>ROUND((D34*F34),0)</f>
        <v>0</v>
      </c>
      <c r="H34" s="316">
        <f>SUM('Trạm cán '!R23:R28)</f>
        <v>0</v>
      </c>
      <c r="I34" s="324"/>
      <c r="J34" s="202" t="s">
        <v>787</v>
      </c>
      <c r="K34" s="613">
        <f>'LƯƠNG CN TRỰC TIẾP '!M384</f>
        <v>468107439.98571426</v>
      </c>
      <c r="L34" s="1858"/>
      <c r="N34" s="1858"/>
    </row>
    <row r="35" spans="1:14" s="5" customFormat="1" ht="22.5" hidden="1" customHeight="1">
      <c r="A35" s="1845">
        <v>2</v>
      </c>
      <c r="B35" s="302" t="s">
        <v>937</v>
      </c>
      <c r="C35" s="309" t="s">
        <v>310</v>
      </c>
      <c r="D35" s="1862"/>
      <c r="E35" s="316"/>
      <c r="F35" s="1853">
        <f>161.49*$J$11</f>
        <v>105937.44</v>
      </c>
      <c r="G35" s="1853"/>
      <c r="H35" s="316">
        <f>SUM('Trạm cán '!R29:R34)</f>
        <v>0</v>
      </c>
      <c r="I35" s="324"/>
      <c r="J35" s="202"/>
      <c r="K35" s="613"/>
      <c r="L35" s="1858"/>
      <c r="N35" s="1858"/>
    </row>
    <row r="36" spans="1:14" s="5" customFormat="1" ht="22.5" hidden="1" customHeight="1">
      <c r="A36" s="1845">
        <v>3</v>
      </c>
      <c r="B36" s="302" t="s">
        <v>311</v>
      </c>
      <c r="C36" s="309" t="s">
        <v>168</v>
      </c>
      <c r="D36" s="316"/>
      <c r="E36" s="316"/>
      <c r="F36" s="316"/>
      <c r="G36" s="316"/>
      <c r="H36" s="316">
        <f>G36</f>
        <v>0</v>
      </c>
      <c r="I36" s="323"/>
      <c r="J36" s="202"/>
      <c r="K36" s="613"/>
      <c r="L36" s="1858"/>
      <c r="N36" s="1858"/>
    </row>
    <row r="37" spans="1:14" s="5" customFormat="1" ht="22.5" customHeight="1">
      <c r="A37" s="1859" t="s">
        <v>99</v>
      </c>
      <c r="B37" s="1860" t="s">
        <v>769</v>
      </c>
      <c r="C37" s="310"/>
      <c r="D37" s="317"/>
      <c r="E37" s="317"/>
      <c r="F37" s="317"/>
      <c r="G37" s="1861">
        <f>G38</f>
        <v>30170940</v>
      </c>
      <c r="H37" s="317" t="e">
        <f>H38</f>
        <v>#REF!</v>
      </c>
      <c r="I37" s="323"/>
      <c r="K37" s="282">
        <f>SUM(K34:K36)</f>
        <v>468107439.98571426</v>
      </c>
      <c r="L37" s="1858" t="e">
        <f>H38+H33</f>
        <v>#REF!</v>
      </c>
      <c r="N37" s="1858"/>
    </row>
    <row r="38" spans="1:14" s="5" customFormat="1" ht="22.5" customHeight="1">
      <c r="A38" s="1845">
        <v>1</v>
      </c>
      <c r="B38" s="302" t="s">
        <v>770</v>
      </c>
      <c r="C38" s="309" t="s">
        <v>168</v>
      </c>
      <c r="D38" s="316"/>
      <c r="E38" s="316"/>
      <c r="F38" s="316"/>
      <c r="G38" s="316">
        <f>'Trạm cán '!P17+'Trạm cán '!P18+'Trạm cán '!P19+'Trạm cán '!P20</f>
        <v>30170940</v>
      </c>
      <c r="H38" s="316" t="e">
        <f>'Trạm cán '!#REF!+'Trạm cán '!R17+'Trạm cán '!R18+'Trạm cán '!R19+'Trạm cán '!R20</f>
        <v>#REF!</v>
      </c>
      <c r="I38" s="323"/>
      <c r="K38" s="1863">
        <f>G13+G33+G37</f>
        <v>447271157</v>
      </c>
      <c r="L38" s="1858"/>
      <c r="N38" s="1858"/>
    </row>
    <row r="39" spans="1:14" s="1809" customFormat="1" ht="22.5" customHeight="1">
      <c r="A39" s="1859" t="s">
        <v>144</v>
      </c>
      <c r="B39" s="1860" t="s">
        <v>901</v>
      </c>
      <c r="C39" s="1859"/>
      <c r="D39" s="317"/>
      <c r="E39" s="317"/>
      <c r="F39" s="317"/>
      <c r="G39" s="1861">
        <f>SUM(G40:G42)</f>
        <v>23379866</v>
      </c>
      <c r="H39" s="317">
        <f>SUM(H40:H42)</f>
        <v>22593376.699999999</v>
      </c>
      <c r="I39" s="323"/>
      <c r="J39" s="202"/>
      <c r="K39" s="204"/>
      <c r="L39" s="1864"/>
      <c r="N39" s="1864"/>
    </row>
    <row r="40" spans="1:14" ht="22.5" customHeight="1">
      <c r="A40" s="149">
        <v>1</v>
      </c>
      <c r="B40" s="378" t="s">
        <v>900</v>
      </c>
      <c r="C40" s="309" t="s">
        <v>168</v>
      </c>
      <c r="D40" s="324"/>
      <c r="E40" s="316"/>
      <c r="F40" s="1853"/>
      <c r="G40" s="1853">
        <f>'lương gián tiếp'!G13</f>
        <v>19979866</v>
      </c>
      <c r="H40" s="316">
        <f>'lương gián tiếp'!I13</f>
        <v>19233376.699999999</v>
      </c>
      <c r="I40" s="324"/>
      <c r="M40" s="247"/>
    </row>
    <row r="41" spans="1:14" s="5" customFormat="1" ht="22.5" customHeight="1">
      <c r="A41" s="1845">
        <v>2</v>
      </c>
      <c r="B41" s="1848" t="s">
        <v>738</v>
      </c>
      <c r="C41" s="309" t="s">
        <v>168</v>
      </c>
      <c r="D41" s="316"/>
      <c r="E41" s="316"/>
      <c r="F41" s="316"/>
      <c r="G41" s="316">
        <f>'lương gián tiếp'!G18</f>
        <v>1700000</v>
      </c>
      <c r="H41" s="316">
        <f>'lương gián tiếp'!I19</f>
        <v>1680000</v>
      </c>
      <c r="I41" s="324"/>
      <c r="K41" s="1863">
        <f>G43-K34</f>
        <v>2543583.0142857432</v>
      </c>
      <c r="L41" s="1858" t="e">
        <f>H43-K37</f>
        <v>#REF!</v>
      </c>
      <c r="N41" s="1858"/>
    </row>
    <row r="42" spans="1:14" s="5" customFormat="1" ht="22.5" customHeight="1">
      <c r="A42" s="1845">
        <v>3</v>
      </c>
      <c r="B42" s="1848" t="s">
        <v>739</v>
      </c>
      <c r="C42" s="309" t="s">
        <v>168</v>
      </c>
      <c r="D42" s="316"/>
      <c r="E42" s="316"/>
      <c r="F42" s="316"/>
      <c r="G42" s="316">
        <f>'lương gián tiếp'!G20</f>
        <v>1700000</v>
      </c>
      <c r="H42" s="316">
        <f>'lương gián tiếp'!I21</f>
        <v>1680000</v>
      </c>
      <c r="I42" s="324"/>
      <c r="K42" s="1865"/>
      <c r="L42" s="1858"/>
      <c r="N42" s="1858"/>
    </row>
    <row r="43" spans="1:14" ht="16.5" customHeight="1">
      <c r="A43" s="2164" t="s">
        <v>314</v>
      </c>
      <c r="B43" s="2164"/>
      <c r="C43" s="311"/>
      <c r="D43" s="316"/>
      <c r="E43" s="317"/>
      <c r="F43" s="316"/>
      <c r="G43" s="317">
        <f>G13+G33+G37+G39</f>
        <v>470651023</v>
      </c>
      <c r="H43" s="317" t="e">
        <f>H13+H33+H37+H39</f>
        <v>#REF!</v>
      </c>
      <c r="I43" s="1875"/>
      <c r="K43" s="282"/>
      <c r="L43" s="200" t="e">
        <f>SUM(#REF!)</f>
        <v>#REF!</v>
      </c>
      <c r="M43" s="247"/>
    </row>
    <row r="44" spans="1:14" ht="21" customHeight="1">
      <c r="A44" s="2165" t="s">
        <v>1184</v>
      </c>
      <c r="B44" s="2166"/>
      <c r="C44" s="2166"/>
      <c r="D44" s="2166"/>
      <c r="E44" s="2166"/>
      <c r="F44" s="2166"/>
      <c r="G44" s="2166"/>
      <c r="H44" s="2166"/>
      <c r="I44" s="2167"/>
      <c r="K44" s="247"/>
      <c r="L44" s="612"/>
    </row>
    <row r="45" spans="1:14" s="246" customFormat="1" ht="18.75">
      <c r="A45" s="283"/>
      <c r="B45" s="283"/>
      <c r="C45" s="1866"/>
      <c r="D45" s="1867"/>
      <c r="E45" s="1868"/>
      <c r="F45" s="1869"/>
      <c r="G45" s="1869"/>
      <c r="H45" s="1869"/>
      <c r="I45" s="1870"/>
      <c r="K45" s="298"/>
      <c r="L45" s="284"/>
      <c r="M45" s="285"/>
    </row>
    <row r="46" spans="1:14" s="246" customFormat="1" ht="18.75">
      <c r="A46" s="299"/>
      <c r="B46" s="299"/>
      <c r="C46" s="312"/>
      <c r="D46" s="318"/>
      <c r="E46" s="1868"/>
      <c r="F46" s="2168" t="s">
        <v>1113</v>
      </c>
      <c r="G46" s="2168"/>
      <c r="H46" s="2168"/>
      <c r="I46" s="2168"/>
      <c r="K46" s="284"/>
      <c r="L46" s="1848"/>
    </row>
    <row r="47" spans="1:14" s="287" customFormat="1" ht="18.75">
      <c r="A47" s="2169" t="s">
        <v>315</v>
      </c>
      <c r="B47" s="2169"/>
      <c r="C47" s="2160" t="s">
        <v>316</v>
      </c>
      <c r="D47" s="2160"/>
      <c r="E47" s="2170" t="s">
        <v>907</v>
      </c>
      <c r="F47" s="2170"/>
      <c r="G47" s="2170"/>
      <c r="H47" s="2170"/>
      <c r="I47" s="2170"/>
      <c r="K47" s="304" t="e">
        <f>H43-#REF!</f>
        <v>#REF!</v>
      </c>
      <c r="L47" s="288"/>
    </row>
    <row r="48" spans="1:14" s="246" customFormat="1" ht="18.75">
      <c r="A48" s="299"/>
      <c r="B48" s="299"/>
      <c r="C48" s="312"/>
      <c r="D48" s="318"/>
      <c r="E48" s="1868"/>
      <c r="F48" s="1871"/>
      <c r="G48" s="1871"/>
      <c r="H48" s="318"/>
      <c r="I48" s="326"/>
      <c r="K48" s="1872"/>
    </row>
    <row r="49" spans="1:9" s="246" customFormat="1" ht="18.75">
      <c r="A49" s="299"/>
      <c r="B49" s="299"/>
      <c r="C49" s="312"/>
      <c r="D49" s="318"/>
      <c r="E49" s="1868"/>
      <c r="F49" s="1871"/>
      <c r="G49" s="1871"/>
      <c r="H49" s="318"/>
      <c r="I49" s="326"/>
    </row>
    <row r="50" spans="1:9" s="246" customFormat="1" ht="18.75">
      <c r="A50" s="299"/>
      <c r="B50" s="299"/>
      <c r="C50" s="312"/>
      <c r="D50" s="318"/>
      <c r="E50" s="1868"/>
      <c r="F50" s="1871"/>
      <c r="G50" s="1871"/>
      <c r="H50" s="318"/>
      <c r="I50" s="326"/>
    </row>
    <row r="51" spans="1:9" s="246" customFormat="1" ht="18.75">
      <c r="A51" s="299"/>
      <c r="B51" s="299"/>
      <c r="C51" s="312"/>
      <c r="D51" s="318"/>
      <c r="E51" s="1868"/>
      <c r="F51" s="1871"/>
      <c r="G51" s="1871"/>
      <c r="H51" s="318"/>
      <c r="I51" s="326"/>
    </row>
    <row r="52" spans="1:9" s="246" customFormat="1" ht="18.75">
      <c r="A52" s="299"/>
      <c r="B52" s="299"/>
      <c r="C52" s="312"/>
      <c r="D52" s="318"/>
      <c r="E52" s="1868"/>
      <c r="F52" s="2160"/>
      <c r="G52" s="2160"/>
      <c r="H52" s="2160"/>
      <c r="I52" s="2160"/>
    </row>
    <row r="53" spans="1:9">
      <c r="A53" s="300"/>
      <c r="B53" s="300"/>
      <c r="C53" s="313"/>
      <c r="D53" s="319"/>
      <c r="E53" s="319"/>
      <c r="F53" s="319"/>
      <c r="G53" s="319"/>
      <c r="H53" s="319"/>
      <c r="I53" s="327"/>
    </row>
    <row r="54" spans="1:9">
      <c r="A54" s="300"/>
      <c r="B54" s="301"/>
      <c r="C54" s="313"/>
      <c r="D54" s="319"/>
      <c r="E54" s="320"/>
      <c r="F54" s="320"/>
      <c r="G54" s="320"/>
      <c r="H54" s="320"/>
      <c r="I54" s="328"/>
    </row>
  </sheetData>
  <mergeCells count="15">
    <mergeCell ref="F52:I52"/>
    <mergeCell ref="A10:I10"/>
    <mergeCell ref="H11:I11"/>
    <mergeCell ref="A43:B43"/>
    <mergeCell ref="A44:I44"/>
    <mergeCell ref="F46:I46"/>
    <mergeCell ref="A47:B47"/>
    <mergeCell ref="C47:D47"/>
    <mergeCell ref="E47:I47"/>
    <mergeCell ref="A9:I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4"/>
  <sheetViews>
    <sheetView topLeftCell="A4" workbookViewId="0">
      <selection activeCell="B22" sqref="B22"/>
    </sheetView>
  </sheetViews>
  <sheetFormatPr defaultColWidth="9.140625" defaultRowHeight="15"/>
  <cols>
    <col min="1" max="1" width="5.42578125" style="171" customWidth="1"/>
    <col min="2" max="2" width="40.5703125" style="171" customWidth="1"/>
    <col min="3" max="3" width="16.5703125" style="171" customWidth="1"/>
    <col min="4" max="4" width="27.28515625" style="171" customWidth="1"/>
    <col min="5" max="5" width="22.42578125" style="171" customWidth="1"/>
    <col min="6" max="6" width="23.42578125" style="171" customWidth="1"/>
    <col min="7" max="7" width="9.140625" style="171"/>
    <col min="8" max="8" width="21.5703125" style="171" customWidth="1"/>
    <col min="9" max="9" width="12.28515625" style="171" bestFit="1" customWidth="1"/>
    <col min="10" max="11" width="9.140625" style="171"/>
    <col min="12" max="12" width="12.28515625" style="171" bestFit="1" customWidth="1"/>
    <col min="13" max="14" width="9.140625" style="171"/>
    <col min="15" max="15" width="13.42578125" style="171" bestFit="1" customWidth="1"/>
    <col min="16" max="16" width="13.42578125" style="171" customWidth="1"/>
    <col min="17" max="17" width="12.5703125" style="171" customWidth="1"/>
    <col min="18" max="18" width="15.5703125" style="171" customWidth="1"/>
    <col min="19" max="16384" width="9.140625" style="171"/>
  </cols>
  <sheetData>
    <row r="2" spans="1:19" ht="16.5">
      <c r="A2" s="2062" t="s">
        <v>90</v>
      </c>
      <c r="B2" s="2062"/>
      <c r="C2" s="2062"/>
      <c r="D2" s="2062"/>
      <c r="E2" s="2062"/>
      <c r="F2" s="2062"/>
    </row>
    <row r="3" spans="1:19" ht="16.5">
      <c r="A3" s="2062" t="s">
        <v>56</v>
      </c>
      <c r="B3" s="2062"/>
      <c r="C3" s="2062"/>
      <c r="D3" s="2062"/>
      <c r="E3" s="2062"/>
      <c r="F3" s="2062"/>
    </row>
    <row r="4" spans="1:19" ht="17.25" customHeight="1">
      <c r="A4" s="2063" t="s">
        <v>604</v>
      </c>
      <c r="B4" s="2062"/>
      <c r="C4" s="2062"/>
      <c r="D4" s="2062"/>
      <c r="E4" s="2062"/>
      <c r="F4" s="2062"/>
    </row>
    <row r="5" spans="1:19" ht="9.75" customHeight="1">
      <c r="F5" s="97"/>
    </row>
    <row r="6" spans="1:19" ht="15.75">
      <c r="A6" s="1978" t="s">
        <v>5</v>
      </c>
      <c r="B6" s="1978"/>
      <c r="C6" s="1978"/>
      <c r="D6" s="1074"/>
      <c r="E6" s="1074"/>
      <c r="F6" s="97"/>
    </row>
    <row r="7" spans="1:19" ht="15.75">
      <c r="A7" s="1978" t="s">
        <v>101</v>
      </c>
      <c r="B7" s="1978"/>
      <c r="C7" s="1978"/>
      <c r="D7" s="1079"/>
      <c r="E7" s="1079"/>
      <c r="F7" s="97"/>
    </row>
    <row r="8" spans="1:19" ht="15.75">
      <c r="A8" s="3"/>
      <c r="B8" s="3"/>
      <c r="C8" s="3"/>
      <c r="D8" s="1079"/>
      <c r="E8" s="1079"/>
      <c r="F8" s="97"/>
    </row>
    <row r="9" spans="1:19" s="244" customFormat="1" ht="18" customHeight="1">
      <c r="A9" s="2173" t="s">
        <v>1131</v>
      </c>
      <c r="B9" s="2173"/>
      <c r="C9" s="2173"/>
      <c r="D9" s="2173"/>
      <c r="E9" s="2173"/>
      <c r="F9" s="2173"/>
    </row>
    <row r="10" spans="1:19" s="245" customFormat="1" ht="11.25" customHeight="1">
      <c r="A10" s="2174"/>
      <c r="B10" s="2174"/>
      <c r="C10" s="2174"/>
      <c r="D10" s="2174"/>
      <c r="E10" s="2174"/>
      <c r="F10" s="217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</row>
    <row r="11" spans="1:19" ht="40.5" customHeight="1">
      <c r="A11" s="374" t="s">
        <v>11</v>
      </c>
      <c r="B11" s="1083" t="s">
        <v>102</v>
      </c>
      <c r="C11" s="566" t="s">
        <v>269</v>
      </c>
      <c r="D11" s="850" t="s">
        <v>270</v>
      </c>
      <c r="E11" s="566" t="s">
        <v>271</v>
      </c>
      <c r="F11" s="372" t="s">
        <v>100</v>
      </c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</row>
    <row r="12" spans="1:19" ht="23.25" hidden="1" customHeight="1">
      <c r="A12" s="826">
        <v>1</v>
      </c>
      <c r="B12" s="852" t="s">
        <v>741</v>
      </c>
      <c r="C12" s="1238">
        <f>H12/7.14</f>
        <v>0</v>
      </c>
      <c r="D12" s="831">
        <v>25000</v>
      </c>
      <c r="E12" s="619">
        <f>+C12*D12</f>
        <v>0</v>
      </c>
      <c r="F12" s="827"/>
      <c r="G12" s="244"/>
      <c r="H12" s="1046">
        <f>'Khối lượng TC'!AH14+'Khối lượng TC'!AH27</f>
        <v>0</v>
      </c>
      <c r="I12" s="351"/>
      <c r="J12" s="244"/>
      <c r="K12" s="244"/>
      <c r="L12" s="244"/>
      <c r="M12" s="244">
        <f>3000/25000</f>
        <v>0.12</v>
      </c>
      <c r="N12" s="244"/>
      <c r="O12" s="244"/>
      <c r="P12" s="244"/>
      <c r="Q12" s="244"/>
      <c r="R12" s="244"/>
      <c r="S12" s="244"/>
    </row>
    <row r="13" spans="1:19" ht="23.25" hidden="1" customHeight="1">
      <c r="A13" s="826">
        <v>1</v>
      </c>
      <c r="B13" s="852" t="s">
        <v>1164</v>
      </c>
      <c r="C13" s="1238">
        <f>H13/3.57</f>
        <v>0</v>
      </c>
      <c r="D13" s="831">
        <v>25000</v>
      </c>
      <c r="E13" s="619">
        <f>+C13*D13</f>
        <v>0</v>
      </c>
      <c r="F13" s="827"/>
      <c r="G13" s="244"/>
      <c r="H13" s="1046">
        <f>'Khối lượng TC'!AH34</f>
        <v>0</v>
      </c>
      <c r="I13" s="351"/>
      <c r="J13" s="244"/>
      <c r="K13" s="244"/>
      <c r="L13" s="244"/>
      <c r="M13" s="244"/>
      <c r="N13" s="244"/>
      <c r="O13" s="244"/>
      <c r="P13" s="244"/>
      <c r="Q13" s="244"/>
      <c r="R13" s="244"/>
      <c r="S13" s="244"/>
    </row>
    <row r="14" spans="1:19" ht="25.5" customHeight="1">
      <c r="A14" s="826">
        <v>1</v>
      </c>
      <c r="B14" s="851" t="s">
        <v>1163</v>
      </c>
      <c r="C14" s="1047">
        <v>70</v>
      </c>
      <c r="D14" s="831">
        <v>25000</v>
      </c>
      <c r="E14" s="619">
        <f t="shared" ref="E14" si="0">C14*D14</f>
        <v>1750000</v>
      </c>
      <c r="F14" s="827"/>
      <c r="G14" s="244"/>
      <c r="H14" s="1046">
        <f>SUM(H12:H13)</f>
        <v>0</v>
      </c>
      <c r="I14" s="351"/>
      <c r="J14" s="244"/>
      <c r="K14" s="244"/>
      <c r="L14" s="244"/>
      <c r="M14" s="244"/>
      <c r="N14" s="244"/>
      <c r="O14" s="244"/>
      <c r="P14" s="244"/>
      <c r="Q14" s="244"/>
      <c r="R14" s="244"/>
      <c r="S14" s="244"/>
    </row>
    <row r="15" spans="1:19" ht="21.75" customHeight="1">
      <c r="A15" s="2175" t="s">
        <v>95</v>
      </c>
      <c r="B15" s="2176"/>
      <c r="C15" s="832">
        <f>SUM(C12:C14)</f>
        <v>70</v>
      </c>
      <c r="D15" s="832"/>
      <c r="E15" s="1277">
        <f>SUM(E12:E14)</f>
        <v>1750000</v>
      </c>
      <c r="F15" s="620"/>
      <c r="H15" s="830"/>
    </row>
    <row r="16" spans="1:19" ht="20.25" customHeight="1">
      <c r="A16" s="621"/>
      <c r="B16" s="621"/>
      <c r="C16" s="621"/>
      <c r="D16" s="621"/>
      <c r="E16" s="2177" t="s">
        <v>1132</v>
      </c>
      <c r="F16" s="2177"/>
    </row>
    <row r="17" spans="1:6" ht="23.25" customHeight="1">
      <c r="A17" s="169"/>
      <c r="B17" s="2172" t="s">
        <v>842</v>
      </c>
      <c r="C17" s="2172"/>
      <c r="D17" s="622"/>
      <c r="E17" s="2172" t="s">
        <v>178</v>
      </c>
      <c r="F17" s="2178"/>
    </row>
    <row r="18" spans="1:6" ht="16.5">
      <c r="A18" s="169"/>
      <c r="B18" s="169"/>
      <c r="C18" s="169"/>
      <c r="D18" s="169"/>
      <c r="E18" s="169"/>
      <c r="F18" s="169"/>
    </row>
    <row r="19" spans="1:6" ht="16.5">
      <c r="A19" s="169"/>
      <c r="B19" s="169"/>
      <c r="C19" s="169"/>
      <c r="D19" s="169"/>
      <c r="E19" s="169"/>
      <c r="F19" s="169"/>
    </row>
    <row r="20" spans="1:6" ht="16.5">
      <c r="A20" s="169"/>
      <c r="B20" s="169"/>
      <c r="C20" s="169"/>
      <c r="D20" s="169"/>
      <c r="E20" s="169"/>
      <c r="F20" s="169"/>
    </row>
    <row r="21" spans="1:6" ht="16.5">
      <c r="A21" s="169"/>
      <c r="B21" s="169"/>
      <c r="C21" s="169"/>
      <c r="D21" s="169"/>
      <c r="E21" s="169"/>
      <c r="F21" s="169"/>
    </row>
    <row r="22" spans="1:6" ht="16.5">
      <c r="A22" s="169"/>
      <c r="B22" s="169"/>
      <c r="C22" s="169"/>
      <c r="D22" s="169"/>
      <c r="E22" s="169"/>
      <c r="F22" s="169"/>
    </row>
    <row r="23" spans="1:6" ht="16.5">
      <c r="A23" s="169"/>
      <c r="B23" s="2171" t="s">
        <v>419</v>
      </c>
      <c r="C23" s="2171"/>
      <c r="D23" s="622"/>
      <c r="E23" s="2172" t="s">
        <v>76</v>
      </c>
      <c r="F23" s="2172"/>
    </row>
    <row r="24" spans="1:6" ht="16.5">
      <c r="A24" s="169"/>
      <c r="B24" s="169"/>
      <c r="C24" s="169"/>
      <c r="D24" s="169"/>
      <c r="E24" s="169"/>
      <c r="F24" s="169"/>
    </row>
  </sheetData>
  <mergeCells count="13">
    <mergeCell ref="B23:C23"/>
    <mergeCell ref="E23:F23"/>
    <mergeCell ref="A2:F2"/>
    <mergeCell ref="A3:F3"/>
    <mergeCell ref="A4:F4"/>
    <mergeCell ref="A6:C6"/>
    <mergeCell ref="A7:C7"/>
    <mergeCell ref="A9:F9"/>
    <mergeCell ref="A10:F10"/>
    <mergeCell ref="A15:B15"/>
    <mergeCell ref="E16:F16"/>
    <mergeCell ref="B17:C17"/>
    <mergeCell ref="E17:F17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5"/>
  <sheetViews>
    <sheetView workbookViewId="0">
      <selection activeCell="A16" sqref="A16:G16"/>
    </sheetView>
  </sheetViews>
  <sheetFormatPr defaultColWidth="9.140625" defaultRowHeight="16.5"/>
  <cols>
    <col min="1" max="1" width="7.140625" style="358" customWidth="1"/>
    <col min="2" max="2" width="21.7109375" style="358" customWidth="1"/>
    <col min="3" max="3" width="17.7109375" style="358" customWidth="1"/>
    <col min="4" max="5" width="23" style="358" customWidth="1"/>
    <col min="6" max="6" width="19" style="358" customWidth="1"/>
    <col min="7" max="7" width="23" style="358" customWidth="1"/>
    <col min="8" max="8" width="8.42578125" style="358" customWidth="1"/>
    <col min="9" max="9" width="12.85546875" style="358" customWidth="1"/>
    <col min="10" max="10" width="20.7109375" style="358" customWidth="1"/>
    <col min="11" max="11" width="19.5703125" style="358" customWidth="1"/>
    <col min="12" max="12" width="7.85546875" style="358" customWidth="1"/>
    <col min="13" max="13" width="7.28515625" style="358" customWidth="1"/>
    <col min="14" max="14" width="7.42578125" style="358" customWidth="1"/>
    <col min="15" max="15" width="6.28515625" style="358" customWidth="1"/>
    <col min="16" max="16" width="5.7109375" style="358" customWidth="1"/>
    <col min="17" max="17" width="6" style="358" customWidth="1"/>
    <col min="18" max="18" width="4.85546875" style="358" customWidth="1"/>
    <col min="19" max="19" width="6" style="358" customWidth="1"/>
    <col min="20" max="20" width="6.5703125" style="358" customWidth="1"/>
    <col min="21" max="21" width="8.140625" style="358" customWidth="1"/>
    <col min="22" max="22" width="6" style="358" customWidth="1"/>
    <col min="23" max="23" width="8.140625" style="358" customWidth="1"/>
    <col min="24" max="24" width="15" style="358" bestFit="1" customWidth="1"/>
    <col min="25" max="25" width="17.85546875" style="358" bestFit="1" customWidth="1"/>
    <col min="26" max="26" width="12.85546875" style="358" bestFit="1" customWidth="1"/>
    <col min="27" max="16384" width="9.140625" style="358"/>
  </cols>
  <sheetData>
    <row r="1" spans="1:26" ht="11.25" customHeight="1">
      <c r="A1" s="169"/>
      <c r="B1" s="169"/>
      <c r="C1" s="169"/>
      <c r="D1" s="169"/>
      <c r="E1" s="169"/>
      <c r="F1" s="169"/>
      <c r="G1" s="169"/>
    </row>
    <row r="2" spans="1:26">
      <c r="A2" s="2062" t="s">
        <v>90</v>
      </c>
      <c r="B2" s="2062"/>
      <c r="C2" s="2062"/>
      <c r="D2" s="2062"/>
      <c r="E2" s="2062"/>
      <c r="F2" s="2062"/>
      <c r="G2" s="2062"/>
      <c r="H2" s="15"/>
      <c r="I2" s="15"/>
      <c r="J2" s="15"/>
      <c r="K2" s="623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6">
      <c r="A3" s="2062" t="s">
        <v>56</v>
      </c>
      <c r="B3" s="2062"/>
      <c r="C3" s="2062"/>
      <c r="D3" s="2062"/>
      <c r="E3" s="2062"/>
      <c r="F3" s="2062"/>
      <c r="G3" s="2062"/>
      <c r="H3" s="16"/>
      <c r="I3" s="16"/>
      <c r="J3" s="16"/>
      <c r="K3" s="16"/>
      <c r="L3" s="624"/>
      <c r="N3" s="16"/>
      <c r="O3" s="16"/>
      <c r="P3" s="16"/>
      <c r="Q3" s="16"/>
      <c r="R3" s="16"/>
      <c r="S3" s="16"/>
      <c r="T3" s="16"/>
      <c r="U3" s="16"/>
      <c r="V3" s="16"/>
      <c r="W3" s="624"/>
    </row>
    <row r="4" spans="1:26" ht="19.5" customHeight="1">
      <c r="A4" s="2063" t="s">
        <v>604</v>
      </c>
      <c r="B4" s="2062"/>
      <c r="C4" s="2062"/>
      <c r="D4" s="2062"/>
      <c r="E4" s="2062"/>
      <c r="F4" s="2062"/>
      <c r="G4" s="2062"/>
      <c r="H4" s="16"/>
      <c r="I4" s="16"/>
      <c r="J4" s="16"/>
      <c r="K4" s="16"/>
      <c r="L4" s="624"/>
      <c r="N4" s="16"/>
      <c r="O4" s="16"/>
      <c r="P4" s="16"/>
      <c r="Q4" s="16"/>
      <c r="R4" s="16"/>
      <c r="S4" s="16"/>
      <c r="T4" s="16"/>
      <c r="U4" s="16"/>
      <c r="V4" s="16"/>
      <c r="W4" s="624"/>
    </row>
    <row r="5" spans="1:26" ht="7.5" customHeight="1">
      <c r="A5" s="169"/>
      <c r="B5" s="169"/>
      <c r="C5" s="169"/>
      <c r="D5" s="169"/>
      <c r="E5" s="169"/>
      <c r="F5" s="625"/>
      <c r="G5" s="625"/>
      <c r="H5" s="626"/>
      <c r="I5" s="626"/>
      <c r="J5" s="626"/>
      <c r="K5" s="627"/>
      <c r="L5" s="628"/>
      <c r="M5" s="629"/>
      <c r="N5" s="630"/>
      <c r="O5" s="630"/>
      <c r="P5" s="630"/>
      <c r="Q5" s="630"/>
      <c r="R5" s="630"/>
      <c r="S5" s="630"/>
      <c r="T5" s="630"/>
      <c r="U5" s="630"/>
      <c r="V5" s="630"/>
      <c r="W5" s="624"/>
      <c r="X5" s="631">
        <f>1372+388</f>
        <v>1760</v>
      </c>
      <c r="Y5" s="358">
        <f>X5*30000</f>
        <v>52800000</v>
      </c>
      <c r="Z5" s="358" t="e">
        <f>Y5+#REF!+#REF!</f>
        <v>#REF!</v>
      </c>
    </row>
    <row r="6" spans="1:26">
      <c r="A6" s="346" t="s">
        <v>5</v>
      </c>
      <c r="B6" s="346"/>
      <c r="C6" s="346"/>
      <c r="D6" s="237"/>
      <c r="E6" s="237"/>
      <c r="F6" s="625"/>
      <c r="G6" s="625"/>
      <c r="H6" s="626"/>
      <c r="I6" s="626"/>
      <c r="J6" s="626"/>
      <c r="K6" s="627"/>
      <c r="L6" s="628"/>
      <c r="M6" s="629"/>
      <c r="N6" s="630"/>
      <c r="O6" s="630"/>
      <c r="P6" s="630"/>
      <c r="Q6" s="630"/>
      <c r="R6" s="630"/>
      <c r="S6" s="630"/>
      <c r="T6" s="630"/>
      <c r="U6" s="630"/>
      <c r="V6" s="630"/>
      <c r="W6" s="624"/>
      <c r="X6" s="631"/>
    </row>
    <row r="7" spans="1:26">
      <c r="A7" s="2111" t="s">
        <v>101</v>
      </c>
      <c r="B7" s="2111"/>
      <c r="C7" s="2111"/>
      <c r="D7" s="1081"/>
      <c r="E7" s="625"/>
      <c r="F7" s="625"/>
      <c r="G7" s="625"/>
      <c r="H7" s="626"/>
      <c r="I7" s="626"/>
      <c r="J7" s="626"/>
      <c r="K7" s="627"/>
      <c r="L7" s="628"/>
      <c r="M7" s="629"/>
      <c r="N7" s="630"/>
      <c r="O7" s="630"/>
      <c r="P7" s="630"/>
      <c r="Q7" s="630"/>
      <c r="R7" s="630"/>
      <c r="S7" s="630"/>
      <c r="T7" s="630"/>
      <c r="U7" s="630"/>
      <c r="V7" s="630"/>
      <c r="W7" s="624"/>
      <c r="X7" s="631"/>
    </row>
    <row r="8" spans="1:26" ht="28.5" customHeight="1">
      <c r="A8" s="2179" t="s">
        <v>1130</v>
      </c>
      <c r="B8" s="2180"/>
      <c r="C8" s="2180"/>
      <c r="D8" s="2180"/>
      <c r="E8" s="2180"/>
      <c r="F8" s="2180"/>
      <c r="G8" s="2180"/>
      <c r="H8" s="632"/>
      <c r="I8" s="632"/>
      <c r="J8" s="632"/>
      <c r="K8" s="632"/>
      <c r="L8" s="633"/>
      <c r="M8" s="633"/>
      <c r="N8" s="633"/>
      <c r="O8" s="633"/>
      <c r="P8" s="633"/>
      <c r="Q8" s="633"/>
      <c r="R8" s="633"/>
      <c r="S8" s="633"/>
      <c r="T8" s="633"/>
      <c r="U8" s="633"/>
      <c r="V8" s="633"/>
      <c r="W8" s="633"/>
    </row>
    <row r="9" spans="1:26" ht="18" customHeight="1">
      <c r="A9" s="1096"/>
      <c r="B9" s="634"/>
      <c r="C9" s="1096"/>
      <c r="D9" s="1096"/>
      <c r="E9" s="1096"/>
      <c r="F9" s="634"/>
      <c r="G9" s="634"/>
      <c r="H9" s="635"/>
      <c r="I9" s="636"/>
      <c r="J9" s="637"/>
    </row>
    <row r="10" spans="1:26" ht="15" customHeight="1">
      <c r="A10" s="2066" t="s">
        <v>11</v>
      </c>
      <c r="B10" s="2066" t="s">
        <v>105</v>
      </c>
      <c r="C10" s="2066" t="s">
        <v>49</v>
      </c>
      <c r="D10" s="2067" t="s">
        <v>418</v>
      </c>
      <c r="E10" s="2066" t="s">
        <v>32</v>
      </c>
      <c r="F10" s="2066" t="s">
        <v>19</v>
      </c>
      <c r="G10" s="2066" t="s">
        <v>106</v>
      </c>
      <c r="H10" s="638"/>
      <c r="I10" s="639"/>
      <c r="J10" s="640"/>
    </row>
    <row r="11" spans="1:26" ht="18" customHeight="1">
      <c r="A11" s="2066"/>
      <c r="B11" s="2066"/>
      <c r="C11" s="2066"/>
      <c r="D11" s="2067"/>
      <c r="E11" s="2066"/>
      <c r="F11" s="2066"/>
      <c r="G11" s="2066"/>
      <c r="H11" s="641"/>
      <c r="I11" s="639"/>
      <c r="J11" s="640"/>
    </row>
    <row r="12" spans="1:26" ht="24" hidden="1" customHeight="1">
      <c r="A12" s="355">
        <v>1</v>
      </c>
      <c r="B12" s="1010" t="s">
        <v>377</v>
      </c>
      <c r="C12" s="1238">
        <f>'BTH CVK'!C12</f>
        <v>0</v>
      </c>
      <c r="D12" s="356">
        <v>25000</v>
      </c>
      <c r="E12" s="357">
        <f t="shared" ref="E12:E14" si="0">+C12*D12</f>
        <v>0</v>
      </c>
      <c r="F12" s="355"/>
      <c r="G12" s="355"/>
      <c r="H12" s="641"/>
      <c r="I12" s="642"/>
      <c r="J12" s="643"/>
    </row>
    <row r="13" spans="1:26" ht="24" hidden="1" customHeight="1">
      <c r="A13" s="355">
        <v>2</v>
      </c>
      <c r="B13" s="1010" t="s">
        <v>703</v>
      </c>
      <c r="C13" s="1238">
        <f>'BTH CVK'!C13</f>
        <v>0</v>
      </c>
      <c r="D13" s="356">
        <v>25000</v>
      </c>
      <c r="E13" s="357">
        <f t="shared" si="0"/>
        <v>0</v>
      </c>
      <c r="F13" s="355"/>
      <c r="G13" s="355"/>
      <c r="H13" s="641"/>
      <c r="I13" s="642"/>
      <c r="J13" s="643">
        <v>15200000</v>
      </c>
    </row>
    <row r="14" spans="1:26" ht="24" customHeight="1">
      <c r="A14" s="355">
        <v>1</v>
      </c>
      <c r="B14" s="1010" t="s">
        <v>140</v>
      </c>
      <c r="C14" s="1238">
        <f>'BTH CVK'!C14</f>
        <v>70</v>
      </c>
      <c r="D14" s="356">
        <v>25000</v>
      </c>
      <c r="E14" s="357">
        <f t="shared" si="0"/>
        <v>1750000</v>
      </c>
      <c r="F14" s="355"/>
      <c r="G14" s="355"/>
      <c r="H14" s="641"/>
      <c r="I14" s="642"/>
      <c r="J14" s="643">
        <v>15532549</v>
      </c>
    </row>
    <row r="15" spans="1:26" ht="24" customHeight="1">
      <c r="A15" s="2066" t="s">
        <v>256</v>
      </c>
      <c r="B15" s="2066"/>
      <c r="C15" s="566">
        <f>SUM(C12:C14)</f>
        <v>70</v>
      </c>
      <c r="D15" s="566"/>
      <c r="E15" s="567">
        <f>SUM(E12:E14)</f>
        <v>1750000</v>
      </c>
      <c r="F15" s="1071"/>
      <c r="G15" s="355"/>
      <c r="H15" s="641"/>
      <c r="I15" s="642"/>
      <c r="J15" s="1459">
        <v>129900000</v>
      </c>
    </row>
    <row r="16" spans="1:26" ht="20.25" customHeight="1">
      <c r="A16" s="2072" t="s">
        <v>1178</v>
      </c>
      <c r="B16" s="2073"/>
      <c r="C16" s="2073"/>
      <c r="D16" s="2073"/>
      <c r="E16" s="2073"/>
      <c r="F16" s="2073"/>
      <c r="G16" s="2074"/>
      <c r="J16" s="1459">
        <v>2651211</v>
      </c>
    </row>
    <row r="17" spans="1:12" ht="23.25" customHeight="1">
      <c r="E17" s="2181" t="s">
        <v>1122</v>
      </c>
      <c r="F17" s="2181"/>
      <c r="G17" s="2181"/>
      <c r="H17" s="644"/>
      <c r="I17" s="644"/>
      <c r="J17" s="643" t="e">
        <f>#REF!-#REF!-#REF!-J15-J16</f>
        <v>#REF!</v>
      </c>
      <c r="K17" s="644"/>
      <c r="L17" s="644"/>
    </row>
    <row r="18" spans="1:12">
      <c r="A18" s="359"/>
      <c r="B18" s="1072" t="s">
        <v>266</v>
      </c>
      <c r="C18" s="2114" t="s">
        <v>897</v>
      </c>
      <c r="D18" s="2114"/>
      <c r="E18" s="2114" t="s">
        <v>197</v>
      </c>
      <c r="F18" s="2114"/>
      <c r="G18" s="1112" t="s">
        <v>896</v>
      </c>
    </row>
    <row r="24" spans="1:12">
      <c r="B24" s="359" t="s">
        <v>829</v>
      </c>
      <c r="C24" s="2114" t="s">
        <v>898</v>
      </c>
      <c r="D24" s="2114"/>
      <c r="E24" s="2111" t="s">
        <v>419</v>
      </c>
      <c r="F24" s="2111"/>
      <c r="G24" s="1072" t="s">
        <v>76</v>
      </c>
    </row>
    <row r="25" spans="1:12">
      <c r="C25" s="358" t="s">
        <v>268</v>
      </c>
    </row>
  </sheetData>
  <mergeCells count="19">
    <mergeCell ref="C18:D18"/>
    <mergeCell ref="E18:F18"/>
    <mergeCell ref="E24:F24"/>
    <mergeCell ref="D10:D11"/>
    <mergeCell ref="E10:E11"/>
    <mergeCell ref="F10:F11"/>
    <mergeCell ref="C24:D24"/>
    <mergeCell ref="G10:G11"/>
    <mergeCell ref="A16:G16"/>
    <mergeCell ref="E17:G17"/>
    <mergeCell ref="A15:B15"/>
    <mergeCell ref="A10:A11"/>
    <mergeCell ref="B10:B11"/>
    <mergeCell ref="C10:C11"/>
    <mergeCell ref="A7:C7"/>
    <mergeCell ref="A2:G2"/>
    <mergeCell ref="A3:G3"/>
    <mergeCell ref="A4:G4"/>
    <mergeCell ref="A8:G8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2602" zoomScale="70" zoomScaleNormal="70" workbookViewId="0">
      <selection activeCell="M2623" sqref="M2623"/>
    </sheetView>
  </sheetViews>
  <sheetFormatPr defaultColWidth="17.85546875" defaultRowHeight="21" customHeight="1"/>
  <cols>
    <col min="1" max="1" width="28.5703125" style="13" customWidth="1"/>
    <col min="2" max="2" width="27.85546875" style="13" customWidth="1"/>
    <col min="3" max="3" width="7.42578125" style="13" customWidth="1"/>
    <col min="4" max="4" width="10.5703125" style="13" customWidth="1"/>
    <col min="5" max="5" width="12.85546875" style="13" customWidth="1"/>
    <col min="6" max="6" width="0.85546875" style="13" customWidth="1"/>
    <col min="7" max="7" width="26.5703125" style="13" customWidth="1"/>
    <col min="8" max="8" width="26.7109375" style="13" customWidth="1"/>
    <col min="9" max="9" width="6.5703125" style="13" customWidth="1"/>
    <col min="10" max="10" width="11.28515625" style="13" customWidth="1"/>
    <col min="11" max="11" width="12.28515625" style="13" customWidth="1"/>
    <col min="12" max="16384" width="17.85546875" style="13"/>
  </cols>
  <sheetData>
    <row r="1" spans="1:12" ht="15.75" customHeight="1"/>
    <row r="2" spans="1:12" ht="15.75" customHeight="1">
      <c r="A2" s="13" t="s">
        <v>808</v>
      </c>
      <c r="B2" s="13">
        <f>'CNKT '!E11</f>
        <v>656</v>
      </c>
    </row>
    <row r="3" spans="1:12" ht="6" customHeight="1"/>
    <row r="4" spans="1:12" s="31" customFormat="1" ht="15.75" customHeight="1">
      <c r="A4" s="2182" t="s">
        <v>1079</v>
      </c>
      <c r="B4" s="2183"/>
      <c r="C4" s="2183"/>
      <c r="D4" s="2183"/>
      <c r="E4" s="1627">
        <v>1</v>
      </c>
      <c r="F4" s="1371"/>
      <c r="G4" s="2182" t="str">
        <f>A4</f>
        <v>LƯƠNG THÁNG 01/2025</v>
      </c>
      <c r="H4" s="2183"/>
      <c r="I4" s="2183"/>
      <c r="J4" s="2183"/>
      <c r="K4" s="1452">
        <v>2</v>
      </c>
      <c r="L4" s="1372"/>
    </row>
    <row r="5" spans="1:12" s="31" customFormat="1" ht="15.75" customHeight="1">
      <c r="A5" s="1626" t="s">
        <v>29</v>
      </c>
      <c r="B5" s="1626" t="str">
        <f>'CNKT '!C16</f>
        <v>T. Vôn</v>
      </c>
      <c r="C5" s="1373"/>
      <c r="D5" s="1623" t="s">
        <v>806</v>
      </c>
      <c r="E5" s="1623" t="s">
        <v>32</v>
      </c>
      <c r="F5" s="1374"/>
      <c r="G5" s="1626" t="s">
        <v>29</v>
      </c>
      <c r="H5" s="1626" t="str">
        <f>'CNKT '!C17</f>
        <v>T. Feng</v>
      </c>
      <c r="I5" s="1373"/>
      <c r="J5" s="1623" t="s">
        <v>806</v>
      </c>
      <c r="K5" s="1623" t="s">
        <v>32</v>
      </c>
      <c r="L5" s="1372"/>
    </row>
    <row r="6" spans="1:12" s="31" customFormat="1" ht="15.75" customHeight="1">
      <c r="A6" s="1375" t="s">
        <v>807</v>
      </c>
      <c r="B6" s="1628" t="s">
        <v>1080</v>
      </c>
      <c r="C6" s="1376" t="str">
        <f>VLOOKUP(B5,'BTH mủ tạp'!$C$15:$AL$92,36,0)</f>
        <v>C</v>
      </c>
      <c r="D6" s="1377"/>
      <c r="E6" s="1377"/>
      <c r="F6" s="1374"/>
      <c r="G6" s="1375" t="s">
        <v>807</v>
      </c>
      <c r="H6" s="1628" t="s">
        <v>1080</v>
      </c>
      <c r="I6" s="1376" t="str">
        <f>VLOOKUP(H5,'BTH mủ tạp'!$C$15:$AL$92,36,0)</f>
        <v>A</v>
      </c>
      <c r="J6" s="1377"/>
      <c r="K6" s="1377"/>
      <c r="L6" s="1372"/>
    </row>
    <row r="7" spans="1:12" s="31" customFormat="1" ht="15.75" customHeight="1">
      <c r="A7" s="1375" t="s">
        <v>121</v>
      </c>
      <c r="B7" s="1629" t="s">
        <v>865</v>
      </c>
      <c r="C7" s="1378">
        <f>VLOOKUP(B5,'CNKT '!$C$16:$Z$96,3,0)</f>
        <v>0</v>
      </c>
      <c r="D7" s="1379">
        <v>25000</v>
      </c>
      <c r="E7" s="1377">
        <f>C7*D7</f>
        <v>0</v>
      </c>
      <c r="F7" s="1374"/>
      <c r="G7" s="1375" t="s">
        <v>121</v>
      </c>
      <c r="H7" s="1629" t="s">
        <v>865</v>
      </c>
      <c r="I7" s="1378">
        <f>VLOOKUP(H5,'CNKT '!$C$16:$Z$96,3,0)</f>
        <v>0</v>
      </c>
      <c r="J7" s="1379">
        <v>25000</v>
      </c>
      <c r="K7" s="1377">
        <f>I7*J7</f>
        <v>0</v>
      </c>
      <c r="L7" s="1372"/>
    </row>
    <row r="8" spans="1:12" s="31" customFormat="1" ht="15.75" customHeight="1">
      <c r="A8" s="1375" t="s">
        <v>628</v>
      </c>
      <c r="B8" s="1630" t="s">
        <v>1081</v>
      </c>
      <c r="C8" s="1433">
        <f>VLOOKUP(B5,'CNKT '!$C$16:$Z$96,11,0)</f>
        <v>0</v>
      </c>
      <c r="D8" s="1380">
        <f>46.1*$B$2</f>
        <v>30241.600000000002</v>
      </c>
      <c r="E8" s="1377">
        <f t="shared" ref="E8:E12" si="0">C8*D8</f>
        <v>0</v>
      </c>
      <c r="F8" s="1374"/>
      <c r="G8" s="1375" t="s">
        <v>628</v>
      </c>
      <c r="H8" s="1630" t="s">
        <v>1081</v>
      </c>
      <c r="I8" s="1433">
        <f>VLOOKUP(H5,'CNKT '!$C$16:$Z$96,11,0)</f>
        <v>0</v>
      </c>
      <c r="J8" s="1380">
        <f>46.1*$B$2</f>
        <v>30241.600000000002</v>
      </c>
      <c r="K8" s="1377">
        <f t="shared" ref="K8:K12" si="1">I8*J8</f>
        <v>0</v>
      </c>
      <c r="L8" s="1372"/>
    </row>
    <row r="9" spans="1:12" s="31" customFormat="1" ht="15.75" customHeight="1">
      <c r="A9" s="1375" t="s">
        <v>809</v>
      </c>
      <c r="B9" s="1630" t="s">
        <v>1082</v>
      </c>
      <c r="C9" s="1433">
        <f>VLOOKUP(B5,'CNKT '!$C$16:$Z$96,12,0)</f>
        <v>0</v>
      </c>
      <c r="D9" s="1379">
        <f>76.9*$B$2</f>
        <v>50446.400000000001</v>
      </c>
      <c r="E9" s="1377">
        <f t="shared" si="0"/>
        <v>0</v>
      </c>
      <c r="F9" s="1374"/>
      <c r="G9" s="1375" t="s">
        <v>809</v>
      </c>
      <c r="H9" s="1630" t="s">
        <v>1082</v>
      </c>
      <c r="I9" s="1433">
        <f>VLOOKUP(H5,'CNKT '!$C$16:$Z$96,12,0)</f>
        <v>0</v>
      </c>
      <c r="J9" s="1379">
        <f>76.9*$B$2</f>
        <v>50446.400000000001</v>
      </c>
      <c r="K9" s="1377">
        <f t="shared" si="1"/>
        <v>0</v>
      </c>
      <c r="L9" s="1372"/>
    </row>
    <row r="10" spans="1:12" s="31" customFormat="1" ht="15.75" customHeight="1">
      <c r="A10" s="1375" t="s">
        <v>122</v>
      </c>
      <c r="B10" s="1630" t="s">
        <v>1083</v>
      </c>
      <c r="C10" s="1433">
        <f>VLOOKUP(B5,'CNKT '!$C$16:$Z$96,8,0)</f>
        <v>0</v>
      </c>
      <c r="D10" s="1379">
        <f>IF(C6="A",6.1,IF(C6="B",5.8,IF(C6="C",5.5,IF(C6="C.",5.5,IF(C6="D",5.2)))))*$B$2</f>
        <v>3608</v>
      </c>
      <c r="E10" s="1377">
        <f t="shared" si="0"/>
        <v>0</v>
      </c>
      <c r="F10" s="1374"/>
      <c r="G10" s="1375" t="s">
        <v>122</v>
      </c>
      <c r="H10" s="1630" t="s">
        <v>1083</v>
      </c>
      <c r="I10" s="1433">
        <f>VLOOKUP(H5,'CNKT '!$C$16:$Z$96,8,0)</f>
        <v>0</v>
      </c>
      <c r="J10" s="1379">
        <f>IF(I6="A",6.1,IF(I6="B",5.8,IF(I6="C",5.5,IF(I6="C.",5.5,IF(I6="D",5.2)))))*$B$2</f>
        <v>4001.6</v>
      </c>
      <c r="K10" s="1377">
        <f t="shared" si="1"/>
        <v>0</v>
      </c>
      <c r="L10" s="1372"/>
    </row>
    <row r="11" spans="1:12" s="31" customFormat="1" ht="15.75" customHeight="1">
      <c r="A11" s="1375" t="s">
        <v>959</v>
      </c>
      <c r="B11" s="1630" t="s">
        <v>1084</v>
      </c>
      <c r="C11" s="1433">
        <f>VLOOKUP(B5,'CNKT '!$C$16:$Z$96,15,0)</f>
        <v>0</v>
      </c>
      <c r="D11" s="1380">
        <f>92.2*$B$2</f>
        <v>60483.200000000004</v>
      </c>
      <c r="E11" s="1377">
        <f t="shared" si="0"/>
        <v>0</v>
      </c>
      <c r="F11" s="1374"/>
      <c r="G11" s="1375" t="s">
        <v>959</v>
      </c>
      <c r="H11" s="1630" t="s">
        <v>1084</v>
      </c>
      <c r="I11" s="1433">
        <f>VLOOKUP(H5,'CNKT '!$C$16:$Z$96,15,0)</f>
        <v>0</v>
      </c>
      <c r="J11" s="1380">
        <f>92.2*$B$2</f>
        <v>60483.200000000004</v>
      </c>
      <c r="K11" s="1377">
        <f t="shared" si="1"/>
        <v>0</v>
      </c>
      <c r="L11" s="1372"/>
    </row>
    <row r="12" spans="1:12" s="31" customFormat="1" ht="15.75" customHeight="1">
      <c r="A12" s="1375" t="s">
        <v>960</v>
      </c>
      <c r="B12" s="1630" t="s">
        <v>964</v>
      </c>
      <c r="C12" s="1433">
        <f>VLOOKUP(B5,'CNKT '!$C$16:$Z$96,16,0)</f>
        <v>0</v>
      </c>
      <c r="D12" s="1379">
        <f>153.8*$B$2</f>
        <v>100892.8</v>
      </c>
      <c r="E12" s="1377">
        <f t="shared" si="0"/>
        <v>0</v>
      </c>
      <c r="F12" s="1374"/>
      <c r="G12" s="1375" t="s">
        <v>960</v>
      </c>
      <c r="H12" s="1630" t="s">
        <v>964</v>
      </c>
      <c r="I12" s="1433">
        <f>VLOOKUP(H5,'CNKT '!$C$16:$Z$96,16,0)</f>
        <v>0</v>
      </c>
      <c r="J12" s="1379">
        <f>153.8*$B$2</f>
        <v>100892.8</v>
      </c>
      <c r="K12" s="1377">
        <f t="shared" si="1"/>
        <v>0</v>
      </c>
      <c r="L12" s="1372"/>
    </row>
    <row r="13" spans="1:12" s="31" customFormat="1" ht="15.75" customHeight="1">
      <c r="A13" s="1375" t="s">
        <v>899</v>
      </c>
      <c r="B13" s="1630" t="s">
        <v>965</v>
      </c>
      <c r="C13" s="1433">
        <f>VLOOKUP(B5,'CNKT '!$C$16:$Z$96,18,0)</f>
        <v>0</v>
      </c>
      <c r="D13" s="1379">
        <v>10000</v>
      </c>
      <c r="E13" s="1377">
        <f>C13*D13</f>
        <v>0</v>
      </c>
      <c r="F13" s="1374"/>
      <c r="G13" s="1375" t="s">
        <v>899</v>
      </c>
      <c r="H13" s="1630" t="s">
        <v>965</v>
      </c>
      <c r="I13" s="1433">
        <f>VLOOKUP(H5,'CNKT '!$C$16:$Z$96,18,0)</f>
        <v>0</v>
      </c>
      <c r="J13" s="1379">
        <v>10000</v>
      </c>
      <c r="K13" s="1377">
        <f>I13*J13</f>
        <v>0</v>
      </c>
      <c r="L13" s="1372"/>
    </row>
    <row r="14" spans="1:12" s="31" customFormat="1" ht="15.75" customHeight="1">
      <c r="A14" s="1375" t="s">
        <v>899</v>
      </c>
      <c r="B14" s="1630" t="s">
        <v>965</v>
      </c>
      <c r="C14" s="1433">
        <f>VLOOKUP(B5,'CNKT '!$C$16:$Z$96,19,0)</f>
        <v>0</v>
      </c>
      <c r="D14" s="1379">
        <v>20000</v>
      </c>
      <c r="E14" s="1377">
        <f>C14*D14</f>
        <v>0</v>
      </c>
      <c r="F14" s="1374"/>
      <c r="G14" s="1375" t="s">
        <v>899</v>
      </c>
      <c r="H14" s="1630" t="s">
        <v>965</v>
      </c>
      <c r="I14" s="1433">
        <f>VLOOKUP(H5,'CNKT '!$C$16:$Z$96,19,0)</f>
        <v>0</v>
      </c>
      <c r="J14" s="1379">
        <v>20000</v>
      </c>
      <c r="K14" s="1377">
        <f>I14*J14</f>
        <v>0</v>
      </c>
      <c r="L14" s="1372"/>
    </row>
    <row r="15" spans="1:12" s="31" customFormat="1" ht="15.75" customHeight="1">
      <c r="A15" s="1375" t="s">
        <v>995</v>
      </c>
      <c r="B15" s="1630" t="s">
        <v>997</v>
      </c>
      <c r="C15" s="1433"/>
      <c r="D15" s="1379"/>
      <c r="E15" s="1377"/>
      <c r="F15" s="1374"/>
      <c r="G15" s="1375" t="s">
        <v>995</v>
      </c>
      <c r="H15" s="1630" t="s">
        <v>997</v>
      </c>
      <c r="I15" s="1433"/>
      <c r="J15" s="1379"/>
      <c r="K15" s="1377"/>
      <c r="L15" s="1372"/>
    </row>
    <row r="16" spans="1:12" s="31" customFormat="1" ht="15.75" customHeight="1">
      <c r="A16" s="1381" t="s">
        <v>123</v>
      </c>
      <c r="B16" s="1631" t="s">
        <v>1085</v>
      </c>
      <c r="C16" s="1382"/>
      <c r="D16" s="1383"/>
      <c r="E16" s="1382"/>
      <c r="F16" s="1374"/>
      <c r="G16" s="1381" t="s">
        <v>123</v>
      </c>
      <c r="H16" s="1631" t="s">
        <v>1085</v>
      </c>
      <c r="I16" s="1382"/>
      <c r="J16" s="1383"/>
      <c r="K16" s="1382"/>
      <c r="L16" s="1372"/>
    </row>
    <row r="17" spans="1:13" s="31" customFormat="1" ht="15.75" customHeight="1">
      <c r="A17" s="1384" t="s">
        <v>124</v>
      </c>
      <c r="B17" s="1632" t="s">
        <v>1086</v>
      </c>
      <c r="C17" s="1382"/>
      <c r="D17" s="1382"/>
      <c r="E17" s="1382"/>
      <c r="F17" s="1374"/>
      <c r="G17" s="1384" t="s">
        <v>124</v>
      </c>
      <c r="H17" s="1632" t="s">
        <v>1086</v>
      </c>
      <c r="I17" s="1382"/>
      <c r="J17" s="1382"/>
      <c r="K17" s="1382"/>
      <c r="L17" s="1372"/>
    </row>
    <row r="18" spans="1:13" s="31" customFormat="1" ht="15.75" customHeight="1">
      <c r="A18" s="1384" t="s">
        <v>125</v>
      </c>
      <c r="B18" s="1633" t="s">
        <v>1087</v>
      </c>
      <c r="C18" s="1382"/>
      <c r="D18" s="1382"/>
      <c r="E18" s="1377">
        <f>SUM(E17)</f>
        <v>0</v>
      </c>
      <c r="F18" s="1374"/>
      <c r="G18" s="1384" t="s">
        <v>125</v>
      </c>
      <c r="H18" s="1633" t="s">
        <v>1087</v>
      </c>
      <c r="I18" s="1382"/>
      <c r="J18" s="1382"/>
      <c r="K18" s="1377">
        <f>SUM(K17)</f>
        <v>0</v>
      </c>
      <c r="L18" s="1372"/>
      <c r="M18" s="1385">
        <f>E18+K18</f>
        <v>0</v>
      </c>
    </row>
    <row r="19" spans="1:13" s="31" customFormat="1" ht="15.75" customHeight="1">
      <c r="A19" s="1386" t="s">
        <v>126</v>
      </c>
      <c r="B19" s="1634" t="s">
        <v>871</v>
      </c>
      <c r="C19" s="1387"/>
      <c r="D19" s="1387"/>
      <c r="E19" s="1387">
        <f>(E7+E8+E9+E10+E11+E12+E13+E14+E15)-E18</f>
        <v>0</v>
      </c>
      <c r="F19" s="1388"/>
      <c r="G19" s="1386" t="s">
        <v>126</v>
      </c>
      <c r="H19" s="1634" t="s">
        <v>871</v>
      </c>
      <c r="I19" s="1387"/>
      <c r="J19" s="1387"/>
      <c r="K19" s="1387">
        <f>(K7+K8+K9+K10+K11+K12+K13+K14+K15)-K18</f>
        <v>0</v>
      </c>
      <c r="L19" s="1389">
        <f>E19+K19</f>
        <v>0</v>
      </c>
    </row>
    <row r="20" spans="1:13" s="31" customFormat="1" ht="15.75" customHeight="1">
      <c r="L20" s="1372"/>
      <c r="M20" s="1328"/>
    </row>
    <row r="21" spans="1:13" s="1390" customFormat="1" ht="15.75" customHeight="1">
      <c r="A21" s="2182" t="s">
        <v>1079</v>
      </c>
      <c r="B21" s="2183"/>
      <c r="C21" s="2183"/>
      <c r="D21" s="2183"/>
      <c r="E21" s="1452">
        <v>3</v>
      </c>
      <c r="F21" s="1625"/>
      <c r="G21" s="2182" t="str">
        <f>A21</f>
        <v>LƯƠNG THÁNG 01/2025</v>
      </c>
      <c r="H21" s="2189"/>
      <c r="I21" s="2189"/>
      <c r="J21" s="2190"/>
      <c r="K21" s="1635">
        <v>4</v>
      </c>
      <c r="L21" s="1372"/>
    </row>
    <row r="22" spans="1:13" s="1390" customFormat="1" ht="15.75" customHeight="1">
      <c r="A22" s="1391" t="s">
        <v>29</v>
      </c>
      <c r="B22" s="1626" t="str">
        <f>'CNKT '!C18</f>
        <v>T. Sa Văn</v>
      </c>
      <c r="C22" s="1373"/>
      <c r="D22" s="1623" t="s">
        <v>806</v>
      </c>
      <c r="E22" s="1623" t="s">
        <v>32</v>
      </c>
      <c r="F22" s="1392"/>
      <c r="G22" s="1391" t="s">
        <v>29</v>
      </c>
      <c r="H22" s="1626" t="str">
        <f>'CNKT '!C19</f>
        <v>N. Pheng Mi</v>
      </c>
      <c r="I22" s="1373"/>
      <c r="J22" s="1623" t="s">
        <v>806</v>
      </c>
      <c r="K22" s="1623" t="s">
        <v>32</v>
      </c>
      <c r="L22" s="1372"/>
    </row>
    <row r="23" spans="1:13" s="1390" customFormat="1" ht="15.75" customHeight="1">
      <c r="A23" s="1375" t="s">
        <v>807</v>
      </c>
      <c r="B23" s="1628" t="s">
        <v>1080</v>
      </c>
      <c r="C23" s="1376" t="str">
        <f>VLOOKUP(B22,'BTH mủ tạp'!$C$15:$AL$92,36,0)</f>
        <v>A</v>
      </c>
      <c r="D23" s="1377"/>
      <c r="E23" s="1377"/>
      <c r="F23" s="1392"/>
      <c r="G23" s="1375" t="s">
        <v>807</v>
      </c>
      <c r="H23" s="1628" t="s">
        <v>1080</v>
      </c>
      <c r="I23" s="1376" t="str">
        <f>VLOOKUP(H22,'BTH mủ tạp'!$C$15:$AL$92,36,0)</f>
        <v>B</v>
      </c>
      <c r="J23" s="1377"/>
      <c r="K23" s="1377"/>
      <c r="L23" s="1372"/>
    </row>
    <row r="24" spans="1:13" s="1390" customFormat="1" ht="15.75" customHeight="1">
      <c r="A24" s="1375" t="s">
        <v>121</v>
      </c>
      <c r="B24" s="1629" t="s">
        <v>865</v>
      </c>
      <c r="C24" s="1378">
        <f>VLOOKUP(B22,'CNKT '!$C$16:$Z$96,3,0)</f>
        <v>0</v>
      </c>
      <c r="D24" s="1379">
        <v>25000</v>
      </c>
      <c r="E24" s="1377">
        <f>C24*D24</f>
        <v>0</v>
      </c>
      <c r="F24" s="1392"/>
      <c r="G24" s="1375" t="s">
        <v>121</v>
      </c>
      <c r="H24" s="1629" t="s">
        <v>865</v>
      </c>
      <c r="I24" s="1378">
        <f>VLOOKUP(H22,'CNKT '!$C$16:$Z$96,3,0)</f>
        <v>0</v>
      </c>
      <c r="J24" s="1379">
        <v>25000</v>
      </c>
      <c r="K24" s="1377">
        <f>I24*J24</f>
        <v>0</v>
      </c>
      <c r="L24" s="1372"/>
    </row>
    <row r="25" spans="1:13" s="31" customFormat="1" ht="15.75" customHeight="1">
      <c r="A25" s="1375" t="s">
        <v>628</v>
      </c>
      <c r="B25" s="1630" t="s">
        <v>1081</v>
      </c>
      <c r="C25" s="1433">
        <f>VLOOKUP(B22,'CNKT '!$C$16:$Z$96,11,0)</f>
        <v>0</v>
      </c>
      <c r="D25" s="1380">
        <f>46.1*$B$2</f>
        <v>30241.600000000002</v>
      </c>
      <c r="E25" s="1377">
        <f t="shared" ref="E25:E29" si="2">C25*D25</f>
        <v>0</v>
      </c>
      <c r="F25" s="1625"/>
      <c r="G25" s="1375" t="s">
        <v>628</v>
      </c>
      <c r="H25" s="1630" t="s">
        <v>1081</v>
      </c>
      <c r="I25" s="1433">
        <f>VLOOKUP(H22,'CNKT '!$C$16:$Z$96,11,0)</f>
        <v>0</v>
      </c>
      <c r="J25" s="1380">
        <f>46.1*$B$2</f>
        <v>30241.600000000002</v>
      </c>
      <c r="K25" s="1377">
        <f t="shared" ref="K25:K29" si="3">I25*J25</f>
        <v>0</v>
      </c>
      <c r="L25" s="1372"/>
    </row>
    <row r="26" spans="1:13" s="1390" customFormat="1" ht="15.75" customHeight="1">
      <c r="A26" s="1375" t="s">
        <v>809</v>
      </c>
      <c r="B26" s="1630" t="s">
        <v>1082</v>
      </c>
      <c r="C26" s="1433">
        <f>VLOOKUP(B22,'CNKT '!$C$16:$Z$96,12,0)</f>
        <v>0</v>
      </c>
      <c r="D26" s="1379">
        <f>76.9*$B$2</f>
        <v>50446.400000000001</v>
      </c>
      <c r="E26" s="1377">
        <f t="shared" si="2"/>
        <v>0</v>
      </c>
      <c r="F26" s="1393"/>
      <c r="G26" s="1375" t="s">
        <v>809</v>
      </c>
      <c r="H26" s="1630" t="s">
        <v>1082</v>
      </c>
      <c r="I26" s="1433">
        <f>VLOOKUP(H22,'CNKT '!$C$16:$Z$96,12,0)</f>
        <v>0</v>
      </c>
      <c r="J26" s="1379">
        <f>76.9*$B$2</f>
        <v>50446.400000000001</v>
      </c>
      <c r="K26" s="1377">
        <f t="shared" si="3"/>
        <v>0</v>
      </c>
      <c r="L26" s="1372"/>
    </row>
    <row r="27" spans="1:13" s="1394" customFormat="1" ht="15.75" customHeight="1">
      <c r="A27" s="1375" t="s">
        <v>122</v>
      </c>
      <c r="B27" s="1630" t="s">
        <v>1083</v>
      </c>
      <c r="C27" s="1433">
        <f>VLOOKUP(B22,'CNKT '!$C$16:$Z$96,8,0)</f>
        <v>0</v>
      </c>
      <c r="D27" s="1379">
        <f>IF(C23="A",6.1,IF(C23="B",5.8,IF(C23="C",5.5,IF(C23="C.",5.5,IF(C23="D",5.2)))))*$B$2</f>
        <v>4001.6</v>
      </c>
      <c r="E27" s="1377">
        <f t="shared" si="2"/>
        <v>0</v>
      </c>
      <c r="F27" s="1625"/>
      <c r="G27" s="1375" t="s">
        <v>122</v>
      </c>
      <c r="H27" s="1630" t="s">
        <v>1083</v>
      </c>
      <c r="I27" s="1433">
        <f>VLOOKUP(H22,'CNKT '!$C$16:$Z$96,8,0)</f>
        <v>0</v>
      </c>
      <c r="J27" s="1379">
        <f>IF(I23="A",6.1,IF(I23="B",5.8,IF(I23="C",5.5,IF(I23="C.",5.5,IF(I23="D",5.2)))))*$B$2</f>
        <v>3804.7999999999997</v>
      </c>
      <c r="K27" s="1377">
        <f t="shared" si="3"/>
        <v>0</v>
      </c>
      <c r="L27" s="1372"/>
    </row>
    <row r="28" spans="1:13" s="1394" customFormat="1" ht="15.75" customHeight="1">
      <c r="A28" s="1375" t="s">
        <v>959</v>
      </c>
      <c r="B28" s="1630" t="s">
        <v>1084</v>
      </c>
      <c r="C28" s="1433">
        <f>VLOOKUP(B22,'CNKT '!$C$16:$Z$96,15,0)</f>
        <v>0</v>
      </c>
      <c r="D28" s="1380">
        <f>92.2*$B$2</f>
        <v>60483.200000000004</v>
      </c>
      <c r="E28" s="1377">
        <f t="shared" si="2"/>
        <v>0</v>
      </c>
      <c r="F28" s="1625"/>
      <c r="G28" s="1375" t="s">
        <v>959</v>
      </c>
      <c r="H28" s="1630" t="s">
        <v>1084</v>
      </c>
      <c r="I28" s="1433">
        <f>VLOOKUP(H22,'CNKT '!$C$16:$Z$96,15,0)</f>
        <v>0</v>
      </c>
      <c r="J28" s="1380">
        <f>92.2*$B$2</f>
        <v>60483.200000000004</v>
      </c>
      <c r="K28" s="1377">
        <f t="shared" si="3"/>
        <v>0</v>
      </c>
      <c r="L28" s="1372"/>
    </row>
    <row r="29" spans="1:13" s="1394" customFormat="1" ht="15.75" customHeight="1">
      <c r="A29" s="1375" t="s">
        <v>960</v>
      </c>
      <c r="B29" s="1630" t="s">
        <v>964</v>
      </c>
      <c r="C29" s="1433">
        <f>VLOOKUP(B22,'CNKT '!$C$16:$Z$96,16,0)</f>
        <v>0</v>
      </c>
      <c r="D29" s="1379">
        <f>153.8*$B$2</f>
        <v>100892.8</v>
      </c>
      <c r="E29" s="1377">
        <f t="shared" si="2"/>
        <v>0</v>
      </c>
      <c r="F29" s="1625"/>
      <c r="G29" s="1375" t="s">
        <v>960</v>
      </c>
      <c r="H29" s="1630" t="s">
        <v>964</v>
      </c>
      <c r="I29" s="1433">
        <f>VLOOKUP(H22,'CNKT '!$C$16:$Z$96,16,0)</f>
        <v>0</v>
      </c>
      <c r="J29" s="1379">
        <f>153.8*$B$2</f>
        <v>100892.8</v>
      </c>
      <c r="K29" s="1377">
        <f t="shared" si="3"/>
        <v>0</v>
      </c>
      <c r="L29" s="1372"/>
    </row>
    <row r="30" spans="1:13" s="1394" customFormat="1" ht="15.75" customHeight="1">
      <c r="A30" s="1375" t="s">
        <v>899</v>
      </c>
      <c r="B30" s="1630" t="s">
        <v>965</v>
      </c>
      <c r="C30" s="1433">
        <f>VLOOKUP(B22,'CNKT '!$C$16:$Z$96,18,0)</f>
        <v>0</v>
      </c>
      <c r="D30" s="1379">
        <v>10000</v>
      </c>
      <c r="E30" s="1377">
        <f>C30*D30</f>
        <v>0</v>
      </c>
      <c r="F30" s="1625"/>
      <c r="G30" s="1375" t="s">
        <v>899</v>
      </c>
      <c r="H30" s="1630" t="s">
        <v>965</v>
      </c>
      <c r="I30" s="1433">
        <f>VLOOKUP(H22,'CNKT '!$C$16:$Z$96,18,0)</f>
        <v>0</v>
      </c>
      <c r="J30" s="1379">
        <v>10000</v>
      </c>
      <c r="K30" s="1377">
        <f>I30*J30</f>
        <v>0</v>
      </c>
      <c r="L30" s="1372"/>
    </row>
    <row r="31" spans="1:13" s="1394" customFormat="1" ht="15.75" customHeight="1">
      <c r="A31" s="1375" t="s">
        <v>899</v>
      </c>
      <c r="B31" s="1630" t="s">
        <v>965</v>
      </c>
      <c r="C31" s="1433">
        <f>VLOOKUP(B22,'CNKT '!$C$16:$Z$96,19,0)</f>
        <v>0</v>
      </c>
      <c r="D31" s="1379">
        <v>20000</v>
      </c>
      <c r="E31" s="1377">
        <f>C31*D31</f>
        <v>0</v>
      </c>
      <c r="F31" s="1625"/>
      <c r="G31" s="1375" t="s">
        <v>899</v>
      </c>
      <c r="H31" s="1630" t="s">
        <v>965</v>
      </c>
      <c r="I31" s="1433">
        <f>VLOOKUP(H22,'CNKT '!$C$16:$Z$96,19,0)</f>
        <v>0</v>
      </c>
      <c r="J31" s="1379">
        <v>20000</v>
      </c>
      <c r="K31" s="1377">
        <f>I31*J31</f>
        <v>0</v>
      </c>
      <c r="L31" s="1372"/>
    </row>
    <row r="32" spans="1:13" s="1394" customFormat="1" ht="15.75" customHeight="1">
      <c r="A32" s="1375" t="s">
        <v>995</v>
      </c>
      <c r="B32" s="1630" t="s">
        <v>997</v>
      </c>
      <c r="C32" s="1433"/>
      <c r="D32" s="1379"/>
      <c r="E32" s="1377"/>
      <c r="F32" s="1625"/>
      <c r="G32" s="1375" t="s">
        <v>995</v>
      </c>
      <c r="H32" s="1630" t="s">
        <v>997</v>
      </c>
      <c r="I32" s="1433"/>
      <c r="J32" s="1379"/>
      <c r="K32" s="1377"/>
      <c r="L32" s="1372"/>
    </row>
    <row r="33" spans="1:13" s="1390" customFormat="1" ht="15.75" customHeight="1">
      <c r="A33" s="1381" t="s">
        <v>123</v>
      </c>
      <c r="B33" s="1631" t="s">
        <v>1085</v>
      </c>
      <c r="C33" s="1382"/>
      <c r="D33" s="1383"/>
      <c r="E33" s="1382"/>
      <c r="F33" s="1392"/>
      <c r="G33" s="1381" t="s">
        <v>123</v>
      </c>
      <c r="H33" s="1631" t="s">
        <v>1085</v>
      </c>
      <c r="I33" s="1382"/>
      <c r="J33" s="1383"/>
      <c r="K33" s="1382"/>
      <c r="L33" s="1372"/>
    </row>
    <row r="34" spans="1:13" s="1390" customFormat="1" ht="15.75" customHeight="1">
      <c r="A34" s="1384" t="s">
        <v>124</v>
      </c>
      <c r="B34" s="1632" t="s">
        <v>1086</v>
      </c>
      <c r="C34" s="1382"/>
      <c r="D34" s="1382"/>
      <c r="E34" s="1382"/>
      <c r="F34" s="1392"/>
      <c r="G34" s="1384" t="s">
        <v>124</v>
      </c>
      <c r="H34" s="1632" t="s">
        <v>1086</v>
      </c>
      <c r="I34" s="1382"/>
      <c r="J34" s="1382"/>
      <c r="K34" s="1382"/>
      <c r="L34" s="1372"/>
    </row>
    <row r="35" spans="1:13" s="31" customFormat="1" ht="15.75" customHeight="1">
      <c r="A35" s="1384" t="s">
        <v>125</v>
      </c>
      <c r="B35" s="1633" t="s">
        <v>1087</v>
      </c>
      <c r="C35" s="1382"/>
      <c r="D35" s="1382"/>
      <c r="E35" s="1377">
        <f>SUM(E34)</f>
        <v>0</v>
      </c>
      <c r="F35" s="1392"/>
      <c r="G35" s="1384" t="s">
        <v>125</v>
      </c>
      <c r="H35" s="1633" t="s">
        <v>1087</v>
      </c>
      <c r="I35" s="1382"/>
      <c r="J35" s="1382"/>
      <c r="K35" s="1377">
        <f>SUM(K34)</f>
        <v>0</v>
      </c>
      <c r="L35" s="1372"/>
      <c r="M35" s="1385">
        <f>E35+K35</f>
        <v>0</v>
      </c>
    </row>
    <row r="36" spans="1:13" s="31" customFormat="1" ht="15.75" customHeight="1">
      <c r="A36" s="1386" t="s">
        <v>126</v>
      </c>
      <c r="B36" s="1634" t="s">
        <v>871</v>
      </c>
      <c r="C36" s="1387"/>
      <c r="D36" s="1387"/>
      <c r="E36" s="1387">
        <f>(E24+E25+E26+E27+E28+E29+E30+E31+E32)-E35</f>
        <v>0</v>
      </c>
      <c r="F36" s="1392"/>
      <c r="G36" s="1386" t="s">
        <v>126</v>
      </c>
      <c r="H36" s="1634" t="s">
        <v>871</v>
      </c>
      <c r="I36" s="1387"/>
      <c r="J36" s="1387"/>
      <c r="K36" s="1387">
        <f>(K24+K25+K26+K27+K28+K29+K30+K31+K32)-K35</f>
        <v>0</v>
      </c>
      <c r="L36" s="1389">
        <f>E36+K36</f>
        <v>0</v>
      </c>
    </row>
    <row r="37" spans="1:13" s="31" customFormat="1" ht="15.75" customHeight="1">
      <c r="A37" s="1395"/>
      <c r="B37" s="1396"/>
      <c r="C37" s="1625"/>
      <c r="D37" s="1625"/>
      <c r="E37" s="1392"/>
      <c r="F37" s="1392"/>
      <c r="G37" s="1395"/>
      <c r="H37" s="1396"/>
      <c r="I37" s="1625"/>
      <c r="J37" s="1392"/>
      <c r="K37" s="1390"/>
      <c r="L37" s="1372"/>
    </row>
    <row r="38" spans="1:13" s="31" customFormat="1" ht="15.75" customHeight="1">
      <c r="A38" s="2182" t="str">
        <f>G21</f>
        <v>LƯƠNG THÁNG 01/2025</v>
      </c>
      <c r="B38" s="2183"/>
      <c r="C38" s="2183"/>
      <c r="D38" s="2183"/>
      <c r="E38" s="1452">
        <v>5</v>
      </c>
      <c r="F38" s="1392"/>
      <c r="G38" s="2182" t="str">
        <f>G21</f>
        <v>LƯƠNG THÁNG 01/2025</v>
      </c>
      <c r="H38" s="2183"/>
      <c r="I38" s="2183"/>
      <c r="J38" s="2184"/>
      <c r="K38" s="1452">
        <v>6</v>
      </c>
      <c r="L38" s="1372"/>
    </row>
    <row r="39" spans="1:13" s="31" customFormat="1" ht="15.75" customHeight="1">
      <c r="A39" s="1391" t="s">
        <v>29</v>
      </c>
      <c r="B39" s="1626" t="str">
        <f>'CNKT '!C20</f>
        <v>N. Vạt</v>
      </c>
      <c r="C39" s="1373"/>
      <c r="D39" s="1623" t="s">
        <v>806</v>
      </c>
      <c r="E39" s="1623" t="s">
        <v>32</v>
      </c>
      <c r="F39" s="1392"/>
      <c r="G39" s="1391" t="s">
        <v>29</v>
      </c>
      <c r="H39" s="1626" t="str">
        <f>'CNKT '!C21</f>
        <v>T. Tích</v>
      </c>
      <c r="I39" s="1373"/>
      <c r="J39" s="1623" t="s">
        <v>806</v>
      </c>
      <c r="K39" s="1623" t="s">
        <v>32</v>
      </c>
      <c r="L39" s="1372"/>
    </row>
    <row r="40" spans="1:13" s="31" customFormat="1" ht="15.75" customHeight="1">
      <c r="A40" s="1375" t="s">
        <v>807</v>
      </c>
      <c r="B40" s="1628" t="s">
        <v>1080</v>
      </c>
      <c r="C40" s="1376" t="str">
        <f>VLOOKUP(B39,'BTH mủ tạp'!$C$15:$AL$92,36,0)</f>
        <v>A</v>
      </c>
      <c r="D40" s="1377"/>
      <c r="E40" s="1377"/>
      <c r="F40" s="1396"/>
      <c r="G40" s="1375" t="s">
        <v>807</v>
      </c>
      <c r="H40" s="1628" t="s">
        <v>1080</v>
      </c>
      <c r="I40" s="1376" t="str">
        <f>VLOOKUP(H39,'BTH mủ tạp'!$C$15:$AL$92,36,0)</f>
        <v>A</v>
      </c>
      <c r="J40" s="1377"/>
      <c r="K40" s="1377"/>
      <c r="L40" s="1372"/>
    </row>
    <row r="41" spans="1:13" s="31" customFormat="1" ht="15.75" customHeight="1">
      <c r="A41" s="1375" t="s">
        <v>121</v>
      </c>
      <c r="B41" s="1629" t="s">
        <v>865</v>
      </c>
      <c r="C41" s="1378">
        <f>VLOOKUP(B39,'CNKT '!$C$16:$Z$96,3,0)</f>
        <v>0</v>
      </c>
      <c r="D41" s="1379">
        <v>25000</v>
      </c>
      <c r="E41" s="1377">
        <f>C41*D41</f>
        <v>0</v>
      </c>
      <c r="F41" s="1396"/>
      <c r="G41" s="1375" t="s">
        <v>121</v>
      </c>
      <c r="H41" s="1629" t="s">
        <v>865</v>
      </c>
      <c r="I41" s="1378">
        <f>VLOOKUP(H39,'CNKT '!$C$16:$Z$96,3,0)</f>
        <v>0</v>
      </c>
      <c r="J41" s="1379">
        <v>25000</v>
      </c>
      <c r="K41" s="1377">
        <f>I41*J41</f>
        <v>0</v>
      </c>
      <c r="L41" s="1372"/>
    </row>
    <row r="42" spans="1:13" s="31" customFormat="1" ht="15.75" customHeight="1">
      <c r="A42" s="1375" t="s">
        <v>628</v>
      </c>
      <c r="B42" s="1630" t="s">
        <v>1081</v>
      </c>
      <c r="C42" s="1433">
        <f>VLOOKUP(B39,'CNKT '!$C$16:$Z$96,11,0)</f>
        <v>0</v>
      </c>
      <c r="D42" s="1380">
        <f>46.1*$B$2</f>
        <v>30241.600000000002</v>
      </c>
      <c r="E42" s="1377">
        <f t="shared" ref="E42:E46" si="4">C42*D42</f>
        <v>0</v>
      </c>
      <c r="F42" s="1625"/>
      <c r="G42" s="1375" t="s">
        <v>628</v>
      </c>
      <c r="H42" s="1630" t="s">
        <v>1081</v>
      </c>
      <c r="I42" s="1433">
        <f>VLOOKUP(H39,'CNKT '!$C$16:$Z$96,11,0)</f>
        <v>0</v>
      </c>
      <c r="J42" s="1380">
        <f>46.1*$B$2</f>
        <v>30241.600000000002</v>
      </c>
      <c r="K42" s="1377">
        <f t="shared" ref="K42:K46" si="5">I42*J42</f>
        <v>0</v>
      </c>
      <c r="L42" s="1372"/>
    </row>
    <row r="43" spans="1:13" s="31" customFormat="1" ht="15.75" customHeight="1">
      <c r="A43" s="1375" t="s">
        <v>809</v>
      </c>
      <c r="B43" s="1630" t="s">
        <v>1082</v>
      </c>
      <c r="C43" s="1433">
        <f>VLOOKUP(B39,'CNKT '!$C$16:$Z$96,12,0)</f>
        <v>0</v>
      </c>
      <c r="D43" s="1379">
        <f>76.9*$B$2</f>
        <v>50446.400000000001</v>
      </c>
      <c r="E43" s="1377">
        <f t="shared" si="4"/>
        <v>0</v>
      </c>
      <c r="F43" s="1397"/>
      <c r="G43" s="1375" t="s">
        <v>809</v>
      </c>
      <c r="H43" s="1630" t="s">
        <v>1082</v>
      </c>
      <c r="I43" s="1433">
        <f>VLOOKUP(H39,'CNKT '!$C$16:$Z$96,12,0)</f>
        <v>0</v>
      </c>
      <c r="J43" s="1379">
        <f>76.9*$B$2</f>
        <v>50446.400000000001</v>
      </c>
      <c r="K43" s="1377">
        <f t="shared" si="5"/>
        <v>0</v>
      </c>
      <c r="L43" s="1372"/>
    </row>
    <row r="44" spans="1:13" s="31" customFormat="1" ht="15.75" customHeight="1">
      <c r="A44" s="1375" t="s">
        <v>122</v>
      </c>
      <c r="B44" s="1630" t="s">
        <v>1083</v>
      </c>
      <c r="C44" s="1433">
        <f>VLOOKUP(B39,'CNKT '!$C$16:$Z$96,8,0)</f>
        <v>0</v>
      </c>
      <c r="D44" s="1379">
        <f>IF(C40="A",6.1,IF(C40="B",5.8,IF(C40="C",5.5,IF(C40="C.",5.5,IF(C40="D",5.2)))))*$B$2</f>
        <v>4001.6</v>
      </c>
      <c r="E44" s="1377">
        <f t="shared" si="4"/>
        <v>0</v>
      </c>
      <c r="F44" s="1396"/>
      <c r="G44" s="1375" t="s">
        <v>122</v>
      </c>
      <c r="H44" s="1630" t="s">
        <v>1083</v>
      </c>
      <c r="I44" s="1433">
        <f>VLOOKUP(H39,'CNKT '!$C$16:$Z$96,8,0)</f>
        <v>0</v>
      </c>
      <c r="J44" s="1379">
        <f>IF(I40="A",6.1,IF(I40="B",5.8,IF(I40="C",5.5,IF(I40="C.",5.5,IF(I40="D",5.2)))))*$B$2</f>
        <v>4001.6</v>
      </c>
      <c r="K44" s="1377">
        <f t="shared" si="5"/>
        <v>0</v>
      </c>
      <c r="L44" s="1372"/>
    </row>
    <row r="45" spans="1:13" s="31" customFormat="1" ht="15.75" customHeight="1">
      <c r="A45" s="1375" t="s">
        <v>959</v>
      </c>
      <c r="B45" s="1630" t="s">
        <v>1084</v>
      </c>
      <c r="C45" s="1433">
        <f>VLOOKUP(B39,'CNKT '!$C$16:$Z$96,15,0)</f>
        <v>0</v>
      </c>
      <c r="D45" s="1380">
        <f>92.2*$B$2</f>
        <v>60483.200000000004</v>
      </c>
      <c r="E45" s="1377">
        <f t="shared" si="4"/>
        <v>0</v>
      </c>
      <c r="F45" s="1396"/>
      <c r="G45" s="1375" t="s">
        <v>959</v>
      </c>
      <c r="H45" s="1630" t="s">
        <v>1084</v>
      </c>
      <c r="I45" s="1433">
        <f>VLOOKUP(H39,'CNKT '!$C$16:$Z$96,15,0)</f>
        <v>0</v>
      </c>
      <c r="J45" s="1380">
        <f>92.2*$B$2</f>
        <v>60483.200000000004</v>
      </c>
      <c r="K45" s="1377">
        <f t="shared" si="5"/>
        <v>0</v>
      </c>
      <c r="L45" s="1372"/>
    </row>
    <row r="46" spans="1:13" s="31" customFormat="1" ht="15.75" customHeight="1">
      <c r="A46" s="1375" t="s">
        <v>960</v>
      </c>
      <c r="B46" s="1630" t="s">
        <v>964</v>
      </c>
      <c r="C46" s="1433">
        <f>VLOOKUP(B39,'CNKT '!$C$16:$Z$96,16,0)</f>
        <v>0</v>
      </c>
      <c r="D46" s="1379">
        <f>153.8*$B$2</f>
        <v>100892.8</v>
      </c>
      <c r="E46" s="1377">
        <f t="shared" si="4"/>
        <v>0</v>
      </c>
      <c r="F46" s="1396"/>
      <c r="G46" s="1375" t="s">
        <v>960</v>
      </c>
      <c r="H46" s="1630" t="s">
        <v>964</v>
      </c>
      <c r="I46" s="1433">
        <f>VLOOKUP(H39,'CNKT '!$C$16:$Z$96,16,0)</f>
        <v>0</v>
      </c>
      <c r="J46" s="1379">
        <f>153.8*$B$2</f>
        <v>100892.8</v>
      </c>
      <c r="K46" s="1377">
        <f t="shared" si="5"/>
        <v>0</v>
      </c>
      <c r="L46" s="1372"/>
    </row>
    <row r="47" spans="1:13" s="31" customFormat="1" ht="15.75" customHeight="1">
      <c r="A47" s="1375" t="s">
        <v>899</v>
      </c>
      <c r="B47" s="1630" t="s">
        <v>965</v>
      </c>
      <c r="C47" s="1433">
        <f>VLOOKUP(B39,'CNKT '!$C$16:$Z$96,18,0)</f>
        <v>0</v>
      </c>
      <c r="D47" s="1379">
        <v>10000</v>
      </c>
      <c r="E47" s="1377">
        <f>C47*D47</f>
        <v>0</v>
      </c>
      <c r="F47" s="1396"/>
      <c r="G47" s="1375" t="s">
        <v>899</v>
      </c>
      <c r="H47" s="1630" t="s">
        <v>965</v>
      </c>
      <c r="I47" s="1433">
        <f>VLOOKUP(H39,'CNKT '!$C$16:$Z$96,18,0)</f>
        <v>0</v>
      </c>
      <c r="J47" s="1379">
        <v>10000</v>
      </c>
      <c r="K47" s="1377">
        <f>I47*J47</f>
        <v>0</v>
      </c>
      <c r="L47" s="1372"/>
    </row>
    <row r="48" spans="1:13" s="31" customFormat="1" ht="15.75" customHeight="1">
      <c r="A48" s="1375" t="s">
        <v>899</v>
      </c>
      <c r="B48" s="1630" t="s">
        <v>965</v>
      </c>
      <c r="C48" s="1433">
        <f>VLOOKUP(B39,'CNKT '!$C$16:$Z$96,19,0)</f>
        <v>0</v>
      </c>
      <c r="D48" s="1379">
        <v>20000</v>
      </c>
      <c r="E48" s="1377">
        <f>C48*D48</f>
        <v>0</v>
      </c>
      <c r="F48" s="1396"/>
      <c r="G48" s="1375" t="s">
        <v>899</v>
      </c>
      <c r="H48" s="1630" t="s">
        <v>965</v>
      </c>
      <c r="I48" s="1433">
        <f>VLOOKUP(H39,'CNKT '!$C$16:$Z$96,19,0)</f>
        <v>0</v>
      </c>
      <c r="J48" s="1379">
        <v>20000</v>
      </c>
      <c r="K48" s="1377">
        <f>I48*J48</f>
        <v>0</v>
      </c>
      <c r="L48" s="1372"/>
    </row>
    <row r="49" spans="1:13" s="31" customFormat="1" ht="15.75" customHeight="1">
      <c r="A49" s="1375" t="s">
        <v>995</v>
      </c>
      <c r="B49" s="1630" t="s">
        <v>997</v>
      </c>
      <c r="C49" s="1433"/>
      <c r="D49" s="1379"/>
      <c r="E49" s="1377"/>
      <c r="F49" s="1396"/>
      <c r="G49" s="1375" t="s">
        <v>995</v>
      </c>
      <c r="H49" s="1630" t="s">
        <v>997</v>
      </c>
      <c r="I49" s="1433"/>
      <c r="J49" s="1379"/>
      <c r="K49" s="1377"/>
      <c r="L49" s="1372"/>
    </row>
    <row r="50" spans="1:13" s="31" customFormat="1" ht="15.75" customHeight="1">
      <c r="A50" s="1381" t="s">
        <v>123</v>
      </c>
      <c r="B50" s="1631" t="s">
        <v>1085</v>
      </c>
      <c r="C50" s="1382"/>
      <c r="D50" s="1383"/>
      <c r="E50" s="1382"/>
      <c r="F50" s="1625"/>
      <c r="G50" s="1381" t="s">
        <v>123</v>
      </c>
      <c r="H50" s="1631" t="s">
        <v>1085</v>
      </c>
      <c r="I50" s="1382"/>
      <c r="J50" s="1383"/>
      <c r="K50" s="1382"/>
      <c r="L50" s="1372"/>
    </row>
    <row r="51" spans="1:13" s="31" customFormat="1" ht="15.75" customHeight="1">
      <c r="A51" s="1384" t="s">
        <v>124</v>
      </c>
      <c r="B51" s="1632" t="s">
        <v>1086</v>
      </c>
      <c r="C51" s="1382"/>
      <c r="D51" s="1382"/>
      <c r="E51" s="1382"/>
      <c r="F51" s="1392"/>
      <c r="G51" s="1384" t="s">
        <v>124</v>
      </c>
      <c r="H51" s="1632" t="s">
        <v>1086</v>
      </c>
      <c r="I51" s="1382"/>
      <c r="J51" s="1382"/>
      <c r="K51" s="1382"/>
      <c r="L51" s="1372"/>
    </row>
    <row r="52" spans="1:13" s="31" customFormat="1" ht="15.75" customHeight="1">
      <c r="A52" s="1384" t="s">
        <v>125</v>
      </c>
      <c r="B52" s="1633" t="s">
        <v>1087</v>
      </c>
      <c r="C52" s="1382"/>
      <c r="D52" s="1382"/>
      <c r="E52" s="1377">
        <f>SUM(E51)</f>
        <v>0</v>
      </c>
      <c r="F52" s="1392"/>
      <c r="G52" s="1384" t="s">
        <v>125</v>
      </c>
      <c r="H52" s="1633" t="s">
        <v>1087</v>
      </c>
      <c r="I52" s="1382"/>
      <c r="J52" s="1382"/>
      <c r="K52" s="1377">
        <f>SUM(K51)</f>
        <v>0</v>
      </c>
      <c r="L52" s="1372"/>
      <c r="M52" s="1385">
        <f>E52+K52</f>
        <v>0</v>
      </c>
    </row>
    <row r="53" spans="1:13" s="31" customFormat="1" ht="15.75" customHeight="1">
      <c r="A53" s="1386" t="s">
        <v>126</v>
      </c>
      <c r="B53" s="1634" t="s">
        <v>871</v>
      </c>
      <c r="C53" s="1387"/>
      <c r="D53" s="1387"/>
      <c r="E53" s="1387">
        <f>(E41+E42+E43+E44+E45+E46+E47+E48+E49)-E52</f>
        <v>0</v>
      </c>
      <c r="F53" s="1392"/>
      <c r="G53" s="1386" t="s">
        <v>126</v>
      </c>
      <c r="H53" s="1634" t="s">
        <v>871</v>
      </c>
      <c r="I53" s="1387"/>
      <c r="J53" s="1387"/>
      <c r="K53" s="1387">
        <f>(K41+K42+K43+K44+K45+K46+K47+K48+K49)-K52</f>
        <v>0</v>
      </c>
      <c r="L53" s="1389">
        <f>E53+K53</f>
        <v>0</v>
      </c>
    </row>
    <row r="54" spans="1:13" s="31" customFormat="1" ht="15.75" customHeight="1">
      <c r="A54" s="1392"/>
      <c r="B54" s="1398"/>
      <c r="C54" s="1399"/>
      <c r="D54" s="1399"/>
      <c r="E54" s="1397"/>
      <c r="F54" s="1392"/>
      <c r="G54" s="1392"/>
      <c r="H54" s="1398"/>
      <c r="I54" s="1399"/>
      <c r="J54" s="1397"/>
      <c r="K54" s="1390"/>
      <c r="L54" s="1372"/>
    </row>
    <row r="55" spans="1:13" s="31" customFormat="1" ht="15.75" customHeight="1">
      <c r="A55" s="2182" t="str">
        <f>G38</f>
        <v>LƯƠNG THÁNG 01/2025</v>
      </c>
      <c r="B55" s="2183"/>
      <c r="C55" s="2183"/>
      <c r="D55" s="2183"/>
      <c r="E55" s="1452">
        <v>7</v>
      </c>
      <c r="F55" s="1625"/>
      <c r="G55" s="2182" t="str">
        <f>G38</f>
        <v>LƯƠNG THÁNG 01/2025</v>
      </c>
      <c r="H55" s="2183"/>
      <c r="I55" s="2183"/>
      <c r="J55" s="2184"/>
      <c r="K55" s="1452">
        <v>8</v>
      </c>
      <c r="L55" s="1372"/>
    </row>
    <row r="56" spans="1:13" s="31" customFormat="1" ht="15.75" customHeight="1">
      <c r="A56" s="1391" t="s">
        <v>29</v>
      </c>
      <c r="B56" s="1626" t="str">
        <f>'CNKT '!C22</f>
        <v>T. Bi Ly</v>
      </c>
      <c r="C56" s="1373"/>
      <c r="D56" s="1623" t="s">
        <v>806</v>
      </c>
      <c r="E56" s="1623" t="s">
        <v>32</v>
      </c>
      <c r="F56" s="1397"/>
      <c r="G56" s="1391" t="s">
        <v>29</v>
      </c>
      <c r="H56" s="1626" t="str">
        <f>'CNKT '!C23</f>
        <v>T . Bua Ngân</v>
      </c>
      <c r="I56" s="1373"/>
      <c r="J56" s="1623" t="s">
        <v>806</v>
      </c>
      <c r="K56" s="1623" t="s">
        <v>32</v>
      </c>
      <c r="L56" s="1372"/>
    </row>
    <row r="57" spans="1:13" s="31" customFormat="1" ht="15.75" customHeight="1">
      <c r="A57" s="1375" t="s">
        <v>807</v>
      </c>
      <c r="B57" s="1628" t="s">
        <v>1080</v>
      </c>
      <c r="C57" s="1376" t="str">
        <f>VLOOKUP(B56,'BTH mủ tạp'!$C$15:$AL$92,36,0)</f>
        <v>A</v>
      </c>
      <c r="D57" s="1377"/>
      <c r="E57" s="1377"/>
      <c r="F57" s="1397"/>
      <c r="G57" s="1375" t="s">
        <v>807</v>
      </c>
      <c r="H57" s="1628" t="s">
        <v>1080</v>
      </c>
      <c r="I57" s="1376" t="str">
        <f>VLOOKUP(H56,'BTH mủ tạp'!$C$15:$AL$92,36,0)</f>
        <v>A</v>
      </c>
      <c r="J57" s="1377"/>
      <c r="K57" s="1377"/>
      <c r="L57" s="1372"/>
    </row>
    <row r="58" spans="1:13" s="31" customFormat="1" ht="15.75" customHeight="1">
      <c r="A58" s="1375" t="s">
        <v>121</v>
      </c>
      <c r="B58" s="1629" t="s">
        <v>865</v>
      </c>
      <c r="C58" s="1378">
        <f>VLOOKUP(B56,'CNKT '!$C$16:$Z$96,3,0)</f>
        <v>0</v>
      </c>
      <c r="D58" s="1379">
        <v>25000</v>
      </c>
      <c r="E58" s="1377">
        <f>C58*D58</f>
        <v>0</v>
      </c>
      <c r="F58" s="1396"/>
      <c r="G58" s="1375" t="s">
        <v>121</v>
      </c>
      <c r="H58" s="1629" t="s">
        <v>865</v>
      </c>
      <c r="I58" s="1378">
        <f>VLOOKUP(H56,'CNKT '!$C$16:$Z$96,3,0)</f>
        <v>0</v>
      </c>
      <c r="J58" s="1379">
        <v>25000</v>
      </c>
      <c r="K58" s="1377">
        <f>I58*J58</f>
        <v>0</v>
      </c>
      <c r="L58" s="1372"/>
    </row>
    <row r="59" spans="1:13" s="31" customFormat="1" ht="15.75" customHeight="1">
      <c r="A59" s="1375" t="s">
        <v>628</v>
      </c>
      <c r="B59" s="1630" t="s">
        <v>1081</v>
      </c>
      <c r="C59" s="1433">
        <f>VLOOKUP(B56,'CNKT '!$C$16:$Z$96,11,0)</f>
        <v>0</v>
      </c>
      <c r="D59" s="1380">
        <f>46.1*$B$2</f>
        <v>30241.600000000002</v>
      </c>
      <c r="E59" s="1377">
        <f t="shared" ref="E59:E63" si="6">C59*D59</f>
        <v>0</v>
      </c>
      <c r="F59" s="1625"/>
      <c r="G59" s="1375" t="s">
        <v>628</v>
      </c>
      <c r="H59" s="1630" t="s">
        <v>1081</v>
      </c>
      <c r="I59" s="1433">
        <f>VLOOKUP(H56,'CNKT '!$C$16:$Z$96,11,0)</f>
        <v>0</v>
      </c>
      <c r="J59" s="1380">
        <f>46.1*$B$2</f>
        <v>30241.600000000002</v>
      </c>
      <c r="K59" s="1377">
        <f t="shared" ref="K59:K63" si="7">I59*J59</f>
        <v>0</v>
      </c>
      <c r="L59" s="1372"/>
    </row>
    <row r="60" spans="1:13" s="31" customFormat="1" ht="15.75" customHeight="1">
      <c r="A60" s="1375" t="s">
        <v>809</v>
      </c>
      <c r="B60" s="1630" t="s">
        <v>1082</v>
      </c>
      <c r="C60" s="1433">
        <f>VLOOKUP(B56,'CNKT '!$C$16:$Z$96,12,0)</f>
        <v>0</v>
      </c>
      <c r="D60" s="1379">
        <f>76.9*$B$2</f>
        <v>50446.400000000001</v>
      </c>
      <c r="E60" s="1377">
        <f t="shared" si="6"/>
        <v>0</v>
      </c>
      <c r="F60" s="1392"/>
      <c r="G60" s="1375" t="s">
        <v>809</v>
      </c>
      <c r="H60" s="1630" t="s">
        <v>1082</v>
      </c>
      <c r="I60" s="1433">
        <f>VLOOKUP(H56,'CNKT '!$C$16:$Z$96,12,0)</f>
        <v>0</v>
      </c>
      <c r="J60" s="1379">
        <f>76.9*$B$2</f>
        <v>50446.400000000001</v>
      </c>
      <c r="K60" s="1377">
        <f t="shared" si="7"/>
        <v>0</v>
      </c>
      <c r="L60" s="1372"/>
    </row>
    <row r="61" spans="1:13" s="31" customFormat="1" ht="15.75" customHeight="1">
      <c r="A61" s="1375" t="s">
        <v>122</v>
      </c>
      <c r="B61" s="1630" t="s">
        <v>1083</v>
      </c>
      <c r="C61" s="1433">
        <f>VLOOKUP(B56,'CNKT '!$C$16:$Z$96,8,0)</f>
        <v>0</v>
      </c>
      <c r="D61" s="1379">
        <f>IF(C57="A",6.1,IF(C57="B",5.8,IF(C57="C",5.5,IF(C57="C.",5.5,IF(C57="D",5.2)))))*$B$2</f>
        <v>4001.6</v>
      </c>
      <c r="E61" s="1377">
        <f t="shared" si="6"/>
        <v>0</v>
      </c>
      <c r="F61" s="1392"/>
      <c r="G61" s="1375" t="s">
        <v>122</v>
      </c>
      <c r="H61" s="1630" t="s">
        <v>1083</v>
      </c>
      <c r="I61" s="1433">
        <f>VLOOKUP(H56,'CNKT '!$C$16:$Z$96,8,0)</f>
        <v>0</v>
      </c>
      <c r="J61" s="1379">
        <f>IF(I57="A",6.1,IF(I57="B",5.8,IF(I57="C",5.5,IF(I57="C.",5.5,IF(I57="D",5.2)))))*$B$2</f>
        <v>4001.6</v>
      </c>
      <c r="K61" s="1377">
        <f t="shared" si="7"/>
        <v>0</v>
      </c>
      <c r="L61" s="1372"/>
    </row>
    <row r="62" spans="1:13" s="31" customFormat="1" ht="15.75" customHeight="1">
      <c r="A62" s="1375" t="s">
        <v>959</v>
      </c>
      <c r="B62" s="1630" t="s">
        <v>1084</v>
      </c>
      <c r="C62" s="1433">
        <f>VLOOKUP(B56,'CNKT '!$C$16:$Z$96,15,0)</f>
        <v>0</v>
      </c>
      <c r="D62" s="1380">
        <f>92.2*$B$2</f>
        <v>60483.200000000004</v>
      </c>
      <c r="E62" s="1377">
        <f t="shared" si="6"/>
        <v>0</v>
      </c>
      <c r="F62" s="1392"/>
      <c r="G62" s="1375" t="s">
        <v>959</v>
      </c>
      <c r="H62" s="1630" t="s">
        <v>1084</v>
      </c>
      <c r="I62" s="1433">
        <f>VLOOKUP(H56,'CNKT '!$C$16:$Z$96,15,0)</f>
        <v>0</v>
      </c>
      <c r="J62" s="1380">
        <f>92.2*$B$2</f>
        <v>60483.200000000004</v>
      </c>
      <c r="K62" s="1377">
        <f t="shared" si="7"/>
        <v>0</v>
      </c>
      <c r="L62" s="1372"/>
    </row>
    <row r="63" spans="1:13" s="31" customFormat="1" ht="15.75" customHeight="1">
      <c r="A63" s="1375" t="s">
        <v>960</v>
      </c>
      <c r="B63" s="1630" t="s">
        <v>964</v>
      </c>
      <c r="C63" s="1433">
        <f>VLOOKUP(B56,'CNKT '!$C$16:$Z$96,16,0)</f>
        <v>0</v>
      </c>
      <c r="D63" s="1379">
        <f>153.8*$B$2</f>
        <v>100892.8</v>
      </c>
      <c r="E63" s="1377">
        <f t="shared" si="6"/>
        <v>0</v>
      </c>
      <c r="F63" s="1392"/>
      <c r="G63" s="1375" t="s">
        <v>960</v>
      </c>
      <c r="H63" s="1630" t="s">
        <v>964</v>
      </c>
      <c r="I63" s="1433">
        <f>VLOOKUP(H56,'CNKT '!$C$16:$Z$96,16,0)</f>
        <v>0</v>
      </c>
      <c r="J63" s="1379">
        <f>153.8*$B$2</f>
        <v>100892.8</v>
      </c>
      <c r="K63" s="1377">
        <f t="shared" si="7"/>
        <v>0</v>
      </c>
      <c r="L63" s="1372"/>
    </row>
    <row r="64" spans="1:13" s="31" customFormat="1" ht="15.75" customHeight="1">
      <c r="A64" s="1375" t="s">
        <v>899</v>
      </c>
      <c r="B64" s="1630" t="s">
        <v>965</v>
      </c>
      <c r="C64" s="1433">
        <f>VLOOKUP(B56,'CNKT '!$C$16:$Z$96,18,0)</f>
        <v>0</v>
      </c>
      <c r="D64" s="1379">
        <v>10000</v>
      </c>
      <c r="E64" s="1377">
        <f>C64*D64</f>
        <v>0</v>
      </c>
      <c r="F64" s="1392"/>
      <c r="G64" s="1375" t="s">
        <v>899</v>
      </c>
      <c r="H64" s="1630" t="s">
        <v>965</v>
      </c>
      <c r="I64" s="1433">
        <f>VLOOKUP(H56,'CNKT '!$C$16:$Z$96,18,0)</f>
        <v>0</v>
      </c>
      <c r="J64" s="1379">
        <v>10000</v>
      </c>
      <c r="K64" s="1377">
        <f>I64*J64</f>
        <v>0</v>
      </c>
      <c r="L64" s="1372"/>
    </row>
    <row r="65" spans="1:13" s="31" customFormat="1" ht="15.75" customHeight="1">
      <c r="A65" s="1375" t="s">
        <v>899</v>
      </c>
      <c r="B65" s="1630" t="s">
        <v>965</v>
      </c>
      <c r="C65" s="1433">
        <f>VLOOKUP(B56,'CNKT '!$C$16:$Z$96,19,0)</f>
        <v>0</v>
      </c>
      <c r="D65" s="1379">
        <v>20000</v>
      </c>
      <c r="E65" s="1377">
        <f>C65*D65</f>
        <v>0</v>
      </c>
      <c r="F65" s="1392"/>
      <c r="G65" s="1375" t="s">
        <v>899</v>
      </c>
      <c r="H65" s="1630" t="s">
        <v>965</v>
      </c>
      <c r="I65" s="1433">
        <f>VLOOKUP(H56,'CNKT '!$C$16:$Z$96,19,0)</f>
        <v>0</v>
      </c>
      <c r="J65" s="1379">
        <v>20000</v>
      </c>
      <c r="K65" s="1377">
        <f>I65*J65</f>
        <v>0</v>
      </c>
      <c r="L65" s="1372"/>
    </row>
    <row r="66" spans="1:13" s="31" customFormat="1" ht="15.75" customHeight="1">
      <c r="A66" s="1375" t="s">
        <v>995</v>
      </c>
      <c r="B66" s="1630" t="s">
        <v>997</v>
      </c>
      <c r="C66" s="1433"/>
      <c r="D66" s="1379"/>
      <c r="E66" s="1377"/>
      <c r="F66" s="1392"/>
      <c r="G66" s="1375" t="s">
        <v>995</v>
      </c>
      <c r="H66" s="1630" t="s">
        <v>997</v>
      </c>
      <c r="I66" s="1433"/>
      <c r="J66" s="1379"/>
      <c r="K66" s="1377"/>
      <c r="L66" s="1372"/>
    </row>
    <row r="67" spans="1:13" s="31" customFormat="1" ht="15.75" customHeight="1">
      <c r="A67" s="1381" t="s">
        <v>123</v>
      </c>
      <c r="B67" s="1631" t="s">
        <v>1085</v>
      </c>
      <c r="C67" s="1382"/>
      <c r="D67" s="1383"/>
      <c r="E67" s="1382"/>
      <c r="F67" s="1392"/>
      <c r="G67" s="1381" t="s">
        <v>123</v>
      </c>
      <c r="H67" s="1631" t="s">
        <v>1085</v>
      </c>
      <c r="I67" s="1382"/>
      <c r="J67" s="1383"/>
      <c r="K67" s="1382"/>
      <c r="L67" s="1372"/>
    </row>
    <row r="68" spans="1:13" s="31" customFormat="1" ht="15.75" customHeight="1">
      <c r="A68" s="1384" t="s">
        <v>124</v>
      </c>
      <c r="B68" s="1632" t="s">
        <v>1086</v>
      </c>
      <c r="C68" s="1382"/>
      <c r="D68" s="1382"/>
      <c r="E68" s="1382"/>
      <c r="F68" s="1392"/>
      <c r="G68" s="1384" t="s">
        <v>124</v>
      </c>
      <c r="H68" s="1632" t="s">
        <v>1086</v>
      </c>
      <c r="I68" s="1382"/>
      <c r="J68" s="1382"/>
      <c r="K68" s="1382"/>
      <c r="L68" s="1372"/>
    </row>
    <row r="69" spans="1:13" s="31" customFormat="1" ht="15.75" customHeight="1">
      <c r="A69" s="1384" t="s">
        <v>125</v>
      </c>
      <c r="B69" s="1633" t="s">
        <v>1087</v>
      </c>
      <c r="C69" s="1382"/>
      <c r="D69" s="1382"/>
      <c r="E69" s="1377">
        <f>SUM(E68)</f>
        <v>0</v>
      </c>
      <c r="F69" s="1392"/>
      <c r="G69" s="1384" t="s">
        <v>125</v>
      </c>
      <c r="H69" s="1633" t="s">
        <v>1087</v>
      </c>
      <c r="I69" s="1382"/>
      <c r="J69" s="1382"/>
      <c r="K69" s="1377">
        <f>SUM(K68)</f>
        <v>0</v>
      </c>
      <c r="L69" s="1372"/>
      <c r="M69" s="1385">
        <f>E69+K69</f>
        <v>0</v>
      </c>
    </row>
    <row r="70" spans="1:13" s="31" customFormat="1" ht="15.75" customHeight="1">
      <c r="A70" s="1386" t="s">
        <v>126</v>
      </c>
      <c r="B70" s="1634" t="s">
        <v>871</v>
      </c>
      <c r="C70" s="1387"/>
      <c r="D70" s="1387"/>
      <c r="E70" s="1387">
        <f>(E58+E59+E60+E61+E62+E63+E64+E65+E66)-E69</f>
        <v>0</v>
      </c>
      <c r="F70" s="1392"/>
      <c r="G70" s="1386" t="s">
        <v>126</v>
      </c>
      <c r="H70" s="1634" t="s">
        <v>871</v>
      </c>
      <c r="I70" s="1387"/>
      <c r="J70" s="1387"/>
      <c r="K70" s="1387">
        <f>(K58+K59+K60+K61+K62+K63+K64+K65+K66)-K69</f>
        <v>0</v>
      </c>
      <c r="L70" s="1389">
        <f>E70+K70</f>
        <v>0</v>
      </c>
    </row>
    <row r="71" spans="1:13" s="31" customFormat="1" ht="15.75" customHeight="1">
      <c r="A71" s="1392"/>
      <c r="B71" s="1398"/>
      <c r="C71" s="1399"/>
      <c r="D71" s="1399"/>
      <c r="E71" s="1397"/>
      <c r="F71" s="1392"/>
      <c r="G71" s="1392"/>
      <c r="H71" s="1398"/>
      <c r="I71" s="1399"/>
      <c r="J71" s="1397"/>
      <c r="K71" s="1400"/>
      <c r="L71" s="1372"/>
    </row>
    <row r="72" spans="1:13" s="31" customFormat="1" ht="15.75" customHeight="1">
      <c r="A72" s="2182" t="str">
        <f>G55</f>
        <v>LƯƠNG THÁNG 01/2025</v>
      </c>
      <c r="B72" s="2183"/>
      <c r="C72" s="2183"/>
      <c r="D72" s="2183"/>
      <c r="E72" s="1452">
        <v>9</v>
      </c>
      <c r="F72" s="1625"/>
      <c r="G72" s="2182" t="str">
        <f>A72</f>
        <v>LƯƠNG THÁNG 01/2025</v>
      </c>
      <c r="H72" s="2183"/>
      <c r="I72" s="2183"/>
      <c r="J72" s="2184"/>
      <c r="K72" s="1452">
        <v>10</v>
      </c>
      <c r="L72" s="1372"/>
    </row>
    <row r="73" spans="1:13" s="31" customFormat="1" ht="15.75" customHeight="1">
      <c r="A73" s="1391" t="s">
        <v>29</v>
      </c>
      <c r="B73" s="1626" t="str">
        <f>'CNKT '!C24</f>
        <v>T Căng</v>
      </c>
      <c r="C73" s="1373"/>
      <c r="D73" s="1623" t="s">
        <v>806</v>
      </c>
      <c r="E73" s="1623" t="s">
        <v>32</v>
      </c>
      <c r="F73" s="1392"/>
      <c r="G73" s="1391" t="s">
        <v>29</v>
      </c>
      <c r="H73" s="1626" t="str">
        <f>'CNKT '!C25</f>
        <v>N. Phôn 1</v>
      </c>
      <c r="I73" s="1373"/>
      <c r="J73" s="1623" t="s">
        <v>806</v>
      </c>
      <c r="K73" s="1623" t="s">
        <v>32</v>
      </c>
      <c r="L73" s="1372"/>
    </row>
    <row r="74" spans="1:13" s="31" customFormat="1" ht="15.75" customHeight="1">
      <c r="A74" s="1375" t="s">
        <v>807</v>
      </c>
      <c r="B74" s="1628" t="s">
        <v>1080</v>
      </c>
      <c r="C74" s="1376" t="str">
        <f>VLOOKUP(B73,'BTH mủ tạp'!$C$15:$AL$92,36,0)</f>
        <v>A</v>
      </c>
      <c r="D74" s="1377"/>
      <c r="E74" s="1377"/>
      <c r="F74" s="1392"/>
      <c r="G74" s="1375" t="s">
        <v>807</v>
      </c>
      <c r="H74" s="1628" t="s">
        <v>1080</v>
      </c>
      <c r="I74" s="1376" t="str">
        <f>VLOOKUP(H73,'BTH mủ tạp'!$C$15:$AL$92,36,0)</f>
        <v>A</v>
      </c>
      <c r="J74" s="1377"/>
      <c r="K74" s="1377"/>
      <c r="L74" s="1372"/>
    </row>
    <row r="75" spans="1:13" s="31" customFormat="1" ht="15.75" customHeight="1">
      <c r="A75" s="1375" t="s">
        <v>121</v>
      </c>
      <c r="B75" s="1629" t="s">
        <v>865</v>
      </c>
      <c r="C75" s="1378">
        <f>VLOOKUP(B73,'CNKT '!$C$16:$Z$96,3,0)</f>
        <v>0</v>
      </c>
      <c r="D75" s="1379">
        <v>25000</v>
      </c>
      <c r="E75" s="1377">
        <f>C75*D75</f>
        <v>0</v>
      </c>
      <c r="F75" s="1392"/>
      <c r="G75" s="1375" t="s">
        <v>121</v>
      </c>
      <c r="H75" s="1629" t="s">
        <v>865</v>
      </c>
      <c r="I75" s="1378">
        <f>VLOOKUP(H73,'CNKT '!$C$16:$Z$96,3,0)</f>
        <v>0</v>
      </c>
      <c r="J75" s="1379">
        <v>25000</v>
      </c>
      <c r="K75" s="1377">
        <f>I75*J75</f>
        <v>0</v>
      </c>
      <c r="L75" s="1372"/>
    </row>
    <row r="76" spans="1:13" s="31" customFormat="1" ht="15.75" customHeight="1">
      <c r="A76" s="1375" t="s">
        <v>628</v>
      </c>
      <c r="B76" s="1630" t="s">
        <v>1081</v>
      </c>
      <c r="C76" s="1433">
        <f>VLOOKUP(B73,'CNKT '!$C$16:$Z$96,11,0)</f>
        <v>0</v>
      </c>
      <c r="D76" s="1380">
        <f>46.1*$B$2</f>
        <v>30241.600000000002</v>
      </c>
      <c r="E76" s="1377">
        <f t="shared" ref="E76:E80" si="8">C76*D76</f>
        <v>0</v>
      </c>
      <c r="F76" s="1392"/>
      <c r="G76" s="1375" t="s">
        <v>628</v>
      </c>
      <c r="H76" s="1630" t="s">
        <v>1081</v>
      </c>
      <c r="I76" s="1433">
        <f>VLOOKUP(H73,'CNKT '!$C$16:$Z$96,11,0)</f>
        <v>0</v>
      </c>
      <c r="J76" s="1380">
        <f>46.1*$B$2</f>
        <v>30241.600000000002</v>
      </c>
      <c r="K76" s="1377">
        <f t="shared" ref="K76:K80" si="9">I76*J76</f>
        <v>0</v>
      </c>
      <c r="L76" s="1372"/>
    </row>
    <row r="77" spans="1:13" s="31" customFormat="1" ht="15.75" customHeight="1">
      <c r="A77" s="1375" t="s">
        <v>809</v>
      </c>
      <c r="B77" s="1630" t="s">
        <v>1082</v>
      </c>
      <c r="C77" s="1433">
        <f>VLOOKUP(B73,'CNKT '!$C$16:$Z$96,12,0)</f>
        <v>0</v>
      </c>
      <c r="D77" s="1379">
        <f>76.9*$B$2</f>
        <v>50446.400000000001</v>
      </c>
      <c r="E77" s="1377">
        <f t="shared" si="8"/>
        <v>0</v>
      </c>
      <c r="F77" s="1396"/>
      <c r="G77" s="1375" t="s">
        <v>809</v>
      </c>
      <c r="H77" s="1630" t="s">
        <v>1082</v>
      </c>
      <c r="I77" s="1433">
        <f>VLOOKUP(H73,'CNKT '!$C$16:$Z$96,12,0)</f>
        <v>0</v>
      </c>
      <c r="J77" s="1379">
        <f>76.9*$B$2</f>
        <v>50446.400000000001</v>
      </c>
      <c r="K77" s="1377">
        <f t="shared" si="9"/>
        <v>0</v>
      </c>
      <c r="L77" s="1372"/>
    </row>
    <row r="78" spans="1:13" s="31" customFormat="1" ht="15.75" customHeight="1">
      <c r="A78" s="1375" t="s">
        <v>122</v>
      </c>
      <c r="B78" s="1630" t="s">
        <v>1083</v>
      </c>
      <c r="C78" s="1433">
        <f>VLOOKUP(B73,'CNKT '!$C$16:$Z$96,8,0)</f>
        <v>0</v>
      </c>
      <c r="D78" s="1379">
        <f>IF(C74="A",6.1,IF(C74="B",5.8,IF(C74="C",5.5,IF(C74="C.",5.5,IF(C74="D",5.2)))))*$B$2</f>
        <v>4001.6</v>
      </c>
      <c r="E78" s="1377">
        <f t="shared" si="8"/>
        <v>0</v>
      </c>
      <c r="F78" s="1396"/>
      <c r="G78" s="1375" t="s">
        <v>122</v>
      </c>
      <c r="H78" s="1630" t="s">
        <v>1083</v>
      </c>
      <c r="I78" s="1433">
        <f>VLOOKUP(H73,'CNKT '!$C$16:$Z$96,8,0)</f>
        <v>0</v>
      </c>
      <c r="J78" s="1379">
        <f>IF(I74="A",6.1,IF(I74="B",5.8,IF(I74="C",5.5,IF(I74="C.",5.5,IF(I74="D",5.2)))))*$B$2</f>
        <v>4001.6</v>
      </c>
      <c r="K78" s="1377">
        <f t="shared" si="9"/>
        <v>0</v>
      </c>
      <c r="L78" s="1372"/>
    </row>
    <row r="79" spans="1:13" s="31" customFormat="1" ht="15.75" customHeight="1">
      <c r="A79" s="1375" t="s">
        <v>959</v>
      </c>
      <c r="B79" s="1630" t="s">
        <v>1084</v>
      </c>
      <c r="C79" s="1433">
        <f>VLOOKUP(B73,'CNKT '!$C$16:$Z$96,15,0)</f>
        <v>0</v>
      </c>
      <c r="D79" s="1380">
        <f>92.2*$B$2</f>
        <v>60483.200000000004</v>
      </c>
      <c r="E79" s="1377">
        <f t="shared" si="8"/>
        <v>0</v>
      </c>
      <c r="F79" s="1396"/>
      <c r="G79" s="1375" t="s">
        <v>959</v>
      </c>
      <c r="H79" s="1630" t="s">
        <v>1084</v>
      </c>
      <c r="I79" s="1433">
        <f>VLOOKUP(H73,'CNKT '!$C$16:$Z$96,15,0)</f>
        <v>0</v>
      </c>
      <c r="J79" s="1380">
        <f>92.2*$B$2</f>
        <v>60483.200000000004</v>
      </c>
      <c r="K79" s="1377">
        <f t="shared" si="9"/>
        <v>0</v>
      </c>
      <c r="L79" s="1372"/>
    </row>
    <row r="80" spans="1:13" s="31" customFormat="1" ht="15.75" customHeight="1">
      <c r="A80" s="1375" t="s">
        <v>960</v>
      </c>
      <c r="B80" s="1630" t="s">
        <v>964</v>
      </c>
      <c r="C80" s="1433">
        <f>VLOOKUP(B73,'CNKT '!$C$16:$Z$96,16,0)</f>
        <v>0</v>
      </c>
      <c r="D80" s="1379">
        <f>153.8*$B$2</f>
        <v>100892.8</v>
      </c>
      <c r="E80" s="1377">
        <f t="shared" si="8"/>
        <v>0</v>
      </c>
      <c r="F80" s="1396"/>
      <c r="G80" s="1375" t="s">
        <v>960</v>
      </c>
      <c r="H80" s="1630" t="s">
        <v>964</v>
      </c>
      <c r="I80" s="1433">
        <f>VLOOKUP(H73,'CNKT '!$C$16:$Z$96,16,0)</f>
        <v>0</v>
      </c>
      <c r="J80" s="1379">
        <f>153.8*$B$2</f>
        <v>100892.8</v>
      </c>
      <c r="K80" s="1377">
        <f t="shared" si="9"/>
        <v>0</v>
      </c>
      <c r="L80" s="1372"/>
    </row>
    <row r="81" spans="1:13" s="31" customFormat="1" ht="15.75" customHeight="1">
      <c r="A81" s="1375" t="s">
        <v>899</v>
      </c>
      <c r="B81" s="1630" t="s">
        <v>965</v>
      </c>
      <c r="C81" s="1433">
        <f>VLOOKUP(B73,'CNKT '!$C$16:$Z$96,18,0)</f>
        <v>0</v>
      </c>
      <c r="D81" s="1379">
        <v>10000</v>
      </c>
      <c r="E81" s="1377">
        <f>C81*D81</f>
        <v>0</v>
      </c>
      <c r="F81" s="1396"/>
      <c r="G81" s="1375" t="s">
        <v>899</v>
      </c>
      <c r="H81" s="1630" t="s">
        <v>965</v>
      </c>
      <c r="I81" s="1433">
        <f>VLOOKUP(H73,'CNKT '!$C$16:$Z$96,18,0)</f>
        <v>0</v>
      </c>
      <c r="J81" s="1379">
        <v>10000</v>
      </c>
      <c r="K81" s="1377">
        <f>I81*J81</f>
        <v>0</v>
      </c>
      <c r="L81" s="1372"/>
    </row>
    <row r="82" spans="1:13" s="31" customFormat="1" ht="15.75" customHeight="1">
      <c r="A82" s="1375" t="s">
        <v>899</v>
      </c>
      <c r="B82" s="1630" t="s">
        <v>965</v>
      </c>
      <c r="C82" s="1433">
        <f>VLOOKUP(B73,'CNKT '!$C$16:$Z$96,19,0)</f>
        <v>0</v>
      </c>
      <c r="D82" s="1379">
        <v>20000</v>
      </c>
      <c r="E82" s="1377">
        <f>C82*D82</f>
        <v>0</v>
      </c>
      <c r="F82" s="1396"/>
      <c r="G82" s="1375" t="s">
        <v>899</v>
      </c>
      <c r="H82" s="1630" t="s">
        <v>965</v>
      </c>
      <c r="I82" s="1433">
        <f>VLOOKUP(H73,'CNKT '!$C$16:$Z$96,19,0)</f>
        <v>0</v>
      </c>
      <c r="J82" s="1379">
        <v>20000</v>
      </c>
      <c r="K82" s="1377">
        <f>I82*J82</f>
        <v>0</v>
      </c>
      <c r="L82" s="1372"/>
    </row>
    <row r="83" spans="1:13" s="31" customFormat="1" ht="15.75" customHeight="1">
      <c r="A83" s="1375" t="s">
        <v>995</v>
      </c>
      <c r="B83" s="1630" t="s">
        <v>997</v>
      </c>
      <c r="C83" s="1433"/>
      <c r="D83" s="1379"/>
      <c r="E83" s="1377"/>
      <c r="F83" s="1396"/>
      <c r="G83" s="1375" t="s">
        <v>995</v>
      </c>
      <c r="H83" s="1630" t="s">
        <v>997</v>
      </c>
      <c r="I83" s="1433"/>
      <c r="J83" s="1379"/>
      <c r="K83" s="1377"/>
      <c r="L83" s="1372"/>
    </row>
    <row r="84" spans="1:13" s="31" customFormat="1" ht="15.75" customHeight="1">
      <c r="A84" s="1381" t="s">
        <v>123</v>
      </c>
      <c r="B84" s="1631" t="s">
        <v>1085</v>
      </c>
      <c r="C84" s="1382"/>
      <c r="D84" s="1383"/>
      <c r="E84" s="1382"/>
      <c r="F84" s="1625"/>
      <c r="G84" s="1381" t="s">
        <v>123</v>
      </c>
      <c r="H84" s="1631" t="s">
        <v>1085</v>
      </c>
      <c r="I84" s="1382"/>
      <c r="J84" s="1383"/>
      <c r="K84" s="1382"/>
      <c r="L84" s="1372"/>
    </row>
    <row r="85" spans="1:13" s="31" customFormat="1" ht="15.75" customHeight="1">
      <c r="A85" s="1384" t="s">
        <v>124</v>
      </c>
      <c r="B85" s="1632" t="s">
        <v>1086</v>
      </c>
      <c r="C85" s="1382"/>
      <c r="D85" s="1382"/>
      <c r="E85" s="1382"/>
      <c r="F85" s="1397"/>
      <c r="G85" s="1384" t="s">
        <v>124</v>
      </c>
      <c r="H85" s="1632" t="s">
        <v>1086</v>
      </c>
      <c r="I85" s="1382"/>
      <c r="J85" s="1382"/>
      <c r="K85" s="1382"/>
      <c r="L85" s="1372"/>
    </row>
    <row r="86" spans="1:13" s="31" customFormat="1" ht="15.75" customHeight="1">
      <c r="A86" s="1384" t="s">
        <v>125</v>
      </c>
      <c r="B86" s="1633" t="s">
        <v>1087</v>
      </c>
      <c r="C86" s="1382"/>
      <c r="D86" s="1382"/>
      <c r="E86" s="1377">
        <f>SUM(E85)</f>
        <v>0</v>
      </c>
      <c r="F86" s="1397"/>
      <c r="G86" s="1384" t="s">
        <v>125</v>
      </c>
      <c r="H86" s="1633" t="s">
        <v>1087</v>
      </c>
      <c r="I86" s="1382"/>
      <c r="J86" s="1382"/>
      <c r="K86" s="1377">
        <f>SUM(K85)</f>
        <v>0</v>
      </c>
      <c r="L86" s="1372"/>
      <c r="M86" s="1385">
        <f>E86+K86</f>
        <v>0</v>
      </c>
    </row>
    <row r="87" spans="1:13" s="31" customFormat="1" ht="15.75" customHeight="1">
      <c r="A87" s="1386" t="s">
        <v>126</v>
      </c>
      <c r="B87" s="1634" t="s">
        <v>871</v>
      </c>
      <c r="C87" s="1387"/>
      <c r="D87" s="1387"/>
      <c r="E87" s="1387">
        <f>(E75+E76+E77+E78+E79+E80+E81+E82+E83)-E86</f>
        <v>0</v>
      </c>
      <c r="F87" s="1397"/>
      <c r="G87" s="1386" t="s">
        <v>126</v>
      </c>
      <c r="H87" s="1634" t="s">
        <v>871</v>
      </c>
      <c r="I87" s="1387"/>
      <c r="J87" s="1387"/>
      <c r="K87" s="1387">
        <f>(K75+K76+K77+K78+K79+K80+K81+K82+K83)-K86</f>
        <v>0</v>
      </c>
      <c r="L87" s="1389">
        <f>E87+K87</f>
        <v>0</v>
      </c>
    </row>
    <row r="88" spans="1:13" s="31" customFormat="1" ht="70.5" customHeight="1">
      <c r="A88" s="1392"/>
      <c r="B88" s="1398"/>
      <c r="C88" s="1399"/>
      <c r="D88" s="1399"/>
      <c r="E88" s="1397"/>
      <c r="F88" s="1397"/>
      <c r="G88" s="1392"/>
      <c r="H88" s="1398"/>
      <c r="I88" s="1399"/>
      <c r="J88" s="1397"/>
      <c r="K88" s="1390"/>
      <c r="L88" s="1372"/>
    </row>
    <row r="89" spans="1:13" s="31" customFormat="1" ht="17.25" customHeight="1">
      <c r="A89" s="2182" t="str">
        <f>G72</f>
        <v>LƯƠNG THÁNG 01/2025</v>
      </c>
      <c r="B89" s="2183"/>
      <c r="C89" s="2183"/>
      <c r="D89" s="2183"/>
      <c r="E89" s="1452">
        <v>11</v>
      </c>
      <c r="F89" s="1392"/>
      <c r="G89" s="2182" t="str">
        <f>A89</f>
        <v>LƯƠNG THÁNG 01/2025</v>
      </c>
      <c r="H89" s="2183"/>
      <c r="I89" s="2183"/>
      <c r="J89" s="2184"/>
      <c r="K89" s="1452">
        <v>12</v>
      </c>
      <c r="L89" s="1372"/>
    </row>
    <row r="90" spans="1:13" s="31" customFormat="1" ht="17.25" customHeight="1">
      <c r="A90" s="1391" t="s">
        <v>29</v>
      </c>
      <c r="B90" s="1626" t="str">
        <f>'CNKT '!C26</f>
        <v>T. In Păn</v>
      </c>
      <c r="C90" s="1373"/>
      <c r="D90" s="1623" t="s">
        <v>806</v>
      </c>
      <c r="E90" s="1623" t="s">
        <v>32</v>
      </c>
      <c r="F90" s="1396"/>
      <c r="G90" s="1391" t="s">
        <v>29</v>
      </c>
      <c r="H90" s="1626" t="str">
        <f>'CNKT '!C27</f>
        <v>N. Keo</v>
      </c>
      <c r="I90" s="1373"/>
      <c r="J90" s="1623" t="s">
        <v>806</v>
      </c>
      <c r="K90" s="1623" t="s">
        <v>32</v>
      </c>
      <c r="L90" s="1372"/>
    </row>
    <row r="91" spans="1:13" s="31" customFormat="1" ht="17.25" customHeight="1">
      <c r="A91" s="1375" t="s">
        <v>807</v>
      </c>
      <c r="B91" s="1628" t="s">
        <v>1080</v>
      </c>
      <c r="C91" s="1376" t="str">
        <f>VLOOKUP(B90,'BTH mủ tạp'!$C$15:$AL$92,36,0)</f>
        <v>B</v>
      </c>
      <c r="D91" s="1377"/>
      <c r="E91" s="1377"/>
      <c r="F91" s="1396"/>
      <c r="G91" s="1375" t="s">
        <v>807</v>
      </c>
      <c r="H91" s="1628" t="s">
        <v>1080</v>
      </c>
      <c r="I91" s="1376" t="str">
        <f>VLOOKUP(H90,'BTH mủ tạp'!$C$15:$AL$92,36,0)</f>
        <v>A</v>
      </c>
      <c r="J91" s="1377"/>
      <c r="K91" s="1377"/>
      <c r="L91" s="1372"/>
    </row>
    <row r="92" spans="1:13" s="31" customFormat="1" ht="17.25" customHeight="1">
      <c r="A92" s="1375" t="s">
        <v>121</v>
      </c>
      <c r="B92" s="1629" t="s">
        <v>865</v>
      </c>
      <c r="C92" s="1378">
        <f>VLOOKUP(B90,'CNKT '!$C$16:$Z$96,3,0)</f>
        <v>0</v>
      </c>
      <c r="D92" s="1379">
        <v>25000</v>
      </c>
      <c r="E92" s="1377">
        <f>C92*D92</f>
        <v>0</v>
      </c>
      <c r="F92" s="1625"/>
      <c r="G92" s="1375" t="s">
        <v>121</v>
      </c>
      <c r="H92" s="1629" t="s">
        <v>865</v>
      </c>
      <c r="I92" s="1378">
        <f>VLOOKUP(H90,'CNKT '!$C$16:$Z$96,3,0)</f>
        <v>0</v>
      </c>
      <c r="J92" s="1379">
        <v>25000</v>
      </c>
      <c r="K92" s="1377">
        <f>I92*J92</f>
        <v>0</v>
      </c>
      <c r="L92" s="1372"/>
    </row>
    <row r="93" spans="1:13" s="31" customFormat="1" ht="17.25" customHeight="1">
      <c r="A93" s="1375" t="s">
        <v>628</v>
      </c>
      <c r="B93" s="1630" t="s">
        <v>1081</v>
      </c>
      <c r="C93" s="1433">
        <f>VLOOKUP(B90,'CNKT '!$C$16:$Z$96,11,0)</f>
        <v>0</v>
      </c>
      <c r="D93" s="1380">
        <f>46.1*$B$2</f>
        <v>30241.600000000002</v>
      </c>
      <c r="E93" s="1377">
        <f t="shared" ref="E93:E97" si="10">C93*D93</f>
        <v>0</v>
      </c>
      <c r="F93" s="1397"/>
      <c r="G93" s="1375" t="s">
        <v>628</v>
      </c>
      <c r="H93" s="1630" t="s">
        <v>1081</v>
      </c>
      <c r="I93" s="1433">
        <f>VLOOKUP(H90,'CNKT '!$C$16:$Z$96,11,0)</f>
        <v>0</v>
      </c>
      <c r="J93" s="1380">
        <f>46.1*$B$2</f>
        <v>30241.600000000002</v>
      </c>
      <c r="K93" s="1377">
        <f t="shared" ref="K93:K97" si="11">I93*J93</f>
        <v>0</v>
      </c>
      <c r="L93" s="1372"/>
    </row>
    <row r="94" spans="1:13" s="31" customFormat="1" ht="17.25" customHeight="1">
      <c r="A94" s="1375" t="s">
        <v>809</v>
      </c>
      <c r="B94" s="1630" t="s">
        <v>1082</v>
      </c>
      <c r="C94" s="1433">
        <f>VLOOKUP(B90,'CNKT '!$C$16:$Z$96,12,0)</f>
        <v>0</v>
      </c>
      <c r="D94" s="1379">
        <f>76.9*$B$2</f>
        <v>50446.400000000001</v>
      </c>
      <c r="E94" s="1377">
        <f t="shared" si="10"/>
        <v>0</v>
      </c>
      <c r="F94" s="1397"/>
      <c r="G94" s="1375" t="s">
        <v>809</v>
      </c>
      <c r="H94" s="1630" t="s">
        <v>1082</v>
      </c>
      <c r="I94" s="1433">
        <f>VLOOKUP(H90,'CNKT '!$C$16:$Z$96,12,0)</f>
        <v>0</v>
      </c>
      <c r="J94" s="1379">
        <f>76.9*$B$2</f>
        <v>50446.400000000001</v>
      </c>
      <c r="K94" s="1377">
        <f t="shared" si="11"/>
        <v>0</v>
      </c>
      <c r="L94" s="1372"/>
    </row>
    <row r="95" spans="1:13" s="31" customFormat="1" ht="17.25" customHeight="1">
      <c r="A95" s="1375" t="s">
        <v>122</v>
      </c>
      <c r="B95" s="1630" t="s">
        <v>1083</v>
      </c>
      <c r="C95" s="1433">
        <f>VLOOKUP(B90,'CNKT '!$C$16:$Z$96,8,0)</f>
        <v>0</v>
      </c>
      <c r="D95" s="1379">
        <f>IF(C91="A",6.1,IF(C91="B",5.8,IF(C91="C",5.5,IF(C91="C.",5.5,IF(C91="D",5.2)))))*$B$2</f>
        <v>3804.7999999999997</v>
      </c>
      <c r="E95" s="1377">
        <f t="shared" si="10"/>
        <v>0</v>
      </c>
      <c r="F95" s="1397"/>
      <c r="G95" s="1375" t="s">
        <v>122</v>
      </c>
      <c r="H95" s="1630" t="s">
        <v>1083</v>
      </c>
      <c r="I95" s="1433">
        <f>VLOOKUP(H90,'CNKT '!$C$16:$Z$96,8,0)</f>
        <v>0</v>
      </c>
      <c r="J95" s="1379">
        <f>IF(I91="A",6.1,IF(I91="B",5.8,IF(I91="C",5.5,IF(I91="C.",5.5,IF(I91="D",5.2)))))*$B$2</f>
        <v>4001.6</v>
      </c>
      <c r="K95" s="1377">
        <f t="shared" si="11"/>
        <v>0</v>
      </c>
      <c r="L95" s="1372"/>
    </row>
    <row r="96" spans="1:13" s="31" customFormat="1" ht="17.25" customHeight="1">
      <c r="A96" s="1375" t="s">
        <v>959</v>
      </c>
      <c r="B96" s="1630" t="s">
        <v>1084</v>
      </c>
      <c r="C96" s="1433">
        <f>VLOOKUP(B90,'CNKT '!$C$16:$Z$96,15,0)</f>
        <v>0</v>
      </c>
      <c r="D96" s="1380">
        <f>92.2*$B$2</f>
        <v>60483.200000000004</v>
      </c>
      <c r="E96" s="1377">
        <f t="shared" si="10"/>
        <v>0</v>
      </c>
      <c r="F96" s="1397"/>
      <c r="G96" s="1375" t="s">
        <v>959</v>
      </c>
      <c r="H96" s="1630" t="s">
        <v>1084</v>
      </c>
      <c r="I96" s="1433">
        <f>VLOOKUP(H90,'CNKT '!$C$16:$Z$96,15,0)</f>
        <v>0</v>
      </c>
      <c r="J96" s="1380">
        <f>92.2*$B$2</f>
        <v>60483.200000000004</v>
      </c>
      <c r="K96" s="1377">
        <f t="shared" si="11"/>
        <v>0</v>
      </c>
      <c r="L96" s="1372"/>
    </row>
    <row r="97" spans="1:13" s="31" customFormat="1" ht="17.25" customHeight="1">
      <c r="A97" s="1375" t="s">
        <v>960</v>
      </c>
      <c r="B97" s="1630" t="s">
        <v>964</v>
      </c>
      <c r="C97" s="1433">
        <f>VLOOKUP(B90,'CNKT '!$C$16:$Z$96,16,0)</f>
        <v>0</v>
      </c>
      <c r="D97" s="1379">
        <f>153.8*$B$2</f>
        <v>100892.8</v>
      </c>
      <c r="E97" s="1377">
        <f t="shared" si="10"/>
        <v>0</v>
      </c>
      <c r="F97" s="1397"/>
      <c r="G97" s="1375" t="s">
        <v>960</v>
      </c>
      <c r="H97" s="1630" t="s">
        <v>964</v>
      </c>
      <c r="I97" s="1433">
        <f>VLOOKUP(H90,'CNKT '!$C$16:$Z$96,16,0)</f>
        <v>0</v>
      </c>
      <c r="J97" s="1379">
        <f>153.8*$B$2</f>
        <v>100892.8</v>
      </c>
      <c r="K97" s="1377">
        <f t="shared" si="11"/>
        <v>0</v>
      </c>
      <c r="L97" s="1372"/>
    </row>
    <row r="98" spans="1:13" s="31" customFormat="1" ht="17.25" customHeight="1">
      <c r="A98" s="1375" t="s">
        <v>899</v>
      </c>
      <c r="B98" s="1630" t="s">
        <v>965</v>
      </c>
      <c r="C98" s="1433">
        <f>VLOOKUP(B90,'CNKT '!$C$16:$Z$96,18,0)</f>
        <v>0</v>
      </c>
      <c r="D98" s="1379">
        <v>10000</v>
      </c>
      <c r="E98" s="1377">
        <f>C98*D98</f>
        <v>0</v>
      </c>
      <c r="F98" s="1397"/>
      <c r="G98" s="1375" t="s">
        <v>899</v>
      </c>
      <c r="H98" s="1630" t="s">
        <v>965</v>
      </c>
      <c r="I98" s="1433">
        <f>VLOOKUP(H90,'CNKT '!$C$16:$Z$96,18,0)</f>
        <v>0</v>
      </c>
      <c r="J98" s="1379">
        <v>10000</v>
      </c>
      <c r="K98" s="1377">
        <f>I98*J98</f>
        <v>0</v>
      </c>
      <c r="L98" s="1372"/>
    </row>
    <row r="99" spans="1:13" s="31" customFormat="1" ht="17.25" customHeight="1">
      <c r="A99" s="1375" t="s">
        <v>899</v>
      </c>
      <c r="B99" s="1630" t="s">
        <v>965</v>
      </c>
      <c r="C99" s="1433">
        <f>VLOOKUP(B90,'CNKT '!$C$16:$Z$96,19,0)</f>
        <v>0</v>
      </c>
      <c r="D99" s="1379">
        <v>20000</v>
      </c>
      <c r="E99" s="1377">
        <f>C99*D99</f>
        <v>0</v>
      </c>
      <c r="F99" s="1397"/>
      <c r="G99" s="1375" t="s">
        <v>899</v>
      </c>
      <c r="H99" s="1630" t="s">
        <v>965</v>
      </c>
      <c r="I99" s="1433">
        <f>VLOOKUP(H90,'CNKT '!$C$16:$Z$96,19,0)</f>
        <v>0</v>
      </c>
      <c r="J99" s="1379">
        <v>20000</v>
      </c>
      <c r="K99" s="1377">
        <f>I99*J99</f>
        <v>0</v>
      </c>
      <c r="L99" s="1372"/>
    </row>
    <row r="100" spans="1:13" s="31" customFormat="1" ht="17.25" customHeight="1">
      <c r="A100" s="1375" t="s">
        <v>995</v>
      </c>
      <c r="B100" s="1630" t="s">
        <v>997</v>
      </c>
      <c r="C100" s="1433"/>
      <c r="D100" s="1379"/>
      <c r="E100" s="1377"/>
      <c r="F100" s="1397"/>
      <c r="G100" s="1375" t="s">
        <v>995</v>
      </c>
      <c r="H100" s="1630" t="s">
        <v>997</v>
      </c>
      <c r="I100" s="1433"/>
      <c r="J100" s="1379"/>
      <c r="K100" s="1377"/>
      <c r="L100" s="1372"/>
    </row>
    <row r="101" spans="1:13" s="31" customFormat="1" ht="17.25" customHeight="1">
      <c r="A101" s="1381" t="s">
        <v>123</v>
      </c>
      <c r="B101" s="1631" t="s">
        <v>1085</v>
      </c>
      <c r="C101" s="1382"/>
      <c r="D101" s="1383"/>
      <c r="E101" s="1382"/>
      <c r="F101" s="1397"/>
      <c r="G101" s="1381" t="s">
        <v>123</v>
      </c>
      <c r="H101" s="1631" t="s">
        <v>1085</v>
      </c>
      <c r="I101" s="1382"/>
      <c r="J101" s="1383"/>
      <c r="K101" s="1382"/>
      <c r="L101" s="1372"/>
    </row>
    <row r="102" spans="1:13" s="31" customFormat="1" ht="17.25" customHeight="1">
      <c r="A102" s="1384" t="s">
        <v>124</v>
      </c>
      <c r="B102" s="1632" t="s">
        <v>1086</v>
      </c>
      <c r="C102" s="1382"/>
      <c r="D102" s="1382"/>
      <c r="E102" s="1382"/>
      <c r="F102" s="1397"/>
      <c r="G102" s="1384" t="s">
        <v>124</v>
      </c>
      <c r="H102" s="1632" t="s">
        <v>1086</v>
      </c>
      <c r="I102" s="1382"/>
      <c r="J102" s="1382"/>
      <c r="K102" s="1382"/>
      <c r="L102" s="1372"/>
    </row>
    <row r="103" spans="1:13" s="31" customFormat="1" ht="17.25" customHeight="1">
      <c r="A103" s="1384" t="s">
        <v>125</v>
      </c>
      <c r="B103" s="1633" t="s">
        <v>1087</v>
      </c>
      <c r="C103" s="1382"/>
      <c r="D103" s="1382"/>
      <c r="E103" s="1377">
        <f>SUM(E102)</f>
        <v>0</v>
      </c>
      <c r="F103" s="1397"/>
      <c r="G103" s="1384" t="s">
        <v>125</v>
      </c>
      <c r="H103" s="1633" t="s">
        <v>1087</v>
      </c>
      <c r="I103" s="1382"/>
      <c r="J103" s="1382"/>
      <c r="K103" s="1377">
        <f>SUM(K102)</f>
        <v>0</v>
      </c>
      <c r="L103" s="1372"/>
      <c r="M103" s="1385">
        <f>E103+K103</f>
        <v>0</v>
      </c>
    </row>
    <row r="104" spans="1:13" s="31" customFormat="1" ht="17.25" customHeight="1">
      <c r="A104" s="1386" t="s">
        <v>126</v>
      </c>
      <c r="B104" s="1634" t="s">
        <v>871</v>
      </c>
      <c r="C104" s="1387"/>
      <c r="D104" s="1387"/>
      <c r="E104" s="1387">
        <f>(E92+E93+E94+E95+E96+E97+E98+E99+E100)-E103</f>
        <v>0</v>
      </c>
      <c r="F104" s="1397"/>
      <c r="G104" s="1386" t="s">
        <v>126</v>
      </c>
      <c r="H104" s="1634" t="s">
        <v>871</v>
      </c>
      <c r="I104" s="1387"/>
      <c r="J104" s="1387"/>
      <c r="K104" s="1387">
        <f>(K92+K93+K94+K95+K96+K97+K98+K99+K100)-K103</f>
        <v>0</v>
      </c>
      <c r="L104" s="1389">
        <f>E104+K104</f>
        <v>0</v>
      </c>
    </row>
    <row r="105" spans="1:13" s="31" customFormat="1" ht="17.25" customHeight="1">
      <c r="A105" s="1392"/>
      <c r="B105" s="1398"/>
      <c r="C105" s="1399"/>
      <c r="D105" s="1399"/>
      <c r="E105" s="1397"/>
      <c r="F105" s="1397"/>
      <c r="G105" s="1392"/>
      <c r="H105" s="1398"/>
      <c r="I105" s="1399"/>
      <c r="J105" s="1397"/>
      <c r="K105" s="1624"/>
      <c r="L105" s="1372"/>
    </row>
    <row r="106" spans="1:13" s="31" customFormat="1" ht="17.25" customHeight="1">
      <c r="A106" s="2182" t="str">
        <f>G89</f>
        <v>LƯƠNG THÁNG 01/2025</v>
      </c>
      <c r="B106" s="2183"/>
      <c r="C106" s="2183"/>
      <c r="D106" s="2183"/>
      <c r="E106" s="1452">
        <v>13</v>
      </c>
      <c r="F106" s="1392"/>
      <c r="G106" s="2182" t="str">
        <f>A106</f>
        <v>LƯƠNG THÁNG 01/2025</v>
      </c>
      <c r="H106" s="2183"/>
      <c r="I106" s="2183"/>
      <c r="J106" s="2184"/>
      <c r="K106" s="1452">
        <v>14</v>
      </c>
      <c r="L106" s="1372"/>
    </row>
    <row r="107" spans="1:13" s="31" customFormat="1" ht="17.25" customHeight="1">
      <c r="A107" s="1391" t="s">
        <v>29</v>
      </c>
      <c r="B107" s="1626" t="str">
        <f>'CNKT '!C28</f>
        <v>T. Thong Đon</v>
      </c>
      <c r="C107" s="1373"/>
      <c r="D107" s="1623" t="s">
        <v>806</v>
      </c>
      <c r="E107" s="1623" t="s">
        <v>32</v>
      </c>
      <c r="F107" s="1396"/>
      <c r="G107" s="1391" t="s">
        <v>29</v>
      </c>
      <c r="H107" s="1626" t="str">
        <f>'CNKT '!C29</f>
        <v>T. Hin</v>
      </c>
      <c r="I107" s="1373"/>
      <c r="J107" s="1623" t="s">
        <v>806</v>
      </c>
      <c r="K107" s="1623" t="s">
        <v>32</v>
      </c>
      <c r="L107" s="1372"/>
    </row>
    <row r="108" spans="1:13" s="31" customFormat="1" ht="17.25" customHeight="1">
      <c r="A108" s="1375" t="s">
        <v>807</v>
      </c>
      <c r="B108" s="1628" t="s">
        <v>1080</v>
      </c>
      <c r="C108" s="1376" t="str">
        <f>VLOOKUP(B107,'BTH mủ tạp'!$C$15:$AL$92,36,0)</f>
        <v>B</v>
      </c>
      <c r="D108" s="1377"/>
      <c r="E108" s="1377"/>
      <c r="F108" s="1396"/>
      <c r="G108" s="1375" t="s">
        <v>807</v>
      </c>
      <c r="H108" s="1628" t="s">
        <v>1080</v>
      </c>
      <c r="I108" s="1376" t="str">
        <f>VLOOKUP(H107,'BTH mủ tạp'!$C$15:$AL$92,36,0)</f>
        <v>A</v>
      </c>
      <c r="J108" s="1377"/>
      <c r="K108" s="1377"/>
      <c r="L108" s="1372"/>
    </row>
    <row r="109" spans="1:13" s="31" customFormat="1" ht="17.25" customHeight="1">
      <c r="A109" s="1375" t="s">
        <v>121</v>
      </c>
      <c r="B109" s="1629" t="s">
        <v>865</v>
      </c>
      <c r="C109" s="1378">
        <f>VLOOKUP(B107,'CNKT '!$C$16:$Z$96,3,0)</f>
        <v>0</v>
      </c>
      <c r="D109" s="1379">
        <v>25000</v>
      </c>
      <c r="E109" s="1377">
        <f>C109*D109</f>
        <v>0</v>
      </c>
      <c r="F109" s="1625"/>
      <c r="G109" s="1375" t="s">
        <v>121</v>
      </c>
      <c r="H109" s="1629" t="s">
        <v>865</v>
      </c>
      <c r="I109" s="1378">
        <f>VLOOKUP(H107,'CNKT '!$C$16:$Z$96,3,0)</f>
        <v>0</v>
      </c>
      <c r="J109" s="1379">
        <v>25000</v>
      </c>
      <c r="K109" s="1377">
        <f>I109*J109</f>
        <v>0</v>
      </c>
      <c r="L109" s="1372"/>
    </row>
    <row r="110" spans="1:13" s="31" customFormat="1" ht="17.25" customHeight="1">
      <c r="A110" s="1375" t="s">
        <v>628</v>
      </c>
      <c r="B110" s="1630" t="s">
        <v>1081</v>
      </c>
      <c r="C110" s="1433">
        <f>VLOOKUP(B107,'CNKT '!$C$16:$Z$96,11,0)</f>
        <v>0</v>
      </c>
      <c r="D110" s="1380">
        <f>46.1*$B$2</f>
        <v>30241.600000000002</v>
      </c>
      <c r="E110" s="1377">
        <f t="shared" ref="E110:E114" si="12">C110*D110</f>
        <v>0</v>
      </c>
      <c r="F110" s="1397"/>
      <c r="G110" s="1375" t="s">
        <v>628</v>
      </c>
      <c r="H110" s="1630" t="s">
        <v>1081</v>
      </c>
      <c r="I110" s="1433">
        <f>VLOOKUP(H107,'CNKT '!$C$16:$Z$96,11,0)</f>
        <v>0</v>
      </c>
      <c r="J110" s="1380">
        <f>46.1*$B$2</f>
        <v>30241.600000000002</v>
      </c>
      <c r="K110" s="1377">
        <f t="shared" ref="K110:K114" si="13">I110*J110</f>
        <v>0</v>
      </c>
      <c r="L110" s="1372"/>
    </row>
    <row r="111" spans="1:13" s="31" customFormat="1" ht="17.25" customHeight="1">
      <c r="A111" s="1375" t="s">
        <v>809</v>
      </c>
      <c r="B111" s="1630" t="s">
        <v>1082</v>
      </c>
      <c r="C111" s="1433">
        <f>VLOOKUP(B107,'CNKT '!$C$16:$Z$96,12,0)</f>
        <v>0</v>
      </c>
      <c r="D111" s="1379">
        <f>76.9*$B$2</f>
        <v>50446.400000000001</v>
      </c>
      <c r="E111" s="1377">
        <f t="shared" si="12"/>
        <v>0</v>
      </c>
      <c r="F111" s="1397"/>
      <c r="G111" s="1375" t="s">
        <v>809</v>
      </c>
      <c r="H111" s="1630" t="s">
        <v>1082</v>
      </c>
      <c r="I111" s="1433">
        <f>VLOOKUP(H107,'CNKT '!$C$16:$Z$96,12,0)</f>
        <v>0</v>
      </c>
      <c r="J111" s="1379">
        <f>76.9*$B$2</f>
        <v>50446.400000000001</v>
      </c>
      <c r="K111" s="1377">
        <f t="shared" si="13"/>
        <v>0</v>
      </c>
      <c r="L111" s="1372"/>
    </row>
    <row r="112" spans="1:13" s="31" customFormat="1" ht="17.25" customHeight="1">
      <c r="A112" s="1375" t="s">
        <v>122</v>
      </c>
      <c r="B112" s="1630" t="s">
        <v>1083</v>
      </c>
      <c r="C112" s="1433">
        <f>VLOOKUP(B107,'CNKT '!$C$16:$Z$96,8,0)</f>
        <v>0</v>
      </c>
      <c r="D112" s="1379">
        <f>IF(C108="A",6.1,IF(C108="B",5.8,IF(C108="C",5.5,IF(C108="C.",5.5,IF(C108="D",5.2)))))*$B$2</f>
        <v>3804.7999999999997</v>
      </c>
      <c r="E112" s="1377">
        <f t="shared" si="12"/>
        <v>0</v>
      </c>
      <c r="F112" s="1625"/>
      <c r="G112" s="1375" t="s">
        <v>122</v>
      </c>
      <c r="H112" s="1630" t="s">
        <v>1083</v>
      </c>
      <c r="I112" s="1433">
        <f>VLOOKUP(H107,'CNKT '!$C$16:$Z$96,8,0)</f>
        <v>0</v>
      </c>
      <c r="J112" s="1379">
        <f>IF(I108="A",6.1,IF(I108="B",5.8,IF(I108="C",5.5,IF(I108="C.",5.5,IF(I108="D",5.2)))))*$B$2</f>
        <v>4001.6</v>
      </c>
      <c r="K112" s="1377">
        <f t="shared" si="13"/>
        <v>0</v>
      </c>
      <c r="L112" s="1372"/>
    </row>
    <row r="113" spans="1:13" s="31" customFormat="1" ht="17.25" customHeight="1">
      <c r="A113" s="1375" t="s">
        <v>959</v>
      </c>
      <c r="B113" s="1630" t="s">
        <v>1084</v>
      </c>
      <c r="C113" s="1433">
        <f>VLOOKUP(B107,'CNKT '!$C$16:$Z$96,15,0)</f>
        <v>0</v>
      </c>
      <c r="D113" s="1380">
        <f>92.2*$B$2</f>
        <v>60483.200000000004</v>
      </c>
      <c r="E113" s="1377">
        <f t="shared" si="12"/>
        <v>0</v>
      </c>
      <c r="F113" s="1625"/>
      <c r="G113" s="1375" t="s">
        <v>959</v>
      </c>
      <c r="H113" s="1630" t="s">
        <v>1084</v>
      </c>
      <c r="I113" s="1433">
        <f>VLOOKUP(H107,'CNKT '!$C$16:$Z$96,15,0)</f>
        <v>0</v>
      </c>
      <c r="J113" s="1380">
        <f>92.2*$B$2</f>
        <v>60483.200000000004</v>
      </c>
      <c r="K113" s="1377">
        <f t="shared" si="13"/>
        <v>0</v>
      </c>
      <c r="L113" s="1372"/>
    </row>
    <row r="114" spans="1:13" s="31" customFormat="1" ht="17.25" customHeight="1">
      <c r="A114" s="1375" t="s">
        <v>960</v>
      </c>
      <c r="B114" s="1630" t="s">
        <v>964</v>
      </c>
      <c r="C114" s="1433">
        <f>VLOOKUP(B107,'CNKT '!$C$16:$Z$96,16,0)</f>
        <v>0</v>
      </c>
      <c r="D114" s="1379">
        <f>153.8*$B$2</f>
        <v>100892.8</v>
      </c>
      <c r="E114" s="1377">
        <f t="shared" si="12"/>
        <v>0</v>
      </c>
      <c r="F114" s="1625"/>
      <c r="G114" s="1375" t="s">
        <v>960</v>
      </c>
      <c r="H114" s="1630" t="s">
        <v>964</v>
      </c>
      <c r="I114" s="1433">
        <f>VLOOKUP(H107,'CNKT '!$C$16:$Z$96,16,0)</f>
        <v>0</v>
      </c>
      <c r="J114" s="1379">
        <f>153.8*$B$2</f>
        <v>100892.8</v>
      </c>
      <c r="K114" s="1377">
        <f t="shared" si="13"/>
        <v>0</v>
      </c>
      <c r="L114" s="1372"/>
    </row>
    <row r="115" spans="1:13" s="31" customFormat="1" ht="17.25" customHeight="1">
      <c r="A115" s="1375" t="s">
        <v>899</v>
      </c>
      <c r="B115" s="1630" t="s">
        <v>965</v>
      </c>
      <c r="C115" s="1433">
        <f>VLOOKUP(B107,'CNKT '!$C$16:$Z$96,18,0)</f>
        <v>0</v>
      </c>
      <c r="D115" s="1379">
        <v>10000</v>
      </c>
      <c r="E115" s="1377">
        <f>C115*D115</f>
        <v>0</v>
      </c>
      <c r="F115" s="1625"/>
      <c r="G115" s="1375" t="s">
        <v>899</v>
      </c>
      <c r="H115" s="1630" t="s">
        <v>965</v>
      </c>
      <c r="I115" s="1433">
        <f>VLOOKUP(H107,'CNKT '!$C$16:$Z$96,18,0)</f>
        <v>0</v>
      </c>
      <c r="J115" s="1379">
        <v>10000</v>
      </c>
      <c r="K115" s="1377">
        <f>I115*J115</f>
        <v>0</v>
      </c>
      <c r="L115" s="1372"/>
    </row>
    <row r="116" spans="1:13" s="31" customFormat="1" ht="17.25" customHeight="1">
      <c r="A116" s="1375" t="s">
        <v>899</v>
      </c>
      <c r="B116" s="1630" t="s">
        <v>965</v>
      </c>
      <c r="C116" s="1433">
        <f>VLOOKUP(B107,'CNKT '!$C$16:$Z$96,19,0)</f>
        <v>0</v>
      </c>
      <c r="D116" s="1379">
        <v>20000</v>
      </c>
      <c r="E116" s="1377">
        <f>C116*D116</f>
        <v>0</v>
      </c>
      <c r="F116" s="1625"/>
      <c r="G116" s="1375" t="s">
        <v>899</v>
      </c>
      <c r="H116" s="1630" t="s">
        <v>965</v>
      </c>
      <c r="I116" s="1433">
        <f>VLOOKUP(H107,'CNKT '!$C$16:$Z$96,19,0)</f>
        <v>0</v>
      </c>
      <c r="J116" s="1379">
        <v>20000</v>
      </c>
      <c r="K116" s="1377">
        <f>I116*J116</f>
        <v>0</v>
      </c>
      <c r="L116" s="1372"/>
    </row>
    <row r="117" spans="1:13" s="31" customFormat="1" ht="17.25" customHeight="1">
      <c r="A117" s="1375" t="s">
        <v>995</v>
      </c>
      <c r="B117" s="1630" t="s">
        <v>997</v>
      </c>
      <c r="C117" s="1433"/>
      <c r="D117" s="1379"/>
      <c r="E117" s="1377"/>
      <c r="F117" s="1625"/>
      <c r="G117" s="1375" t="s">
        <v>995</v>
      </c>
      <c r="H117" s="1630" t="s">
        <v>997</v>
      </c>
      <c r="I117" s="1433"/>
      <c r="J117" s="1379"/>
      <c r="K117" s="1377"/>
      <c r="L117" s="1372"/>
    </row>
    <row r="118" spans="1:13" s="31" customFormat="1" ht="17.25" customHeight="1">
      <c r="A118" s="1381" t="s">
        <v>123</v>
      </c>
      <c r="B118" s="1631" t="s">
        <v>1085</v>
      </c>
      <c r="C118" s="1382"/>
      <c r="D118" s="1383"/>
      <c r="E118" s="1382"/>
      <c r="F118" s="1392"/>
      <c r="G118" s="1381" t="s">
        <v>123</v>
      </c>
      <c r="H118" s="1631" t="s">
        <v>1085</v>
      </c>
      <c r="I118" s="1382"/>
      <c r="J118" s="1383"/>
      <c r="K118" s="1382"/>
      <c r="L118" s="1372"/>
    </row>
    <row r="119" spans="1:13" s="31" customFormat="1" ht="17.25" customHeight="1">
      <c r="A119" s="1384" t="s">
        <v>124</v>
      </c>
      <c r="B119" s="1632" t="s">
        <v>1086</v>
      </c>
      <c r="C119" s="1382"/>
      <c r="D119" s="1382"/>
      <c r="E119" s="1382"/>
      <c r="F119" s="1392"/>
      <c r="G119" s="1384" t="s">
        <v>124</v>
      </c>
      <c r="H119" s="1632" t="s">
        <v>1086</v>
      </c>
      <c r="I119" s="1382"/>
      <c r="J119" s="1382"/>
      <c r="K119" s="1382"/>
      <c r="L119" s="1372"/>
    </row>
    <row r="120" spans="1:13" s="31" customFormat="1" ht="17.25" customHeight="1">
      <c r="A120" s="1384" t="s">
        <v>125</v>
      </c>
      <c r="B120" s="1633" t="s">
        <v>1087</v>
      </c>
      <c r="C120" s="1382"/>
      <c r="D120" s="1382"/>
      <c r="E120" s="1377">
        <f>SUM(E119)</f>
        <v>0</v>
      </c>
      <c r="F120" s="1392"/>
      <c r="G120" s="1384" t="s">
        <v>125</v>
      </c>
      <c r="H120" s="1633" t="s">
        <v>1087</v>
      </c>
      <c r="I120" s="1382"/>
      <c r="J120" s="1382"/>
      <c r="K120" s="1377">
        <f>SUM(K119)</f>
        <v>0</v>
      </c>
      <c r="L120" s="1372"/>
      <c r="M120" s="1385">
        <f>E120+K120</f>
        <v>0</v>
      </c>
    </row>
    <row r="121" spans="1:13" s="31" customFormat="1" ht="17.25" customHeight="1">
      <c r="A121" s="1386" t="s">
        <v>126</v>
      </c>
      <c r="B121" s="1634" t="s">
        <v>871</v>
      </c>
      <c r="C121" s="1387"/>
      <c r="D121" s="1387"/>
      <c r="E121" s="1387">
        <f>(E109+E110+E111+E112+E113+E114+E115+E116+E117)-E120</f>
        <v>0</v>
      </c>
      <c r="F121" s="1392"/>
      <c r="G121" s="1386" t="s">
        <v>126</v>
      </c>
      <c r="H121" s="1634" t="s">
        <v>871</v>
      </c>
      <c r="I121" s="1387"/>
      <c r="J121" s="1387"/>
      <c r="K121" s="1387">
        <f>(K109+K110+K111+K112+K113+K114+K115+K116+K117)-K120</f>
        <v>0</v>
      </c>
      <c r="L121" s="1389">
        <f>E121+K121</f>
        <v>0</v>
      </c>
    </row>
    <row r="122" spans="1:13" s="31" customFormat="1" ht="17.25" customHeight="1">
      <c r="A122" s="1392"/>
      <c r="B122" s="1398"/>
      <c r="C122" s="1399"/>
      <c r="D122" s="1399"/>
      <c r="E122" s="1397"/>
      <c r="F122" s="1392"/>
      <c r="G122" s="1392"/>
      <c r="H122" s="1398"/>
      <c r="I122" s="1399"/>
      <c r="J122" s="1397"/>
      <c r="K122" s="1390"/>
      <c r="L122" s="1372"/>
    </row>
    <row r="123" spans="1:13" s="31" customFormat="1" ht="17.25" customHeight="1">
      <c r="A123" s="2182" t="str">
        <f>G106</f>
        <v>LƯƠNG THÁNG 01/2025</v>
      </c>
      <c r="B123" s="2183"/>
      <c r="C123" s="2183"/>
      <c r="D123" s="2183"/>
      <c r="E123" s="1452">
        <v>15</v>
      </c>
      <c r="F123" s="1397"/>
      <c r="G123" s="2182" t="str">
        <f>A123</f>
        <v>LƯƠNG THÁNG 01/2025</v>
      </c>
      <c r="H123" s="2183"/>
      <c r="I123" s="2183"/>
      <c r="J123" s="2184"/>
      <c r="K123" s="1452">
        <v>16</v>
      </c>
      <c r="L123" s="1372"/>
    </row>
    <row r="124" spans="1:13" s="31" customFormat="1" ht="17.25" customHeight="1">
      <c r="A124" s="1391" t="s">
        <v>29</v>
      </c>
      <c r="B124" s="1626" t="str">
        <f>'CNKT '!C30</f>
        <v>T. Son</v>
      </c>
      <c r="C124" s="1373"/>
      <c r="D124" s="1623" t="s">
        <v>806</v>
      </c>
      <c r="E124" s="1623" t="s">
        <v>32</v>
      </c>
      <c r="F124" s="1397"/>
      <c r="G124" s="1391" t="s">
        <v>29</v>
      </c>
      <c r="H124" s="1626" t="str">
        <f>'CNKT '!C31</f>
        <v>T. Xôm Va Nít</v>
      </c>
      <c r="I124" s="1373"/>
      <c r="J124" s="1623" t="s">
        <v>806</v>
      </c>
      <c r="K124" s="1623" t="s">
        <v>32</v>
      </c>
      <c r="L124" s="1372"/>
    </row>
    <row r="125" spans="1:13" s="31" customFormat="1" ht="17.25" customHeight="1">
      <c r="A125" s="1375" t="s">
        <v>807</v>
      </c>
      <c r="B125" s="1628" t="s">
        <v>1080</v>
      </c>
      <c r="C125" s="1376" t="str">
        <f>VLOOKUP(B124,'BTH mủ tạp'!$C$15:$AL$92,36,0)</f>
        <v>A</v>
      </c>
      <c r="D125" s="1377"/>
      <c r="E125" s="1377"/>
      <c r="F125" s="1397"/>
      <c r="G125" s="1375" t="s">
        <v>807</v>
      </c>
      <c r="H125" s="1628" t="s">
        <v>1080</v>
      </c>
      <c r="I125" s="1376" t="str">
        <f>VLOOKUP(H124,'BTH mủ tạp'!$C$15:$AL$92,36,0)</f>
        <v>A</v>
      </c>
      <c r="J125" s="1377"/>
      <c r="K125" s="1377"/>
      <c r="L125" s="1372"/>
    </row>
    <row r="126" spans="1:13" s="31" customFormat="1" ht="17.25" customHeight="1">
      <c r="A126" s="1375" t="s">
        <v>121</v>
      </c>
      <c r="B126" s="1629" t="s">
        <v>865</v>
      </c>
      <c r="C126" s="1378">
        <f>VLOOKUP(B124,'CNKT '!$C$16:$Z$96,3,0)</f>
        <v>0</v>
      </c>
      <c r="D126" s="1379">
        <v>25000</v>
      </c>
      <c r="E126" s="1377">
        <f>C126*D126</f>
        <v>0</v>
      </c>
      <c r="F126" s="1625"/>
      <c r="G126" s="1375" t="s">
        <v>121</v>
      </c>
      <c r="H126" s="1629" t="s">
        <v>865</v>
      </c>
      <c r="I126" s="1378">
        <f>VLOOKUP(H124,'CNKT '!$C$16:$Z$96,3,0)</f>
        <v>0</v>
      </c>
      <c r="J126" s="1379">
        <v>25000</v>
      </c>
      <c r="K126" s="1377">
        <f>I126*J126</f>
        <v>0</v>
      </c>
      <c r="L126" s="1372"/>
    </row>
    <row r="127" spans="1:13" s="31" customFormat="1" ht="17.25" customHeight="1">
      <c r="A127" s="1375" t="s">
        <v>628</v>
      </c>
      <c r="B127" s="1630" t="s">
        <v>1081</v>
      </c>
      <c r="C127" s="1433">
        <f>VLOOKUP(B124,'CNKT '!$C$16:$Z$96,11,0)</f>
        <v>0</v>
      </c>
      <c r="D127" s="1380">
        <f>46.1*$B$2</f>
        <v>30241.600000000002</v>
      </c>
      <c r="E127" s="1377">
        <f t="shared" ref="E127:E131" si="14">C127*D127</f>
        <v>0</v>
      </c>
      <c r="F127" s="1392"/>
      <c r="G127" s="1375" t="s">
        <v>628</v>
      </c>
      <c r="H127" s="1630" t="s">
        <v>1081</v>
      </c>
      <c r="I127" s="1433">
        <f>VLOOKUP(H124,'CNKT '!$C$16:$Z$96,11,0)</f>
        <v>0</v>
      </c>
      <c r="J127" s="1380">
        <f>46.1*$B$2</f>
        <v>30241.600000000002</v>
      </c>
      <c r="K127" s="1377">
        <f t="shared" ref="K127:K131" si="15">I127*J127</f>
        <v>0</v>
      </c>
      <c r="L127" s="1372"/>
    </row>
    <row r="128" spans="1:13" s="31" customFormat="1" ht="17.25" customHeight="1">
      <c r="A128" s="1375" t="s">
        <v>809</v>
      </c>
      <c r="B128" s="1630" t="s">
        <v>1082</v>
      </c>
      <c r="C128" s="1433">
        <f>VLOOKUP(B124,'CNKT '!$C$16:$Z$96,12,0)</f>
        <v>0</v>
      </c>
      <c r="D128" s="1379">
        <f>76.9*$B$2</f>
        <v>50446.400000000001</v>
      </c>
      <c r="E128" s="1377">
        <f t="shared" si="14"/>
        <v>0</v>
      </c>
      <c r="F128" s="1392"/>
      <c r="G128" s="1375" t="s">
        <v>809</v>
      </c>
      <c r="H128" s="1630" t="s">
        <v>1082</v>
      </c>
      <c r="I128" s="1433">
        <f>VLOOKUP(H124,'CNKT '!$C$16:$Z$96,12,0)</f>
        <v>0</v>
      </c>
      <c r="J128" s="1379">
        <f>76.9*$B$2</f>
        <v>50446.400000000001</v>
      </c>
      <c r="K128" s="1377">
        <f t="shared" si="15"/>
        <v>0</v>
      </c>
      <c r="L128" s="1372"/>
    </row>
    <row r="129" spans="1:13" s="31" customFormat="1" ht="17.25" customHeight="1">
      <c r="A129" s="1375" t="s">
        <v>122</v>
      </c>
      <c r="B129" s="1630" t="s">
        <v>1083</v>
      </c>
      <c r="C129" s="1433">
        <f>VLOOKUP(B124,'CNKT '!$C$16:$Z$96,8,0)</f>
        <v>0</v>
      </c>
      <c r="D129" s="1379">
        <f>IF(C125="A",6.1,IF(C125="B",5.8,IF(C125="C",5.5,IF(C125="C.",5.5,IF(C125="D",5.2)))))*$B$2</f>
        <v>4001.6</v>
      </c>
      <c r="E129" s="1377">
        <f t="shared" si="14"/>
        <v>0</v>
      </c>
      <c r="F129" s="1392"/>
      <c r="G129" s="1375" t="s">
        <v>122</v>
      </c>
      <c r="H129" s="1630" t="s">
        <v>1083</v>
      </c>
      <c r="I129" s="1433">
        <f>VLOOKUP(H124,'CNKT '!$C$16:$Z$96,8,0)</f>
        <v>0</v>
      </c>
      <c r="J129" s="1379">
        <f>IF(I125="A",6.1,IF(I125="B",5.8,IF(I125="C",5.5,IF(I125="C.",5.5,IF(I125="D",5.2)))))*$B$2</f>
        <v>4001.6</v>
      </c>
      <c r="K129" s="1377">
        <f t="shared" si="15"/>
        <v>0</v>
      </c>
      <c r="L129" s="1372"/>
    </row>
    <row r="130" spans="1:13" s="31" customFormat="1" ht="17.25" customHeight="1">
      <c r="A130" s="1375" t="s">
        <v>959</v>
      </c>
      <c r="B130" s="1630" t="s">
        <v>1084</v>
      </c>
      <c r="C130" s="1433">
        <f>VLOOKUP(B124,'CNKT '!$C$16:$Z$96,15,0)</f>
        <v>0</v>
      </c>
      <c r="D130" s="1380">
        <f>92.2*$B$2</f>
        <v>60483.200000000004</v>
      </c>
      <c r="E130" s="1377">
        <f t="shared" si="14"/>
        <v>0</v>
      </c>
      <c r="F130" s="1392"/>
      <c r="G130" s="1375" t="s">
        <v>959</v>
      </c>
      <c r="H130" s="1630" t="s">
        <v>1084</v>
      </c>
      <c r="I130" s="1433">
        <f>VLOOKUP(H124,'CNKT '!$C$16:$Z$96,15,0)</f>
        <v>0</v>
      </c>
      <c r="J130" s="1380">
        <f>92.2*$B$2</f>
        <v>60483.200000000004</v>
      </c>
      <c r="K130" s="1377">
        <f t="shared" si="15"/>
        <v>0</v>
      </c>
      <c r="L130" s="1372"/>
    </row>
    <row r="131" spans="1:13" s="31" customFormat="1" ht="17.25" customHeight="1">
      <c r="A131" s="1375" t="s">
        <v>960</v>
      </c>
      <c r="B131" s="1630" t="s">
        <v>964</v>
      </c>
      <c r="C131" s="1433">
        <f>VLOOKUP(B124,'CNKT '!$C$16:$Z$96,16,0)</f>
        <v>0</v>
      </c>
      <c r="D131" s="1379">
        <f>153.8*$B$2</f>
        <v>100892.8</v>
      </c>
      <c r="E131" s="1377">
        <f t="shared" si="14"/>
        <v>0</v>
      </c>
      <c r="F131" s="1392"/>
      <c r="G131" s="1375" t="s">
        <v>960</v>
      </c>
      <c r="H131" s="1630" t="s">
        <v>964</v>
      </c>
      <c r="I131" s="1433">
        <f>VLOOKUP(H124,'CNKT '!$C$16:$Z$96,16,0)</f>
        <v>0</v>
      </c>
      <c r="J131" s="1379">
        <f>153.8*$B$2</f>
        <v>100892.8</v>
      </c>
      <c r="K131" s="1377">
        <f t="shared" si="15"/>
        <v>0</v>
      </c>
      <c r="L131" s="1372"/>
    </row>
    <row r="132" spans="1:13" s="31" customFormat="1" ht="17.25" customHeight="1">
      <c r="A132" s="1375" t="s">
        <v>899</v>
      </c>
      <c r="B132" s="1630" t="s">
        <v>965</v>
      </c>
      <c r="C132" s="1433">
        <f>VLOOKUP(B124,'CNKT '!$C$16:$Z$96,18,0)</f>
        <v>0</v>
      </c>
      <c r="D132" s="1379">
        <v>10000</v>
      </c>
      <c r="E132" s="1377">
        <f>C132*D132</f>
        <v>0</v>
      </c>
      <c r="F132" s="1392"/>
      <c r="G132" s="1375" t="s">
        <v>899</v>
      </c>
      <c r="H132" s="1630" t="s">
        <v>965</v>
      </c>
      <c r="I132" s="1433">
        <f>VLOOKUP(H124,'CNKT '!$C$16:$Z$96,18,0)</f>
        <v>0</v>
      </c>
      <c r="J132" s="1379">
        <v>10000</v>
      </c>
      <c r="K132" s="1377">
        <f>I132*J132</f>
        <v>0</v>
      </c>
      <c r="L132" s="1372"/>
    </row>
    <row r="133" spans="1:13" s="31" customFormat="1" ht="17.25" customHeight="1">
      <c r="A133" s="1375" t="s">
        <v>899</v>
      </c>
      <c r="B133" s="1630" t="s">
        <v>965</v>
      </c>
      <c r="C133" s="1433">
        <f>VLOOKUP(B124,'CNKT '!$C$16:$Z$96,19,0)</f>
        <v>0</v>
      </c>
      <c r="D133" s="1379">
        <v>20000</v>
      </c>
      <c r="E133" s="1377">
        <f>C133*D133</f>
        <v>0</v>
      </c>
      <c r="F133" s="1392"/>
      <c r="G133" s="1375" t="s">
        <v>899</v>
      </c>
      <c r="H133" s="1630" t="s">
        <v>965</v>
      </c>
      <c r="I133" s="1433">
        <f>VLOOKUP(H124,'CNKT '!$C$16:$Z$96,19,0)</f>
        <v>0</v>
      </c>
      <c r="J133" s="1379">
        <v>20000</v>
      </c>
      <c r="K133" s="1377">
        <f>I133*J133</f>
        <v>0</v>
      </c>
      <c r="L133" s="1372"/>
    </row>
    <row r="134" spans="1:13" s="31" customFormat="1" ht="17.25" customHeight="1">
      <c r="A134" s="1375" t="s">
        <v>995</v>
      </c>
      <c r="B134" s="1630" t="s">
        <v>997</v>
      </c>
      <c r="C134" s="1433"/>
      <c r="D134" s="1379"/>
      <c r="E134" s="1377"/>
      <c r="F134" s="1392"/>
      <c r="G134" s="1375" t="s">
        <v>995</v>
      </c>
      <c r="H134" s="1630" t="s">
        <v>997</v>
      </c>
      <c r="I134" s="1433"/>
      <c r="J134" s="1379"/>
      <c r="K134" s="1377"/>
      <c r="L134" s="1372"/>
    </row>
    <row r="135" spans="1:13" s="31" customFormat="1" ht="17.25" customHeight="1">
      <c r="A135" s="1381" t="s">
        <v>123</v>
      </c>
      <c r="B135" s="1631" t="s">
        <v>1085</v>
      </c>
      <c r="C135" s="1382"/>
      <c r="D135" s="1383"/>
      <c r="E135" s="1382"/>
      <c r="F135" s="1392"/>
      <c r="G135" s="1381" t="s">
        <v>123</v>
      </c>
      <c r="H135" s="1631" t="s">
        <v>1085</v>
      </c>
      <c r="I135" s="1382"/>
      <c r="J135" s="1383"/>
      <c r="K135" s="1382"/>
      <c r="L135" s="1372"/>
    </row>
    <row r="136" spans="1:13" s="31" customFormat="1" ht="17.25" customHeight="1">
      <c r="A136" s="1384" t="s">
        <v>124</v>
      </c>
      <c r="B136" s="1632" t="s">
        <v>1086</v>
      </c>
      <c r="C136" s="1382"/>
      <c r="D136" s="1382"/>
      <c r="E136" s="1382"/>
      <c r="F136" s="1396"/>
      <c r="G136" s="1384" t="s">
        <v>124</v>
      </c>
      <c r="H136" s="1632" t="s">
        <v>1086</v>
      </c>
      <c r="I136" s="1382"/>
      <c r="J136" s="1382"/>
      <c r="K136" s="1382"/>
      <c r="L136" s="1372"/>
    </row>
    <row r="137" spans="1:13" s="31" customFormat="1" ht="17.25" customHeight="1">
      <c r="A137" s="1384" t="s">
        <v>125</v>
      </c>
      <c r="B137" s="1633" t="s">
        <v>1087</v>
      </c>
      <c r="C137" s="1382"/>
      <c r="D137" s="1382"/>
      <c r="E137" s="1377">
        <f>SUM(E136)</f>
        <v>0</v>
      </c>
      <c r="F137" s="1396"/>
      <c r="G137" s="1384" t="s">
        <v>125</v>
      </c>
      <c r="H137" s="1633" t="s">
        <v>1087</v>
      </c>
      <c r="I137" s="1382"/>
      <c r="J137" s="1382"/>
      <c r="K137" s="1377">
        <f>SUM(K136)</f>
        <v>0</v>
      </c>
      <c r="L137" s="1372"/>
      <c r="M137" s="1385">
        <f>E137+K137</f>
        <v>0</v>
      </c>
    </row>
    <row r="138" spans="1:13" s="31" customFormat="1" ht="17.25" customHeight="1">
      <c r="A138" s="1386" t="s">
        <v>126</v>
      </c>
      <c r="B138" s="1634" t="s">
        <v>871</v>
      </c>
      <c r="C138" s="1387"/>
      <c r="D138" s="1387"/>
      <c r="E138" s="1387">
        <f>(E126+E127+E128+E129+E130+E131+E132+E133+E134)-E137</f>
        <v>0</v>
      </c>
      <c r="F138" s="1396"/>
      <c r="G138" s="1386" t="s">
        <v>126</v>
      </c>
      <c r="H138" s="1634" t="s">
        <v>871</v>
      </c>
      <c r="I138" s="1387"/>
      <c r="J138" s="1387"/>
      <c r="K138" s="1387">
        <f>(K126+K127+K128+K129+K130+K131+K132+K133+K134)-K137</f>
        <v>0</v>
      </c>
      <c r="L138" s="1389">
        <f>E138+K138</f>
        <v>0</v>
      </c>
    </row>
    <row r="139" spans="1:13" s="31" customFormat="1" ht="6.75" customHeight="1">
      <c r="A139" s="1392"/>
      <c r="B139" s="1398"/>
      <c r="C139" s="1399"/>
      <c r="D139" s="1399"/>
      <c r="E139" s="1397"/>
      <c r="F139" s="1396"/>
      <c r="G139" s="1392"/>
      <c r="H139" s="1398"/>
      <c r="I139" s="1399"/>
      <c r="J139" s="1397"/>
      <c r="K139" s="1400"/>
      <c r="L139" s="1372"/>
    </row>
    <row r="140" spans="1:13" s="31" customFormat="1" ht="17.25" customHeight="1">
      <c r="A140" s="2182" t="str">
        <f>G123</f>
        <v>LƯƠNG THÁNG 01/2025</v>
      </c>
      <c r="B140" s="2183"/>
      <c r="C140" s="2183"/>
      <c r="D140" s="2183"/>
      <c r="E140" s="1452">
        <v>17</v>
      </c>
      <c r="F140" s="1392"/>
      <c r="G140" s="2182" t="str">
        <f>A140</f>
        <v>LƯƠNG THÁNG 01/2025</v>
      </c>
      <c r="H140" s="2183"/>
      <c r="I140" s="2183"/>
      <c r="J140" s="2184"/>
      <c r="K140" s="1452">
        <v>18</v>
      </c>
      <c r="L140" s="1372"/>
    </row>
    <row r="141" spans="1:13" s="31" customFormat="1" ht="17.25" customHeight="1">
      <c r="A141" s="1391" t="s">
        <v>29</v>
      </c>
      <c r="B141" s="1626" t="str">
        <f>'CNKT '!C32</f>
        <v>T. Lọi</v>
      </c>
      <c r="C141" s="1373"/>
      <c r="D141" s="1623" t="s">
        <v>806</v>
      </c>
      <c r="E141" s="1623" t="s">
        <v>32</v>
      </c>
      <c r="F141" s="1392"/>
      <c r="G141" s="1391" t="s">
        <v>29</v>
      </c>
      <c r="H141" s="1626" t="str">
        <f>'CNKT '!C33</f>
        <v>T. Phô Thong</v>
      </c>
      <c r="I141" s="1373"/>
      <c r="J141" s="1623" t="s">
        <v>806</v>
      </c>
      <c r="K141" s="1623" t="s">
        <v>32</v>
      </c>
      <c r="L141" s="1372"/>
    </row>
    <row r="142" spans="1:13" s="31" customFormat="1" ht="17.25" customHeight="1">
      <c r="A142" s="1375" t="s">
        <v>807</v>
      </c>
      <c r="B142" s="1628" t="s">
        <v>1080</v>
      </c>
      <c r="C142" s="1376" t="str">
        <f>VLOOKUP(B141,'BTH mủ tạp'!$C$15:$AL$92,36,0)</f>
        <v>A</v>
      </c>
      <c r="D142" s="1377"/>
      <c r="E142" s="1377"/>
      <c r="F142" s="1392"/>
      <c r="G142" s="1375" t="s">
        <v>807</v>
      </c>
      <c r="H142" s="1628" t="s">
        <v>1080</v>
      </c>
      <c r="I142" s="1376" t="str">
        <f>VLOOKUP(H141,'BTH mủ tạp'!$C$15:$AL$92,36,0)</f>
        <v>A</v>
      </c>
      <c r="J142" s="1377"/>
      <c r="K142" s="1377"/>
      <c r="L142" s="1372"/>
    </row>
    <row r="143" spans="1:13" s="31" customFormat="1" ht="17.25" customHeight="1">
      <c r="A143" s="1375" t="s">
        <v>121</v>
      </c>
      <c r="B143" s="1629" t="s">
        <v>865</v>
      </c>
      <c r="C143" s="1378">
        <f>VLOOKUP(B141,'CNKT '!$C$16:$Z$96,3,0)</f>
        <v>0</v>
      </c>
      <c r="D143" s="1379">
        <v>25000</v>
      </c>
      <c r="E143" s="1377">
        <f>C143*D143</f>
        <v>0</v>
      </c>
      <c r="F143" s="1392"/>
      <c r="G143" s="1375" t="s">
        <v>121</v>
      </c>
      <c r="H143" s="1629" t="s">
        <v>865</v>
      </c>
      <c r="I143" s="1378">
        <f>VLOOKUP(H141,'CNKT '!$C$16:$Z$96,3,0)</f>
        <v>0</v>
      </c>
      <c r="J143" s="1379">
        <v>25000</v>
      </c>
      <c r="K143" s="1377">
        <f>I143*J143</f>
        <v>0</v>
      </c>
      <c r="L143" s="1372"/>
    </row>
    <row r="144" spans="1:13" s="31" customFormat="1" ht="17.25" customHeight="1">
      <c r="A144" s="1375" t="s">
        <v>628</v>
      </c>
      <c r="B144" s="1630" t="s">
        <v>1081</v>
      </c>
      <c r="C144" s="1433">
        <f>VLOOKUP(B141,'CNKT '!$C$16:$Z$96,11,0)</f>
        <v>0</v>
      </c>
      <c r="D144" s="1380">
        <f>46.1*$B$2</f>
        <v>30241.600000000002</v>
      </c>
      <c r="E144" s="1377">
        <f t="shared" ref="E144:E148" si="16">C144*D144</f>
        <v>0</v>
      </c>
      <c r="F144" s="1392"/>
      <c r="G144" s="1375" t="s">
        <v>628</v>
      </c>
      <c r="H144" s="1630" t="s">
        <v>1081</v>
      </c>
      <c r="I144" s="1433">
        <f>VLOOKUP(H141,'CNKT '!$C$16:$Z$96,11,0)</f>
        <v>0</v>
      </c>
      <c r="J144" s="1380">
        <f>46.1*$B$2</f>
        <v>30241.600000000002</v>
      </c>
      <c r="K144" s="1377">
        <f t="shared" ref="K144:K148" si="17">I144*J144</f>
        <v>0</v>
      </c>
      <c r="L144" s="1372"/>
    </row>
    <row r="145" spans="1:13" s="31" customFormat="1" ht="17.25" customHeight="1">
      <c r="A145" s="1375" t="s">
        <v>809</v>
      </c>
      <c r="B145" s="1630" t="s">
        <v>1082</v>
      </c>
      <c r="C145" s="1433">
        <f>VLOOKUP(B141,'CNKT '!$C$16:$Z$96,12,0)</f>
        <v>0</v>
      </c>
      <c r="D145" s="1379">
        <f>76.9*$B$2</f>
        <v>50446.400000000001</v>
      </c>
      <c r="E145" s="1377">
        <f t="shared" si="16"/>
        <v>0</v>
      </c>
      <c r="F145" s="1396"/>
      <c r="G145" s="1375" t="s">
        <v>809</v>
      </c>
      <c r="H145" s="1630" t="s">
        <v>1082</v>
      </c>
      <c r="I145" s="1433">
        <f>VLOOKUP(H141,'CNKT '!$C$16:$Z$96,12,0)</f>
        <v>0</v>
      </c>
      <c r="J145" s="1379">
        <f>76.9*$B$2</f>
        <v>50446.400000000001</v>
      </c>
      <c r="K145" s="1377">
        <f t="shared" si="17"/>
        <v>0</v>
      </c>
      <c r="L145" s="1372"/>
    </row>
    <row r="146" spans="1:13" s="31" customFormat="1" ht="17.25" customHeight="1">
      <c r="A146" s="1375" t="s">
        <v>122</v>
      </c>
      <c r="B146" s="1630" t="s">
        <v>1083</v>
      </c>
      <c r="C146" s="1433">
        <f>VLOOKUP(B141,'CNKT '!$C$16:$Z$96,8,0)</f>
        <v>0</v>
      </c>
      <c r="D146" s="1379">
        <f>IF(C142="A",6.1,IF(C142="B",5.8,IF(C142="C",5.5,IF(C142="C.",5.5,IF(C142="D",5.2)))))*$B$2</f>
        <v>4001.6</v>
      </c>
      <c r="E146" s="1377">
        <f t="shared" si="16"/>
        <v>0</v>
      </c>
      <c r="F146" s="1625"/>
      <c r="G146" s="1375" t="s">
        <v>122</v>
      </c>
      <c r="H146" s="1630" t="s">
        <v>1083</v>
      </c>
      <c r="I146" s="1433">
        <f>VLOOKUP(H141,'CNKT '!$C$16:$Z$96,8,0)</f>
        <v>0</v>
      </c>
      <c r="J146" s="1379">
        <f>IF(I142="A",6.1,IF(I142="B",5.8,IF(I142="C",5.5,IF(I142="C.",5.5,IF(I142="D",5.2)))))*$B$2</f>
        <v>4001.6</v>
      </c>
      <c r="K146" s="1377">
        <f t="shared" si="17"/>
        <v>0</v>
      </c>
      <c r="L146" s="1372"/>
    </row>
    <row r="147" spans="1:13" s="31" customFormat="1" ht="17.25" customHeight="1">
      <c r="A147" s="1375" t="s">
        <v>959</v>
      </c>
      <c r="B147" s="1630" t="s">
        <v>1084</v>
      </c>
      <c r="C147" s="1433">
        <f>VLOOKUP(B141,'CNKT '!$C$16:$Z$96,15,0)</f>
        <v>0</v>
      </c>
      <c r="D147" s="1380">
        <f>92.2*$B$2</f>
        <v>60483.200000000004</v>
      </c>
      <c r="E147" s="1377">
        <f t="shared" si="16"/>
        <v>0</v>
      </c>
      <c r="F147" s="1625"/>
      <c r="G147" s="1375" t="s">
        <v>959</v>
      </c>
      <c r="H147" s="1630" t="s">
        <v>1084</v>
      </c>
      <c r="I147" s="1433">
        <f>VLOOKUP(H141,'CNKT '!$C$16:$Z$96,15,0)</f>
        <v>0</v>
      </c>
      <c r="J147" s="1380">
        <f>92.2*$B$2</f>
        <v>60483.200000000004</v>
      </c>
      <c r="K147" s="1377">
        <f t="shared" si="17"/>
        <v>0</v>
      </c>
      <c r="L147" s="1372"/>
    </row>
    <row r="148" spans="1:13" s="31" customFormat="1" ht="17.25" customHeight="1">
      <c r="A148" s="1375" t="s">
        <v>960</v>
      </c>
      <c r="B148" s="1630" t="s">
        <v>964</v>
      </c>
      <c r="C148" s="1433">
        <f>VLOOKUP(B141,'CNKT '!$C$16:$Z$96,16,0)</f>
        <v>0</v>
      </c>
      <c r="D148" s="1379">
        <f>153.8*$B$2</f>
        <v>100892.8</v>
      </c>
      <c r="E148" s="1377">
        <f t="shared" si="16"/>
        <v>0</v>
      </c>
      <c r="F148" s="1625"/>
      <c r="G148" s="1375" t="s">
        <v>960</v>
      </c>
      <c r="H148" s="1630" t="s">
        <v>964</v>
      </c>
      <c r="I148" s="1433">
        <f>VLOOKUP(H141,'CNKT '!$C$16:$Z$96,16,0)</f>
        <v>0</v>
      </c>
      <c r="J148" s="1379">
        <f>153.8*$B$2</f>
        <v>100892.8</v>
      </c>
      <c r="K148" s="1377">
        <f t="shared" si="17"/>
        <v>0</v>
      </c>
      <c r="L148" s="1372"/>
    </row>
    <row r="149" spans="1:13" s="31" customFormat="1" ht="17.25" customHeight="1">
      <c r="A149" s="1375" t="s">
        <v>899</v>
      </c>
      <c r="B149" s="1630" t="s">
        <v>965</v>
      </c>
      <c r="C149" s="1433">
        <f>VLOOKUP(B141,'CNKT '!$C$16:$Z$96,18,0)</f>
        <v>0</v>
      </c>
      <c r="D149" s="1379">
        <v>10000</v>
      </c>
      <c r="E149" s="1377">
        <f>C149*D149</f>
        <v>0</v>
      </c>
      <c r="F149" s="1625"/>
      <c r="G149" s="1375" t="s">
        <v>899</v>
      </c>
      <c r="H149" s="1630" t="s">
        <v>965</v>
      </c>
      <c r="I149" s="1433">
        <f>VLOOKUP(H141,'CNKT '!$C$16:$Z$96,18,0)</f>
        <v>0</v>
      </c>
      <c r="J149" s="1379">
        <v>10000</v>
      </c>
      <c r="K149" s="1377">
        <f>I149*J149</f>
        <v>0</v>
      </c>
      <c r="L149" s="1372"/>
    </row>
    <row r="150" spans="1:13" s="31" customFormat="1" ht="17.25" customHeight="1">
      <c r="A150" s="1375" t="s">
        <v>899</v>
      </c>
      <c r="B150" s="1630" t="s">
        <v>965</v>
      </c>
      <c r="C150" s="1433">
        <f>VLOOKUP(B141,'CNKT '!$C$16:$Z$96,19,0)</f>
        <v>0</v>
      </c>
      <c r="D150" s="1379">
        <v>20000</v>
      </c>
      <c r="E150" s="1377">
        <f>C150*D150</f>
        <v>0</v>
      </c>
      <c r="F150" s="1625"/>
      <c r="G150" s="1375" t="s">
        <v>899</v>
      </c>
      <c r="H150" s="1630" t="s">
        <v>965</v>
      </c>
      <c r="I150" s="1433">
        <f>VLOOKUP(H141,'CNKT '!$C$16:$Z$96,19,0)</f>
        <v>0</v>
      </c>
      <c r="J150" s="1379">
        <v>20000</v>
      </c>
      <c r="K150" s="1377">
        <f>I150*J150</f>
        <v>0</v>
      </c>
      <c r="L150" s="1372"/>
    </row>
    <row r="151" spans="1:13" s="31" customFormat="1" ht="17.25" customHeight="1">
      <c r="A151" s="1375" t="s">
        <v>995</v>
      </c>
      <c r="B151" s="1630" t="s">
        <v>997</v>
      </c>
      <c r="C151" s="1433"/>
      <c r="D151" s="1379"/>
      <c r="E151" s="1377"/>
      <c r="F151" s="1625"/>
      <c r="G151" s="1375" t="s">
        <v>995</v>
      </c>
      <c r="H151" s="1630" t="s">
        <v>997</v>
      </c>
      <c r="I151" s="1433"/>
      <c r="J151" s="1379"/>
      <c r="K151" s="1377"/>
      <c r="L151" s="1372"/>
    </row>
    <row r="152" spans="1:13" s="31" customFormat="1" ht="17.25" customHeight="1">
      <c r="A152" s="1381" t="s">
        <v>123</v>
      </c>
      <c r="B152" s="1631" t="s">
        <v>1085</v>
      </c>
      <c r="C152" s="1382"/>
      <c r="D152" s="1383"/>
      <c r="E152" s="1382"/>
      <c r="F152" s="1397"/>
      <c r="G152" s="1381" t="s">
        <v>123</v>
      </c>
      <c r="H152" s="1631" t="s">
        <v>1085</v>
      </c>
      <c r="I152" s="1382"/>
      <c r="J152" s="1383"/>
      <c r="K152" s="1382"/>
      <c r="L152" s="1372"/>
    </row>
    <row r="153" spans="1:13" s="31" customFormat="1" ht="17.25" customHeight="1">
      <c r="A153" s="1384" t="s">
        <v>124</v>
      </c>
      <c r="B153" s="1632" t="s">
        <v>1086</v>
      </c>
      <c r="C153" s="1382"/>
      <c r="D153" s="1382"/>
      <c r="E153" s="1382"/>
      <c r="F153" s="1397"/>
      <c r="G153" s="1384" t="s">
        <v>124</v>
      </c>
      <c r="H153" s="1632" t="s">
        <v>1086</v>
      </c>
      <c r="I153" s="1382"/>
      <c r="J153" s="1382"/>
      <c r="K153" s="1382"/>
      <c r="L153" s="1372"/>
    </row>
    <row r="154" spans="1:13" s="31" customFormat="1" ht="17.25" customHeight="1">
      <c r="A154" s="1384" t="s">
        <v>125</v>
      </c>
      <c r="B154" s="1633" t="s">
        <v>1087</v>
      </c>
      <c r="C154" s="1382"/>
      <c r="D154" s="1382"/>
      <c r="E154" s="1377">
        <f>SUM(E153)</f>
        <v>0</v>
      </c>
      <c r="F154" s="1397"/>
      <c r="G154" s="1384" t="s">
        <v>125</v>
      </c>
      <c r="H154" s="1633" t="s">
        <v>1087</v>
      </c>
      <c r="I154" s="1382"/>
      <c r="J154" s="1382"/>
      <c r="K154" s="1377">
        <f>SUM(K153)</f>
        <v>0</v>
      </c>
      <c r="L154" s="1372"/>
      <c r="M154" s="1385">
        <f>E154+K154</f>
        <v>0</v>
      </c>
    </row>
    <row r="155" spans="1:13" s="31" customFormat="1" ht="17.25" customHeight="1">
      <c r="A155" s="1386" t="s">
        <v>126</v>
      </c>
      <c r="B155" s="1634" t="s">
        <v>871</v>
      </c>
      <c r="C155" s="1387"/>
      <c r="D155" s="1387"/>
      <c r="E155" s="1387">
        <f>(E143+E144+E145+E146+E147+E148+E149+E150+E151)-E154</f>
        <v>0</v>
      </c>
      <c r="F155" s="1397"/>
      <c r="G155" s="1386" t="s">
        <v>126</v>
      </c>
      <c r="H155" s="1634" t="s">
        <v>871</v>
      </c>
      <c r="I155" s="1387"/>
      <c r="J155" s="1387"/>
      <c r="K155" s="1387">
        <f>(K143+K144+K145+K146+K147+K148+K149+K150+K151)-K154</f>
        <v>0</v>
      </c>
      <c r="L155" s="1389">
        <f>E155+K155</f>
        <v>0</v>
      </c>
    </row>
    <row r="156" spans="1:13" s="31" customFormat="1" ht="12" customHeight="1">
      <c r="A156" s="1392"/>
      <c r="B156" s="1398"/>
      <c r="C156" s="1399"/>
      <c r="D156" s="1399"/>
      <c r="E156" s="1397"/>
      <c r="F156" s="1397"/>
      <c r="G156" s="1392"/>
      <c r="H156" s="1398"/>
      <c r="I156" s="1399"/>
      <c r="J156" s="1397"/>
      <c r="K156" s="1624"/>
      <c r="L156" s="1372"/>
    </row>
    <row r="157" spans="1:13" s="31" customFormat="1" ht="17.25" customHeight="1">
      <c r="A157" s="2182" t="str">
        <f>G140</f>
        <v>LƯƠNG THÁNG 01/2025</v>
      </c>
      <c r="B157" s="2183"/>
      <c r="C157" s="2183"/>
      <c r="D157" s="2183"/>
      <c r="E157" s="1452">
        <v>19</v>
      </c>
      <c r="F157" s="1392"/>
      <c r="G157" s="2182" t="str">
        <f>A157</f>
        <v>LƯƠNG THÁNG 01/2025</v>
      </c>
      <c r="H157" s="2183"/>
      <c r="I157" s="2183"/>
      <c r="J157" s="2184"/>
      <c r="K157" s="1452">
        <v>20</v>
      </c>
      <c r="L157" s="1372"/>
    </row>
    <row r="158" spans="1:13" s="31" customFormat="1" ht="17.25" customHeight="1">
      <c r="A158" s="1391" t="s">
        <v>29</v>
      </c>
      <c r="B158" s="1626" t="str">
        <f>'CNKT '!C34</f>
        <v>N. Soi</v>
      </c>
      <c r="C158" s="1373"/>
      <c r="D158" s="1623" t="s">
        <v>806</v>
      </c>
      <c r="E158" s="1623" t="s">
        <v>32</v>
      </c>
      <c r="F158" s="1396"/>
      <c r="G158" s="1391" t="s">
        <v>29</v>
      </c>
      <c r="H158" s="1626" t="str">
        <f>'CNKT '!C35</f>
        <v>N. Me Kha La</v>
      </c>
      <c r="I158" s="1373"/>
      <c r="J158" s="1623" t="s">
        <v>806</v>
      </c>
      <c r="K158" s="1623" t="s">
        <v>32</v>
      </c>
      <c r="L158" s="1372"/>
    </row>
    <row r="159" spans="1:13" s="31" customFormat="1" ht="17.25" customHeight="1">
      <c r="A159" s="1375" t="s">
        <v>807</v>
      </c>
      <c r="B159" s="1628" t="s">
        <v>1080</v>
      </c>
      <c r="C159" s="1376" t="str">
        <f>VLOOKUP(B158,'BTH mủ tạp'!$C$15:$AL$92,36,0)</f>
        <v>A</v>
      </c>
      <c r="D159" s="1377"/>
      <c r="E159" s="1377"/>
      <c r="F159" s="1396"/>
      <c r="G159" s="1375" t="s">
        <v>807</v>
      </c>
      <c r="H159" s="1628" t="s">
        <v>1080</v>
      </c>
      <c r="I159" s="1376" t="str">
        <f>VLOOKUP(H158,'BTH mủ tạp'!$C$15:$AL$92,36,0)</f>
        <v>A</v>
      </c>
      <c r="J159" s="1377"/>
      <c r="K159" s="1377"/>
      <c r="L159" s="1372"/>
    </row>
    <row r="160" spans="1:13" s="31" customFormat="1" ht="17.25" customHeight="1">
      <c r="A160" s="1375" t="s">
        <v>121</v>
      </c>
      <c r="B160" s="1629" t="s">
        <v>865</v>
      </c>
      <c r="C160" s="1378">
        <f>VLOOKUP(B158,'CNKT '!$C$16:$Z$96,3,0)</f>
        <v>0</v>
      </c>
      <c r="D160" s="1379">
        <v>25000</v>
      </c>
      <c r="E160" s="1377">
        <f>C160*D160</f>
        <v>0</v>
      </c>
      <c r="F160" s="1625"/>
      <c r="G160" s="1375" t="s">
        <v>121</v>
      </c>
      <c r="H160" s="1629" t="s">
        <v>865</v>
      </c>
      <c r="I160" s="1378">
        <f>VLOOKUP(H158,'CNKT '!$C$16:$Z$96,3,0)</f>
        <v>0</v>
      </c>
      <c r="J160" s="1379">
        <v>25000</v>
      </c>
      <c r="K160" s="1377">
        <f>I160*J160</f>
        <v>0</v>
      </c>
      <c r="L160" s="1372"/>
    </row>
    <row r="161" spans="1:13" s="31" customFormat="1" ht="17.25" customHeight="1">
      <c r="A161" s="1375" t="s">
        <v>628</v>
      </c>
      <c r="B161" s="1630" t="s">
        <v>1081</v>
      </c>
      <c r="C161" s="1433">
        <f>VLOOKUP(B158,'CNKT '!$C$16:$Z$96,11,0)</f>
        <v>0</v>
      </c>
      <c r="D161" s="1380">
        <f>46.1*$B$2</f>
        <v>30241.600000000002</v>
      </c>
      <c r="E161" s="1377">
        <f t="shared" ref="E161:E165" si="18">C161*D161</f>
        <v>0</v>
      </c>
      <c r="F161" s="1397"/>
      <c r="G161" s="1375" t="s">
        <v>628</v>
      </c>
      <c r="H161" s="1630" t="s">
        <v>1081</v>
      </c>
      <c r="I161" s="1433">
        <f>VLOOKUP(H158,'CNKT '!$C$16:$Z$96,11,0)</f>
        <v>0</v>
      </c>
      <c r="J161" s="1380">
        <f>46.1*$B$2</f>
        <v>30241.600000000002</v>
      </c>
      <c r="K161" s="1377">
        <f t="shared" ref="K161:K165" si="19">I161*J161</f>
        <v>0</v>
      </c>
      <c r="L161" s="1372"/>
    </row>
    <row r="162" spans="1:13" s="31" customFormat="1" ht="17.25" customHeight="1">
      <c r="A162" s="1375" t="s">
        <v>809</v>
      </c>
      <c r="B162" s="1630" t="s">
        <v>1082</v>
      </c>
      <c r="C162" s="1433">
        <f>VLOOKUP(B158,'CNKT '!$C$16:$Z$96,12,0)</f>
        <v>0</v>
      </c>
      <c r="D162" s="1379">
        <f>76.9*$B$2</f>
        <v>50446.400000000001</v>
      </c>
      <c r="E162" s="1377">
        <f t="shared" si="18"/>
        <v>0</v>
      </c>
      <c r="F162" s="1396"/>
      <c r="G162" s="1375" t="s">
        <v>809</v>
      </c>
      <c r="H162" s="1630" t="s">
        <v>1082</v>
      </c>
      <c r="I162" s="1433">
        <f>VLOOKUP(H158,'CNKT '!$C$16:$Z$96,12,0)</f>
        <v>0</v>
      </c>
      <c r="J162" s="1379">
        <f>76.9*$B$2</f>
        <v>50446.400000000001</v>
      </c>
      <c r="K162" s="1377">
        <f t="shared" si="19"/>
        <v>0</v>
      </c>
      <c r="L162" s="1372"/>
    </row>
    <row r="163" spans="1:13" s="31" customFormat="1" ht="17.25" customHeight="1">
      <c r="A163" s="1375" t="s">
        <v>122</v>
      </c>
      <c r="B163" s="1630" t="s">
        <v>1083</v>
      </c>
      <c r="C163" s="1433">
        <f>VLOOKUP(B158,'CNKT '!$C$16:$Z$96,8,0)</f>
        <v>0</v>
      </c>
      <c r="D163" s="1379">
        <f>IF(C159="A",6.1,IF(C159="B",5.8,IF(C159="C",5.5,IF(C159="C.",5.5,IF(C159="D",5.2)))))*$B$2</f>
        <v>4001.6</v>
      </c>
      <c r="E163" s="1377">
        <f t="shared" si="18"/>
        <v>0</v>
      </c>
      <c r="F163" s="1625"/>
      <c r="G163" s="1375" t="s">
        <v>122</v>
      </c>
      <c r="H163" s="1630" t="s">
        <v>1083</v>
      </c>
      <c r="I163" s="1433">
        <f>VLOOKUP(H158,'CNKT '!$C$16:$Z$96,8,0)</f>
        <v>0</v>
      </c>
      <c r="J163" s="1379">
        <f>IF(I159="A",6.1,IF(I159="B",5.8,IF(I159="C",5.5,IF(I159="C.",5.5,IF(I159="D",5.2)))))*$B$2</f>
        <v>4001.6</v>
      </c>
      <c r="K163" s="1377">
        <f t="shared" si="19"/>
        <v>0</v>
      </c>
      <c r="L163" s="1372"/>
    </row>
    <row r="164" spans="1:13" s="31" customFormat="1" ht="17.25" customHeight="1">
      <c r="A164" s="1375" t="s">
        <v>959</v>
      </c>
      <c r="B164" s="1630" t="s">
        <v>1084</v>
      </c>
      <c r="C164" s="1433">
        <f>VLOOKUP(B158,'CNKT '!$C$16:$Z$96,15,0)</f>
        <v>0</v>
      </c>
      <c r="D164" s="1380">
        <f>92.2*$B$2</f>
        <v>60483.200000000004</v>
      </c>
      <c r="E164" s="1377">
        <f t="shared" si="18"/>
        <v>0</v>
      </c>
      <c r="F164" s="1625"/>
      <c r="G164" s="1375" t="s">
        <v>959</v>
      </c>
      <c r="H164" s="1630" t="s">
        <v>1084</v>
      </c>
      <c r="I164" s="1433">
        <f>VLOOKUP(H158,'CNKT '!$C$16:$Z$96,15,0)</f>
        <v>0</v>
      </c>
      <c r="J164" s="1380">
        <f>92.2*$B$2</f>
        <v>60483.200000000004</v>
      </c>
      <c r="K164" s="1377">
        <f t="shared" si="19"/>
        <v>0</v>
      </c>
      <c r="L164" s="1372"/>
    </row>
    <row r="165" spans="1:13" s="31" customFormat="1" ht="17.25" customHeight="1">
      <c r="A165" s="1375" t="s">
        <v>960</v>
      </c>
      <c r="B165" s="1630" t="s">
        <v>964</v>
      </c>
      <c r="C165" s="1433">
        <f>VLOOKUP(B158,'CNKT '!$C$16:$Z$96,16,0)</f>
        <v>0</v>
      </c>
      <c r="D165" s="1379">
        <f>153.8*$B$2</f>
        <v>100892.8</v>
      </c>
      <c r="E165" s="1377">
        <f t="shared" si="18"/>
        <v>0</v>
      </c>
      <c r="F165" s="1625"/>
      <c r="G165" s="1375" t="s">
        <v>960</v>
      </c>
      <c r="H165" s="1630" t="s">
        <v>964</v>
      </c>
      <c r="I165" s="1433">
        <f>VLOOKUP(H158,'CNKT '!$C$16:$Z$96,16,0)</f>
        <v>0</v>
      </c>
      <c r="J165" s="1379">
        <f>153.8*$B$2</f>
        <v>100892.8</v>
      </c>
      <c r="K165" s="1377">
        <f t="shared" si="19"/>
        <v>0</v>
      </c>
      <c r="L165" s="1372"/>
    </row>
    <row r="166" spans="1:13" s="31" customFormat="1" ht="17.25" customHeight="1">
      <c r="A166" s="1375" t="s">
        <v>899</v>
      </c>
      <c r="B166" s="1630" t="s">
        <v>965</v>
      </c>
      <c r="C166" s="1433">
        <f>VLOOKUP(B158,'CNKT '!$C$16:$Z$96,18,0)</f>
        <v>0</v>
      </c>
      <c r="D166" s="1379">
        <v>10000</v>
      </c>
      <c r="E166" s="1377">
        <f>C166*D166</f>
        <v>0</v>
      </c>
      <c r="F166" s="1625"/>
      <c r="G166" s="1375" t="s">
        <v>899</v>
      </c>
      <c r="H166" s="1630" t="s">
        <v>965</v>
      </c>
      <c r="I166" s="1433">
        <f>VLOOKUP(H158,'CNKT '!$C$16:$Z$96,18,0)</f>
        <v>0</v>
      </c>
      <c r="J166" s="1379">
        <v>10000</v>
      </c>
      <c r="K166" s="1377">
        <f>I166*J166</f>
        <v>0</v>
      </c>
      <c r="L166" s="1372"/>
    </row>
    <row r="167" spans="1:13" s="31" customFormat="1" ht="17.25" customHeight="1">
      <c r="A167" s="1375" t="s">
        <v>899</v>
      </c>
      <c r="B167" s="1630" t="s">
        <v>965</v>
      </c>
      <c r="C167" s="1433">
        <f>VLOOKUP(B158,'CNKT '!$C$16:$Z$96,19,0)</f>
        <v>0</v>
      </c>
      <c r="D167" s="1379">
        <v>20000</v>
      </c>
      <c r="E167" s="1377">
        <f>C167*D167</f>
        <v>0</v>
      </c>
      <c r="F167" s="1625"/>
      <c r="G167" s="1375" t="s">
        <v>899</v>
      </c>
      <c r="H167" s="1630" t="s">
        <v>965</v>
      </c>
      <c r="I167" s="1433">
        <f>VLOOKUP(H158,'CNKT '!$C$16:$Z$96,19,0)</f>
        <v>0</v>
      </c>
      <c r="J167" s="1379">
        <v>20000</v>
      </c>
      <c r="K167" s="1377">
        <f>I167*J167</f>
        <v>0</v>
      </c>
      <c r="L167" s="1372"/>
    </row>
    <row r="168" spans="1:13" s="31" customFormat="1" ht="17.25" customHeight="1">
      <c r="A168" s="1375" t="s">
        <v>995</v>
      </c>
      <c r="B168" s="1630" t="s">
        <v>997</v>
      </c>
      <c r="C168" s="1433"/>
      <c r="D168" s="1379"/>
      <c r="E168" s="1377"/>
      <c r="F168" s="1625"/>
      <c r="G168" s="1375" t="s">
        <v>995</v>
      </c>
      <c r="H168" s="1630" t="s">
        <v>997</v>
      </c>
      <c r="I168" s="1433"/>
      <c r="J168" s="1379"/>
      <c r="K168" s="1377"/>
      <c r="L168" s="1372"/>
    </row>
    <row r="169" spans="1:13" s="31" customFormat="1" ht="17.25" customHeight="1">
      <c r="A169" s="1381" t="s">
        <v>123</v>
      </c>
      <c r="B169" s="1631" t="s">
        <v>1085</v>
      </c>
      <c r="C169" s="1382"/>
      <c r="D169" s="1383"/>
      <c r="E169" s="1382"/>
      <c r="F169" s="1392"/>
      <c r="G169" s="1381" t="s">
        <v>123</v>
      </c>
      <c r="H169" s="1631" t="s">
        <v>1085</v>
      </c>
      <c r="I169" s="1382"/>
      <c r="J169" s="1383"/>
      <c r="K169" s="1382"/>
      <c r="L169" s="1372"/>
    </row>
    <row r="170" spans="1:13" s="31" customFormat="1" ht="17.25" customHeight="1">
      <c r="A170" s="1384" t="s">
        <v>124</v>
      </c>
      <c r="B170" s="1632" t="s">
        <v>1086</v>
      </c>
      <c r="C170" s="1382"/>
      <c r="D170" s="1382"/>
      <c r="E170" s="1382"/>
      <c r="F170" s="1392"/>
      <c r="G170" s="1384" t="s">
        <v>124</v>
      </c>
      <c r="H170" s="1632" t="s">
        <v>1086</v>
      </c>
      <c r="I170" s="1382"/>
      <c r="J170" s="1382"/>
      <c r="K170" s="1382"/>
      <c r="L170" s="1372"/>
    </row>
    <row r="171" spans="1:13" s="31" customFormat="1" ht="17.25" customHeight="1">
      <c r="A171" s="1384" t="s">
        <v>125</v>
      </c>
      <c r="B171" s="1633" t="s">
        <v>1087</v>
      </c>
      <c r="C171" s="1382"/>
      <c r="D171" s="1382"/>
      <c r="E171" s="1377">
        <f>SUM(E170)</f>
        <v>0</v>
      </c>
      <c r="F171" s="1392"/>
      <c r="G171" s="1384" t="s">
        <v>125</v>
      </c>
      <c r="H171" s="1633" t="s">
        <v>1087</v>
      </c>
      <c r="I171" s="1382"/>
      <c r="J171" s="1382"/>
      <c r="K171" s="1377">
        <f>SUM(K170)</f>
        <v>0</v>
      </c>
      <c r="L171" s="1372"/>
      <c r="M171" s="1385">
        <f>E171+K171</f>
        <v>0</v>
      </c>
    </row>
    <row r="172" spans="1:13" s="31" customFormat="1" ht="17.25" customHeight="1">
      <c r="A172" s="1386" t="s">
        <v>126</v>
      </c>
      <c r="B172" s="1634" t="s">
        <v>871</v>
      </c>
      <c r="C172" s="1387"/>
      <c r="D172" s="1387"/>
      <c r="E172" s="1387">
        <f>(E160+E161+E162+E163+E164+E165+E166+E167+E168)-E171</f>
        <v>0</v>
      </c>
      <c r="F172" s="1392"/>
      <c r="G172" s="1386" t="s">
        <v>126</v>
      </c>
      <c r="H172" s="1634" t="s">
        <v>871</v>
      </c>
      <c r="I172" s="1387"/>
      <c r="J172" s="1387"/>
      <c r="K172" s="1387">
        <f>(K160+K161+K162+K163+K164+K165+K166+K167+K168)-K171</f>
        <v>0</v>
      </c>
      <c r="L172" s="1389">
        <f>E172+K172</f>
        <v>0</v>
      </c>
    </row>
    <row r="173" spans="1:13" s="31" customFormat="1" ht="63" customHeight="1">
      <c r="A173" s="1401"/>
      <c r="B173" s="1396"/>
      <c r="C173" s="1396"/>
      <c r="D173" s="1396"/>
      <c r="E173" s="1396"/>
      <c r="F173" s="1625"/>
      <c r="G173" s="1401"/>
      <c r="H173" s="1396"/>
      <c r="I173" s="1396"/>
      <c r="J173" s="1396"/>
      <c r="K173" s="1390"/>
      <c r="L173" s="1372"/>
    </row>
    <row r="174" spans="1:13" s="31" customFormat="1" ht="17.25" customHeight="1">
      <c r="A174" s="2182" t="str">
        <f>G157</f>
        <v>LƯƠNG THÁNG 01/2025</v>
      </c>
      <c r="B174" s="2183"/>
      <c r="C174" s="2183"/>
      <c r="D174" s="2183"/>
      <c r="E174" s="1452">
        <v>21</v>
      </c>
      <c r="F174" s="1397"/>
      <c r="G174" s="2182" t="str">
        <f>A174</f>
        <v>LƯƠNG THÁNG 01/2025</v>
      </c>
      <c r="H174" s="2183"/>
      <c r="I174" s="2183"/>
      <c r="J174" s="2184"/>
      <c r="K174" s="1452">
        <v>22</v>
      </c>
      <c r="L174" s="1372"/>
    </row>
    <row r="175" spans="1:13" s="31" customFormat="1" ht="17.25" customHeight="1">
      <c r="A175" s="1391" t="s">
        <v>29</v>
      </c>
      <c r="B175" s="1626" t="str">
        <f>'CNKT '!C36</f>
        <v>N. Mon Khăm</v>
      </c>
      <c r="C175" s="1373"/>
      <c r="D175" s="1623" t="s">
        <v>806</v>
      </c>
      <c r="E175" s="1623" t="s">
        <v>32</v>
      </c>
      <c r="F175" s="1397"/>
      <c r="G175" s="1391" t="s">
        <v>29</v>
      </c>
      <c r="H175" s="1626" t="str">
        <f>'CNKT '!C37</f>
        <v>T. In</v>
      </c>
      <c r="I175" s="1373"/>
      <c r="J175" s="1623" t="s">
        <v>806</v>
      </c>
      <c r="K175" s="1623" t="s">
        <v>32</v>
      </c>
      <c r="L175" s="1372"/>
    </row>
    <row r="176" spans="1:13" s="31" customFormat="1" ht="17.25" customHeight="1">
      <c r="A176" s="1375" t="s">
        <v>807</v>
      </c>
      <c r="B176" s="1628" t="s">
        <v>1080</v>
      </c>
      <c r="C176" s="1376" t="str">
        <f>VLOOKUP(B175,'BTH mủ tạp'!$C$15:$AL$92,36,0)</f>
        <v>B</v>
      </c>
      <c r="D176" s="1377"/>
      <c r="E176" s="1377"/>
      <c r="F176" s="1397"/>
      <c r="G176" s="1375" t="s">
        <v>807</v>
      </c>
      <c r="H176" s="1628" t="s">
        <v>1080</v>
      </c>
      <c r="I176" s="1376" t="str">
        <f>VLOOKUP(H175,'BTH mủ tạp'!$C$15:$AL$92,36,0)</f>
        <v>C</v>
      </c>
      <c r="J176" s="1377"/>
      <c r="K176" s="1377"/>
      <c r="L176" s="1372"/>
    </row>
    <row r="177" spans="1:13" s="31" customFormat="1" ht="17.25" customHeight="1">
      <c r="A177" s="1375" t="s">
        <v>121</v>
      </c>
      <c r="B177" s="1629" t="s">
        <v>865</v>
      </c>
      <c r="C177" s="1378">
        <f>VLOOKUP(B175,'CNKT '!$C$16:$Z$96,3,0)</f>
        <v>0</v>
      </c>
      <c r="D177" s="1379">
        <v>25000</v>
      </c>
      <c r="E177" s="1377">
        <f>C177*D177</f>
        <v>0</v>
      </c>
      <c r="F177" s="1397"/>
      <c r="G177" s="1375" t="s">
        <v>121</v>
      </c>
      <c r="H177" s="1629" t="s">
        <v>865</v>
      </c>
      <c r="I177" s="1378">
        <f>VLOOKUP(H175,'CNKT '!$C$16:$Z$96,3,0)</f>
        <v>0</v>
      </c>
      <c r="J177" s="1379">
        <v>25000</v>
      </c>
      <c r="K177" s="1377">
        <f>I177*J177</f>
        <v>0</v>
      </c>
      <c r="L177" s="1372"/>
    </row>
    <row r="178" spans="1:13" s="31" customFormat="1" ht="17.25" customHeight="1">
      <c r="A178" s="1375" t="s">
        <v>628</v>
      </c>
      <c r="B178" s="1630" t="s">
        <v>1081</v>
      </c>
      <c r="C178" s="1433">
        <f>VLOOKUP(B175,'CNKT '!$C$16:$Z$96,11,0)</f>
        <v>0</v>
      </c>
      <c r="D178" s="1380">
        <f>46.1*$B$2</f>
        <v>30241.600000000002</v>
      </c>
      <c r="E178" s="1377">
        <f t="shared" ref="E178:E182" si="20">C178*D178</f>
        <v>0</v>
      </c>
      <c r="F178" s="1397"/>
      <c r="G178" s="1375" t="s">
        <v>628</v>
      </c>
      <c r="H178" s="1630" t="s">
        <v>1081</v>
      </c>
      <c r="I178" s="1433">
        <f>VLOOKUP(H175,'CNKT '!$C$16:$Z$96,11,0)</f>
        <v>0</v>
      </c>
      <c r="J178" s="1380">
        <f>46.1*$B$2</f>
        <v>30241.600000000002</v>
      </c>
      <c r="K178" s="1377">
        <f t="shared" ref="K178:K182" si="21">I178*J178</f>
        <v>0</v>
      </c>
      <c r="L178" s="1372"/>
    </row>
    <row r="179" spans="1:13" s="31" customFormat="1" ht="17.25" customHeight="1">
      <c r="A179" s="1375" t="s">
        <v>809</v>
      </c>
      <c r="B179" s="1630" t="s">
        <v>1082</v>
      </c>
      <c r="C179" s="1433">
        <f>VLOOKUP(B175,'CNKT '!$C$16:$Z$96,12,0)</f>
        <v>0</v>
      </c>
      <c r="D179" s="1379">
        <f>76.9*$B$2</f>
        <v>50446.400000000001</v>
      </c>
      <c r="E179" s="1377">
        <f t="shared" si="20"/>
        <v>0</v>
      </c>
      <c r="F179" s="1625"/>
      <c r="G179" s="1375" t="s">
        <v>809</v>
      </c>
      <c r="H179" s="1630" t="s">
        <v>1082</v>
      </c>
      <c r="I179" s="1433">
        <f>VLOOKUP(H175,'CNKT '!$C$16:$Z$96,12,0)</f>
        <v>0</v>
      </c>
      <c r="J179" s="1379">
        <f>76.9*$B$2</f>
        <v>50446.400000000001</v>
      </c>
      <c r="K179" s="1377">
        <f t="shared" si="21"/>
        <v>0</v>
      </c>
      <c r="L179" s="1372"/>
    </row>
    <row r="180" spans="1:13" s="31" customFormat="1" ht="17.25" customHeight="1">
      <c r="A180" s="1375" t="s">
        <v>122</v>
      </c>
      <c r="B180" s="1630" t="s">
        <v>1083</v>
      </c>
      <c r="C180" s="1433">
        <f>VLOOKUP(B175,'CNKT '!$C$16:$Z$96,8,0)</f>
        <v>0</v>
      </c>
      <c r="D180" s="1379">
        <f>IF(C176="A",6.1,IF(C176="B",5.8,IF(C176="C",5.5,IF(C176="C.",5.5,IF(C176="D",5.2)))))*$B$2</f>
        <v>3804.7999999999997</v>
      </c>
      <c r="E180" s="1377">
        <f t="shared" si="20"/>
        <v>0</v>
      </c>
      <c r="F180" s="1392"/>
      <c r="G180" s="1375" t="s">
        <v>122</v>
      </c>
      <c r="H180" s="1630" t="s">
        <v>1083</v>
      </c>
      <c r="I180" s="1433">
        <f>VLOOKUP(H175,'CNKT '!$C$16:$Z$96,8,0)</f>
        <v>0</v>
      </c>
      <c r="J180" s="1379">
        <f>IF(I176="A",6.1,IF(I176="B",5.8,IF(I176="C",5.5,IF(I176="C.",5.5,IF(I176="D",5.2)))))*$B$2</f>
        <v>3608</v>
      </c>
      <c r="K180" s="1377">
        <f t="shared" si="21"/>
        <v>0</v>
      </c>
      <c r="L180" s="1372"/>
    </row>
    <row r="181" spans="1:13" s="31" customFormat="1" ht="17.25" customHeight="1">
      <c r="A181" s="1375" t="s">
        <v>959</v>
      </c>
      <c r="B181" s="1630" t="s">
        <v>1084</v>
      </c>
      <c r="C181" s="1433">
        <f>VLOOKUP(B175,'CNKT '!$C$16:$Z$96,15,0)</f>
        <v>0</v>
      </c>
      <c r="D181" s="1380">
        <f>92.2*$B$2</f>
        <v>60483.200000000004</v>
      </c>
      <c r="E181" s="1377">
        <f t="shared" si="20"/>
        <v>0</v>
      </c>
      <c r="F181" s="1392"/>
      <c r="G181" s="1375" t="s">
        <v>959</v>
      </c>
      <c r="H181" s="1630" t="s">
        <v>1084</v>
      </c>
      <c r="I181" s="1433">
        <f>VLOOKUP(H175,'CNKT '!$C$16:$Z$96,15,0)</f>
        <v>0</v>
      </c>
      <c r="J181" s="1380">
        <f>92.2*$B$2</f>
        <v>60483.200000000004</v>
      </c>
      <c r="K181" s="1377">
        <f t="shared" si="21"/>
        <v>0</v>
      </c>
      <c r="L181" s="1372"/>
    </row>
    <row r="182" spans="1:13" s="31" customFormat="1" ht="17.25" customHeight="1">
      <c r="A182" s="1375" t="s">
        <v>960</v>
      </c>
      <c r="B182" s="1630" t="s">
        <v>964</v>
      </c>
      <c r="C182" s="1433">
        <f>VLOOKUP(B175,'CNKT '!$C$16:$Z$96,16,0)</f>
        <v>0</v>
      </c>
      <c r="D182" s="1379">
        <f>153.8*$B$2</f>
        <v>100892.8</v>
      </c>
      <c r="E182" s="1377">
        <f t="shared" si="20"/>
        <v>0</v>
      </c>
      <c r="F182" s="1392"/>
      <c r="G182" s="1375" t="s">
        <v>960</v>
      </c>
      <c r="H182" s="1630" t="s">
        <v>964</v>
      </c>
      <c r="I182" s="1433">
        <f>VLOOKUP(H175,'CNKT '!$C$16:$Z$96,16,0)</f>
        <v>0</v>
      </c>
      <c r="J182" s="1379">
        <f>153.8*$B$2</f>
        <v>100892.8</v>
      </c>
      <c r="K182" s="1377">
        <f t="shared" si="21"/>
        <v>0</v>
      </c>
      <c r="L182" s="1372"/>
    </row>
    <row r="183" spans="1:13" s="31" customFormat="1" ht="17.25" customHeight="1">
      <c r="A183" s="1375" t="s">
        <v>899</v>
      </c>
      <c r="B183" s="1630" t="s">
        <v>965</v>
      </c>
      <c r="C183" s="1433">
        <f>VLOOKUP(B175,'CNKT '!$C$16:$Z$96,18,0)</f>
        <v>0</v>
      </c>
      <c r="D183" s="1379">
        <v>10000</v>
      </c>
      <c r="E183" s="1377">
        <f>C183*D183</f>
        <v>0</v>
      </c>
      <c r="F183" s="1392"/>
      <c r="G183" s="1375" t="s">
        <v>899</v>
      </c>
      <c r="H183" s="1630" t="s">
        <v>965</v>
      </c>
      <c r="I183" s="1433">
        <f>VLOOKUP(H175,'CNKT '!$C$16:$Z$96,18,0)</f>
        <v>0</v>
      </c>
      <c r="J183" s="1379">
        <v>10000</v>
      </c>
      <c r="K183" s="1377">
        <f>I183*J183</f>
        <v>0</v>
      </c>
      <c r="L183" s="1372"/>
    </row>
    <row r="184" spans="1:13" s="31" customFormat="1" ht="17.25" customHeight="1">
      <c r="A184" s="1375" t="s">
        <v>899</v>
      </c>
      <c r="B184" s="1630" t="s">
        <v>965</v>
      </c>
      <c r="C184" s="1433">
        <f>VLOOKUP(B175,'CNKT '!$C$16:$Z$96,19,0)</f>
        <v>0</v>
      </c>
      <c r="D184" s="1379">
        <v>20000</v>
      </c>
      <c r="E184" s="1377">
        <f>C184*D184</f>
        <v>0</v>
      </c>
      <c r="F184" s="1392"/>
      <c r="G184" s="1375" t="s">
        <v>899</v>
      </c>
      <c r="H184" s="1630" t="s">
        <v>965</v>
      </c>
      <c r="I184" s="1433">
        <f>VLOOKUP(H175,'CNKT '!$C$16:$Z$96,19,0)</f>
        <v>0</v>
      </c>
      <c r="J184" s="1379">
        <v>20000</v>
      </c>
      <c r="K184" s="1377">
        <f>I184*J184</f>
        <v>0</v>
      </c>
      <c r="L184" s="1372"/>
    </row>
    <row r="185" spans="1:13" s="31" customFormat="1" ht="17.25" customHeight="1">
      <c r="A185" s="1375" t="s">
        <v>995</v>
      </c>
      <c r="B185" s="1630" t="s">
        <v>997</v>
      </c>
      <c r="C185" s="1433"/>
      <c r="D185" s="1379"/>
      <c r="E185" s="1377"/>
      <c r="F185" s="1392"/>
      <c r="G185" s="1375" t="s">
        <v>995</v>
      </c>
      <c r="H185" s="1630" t="s">
        <v>997</v>
      </c>
      <c r="I185" s="1433"/>
      <c r="J185" s="1379"/>
      <c r="K185" s="1377"/>
      <c r="L185" s="1372"/>
    </row>
    <row r="186" spans="1:13" s="31" customFormat="1" ht="17.25" customHeight="1">
      <c r="A186" s="1381" t="s">
        <v>123</v>
      </c>
      <c r="B186" s="1631" t="s">
        <v>1085</v>
      </c>
      <c r="C186" s="1382"/>
      <c r="D186" s="1383"/>
      <c r="E186" s="1382"/>
      <c r="F186" s="1392"/>
      <c r="G186" s="1381" t="s">
        <v>123</v>
      </c>
      <c r="H186" s="1631" t="s">
        <v>1085</v>
      </c>
      <c r="I186" s="1382"/>
      <c r="J186" s="1383"/>
      <c r="K186" s="1382"/>
      <c r="L186" s="1372"/>
    </row>
    <row r="187" spans="1:13" s="31" customFormat="1" ht="17.25" customHeight="1">
      <c r="A187" s="1384" t="s">
        <v>124</v>
      </c>
      <c r="B187" s="1632" t="s">
        <v>1086</v>
      </c>
      <c r="C187" s="1382"/>
      <c r="D187" s="1382"/>
      <c r="E187" s="1382"/>
      <c r="F187" s="1392"/>
      <c r="G187" s="1384" t="s">
        <v>124</v>
      </c>
      <c r="H187" s="1632" t="s">
        <v>1086</v>
      </c>
      <c r="I187" s="1382"/>
      <c r="J187" s="1382"/>
      <c r="K187" s="1382"/>
      <c r="L187" s="1372"/>
    </row>
    <row r="188" spans="1:13" s="31" customFormat="1" ht="17.25" customHeight="1">
      <c r="A188" s="1384" t="s">
        <v>125</v>
      </c>
      <c r="B188" s="1633" t="s">
        <v>1087</v>
      </c>
      <c r="C188" s="1382"/>
      <c r="D188" s="1382"/>
      <c r="E188" s="1377">
        <f>SUM(E187)</f>
        <v>0</v>
      </c>
      <c r="F188" s="1392"/>
      <c r="G188" s="1384" t="s">
        <v>125</v>
      </c>
      <c r="H188" s="1633" t="s">
        <v>1087</v>
      </c>
      <c r="I188" s="1382"/>
      <c r="J188" s="1382"/>
      <c r="K188" s="1377">
        <f>SUM(K187)</f>
        <v>0</v>
      </c>
      <c r="L188" s="1372"/>
      <c r="M188" s="1385">
        <f>E188+K188</f>
        <v>0</v>
      </c>
    </row>
    <row r="189" spans="1:13" s="31" customFormat="1" ht="17.25" customHeight="1">
      <c r="A189" s="1386" t="s">
        <v>126</v>
      </c>
      <c r="B189" s="1634" t="s">
        <v>871</v>
      </c>
      <c r="C189" s="1387"/>
      <c r="D189" s="1387"/>
      <c r="E189" s="1387">
        <f>(E177+E178+E179+E180+E181+E182+E183+E184+E185)-E188</f>
        <v>0</v>
      </c>
      <c r="F189" s="1392"/>
      <c r="G189" s="1386" t="s">
        <v>126</v>
      </c>
      <c r="H189" s="1634" t="s">
        <v>871</v>
      </c>
      <c r="I189" s="1387"/>
      <c r="J189" s="1387"/>
      <c r="K189" s="1387">
        <f>(K177+K178+K179+K180+K181+K182+K183+K184+K185)-K188</f>
        <v>0</v>
      </c>
      <c r="L189" s="1389">
        <f>E189+K189</f>
        <v>0</v>
      </c>
    </row>
    <row r="190" spans="1:13" s="31" customFormat="1" ht="17.25" customHeight="1">
      <c r="A190" s="1392"/>
      <c r="B190" s="1398"/>
      <c r="C190" s="1399"/>
      <c r="D190" s="1399"/>
      <c r="E190" s="1397"/>
      <c r="F190" s="1392"/>
      <c r="G190" s="1392"/>
      <c r="H190" s="1398"/>
      <c r="I190" s="1399"/>
      <c r="J190" s="1397"/>
      <c r="K190" s="1390"/>
      <c r="L190" s="1372"/>
    </row>
    <row r="191" spans="1:13" s="31" customFormat="1" ht="17.25" customHeight="1">
      <c r="A191" s="2182" t="str">
        <f>G174</f>
        <v>LƯƠNG THÁNG 01/2025</v>
      </c>
      <c r="B191" s="2183"/>
      <c r="C191" s="2183"/>
      <c r="D191" s="2183"/>
      <c r="E191" s="1452">
        <v>23</v>
      </c>
      <c r="F191" s="1397"/>
      <c r="G191" s="2182" t="str">
        <f>A191</f>
        <v>LƯƠNG THÁNG 01/2025</v>
      </c>
      <c r="H191" s="2183"/>
      <c r="I191" s="2183"/>
      <c r="J191" s="2184"/>
      <c r="K191" s="1452">
        <v>24</v>
      </c>
      <c r="L191" s="1372"/>
    </row>
    <row r="192" spans="1:13" s="31" customFormat="1" ht="17.25" customHeight="1">
      <c r="A192" s="1391" t="s">
        <v>29</v>
      </c>
      <c r="B192" s="1626" t="str">
        <f>'CNKT '!C38</f>
        <v>T. Bin Ly.</v>
      </c>
      <c r="C192" s="1373"/>
      <c r="D192" s="1623" t="s">
        <v>806</v>
      </c>
      <c r="E192" s="1623" t="s">
        <v>32</v>
      </c>
      <c r="F192" s="1397"/>
      <c r="G192" s="1391" t="s">
        <v>29</v>
      </c>
      <c r="H192" s="1626" t="str">
        <f>'CNKT '!C39</f>
        <v>N. Phim Phon.</v>
      </c>
      <c r="I192" s="1373"/>
      <c r="J192" s="1623" t="s">
        <v>806</v>
      </c>
      <c r="K192" s="1623" t="s">
        <v>32</v>
      </c>
      <c r="L192" s="1372"/>
    </row>
    <row r="193" spans="1:13" s="31" customFormat="1" ht="17.25" customHeight="1">
      <c r="A193" s="1375" t="s">
        <v>807</v>
      </c>
      <c r="B193" s="1628" t="s">
        <v>1080</v>
      </c>
      <c r="C193" s="1376" t="str">
        <f>VLOOKUP(B192,'BTH mủ tạp'!$C$15:$AL$92,36,0)</f>
        <v>B</v>
      </c>
      <c r="D193" s="1377"/>
      <c r="E193" s="1377"/>
      <c r="F193" s="1625"/>
      <c r="G193" s="1375" t="s">
        <v>807</v>
      </c>
      <c r="H193" s="1628" t="s">
        <v>1080</v>
      </c>
      <c r="I193" s="1376" t="str">
        <f>VLOOKUP(H192,'BTH mủ tạp'!$C$15:$AL$92,36,0)</f>
        <v>C</v>
      </c>
      <c r="J193" s="1377"/>
      <c r="K193" s="1377"/>
      <c r="L193" s="1372"/>
    </row>
    <row r="194" spans="1:13" s="31" customFormat="1" ht="17.25" customHeight="1">
      <c r="A194" s="1375" t="s">
        <v>121</v>
      </c>
      <c r="B194" s="1629" t="s">
        <v>865</v>
      </c>
      <c r="C194" s="1378">
        <f>VLOOKUP(B192,'CNKT '!$C$16:$Z$96,3,0)</f>
        <v>0</v>
      </c>
      <c r="D194" s="1379">
        <v>25000</v>
      </c>
      <c r="E194" s="1377">
        <f>C194*D194</f>
        <v>0</v>
      </c>
      <c r="F194" s="1392"/>
      <c r="G194" s="1375" t="s">
        <v>121</v>
      </c>
      <c r="H194" s="1629" t="s">
        <v>865</v>
      </c>
      <c r="I194" s="1378">
        <f>VLOOKUP(H192,'CNKT '!$C$16:$Z$96,3,0)</f>
        <v>0</v>
      </c>
      <c r="J194" s="1379">
        <v>25000</v>
      </c>
      <c r="K194" s="1377">
        <f>I194*J194</f>
        <v>0</v>
      </c>
      <c r="L194" s="1372"/>
    </row>
    <row r="195" spans="1:13" s="31" customFormat="1" ht="17.25" customHeight="1">
      <c r="A195" s="1375" t="s">
        <v>628</v>
      </c>
      <c r="B195" s="1630" t="s">
        <v>1081</v>
      </c>
      <c r="C195" s="1433">
        <f>VLOOKUP(B192,'CNKT '!$C$16:$Z$96,11,0)</f>
        <v>0</v>
      </c>
      <c r="D195" s="1380">
        <f>46.1*$B$2</f>
        <v>30241.600000000002</v>
      </c>
      <c r="E195" s="1377">
        <f t="shared" ref="E195:E199" si="22">C195*D195</f>
        <v>0</v>
      </c>
      <c r="F195" s="1392"/>
      <c r="G195" s="1375" t="s">
        <v>628</v>
      </c>
      <c r="H195" s="1630" t="s">
        <v>1081</v>
      </c>
      <c r="I195" s="1433">
        <f>VLOOKUP(H192,'CNKT '!$C$16:$Z$96,11,0)</f>
        <v>0</v>
      </c>
      <c r="J195" s="1380">
        <f>46.1*$B$2</f>
        <v>30241.600000000002</v>
      </c>
      <c r="K195" s="1377">
        <f t="shared" ref="K195:K199" si="23">I195*J195</f>
        <v>0</v>
      </c>
      <c r="L195" s="1372"/>
    </row>
    <row r="196" spans="1:13" s="31" customFormat="1" ht="17.25" customHeight="1">
      <c r="A196" s="1375" t="s">
        <v>809</v>
      </c>
      <c r="B196" s="1630" t="s">
        <v>1082</v>
      </c>
      <c r="C196" s="1433">
        <f>VLOOKUP(B192,'CNKT '!$C$16:$Z$96,12,0)</f>
        <v>0</v>
      </c>
      <c r="D196" s="1379">
        <f>76.9*$B$2</f>
        <v>50446.400000000001</v>
      </c>
      <c r="E196" s="1377">
        <f t="shared" si="22"/>
        <v>0</v>
      </c>
      <c r="F196" s="1392"/>
      <c r="G196" s="1375" t="s">
        <v>809</v>
      </c>
      <c r="H196" s="1630" t="s">
        <v>1082</v>
      </c>
      <c r="I196" s="1433">
        <f>VLOOKUP(H192,'CNKT '!$C$16:$Z$96,12,0)</f>
        <v>0</v>
      </c>
      <c r="J196" s="1379">
        <f>76.9*$B$2</f>
        <v>50446.400000000001</v>
      </c>
      <c r="K196" s="1377">
        <f t="shared" si="23"/>
        <v>0</v>
      </c>
      <c r="L196" s="1372"/>
    </row>
    <row r="197" spans="1:13" s="31" customFormat="1" ht="17.25" customHeight="1">
      <c r="A197" s="1375" t="s">
        <v>122</v>
      </c>
      <c r="B197" s="1630" t="s">
        <v>1083</v>
      </c>
      <c r="C197" s="1433">
        <f>VLOOKUP(B192,'CNKT '!$C$16:$Z$96,8,0)</f>
        <v>0</v>
      </c>
      <c r="D197" s="1379">
        <f>IF(C193="A",6.1,IF(C193="B",5.8,IF(C193="C",5.5,IF(C193="C.",5.5,IF(C193="D",5.2)))))*$B$2</f>
        <v>3804.7999999999997</v>
      </c>
      <c r="E197" s="1377">
        <f t="shared" si="22"/>
        <v>0</v>
      </c>
      <c r="F197" s="1392"/>
      <c r="G197" s="1375" t="s">
        <v>122</v>
      </c>
      <c r="H197" s="1630" t="s">
        <v>1083</v>
      </c>
      <c r="I197" s="1433">
        <f>VLOOKUP(H192,'CNKT '!$C$16:$Z$96,8,0)</f>
        <v>0</v>
      </c>
      <c r="J197" s="1379">
        <f>IF(I193="A",6.1,IF(I193="B",5.8,IF(I193="C",5.5,IF(I193="C.",5.5,IF(I193="D",5.2)))))*$B$2</f>
        <v>3608</v>
      </c>
      <c r="K197" s="1377">
        <f t="shared" si="23"/>
        <v>0</v>
      </c>
      <c r="L197" s="1372"/>
    </row>
    <row r="198" spans="1:13" s="31" customFormat="1" ht="17.25" customHeight="1">
      <c r="A198" s="1375" t="s">
        <v>959</v>
      </c>
      <c r="B198" s="1630" t="s">
        <v>1084</v>
      </c>
      <c r="C198" s="1433">
        <f>VLOOKUP(B192,'CNKT '!$C$16:$Z$96,15,0)</f>
        <v>0</v>
      </c>
      <c r="D198" s="1380">
        <f>92.2*$B$2</f>
        <v>60483.200000000004</v>
      </c>
      <c r="E198" s="1377">
        <f t="shared" si="22"/>
        <v>0</v>
      </c>
      <c r="F198" s="1392"/>
      <c r="G198" s="1375" t="s">
        <v>959</v>
      </c>
      <c r="H198" s="1630" t="s">
        <v>1084</v>
      </c>
      <c r="I198" s="1433">
        <f>VLOOKUP(H192,'CNKT '!$C$16:$Z$96,15,0)</f>
        <v>0</v>
      </c>
      <c r="J198" s="1380">
        <f>92.2*$B$2</f>
        <v>60483.200000000004</v>
      </c>
      <c r="K198" s="1377">
        <f t="shared" si="23"/>
        <v>0</v>
      </c>
      <c r="L198" s="1372"/>
    </row>
    <row r="199" spans="1:13" s="31" customFormat="1" ht="17.25" customHeight="1">
      <c r="A199" s="1375" t="s">
        <v>960</v>
      </c>
      <c r="B199" s="1630" t="s">
        <v>964</v>
      </c>
      <c r="C199" s="1433">
        <f>VLOOKUP(B192,'CNKT '!$C$16:$Z$96,16,0)</f>
        <v>0</v>
      </c>
      <c r="D199" s="1379">
        <f>153.8*$B$2</f>
        <v>100892.8</v>
      </c>
      <c r="E199" s="1377">
        <f t="shared" si="22"/>
        <v>0</v>
      </c>
      <c r="F199" s="1392"/>
      <c r="G199" s="1375" t="s">
        <v>960</v>
      </c>
      <c r="H199" s="1630" t="s">
        <v>964</v>
      </c>
      <c r="I199" s="1433">
        <f>VLOOKUP(H192,'CNKT '!$C$16:$Z$96,16,0)</f>
        <v>0</v>
      </c>
      <c r="J199" s="1379">
        <f>153.8*$B$2</f>
        <v>100892.8</v>
      </c>
      <c r="K199" s="1377">
        <f t="shared" si="23"/>
        <v>0</v>
      </c>
      <c r="L199" s="1372"/>
    </row>
    <row r="200" spans="1:13" s="31" customFormat="1" ht="17.25" customHeight="1">
      <c r="A200" s="1375" t="s">
        <v>899</v>
      </c>
      <c r="B200" s="1630" t="s">
        <v>965</v>
      </c>
      <c r="C200" s="1433">
        <f>VLOOKUP(B192,'CNKT '!$C$16:$Z$96,18,0)</f>
        <v>0</v>
      </c>
      <c r="D200" s="1379">
        <v>10000</v>
      </c>
      <c r="E200" s="1377">
        <f>C200*D200</f>
        <v>0</v>
      </c>
      <c r="F200" s="1392"/>
      <c r="G200" s="1375" t="s">
        <v>899</v>
      </c>
      <c r="H200" s="1630" t="s">
        <v>965</v>
      </c>
      <c r="I200" s="1433">
        <f>VLOOKUP(H192,'CNKT '!$C$16:$Z$96,18,0)</f>
        <v>0</v>
      </c>
      <c r="J200" s="1379">
        <v>10000</v>
      </c>
      <c r="K200" s="1377">
        <f>I200*J200</f>
        <v>0</v>
      </c>
      <c r="L200" s="1372"/>
    </row>
    <row r="201" spans="1:13" s="31" customFormat="1" ht="17.25" customHeight="1">
      <c r="A201" s="1375" t="s">
        <v>899</v>
      </c>
      <c r="B201" s="1630" t="s">
        <v>965</v>
      </c>
      <c r="C201" s="1433">
        <f>VLOOKUP(B192,'CNKT '!$C$16:$Z$96,19,0)</f>
        <v>0</v>
      </c>
      <c r="D201" s="1379">
        <v>20000</v>
      </c>
      <c r="E201" s="1377">
        <f>C201*D201</f>
        <v>0</v>
      </c>
      <c r="F201" s="1392"/>
      <c r="G201" s="1375" t="s">
        <v>899</v>
      </c>
      <c r="H201" s="1630" t="s">
        <v>965</v>
      </c>
      <c r="I201" s="1433">
        <f>VLOOKUP(H192,'CNKT '!$C$16:$Z$96,19,0)</f>
        <v>0</v>
      </c>
      <c r="J201" s="1379">
        <v>20000</v>
      </c>
      <c r="K201" s="1377">
        <f>I201*J201</f>
        <v>0</v>
      </c>
      <c r="L201" s="1372"/>
    </row>
    <row r="202" spans="1:13" s="31" customFormat="1" ht="17.25" customHeight="1">
      <c r="A202" s="1375" t="s">
        <v>995</v>
      </c>
      <c r="B202" s="1630" t="s">
        <v>997</v>
      </c>
      <c r="C202" s="1433"/>
      <c r="D202" s="1379"/>
      <c r="E202" s="1377"/>
      <c r="F202" s="1392"/>
      <c r="G202" s="1375" t="s">
        <v>995</v>
      </c>
      <c r="H202" s="1630" t="s">
        <v>997</v>
      </c>
      <c r="I202" s="1433"/>
      <c r="J202" s="1379"/>
      <c r="K202" s="1377"/>
      <c r="L202" s="1372"/>
    </row>
    <row r="203" spans="1:13" s="31" customFormat="1" ht="17.25" customHeight="1">
      <c r="A203" s="1381" t="s">
        <v>123</v>
      </c>
      <c r="B203" s="1631" t="s">
        <v>1085</v>
      </c>
      <c r="C203" s="1382"/>
      <c r="D203" s="1383"/>
      <c r="E203" s="1382"/>
      <c r="F203" s="1396"/>
      <c r="G203" s="1381" t="s">
        <v>123</v>
      </c>
      <c r="H203" s="1631" t="s">
        <v>1085</v>
      </c>
      <c r="I203" s="1382"/>
      <c r="J203" s="1383"/>
      <c r="K203" s="1382"/>
      <c r="L203" s="1372"/>
    </row>
    <row r="204" spans="1:13" s="31" customFormat="1" ht="17.25" customHeight="1">
      <c r="A204" s="1384" t="s">
        <v>124</v>
      </c>
      <c r="B204" s="1632" t="s">
        <v>1086</v>
      </c>
      <c r="C204" s="1382"/>
      <c r="D204" s="1382"/>
      <c r="E204" s="1382"/>
      <c r="F204" s="1396"/>
      <c r="G204" s="1384" t="s">
        <v>124</v>
      </c>
      <c r="H204" s="1632" t="s">
        <v>1086</v>
      </c>
      <c r="I204" s="1382"/>
      <c r="J204" s="1382"/>
      <c r="K204" s="1382"/>
      <c r="L204" s="1372"/>
    </row>
    <row r="205" spans="1:13" s="31" customFormat="1" ht="17.25" customHeight="1">
      <c r="A205" s="1384" t="s">
        <v>125</v>
      </c>
      <c r="B205" s="1633" t="s">
        <v>1087</v>
      </c>
      <c r="C205" s="1382"/>
      <c r="D205" s="1382"/>
      <c r="E205" s="1377">
        <f>SUM(E204)</f>
        <v>0</v>
      </c>
      <c r="F205" s="1396"/>
      <c r="G205" s="1384" t="s">
        <v>125</v>
      </c>
      <c r="H205" s="1633" t="s">
        <v>1087</v>
      </c>
      <c r="I205" s="1382"/>
      <c r="J205" s="1382"/>
      <c r="K205" s="1377">
        <f>SUM(K204)</f>
        <v>0</v>
      </c>
      <c r="L205" s="1372"/>
      <c r="M205" s="1385">
        <f>E205+K205</f>
        <v>0</v>
      </c>
    </row>
    <row r="206" spans="1:13" s="31" customFormat="1" ht="17.25" customHeight="1">
      <c r="A206" s="1386" t="s">
        <v>126</v>
      </c>
      <c r="B206" s="1634" t="s">
        <v>871</v>
      </c>
      <c r="C206" s="1387"/>
      <c r="D206" s="1387"/>
      <c r="E206" s="1387">
        <f>(E194+E195+E196+E197+E198+E199+E200+E201+E202)-E205</f>
        <v>0</v>
      </c>
      <c r="F206" s="1396"/>
      <c r="G206" s="1386" t="s">
        <v>126</v>
      </c>
      <c r="H206" s="1634" t="s">
        <v>871</v>
      </c>
      <c r="I206" s="1387"/>
      <c r="J206" s="1387"/>
      <c r="K206" s="1387">
        <f>(K194+K195+K196+K197+K198+K199+K200+K201+K202)-K205</f>
        <v>0</v>
      </c>
      <c r="L206" s="1389">
        <f>E206+K206</f>
        <v>0</v>
      </c>
    </row>
    <row r="207" spans="1:13" s="31" customFormat="1" ht="17.25" customHeight="1">
      <c r="A207" s="1392"/>
      <c r="B207" s="1398"/>
      <c r="C207" s="1399"/>
      <c r="D207" s="1399"/>
      <c r="E207" s="1397"/>
      <c r="F207" s="1396"/>
      <c r="G207" s="1392"/>
      <c r="H207" s="1398"/>
      <c r="I207" s="1399"/>
      <c r="J207" s="1397"/>
      <c r="K207" s="1400"/>
      <c r="L207" s="1372"/>
    </row>
    <row r="208" spans="1:13" s="31" customFormat="1" ht="17.25" customHeight="1">
      <c r="A208" s="2182" t="str">
        <f>G191</f>
        <v>LƯƠNG THÁNG 01/2025</v>
      </c>
      <c r="B208" s="2183"/>
      <c r="C208" s="2183"/>
      <c r="D208" s="2183"/>
      <c r="E208" s="1452">
        <v>25</v>
      </c>
      <c r="F208" s="1392"/>
      <c r="G208" s="2182" t="str">
        <f>A208</f>
        <v>LƯƠNG THÁNG 01/2025</v>
      </c>
      <c r="H208" s="2183"/>
      <c r="I208" s="2183"/>
      <c r="J208" s="2184"/>
      <c r="K208" s="1452">
        <v>26</v>
      </c>
      <c r="L208" s="1372"/>
    </row>
    <row r="209" spans="1:13" s="31" customFormat="1" ht="17.25" customHeight="1">
      <c r="A209" s="1391" t="s">
        <v>29</v>
      </c>
      <c r="B209" s="1626" t="str">
        <f>'CNKT '!C40</f>
        <v>N. Nong</v>
      </c>
      <c r="C209" s="1373"/>
      <c r="D209" s="1623" t="s">
        <v>806</v>
      </c>
      <c r="E209" s="1623" t="s">
        <v>32</v>
      </c>
      <c r="F209" s="1392"/>
      <c r="G209" s="1391" t="s">
        <v>29</v>
      </c>
      <c r="H209" s="1626" t="str">
        <f>'CNKT '!C41</f>
        <v>N. Tun 1</v>
      </c>
      <c r="I209" s="1373"/>
      <c r="J209" s="1623" t="s">
        <v>806</v>
      </c>
      <c r="K209" s="1623" t="s">
        <v>32</v>
      </c>
      <c r="L209" s="1372"/>
    </row>
    <row r="210" spans="1:13" s="31" customFormat="1" ht="17.25" customHeight="1">
      <c r="A210" s="1375" t="s">
        <v>807</v>
      </c>
      <c r="B210" s="1628" t="s">
        <v>1080</v>
      </c>
      <c r="C210" s="1376" t="str">
        <f>VLOOKUP(B209,'BTH mủ tạp'!$C$15:$AL$92,36,0)</f>
        <v>A</v>
      </c>
      <c r="D210" s="1377"/>
      <c r="E210" s="1377"/>
      <c r="F210" s="1392"/>
      <c r="G210" s="1375" t="s">
        <v>807</v>
      </c>
      <c r="H210" s="1628" t="s">
        <v>1080</v>
      </c>
      <c r="I210" s="1376" t="str">
        <f>VLOOKUP(H209,'BTH mủ tạp'!$C$15:$AL$92,36,0)</f>
        <v>A</v>
      </c>
      <c r="J210" s="1377"/>
      <c r="K210" s="1377"/>
      <c r="L210" s="1372"/>
    </row>
    <row r="211" spans="1:13" s="31" customFormat="1" ht="17.25" customHeight="1">
      <c r="A211" s="1375" t="s">
        <v>121</v>
      </c>
      <c r="B211" s="1629" t="s">
        <v>865</v>
      </c>
      <c r="C211" s="1378">
        <f>VLOOKUP(B209,'CNKT '!$C$16:$Z$96,3,0)</f>
        <v>0</v>
      </c>
      <c r="D211" s="1379">
        <v>25000</v>
      </c>
      <c r="E211" s="1377">
        <f>C211*D211</f>
        <v>0</v>
      </c>
      <c r="F211" s="1392"/>
      <c r="G211" s="1375" t="s">
        <v>121</v>
      </c>
      <c r="H211" s="1629" t="s">
        <v>865</v>
      </c>
      <c r="I211" s="1378">
        <f>VLOOKUP(H209,'CNKT '!$C$16:$Z$96,3,0)</f>
        <v>0</v>
      </c>
      <c r="J211" s="1379">
        <v>25000</v>
      </c>
      <c r="K211" s="1377">
        <f>I211*J211</f>
        <v>0</v>
      </c>
      <c r="L211" s="1372"/>
    </row>
    <row r="212" spans="1:13" s="31" customFormat="1" ht="17.25" customHeight="1">
      <c r="A212" s="1375" t="s">
        <v>628</v>
      </c>
      <c r="B212" s="1630" t="s">
        <v>1081</v>
      </c>
      <c r="C212" s="1433">
        <f>VLOOKUP(B209,'CNKT '!$C$16:$Z$96,11,0)</f>
        <v>0</v>
      </c>
      <c r="D212" s="1380">
        <f>46.1*$B$2</f>
        <v>30241.600000000002</v>
      </c>
      <c r="E212" s="1377">
        <f t="shared" ref="E212:E216" si="24">C212*D212</f>
        <v>0</v>
      </c>
      <c r="F212" s="1396"/>
      <c r="G212" s="1375" t="s">
        <v>628</v>
      </c>
      <c r="H212" s="1630" t="s">
        <v>1081</v>
      </c>
      <c r="I212" s="1433">
        <f>VLOOKUP(H209,'CNKT '!$C$16:$Z$96,11,0)</f>
        <v>0</v>
      </c>
      <c r="J212" s="1380">
        <f>46.1*$B$2</f>
        <v>30241.600000000002</v>
      </c>
      <c r="K212" s="1377">
        <f t="shared" ref="K212:K216" si="25">I212*J212</f>
        <v>0</v>
      </c>
      <c r="L212" s="1372"/>
    </row>
    <row r="213" spans="1:13" s="31" customFormat="1" ht="17.25" customHeight="1">
      <c r="A213" s="1375" t="s">
        <v>809</v>
      </c>
      <c r="B213" s="1630" t="s">
        <v>1082</v>
      </c>
      <c r="C213" s="1433">
        <f>VLOOKUP(B209,'CNKT '!$C$16:$Z$96,12,0)</f>
        <v>0</v>
      </c>
      <c r="D213" s="1379">
        <f>76.9*$B$2</f>
        <v>50446.400000000001</v>
      </c>
      <c r="E213" s="1377">
        <f t="shared" si="24"/>
        <v>0</v>
      </c>
      <c r="F213" s="1625"/>
      <c r="G213" s="1375" t="s">
        <v>809</v>
      </c>
      <c r="H213" s="1630" t="s">
        <v>1082</v>
      </c>
      <c r="I213" s="1433">
        <f>VLOOKUP(H209,'CNKT '!$C$16:$Z$96,12,0)</f>
        <v>0</v>
      </c>
      <c r="J213" s="1379">
        <f>76.9*$B$2</f>
        <v>50446.400000000001</v>
      </c>
      <c r="K213" s="1377">
        <f t="shared" si="25"/>
        <v>0</v>
      </c>
      <c r="L213" s="1372"/>
    </row>
    <row r="214" spans="1:13" s="31" customFormat="1" ht="17.25" customHeight="1">
      <c r="A214" s="1375" t="s">
        <v>122</v>
      </c>
      <c r="B214" s="1630" t="s">
        <v>1083</v>
      </c>
      <c r="C214" s="1433">
        <f>VLOOKUP(B209,'CNKT '!$C$16:$Z$96,8,0)</f>
        <v>0</v>
      </c>
      <c r="D214" s="1379">
        <f>IF(C210="A",6.1,IF(C210="B",5.8,IF(C210="C",5.5,IF(C210="C.",5.5,IF(C210="D",5.2)))))*$B$2</f>
        <v>4001.6</v>
      </c>
      <c r="E214" s="1377">
        <f t="shared" si="24"/>
        <v>0</v>
      </c>
      <c r="F214" s="1397"/>
      <c r="G214" s="1375" t="s">
        <v>122</v>
      </c>
      <c r="H214" s="1630" t="s">
        <v>1083</v>
      </c>
      <c r="I214" s="1433">
        <f>VLOOKUP(H209,'CNKT '!$C$16:$Z$96,8,0)</f>
        <v>0</v>
      </c>
      <c r="J214" s="1379">
        <f>IF(I210="A",6.1,IF(I210="B",5.8,IF(I210="C",5.5,IF(I210="C.",5.5,IF(I210="D",5.2)))))*$B$2</f>
        <v>4001.6</v>
      </c>
      <c r="K214" s="1377">
        <f t="shared" si="25"/>
        <v>0</v>
      </c>
      <c r="L214" s="1372"/>
    </row>
    <row r="215" spans="1:13" s="31" customFormat="1" ht="17.25" customHeight="1">
      <c r="A215" s="1375" t="s">
        <v>959</v>
      </c>
      <c r="B215" s="1630" t="s">
        <v>1084</v>
      </c>
      <c r="C215" s="1433">
        <f>VLOOKUP(B209,'CNKT '!$C$16:$Z$96,15,0)</f>
        <v>0</v>
      </c>
      <c r="D215" s="1380">
        <f>92.2*$B$2</f>
        <v>60483.200000000004</v>
      </c>
      <c r="E215" s="1377">
        <f t="shared" si="24"/>
        <v>0</v>
      </c>
      <c r="F215" s="1397"/>
      <c r="G215" s="1375" t="s">
        <v>959</v>
      </c>
      <c r="H215" s="1630" t="s">
        <v>1084</v>
      </c>
      <c r="I215" s="1433">
        <f>VLOOKUP(H209,'CNKT '!$C$16:$Z$96,15,0)</f>
        <v>0</v>
      </c>
      <c r="J215" s="1380">
        <f>92.2*$B$2</f>
        <v>60483.200000000004</v>
      </c>
      <c r="K215" s="1377">
        <f t="shared" si="25"/>
        <v>0</v>
      </c>
      <c r="L215" s="1372"/>
    </row>
    <row r="216" spans="1:13" s="31" customFormat="1" ht="17.25" customHeight="1">
      <c r="A216" s="1375" t="s">
        <v>960</v>
      </c>
      <c r="B216" s="1630" t="s">
        <v>964</v>
      </c>
      <c r="C216" s="1433">
        <f>VLOOKUP(B209,'CNKT '!$C$16:$Z$96,16,0)</f>
        <v>0</v>
      </c>
      <c r="D216" s="1379">
        <f>153.8*$B$2</f>
        <v>100892.8</v>
      </c>
      <c r="E216" s="1377">
        <f t="shared" si="24"/>
        <v>0</v>
      </c>
      <c r="F216" s="1397"/>
      <c r="G216" s="1375" t="s">
        <v>960</v>
      </c>
      <c r="H216" s="1630" t="s">
        <v>964</v>
      </c>
      <c r="I216" s="1433">
        <f>VLOOKUP(H209,'CNKT '!$C$16:$Z$96,16,0)</f>
        <v>0</v>
      </c>
      <c r="J216" s="1379">
        <f>153.8*$B$2</f>
        <v>100892.8</v>
      </c>
      <c r="K216" s="1377">
        <f t="shared" si="25"/>
        <v>0</v>
      </c>
      <c r="L216" s="1372"/>
    </row>
    <row r="217" spans="1:13" s="31" customFormat="1" ht="17.25" customHeight="1">
      <c r="A217" s="1375" t="s">
        <v>899</v>
      </c>
      <c r="B217" s="1630" t="s">
        <v>965</v>
      </c>
      <c r="C217" s="1433">
        <f>VLOOKUP(B209,'CNKT '!$C$16:$Z$96,18,0)</f>
        <v>0</v>
      </c>
      <c r="D217" s="1379">
        <v>10000</v>
      </c>
      <c r="E217" s="1377">
        <f>C217*D217</f>
        <v>0</v>
      </c>
      <c r="F217" s="1397"/>
      <c r="G217" s="1375" t="s">
        <v>899</v>
      </c>
      <c r="H217" s="1630" t="s">
        <v>965</v>
      </c>
      <c r="I217" s="1433">
        <f>VLOOKUP(H209,'CNKT '!$C$16:$Z$96,18,0)</f>
        <v>0</v>
      </c>
      <c r="J217" s="1379">
        <v>10000</v>
      </c>
      <c r="K217" s="1377">
        <f>I217*J217</f>
        <v>0</v>
      </c>
      <c r="L217" s="1372"/>
    </row>
    <row r="218" spans="1:13" s="31" customFormat="1" ht="17.25" customHeight="1">
      <c r="A218" s="1375" t="s">
        <v>899</v>
      </c>
      <c r="B218" s="1630" t="s">
        <v>965</v>
      </c>
      <c r="C218" s="1433">
        <f>VLOOKUP(B209,'CNKT '!$C$16:$Z$96,19,0)</f>
        <v>0</v>
      </c>
      <c r="D218" s="1379">
        <v>20000</v>
      </c>
      <c r="E218" s="1377">
        <f>C218*D218</f>
        <v>0</v>
      </c>
      <c r="F218" s="1397"/>
      <c r="G218" s="1375" t="s">
        <v>899</v>
      </c>
      <c r="H218" s="1630" t="s">
        <v>965</v>
      </c>
      <c r="I218" s="1433">
        <f>VLOOKUP(H209,'CNKT '!$C$16:$Z$96,19,0)</f>
        <v>0</v>
      </c>
      <c r="J218" s="1379">
        <v>20000</v>
      </c>
      <c r="K218" s="1377">
        <f>I218*J218</f>
        <v>0</v>
      </c>
      <c r="L218" s="1372"/>
    </row>
    <row r="219" spans="1:13" s="31" customFormat="1" ht="17.25" customHeight="1">
      <c r="A219" s="1375" t="s">
        <v>995</v>
      </c>
      <c r="B219" s="1630" t="s">
        <v>997</v>
      </c>
      <c r="C219" s="1433"/>
      <c r="D219" s="1379"/>
      <c r="E219" s="1377"/>
      <c r="F219" s="1397"/>
      <c r="G219" s="1375" t="s">
        <v>995</v>
      </c>
      <c r="H219" s="1630" t="s">
        <v>997</v>
      </c>
      <c r="I219" s="1433"/>
      <c r="J219" s="1379"/>
      <c r="K219" s="1377"/>
      <c r="L219" s="1372"/>
    </row>
    <row r="220" spans="1:13" s="31" customFormat="1" ht="17.25" customHeight="1">
      <c r="A220" s="1381" t="s">
        <v>123</v>
      </c>
      <c r="B220" s="1631" t="s">
        <v>1085</v>
      </c>
      <c r="C220" s="1382"/>
      <c r="D220" s="1383"/>
      <c r="E220" s="1382"/>
      <c r="F220" s="1397"/>
      <c r="G220" s="1381" t="s">
        <v>123</v>
      </c>
      <c r="H220" s="1631" t="s">
        <v>1085</v>
      </c>
      <c r="I220" s="1382"/>
      <c r="J220" s="1383"/>
      <c r="K220" s="1382"/>
      <c r="L220" s="1372"/>
    </row>
    <row r="221" spans="1:13" s="31" customFormat="1" ht="17.25" customHeight="1">
      <c r="A221" s="1384" t="s">
        <v>124</v>
      </c>
      <c r="B221" s="1632" t="s">
        <v>1086</v>
      </c>
      <c r="C221" s="1382"/>
      <c r="D221" s="1382"/>
      <c r="E221" s="1382"/>
      <c r="F221" s="1397"/>
      <c r="G221" s="1384" t="s">
        <v>124</v>
      </c>
      <c r="H221" s="1632" t="s">
        <v>1086</v>
      </c>
      <c r="I221" s="1382"/>
      <c r="J221" s="1382"/>
      <c r="K221" s="1382"/>
      <c r="L221" s="1372"/>
    </row>
    <row r="222" spans="1:13" s="31" customFormat="1" ht="17.25" customHeight="1">
      <c r="A222" s="1384" t="s">
        <v>125</v>
      </c>
      <c r="B222" s="1633" t="s">
        <v>1087</v>
      </c>
      <c r="C222" s="1382"/>
      <c r="D222" s="1382"/>
      <c r="E222" s="1377">
        <f>SUM(E221)</f>
        <v>0</v>
      </c>
      <c r="F222" s="1397"/>
      <c r="G222" s="1384" t="s">
        <v>125</v>
      </c>
      <c r="H222" s="1633" t="s">
        <v>1087</v>
      </c>
      <c r="I222" s="1382"/>
      <c r="J222" s="1382"/>
      <c r="K222" s="1377">
        <f>SUM(K221)</f>
        <v>0</v>
      </c>
      <c r="L222" s="1372"/>
      <c r="M222" s="1385">
        <f>E222+K222</f>
        <v>0</v>
      </c>
    </row>
    <row r="223" spans="1:13" s="31" customFormat="1" ht="17.25" customHeight="1">
      <c r="A223" s="1386" t="s">
        <v>126</v>
      </c>
      <c r="B223" s="1634" t="s">
        <v>871</v>
      </c>
      <c r="C223" s="1387"/>
      <c r="D223" s="1387"/>
      <c r="E223" s="1387">
        <f>(E211+E212+E213+E214+E215+E216+E217+E218+E219)-E222</f>
        <v>0</v>
      </c>
      <c r="F223" s="1397"/>
      <c r="G223" s="1386" t="s">
        <v>126</v>
      </c>
      <c r="H223" s="1634" t="s">
        <v>871</v>
      </c>
      <c r="I223" s="1387"/>
      <c r="J223" s="1387"/>
      <c r="K223" s="1387">
        <f>(K211+K212+K213+K214+K215+K216+K217+K218+K219)-K222</f>
        <v>0</v>
      </c>
      <c r="L223" s="1389">
        <f>E223+K223</f>
        <v>0</v>
      </c>
    </row>
    <row r="224" spans="1:13" s="31" customFormat="1" ht="17.25" customHeight="1">
      <c r="A224" s="1392"/>
      <c r="B224" s="1398"/>
      <c r="C224" s="1399"/>
      <c r="D224" s="1399"/>
      <c r="E224" s="1397"/>
      <c r="F224" s="1397"/>
      <c r="G224" s="1392"/>
      <c r="H224" s="1398"/>
      <c r="I224" s="1399"/>
      <c r="J224" s="1397"/>
      <c r="K224" s="1390"/>
      <c r="L224" s="1372"/>
    </row>
    <row r="225" spans="1:13" s="31" customFormat="1" ht="17.25" customHeight="1">
      <c r="A225" s="1395"/>
      <c r="B225" s="1396"/>
      <c r="C225" s="1625"/>
      <c r="D225" s="1625"/>
      <c r="E225" s="1625"/>
      <c r="F225" s="1392"/>
      <c r="G225" s="1395"/>
      <c r="H225" s="1396"/>
      <c r="I225" s="1625"/>
      <c r="J225" s="1625"/>
      <c r="K225" s="1390"/>
      <c r="L225" s="1372"/>
    </row>
    <row r="226" spans="1:13" s="31" customFormat="1" ht="17.25" customHeight="1">
      <c r="A226" s="2182" t="str">
        <f>G208</f>
        <v>LƯƠNG THÁNG 01/2025</v>
      </c>
      <c r="B226" s="2183"/>
      <c r="C226" s="2183"/>
      <c r="D226" s="2183"/>
      <c r="E226" s="1452">
        <v>27</v>
      </c>
      <c r="F226" s="1392"/>
      <c r="G226" s="2182" t="str">
        <f>A226</f>
        <v>LƯƠNG THÁNG 01/2025</v>
      </c>
      <c r="H226" s="2183"/>
      <c r="I226" s="2183"/>
      <c r="J226" s="2184"/>
      <c r="K226" s="1452">
        <v>28</v>
      </c>
      <c r="L226" s="1372"/>
    </row>
    <row r="227" spans="1:13" s="31" customFormat="1" ht="17.25" customHeight="1">
      <c r="A227" s="1391" t="s">
        <v>29</v>
      </c>
      <c r="B227" s="1626" t="str">
        <f>'CNKT '!C42</f>
        <v>T . Lốc</v>
      </c>
      <c r="C227" s="1373"/>
      <c r="D227" s="1623" t="s">
        <v>806</v>
      </c>
      <c r="E227" s="1623" t="s">
        <v>32</v>
      </c>
      <c r="F227" s="1396"/>
      <c r="G227" s="1391" t="s">
        <v>29</v>
      </c>
      <c r="H227" s="1626" t="str">
        <f>'CNKT '!C43</f>
        <v>N . Khâm (1)</v>
      </c>
      <c r="I227" s="1373"/>
      <c r="J227" s="1623" t="s">
        <v>806</v>
      </c>
      <c r="K227" s="1623" t="s">
        <v>32</v>
      </c>
      <c r="L227" s="1372"/>
    </row>
    <row r="228" spans="1:13" s="31" customFormat="1" ht="17.25" customHeight="1">
      <c r="A228" s="1375" t="s">
        <v>807</v>
      </c>
      <c r="B228" s="1628" t="s">
        <v>1080</v>
      </c>
      <c r="C228" s="1376" t="str">
        <f>VLOOKUP(B227,'BTH mủ tạp'!$C$15:$AL$92,36,0)</f>
        <v>B</v>
      </c>
      <c r="D228" s="1377"/>
      <c r="E228" s="1377"/>
      <c r="F228" s="1396"/>
      <c r="G228" s="1375" t="s">
        <v>807</v>
      </c>
      <c r="H228" s="1628" t="s">
        <v>1080</v>
      </c>
      <c r="I228" s="1376" t="str">
        <f>VLOOKUP(H227,'BTH mủ tạp'!$C$15:$AL$92,36,0)</f>
        <v>A</v>
      </c>
      <c r="J228" s="1377"/>
      <c r="K228" s="1377"/>
      <c r="L228" s="1372"/>
    </row>
    <row r="229" spans="1:13" s="31" customFormat="1" ht="17.25" customHeight="1">
      <c r="A229" s="1375" t="s">
        <v>121</v>
      </c>
      <c r="B229" s="1629" t="s">
        <v>865</v>
      </c>
      <c r="C229" s="1378">
        <f>VLOOKUP(B227,'CNKT '!$C$16:$Z$96,3,0)</f>
        <v>0</v>
      </c>
      <c r="D229" s="1379">
        <v>25000</v>
      </c>
      <c r="E229" s="1377">
        <f>C229*D229</f>
        <v>0</v>
      </c>
      <c r="F229" s="1625"/>
      <c r="G229" s="1375" t="s">
        <v>121</v>
      </c>
      <c r="H229" s="1629" t="s">
        <v>865</v>
      </c>
      <c r="I229" s="1378">
        <f>VLOOKUP(H227,'CNKT '!$C$16:$Z$96,3,0)</f>
        <v>0</v>
      </c>
      <c r="J229" s="1379">
        <v>25000</v>
      </c>
      <c r="K229" s="1377">
        <f>I229*J229</f>
        <v>0</v>
      </c>
      <c r="L229" s="1372"/>
    </row>
    <row r="230" spans="1:13" s="31" customFormat="1" ht="17.25" customHeight="1">
      <c r="A230" s="1375" t="s">
        <v>628</v>
      </c>
      <c r="B230" s="1630" t="s">
        <v>1081</v>
      </c>
      <c r="C230" s="1433">
        <f>VLOOKUP(B227,'CNKT '!$C$16:$Z$96,11,0)</f>
        <v>0</v>
      </c>
      <c r="D230" s="1380">
        <f>46.1*$B$2</f>
        <v>30241.600000000002</v>
      </c>
      <c r="E230" s="1377">
        <f t="shared" ref="E230:E234" si="26">C230*D230</f>
        <v>0</v>
      </c>
      <c r="F230" s="1625"/>
      <c r="G230" s="1375" t="s">
        <v>628</v>
      </c>
      <c r="H230" s="1630" t="s">
        <v>1081</v>
      </c>
      <c r="I230" s="1433">
        <f>VLOOKUP(H227,'CNKT '!$C$16:$Z$96,11,0)</f>
        <v>0</v>
      </c>
      <c r="J230" s="1380">
        <f>46.1*$B$2</f>
        <v>30241.600000000002</v>
      </c>
      <c r="K230" s="1377">
        <f t="shared" ref="K230:K234" si="27">I230*J230</f>
        <v>0</v>
      </c>
      <c r="L230" s="1372"/>
    </row>
    <row r="231" spans="1:13" s="31" customFormat="1" ht="17.25" customHeight="1">
      <c r="A231" s="1375" t="s">
        <v>809</v>
      </c>
      <c r="B231" s="1630" t="s">
        <v>1082</v>
      </c>
      <c r="C231" s="1433">
        <f>VLOOKUP(B227,'CNKT '!$C$16:$Z$96,12,0)</f>
        <v>0</v>
      </c>
      <c r="D231" s="1379">
        <f>76.9*$B$2</f>
        <v>50446.400000000001</v>
      </c>
      <c r="E231" s="1377">
        <f t="shared" si="26"/>
        <v>0</v>
      </c>
      <c r="F231" s="1402"/>
      <c r="G231" s="1375" t="s">
        <v>809</v>
      </c>
      <c r="H231" s="1630" t="s">
        <v>1082</v>
      </c>
      <c r="I231" s="1433">
        <f>VLOOKUP(H227,'CNKT '!$C$16:$Z$96,12,0)</f>
        <v>0</v>
      </c>
      <c r="J231" s="1379">
        <f>76.9*$B$2</f>
        <v>50446.400000000001</v>
      </c>
      <c r="K231" s="1377">
        <f t="shared" si="27"/>
        <v>0</v>
      </c>
      <c r="L231" s="1372"/>
    </row>
    <row r="232" spans="1:13" s="31" customFormat="1" ht="17.25" customHeight="1">
      <c r="A232" s="1375" t="s">
        <v>122</v>
      </c>
      <c r="B232" s="1630" t="s">
        <v>1083</v>
      </c>
      <c r="C232" s="1433">
        <f>VLOOKUP(B227,'CNKT '!$C$16:$Z$96,8,0)</f>
        <v>0</v>
      </c>
      <c r="D232" s="1379">
        <f>IF(C228="A",6.1,IF(C228="B",5.8,IF(C228="C",5.5,IF(C228="C.",5.5,IF(C228="D",5.2)))))*$B$2</f>
        <v>3804.7999999999997</v>
      </c>
      <c r="E232" s="1377">
        <f t="shared" si="26"/>
        <v>0</v>
      </c>
      <c r="F232" s="1625"/>
      <c r="G232" s="1375" t="s">
        <v>122</v>
      </c>
      <c r="H232" s="1630" t="s">
        <v>1083</v>
      </c>
      <c r="I232" s="1433">
        <f>VLOOKUP(H227,'CNKT '!$C$16:$Z$96,8,0)</f>
        <v>0</v>
      </c>
      <c r="J232" s="1379">
        <f>IF(I228="A",6.1,IF(I228="B",5.8,IF(I228="C",5.5,IF(I228="C.",5.5,IF(I228="D",5.2)))))*$B$2</f>
        <v>4001.6</v>
      </c>
      <c r="K232" s="1377">
        <f t="shared" si="27"/>
        <v>0</v>
      </c>
      <c r="L232" s="1372"/>
    </row>
    <row r="233" spans="1:13" s="31" customFormat="1" ht="17.25" customHeight="1">
      <c r="A233" s="1375" t="s">
        <v>959</v>
      </c>
      <c r="B233" s="1630" t="s">
        <v>1084</v>
      </c>
      <c r="C233" s="1433">
        <f>VLOOKUP(B227,'CNKT '!$C$16:$Z$96,15,0)</f>
        <v>0</v>
      </c>
      <c r="D233" s="1380">
        <f>92.2*$B$2</f>
        <v>60483.200000000004</v>
      </c>
      <c r="E233" s="1377">
        <f t="shared" si="26"/>
        <v>0</v>
      </c>
      <c r="F233" s="1625"/>
      <c r="G233" s="1375" t="s">
        <v>959</v>
      </c>
      <c r="H233" s="1630" t="s">
        <v>1084</v>
      </c>
      <c r="I233" s="1433">
        <f>VLOOKUP(H227,'CNKT '!$C$16:$Z$96,15,0)</f>
        <v>0</v>
      </c>
      <c r="J233" s="1380">
        <f>92.2*$B$2</f>
        <v>60483.200000000004</v>
      </c>
      <c r="K233" s="1377">
        <f t="shared" si="27"/>
        <v>0</v>
      </c>
      <c r="L233" s="1372"/>
    </row>
    <row r="234" spans="1:13" s="31" customFormat="1" ht="17.25" customHeight="1">
      <c r="A234" s="1375" t="s">
        <v>960</v>
      </c>
      <c r="B234" s="1630" t="s">
        <v>964</v>
      </c>
      <c r="C234" s="1433">
        <f>VLOOKUP(B227,'CNKT '!$C$16:$Z$96,16,0)</f>
        <v>0</v>
      </c>
      <c r="D234" s="1379">
        <f>153.8*$B$2</f>
        <v>100892.8</v>
      </c>
      <c r="E234" s="1377">
        <f t="shared" si="26"/>
        <v>0</v>
      </c>
      <c r="F234" s="1625"/>
      <c r="G234" s="1375" t="s">
        <v>960</v>
      </c>
      <c r="H234" s="1630" t="s">
        <v>964</v>
      </c>
      <c r="I234" s="1433">
        <f>VLOOKUP(H227,'CNKT '!$C$16:$Z$96,16,0)</f>
        <v>0</v>
      </c>
      <c r="J234" s="1379">
        <f>153.8*$B$2</f>
        <v>100892.8</v>
      </c>
      <c r="K234" s="1377">
        <f t="shared" si="27"/>
        <v>0</v>
      </c>
      <c r="L234" s="1372"/>
    </row>
    <row r="235" spans="1:13" s="31" customFormat="1" ht="17.25" customHeight="1">
      <c r="A235" s="1375" t="s">
        <v>899</v>
      </c>
      <c r="B235" s="1630" t="s">
        <v>965</v>
      </c>
      <c r="C235" s="1433">
        <f>VLOOKUP(B227,'CNKT '!$C$16:$Z$96,18,0)</f>
        <v>0</v>
      </c>
      <c r="D235" s="1379">
        <v>10000</v>
      </c>
      <c r="E235" s="1377">
        <f>C235*D235</f>
        <v>0</v>
      </c>
      <c r="F235" s="1625"/>
      <c r="G235" s="1375" t="s">
        <v>899</v>
      </c>
      <c r="H235" s="1630" t="s">
        <v>965</v>
      </c>
      <c r="I235" s="1433">
        <f>VLOOKUP(H227,'CNKT '!$C$16:$Z$96,18,0)</f>
        <v>0</v>
      </c>
      <c r="J235" s="1379">
        <v>10000</v>
      </c>
      <c r="K235" s="1377">
        <f>I235*J235</f>
        <v>0</v>
      </c>
      <c r="L235" s="1372"/>
    </row>
    <row r="236" spans="1:13" s="31" customFormat="1" ht="17.25" customHeight="1">
      <c r="A236" s="1375" t="s">
        <v>899</v>
      </c>
      <c r="B236" s="1630" t="s">
        <v>965</v>
      </c>
      <c r="C236" s="1433">
        <f>VLOOKUP(B227,'CNKT '!$C$16:$Z$96,19,0)</f>
        <v>0</v>
      </c>
      <c r="D236" s="1379">
        <v>20000</v>
      </c>
      <c r="E236" s="1377">
        <f>C236*D236</f>
        <v>0</v>
      </c>
      <c r="F236" s="1625"/>
      <c r="G236" s="1375" t="s">
        <v>899</v>
      </c>
      <c r="H236" s="1630" t="s">
        <v>965</v>
      </c>
      <c r="I236" s="1433">
        <f>VLOOKUP(H227,'CNKT '!$C$16:$Z$96,19,0)</f>
        <v>0</v>
      </c>
      <c r="J236" s="1379">
        <v>20000</v>
      </c>
      <c r="K236" s="1377">
        <f>I236*J236</f>
        <v>0</v>
      </c>
      <c r="L236" s="1372"/>
    </row>
    <row r="237" spans="1:13" s="31" customFormat="1" ht="17.25" customHeight="1">
      <c r="A237" s="1375" t="s">
        <v>995</v>
      </c>
      <c r="B237" s="1630" t="s">
        <v>997</v>
      </c>
      <c r="C237" s="1433"/>
      <c r="D237" s="1379"/>
      <c r="E237" s="1377"/>
      <c r="F237" s="1625"/>
      <c r="G237" s="1375" t="s">
        <v>995</v>
      </c>
      <c r="H237" s="1630" t="s">
        <v>997</v>
      </c>
      <c r="I237" s="1433"/>
      <c r="J237" s="1379"/>
      <c r="K237" s="1377"/>
      <c r="L237" s="1372"/>
    </row>
    <row r="238" spans="1:13" s="31" customFormat="1" ht="17.25" customHeight="1">
      <c r="A238" s="1381" t="s">
        <v>123</v>
      </c>
      <c r="B238" s="1631" t="s">
        <v>1085</v>
      </c>
      <c r="C238" s="1382"/>
      <c r="D238" s="1383"/>
      <c r="E238" s="1382"/>
      <c r="F238" s="1392"/>
      <c r="G238" s="1381" t="s">
        <v>123</v>
      </c>
      <c r="H238" s="1631" t="s">
        <v>1085</v>
      </c>
      <c r="I238" s="1382"/>
      <c r="J238" s="1383"/>
      <c r="K238" s="1382"/>
      <c r="L238" s="1372"/>
    </row>
    <row r="239" spans="1:13" s="31" customFormat="1" ht="17.25" customHeight="1">
      <c r="A239" s="1384" t="s">
        <v>124</v>
      </c>
      <c r="B239" s="1632" t="s">
        <v>1086</v>
      </c>
      <c r="C239" s="1382"/>
      <c r="D239" s="1382"/>
      <c r="E239" s="1382"/>
      <c r="F239" s="1392"/>
      <c r="G239" s="1384" t="s">
        <v>124</v>
      </c>
      <c r="H239" s="1632" t="s">
        <v>1086</v>
      </c>
      <c r="I239" s="1382"/>
      <c r="J239" s="1382"/>
      <c r="K239" s="1382"/>
      <c r="L239" s="1372"/>
    </row>
    <row r="240" spans="1:13" s="31" customFormat="1" ht="17.25" customHeight="1">
      <c r="A240" s="1384" t="s">
        <v>125</v>
      </c>
      <c r="B240" s="1633" t="s">
        <v>1087</v>
      </c>
      <c r="C240" s="1382"/>
      <c r="D240" s="1382"/>
      <c r="E240" s="1377">
        <f>SUM(E239)</f>
        <v>0</v>
      </c>
      <c r="F240" s="1392"/>
      <c r="G240" s="1384" t="s">
        <v>125</v>
      </c>
      <c r="H240" s="1633" t="s">
        <v>1087</v>
      </c>
      <c r="I240" s="1382"/>
      <c r="J240" s="1382"/>
      <c r="K240" s="1377">
        <f>SUM(K239)</f>
        <v>0</v>
      </c>
      <c r="L240" s="1372"/>
      <c r="M240" s="1385">
        <f>E240+K240</f>
        <v>0</v>
      </c>
    </row>
    <row r="241" spans="1:12" s="31" customFormat="1" ht="17.25" customHeight="1">
      <c r="A241" s="1386" t="s">
        <v>126</v>
      </c>
      <c r="B241" s="1634" t="s">
        <v>871</v>
      </c>
      <c r="C241" s="1387"/>
      <c r="D241" s="1387"/>
      <c r="E241" s="1387">
        <f>(E229+E230+E231+E232+E233+E234+E235+E236+E237)-E240</f>
        <v>0</v>
      </c>
      <c r="F241" s="1392"/>
      <c r="G241" s="1386" t="s">
        <v>126</v>
      </c>
      <c r="H241" s="1634" t="s">
        <v>871</v>
      </c>
      <c r="I241" s="1387"/>
      <c r="J241" s="1387"/>
      <c r="K241" s="1387">
        <f>(K229+K230+K231+K232+K233+K234+K235+K236+K237)-K240</f>
        <v>0</v>
      </c>
      <c r="L241" s="1389">
        <f>E241+K241</f>
        <v>0</v>
      </c>
    </row>
    <row r="242" spans="1:12" s="31" customFormat="1" ht="192" customHeight="1">
      <c r="A242" s="1392"/>
      <c r="B242" s="1398"/>
      <c r="C242" s="1399"/>
      <c r="D242" s="1399"/>
      <c r="E242" s="1397"/>
      <c r="F242" s="1392"/>
      <c r="G242" s="1392"/>
      <c r="H242" s="1398"/>
      <c r="I242" s="1399"/>
      <c r="J242" s="1397"/>
      <c r="K242" s="1390"/>
      <c r="L242" s="1372"/>
    </row>
    <row r="243" spans="1:12" s="31" customFormat="1" ht="17.25" customHeight="1">
      <c r="A243" s="2182" t="str">
        <f>G226</f>
        <v>LƯƠNG THÁNG 01/2025</v>
      </c>
      <c r="B243" s="2183"/>
      <c r="C243" s="2183"/>
      <c r="D243" s="2183"/>
      <c r="E243" s="1452">
        <v>29</v>
      </c>
      <c r="F243" s="1625"/>
      <c r="G243" s="2182" t="str">
        <f>A243</f>
        <v>LƯƠNG THÁNG 01/2025</v>
      </c>
      <c r="H243" s="2183"/>
      <c r="I243" s="2183"/>
      <c r="J243" s="2184"/>
      <c r="K243" s="1452">
        <v>30</v>
      </c>
      <c r="L243" s="1372"/>
    </row>
    <row r="244" spans="1:12" s="31" customFormat="1" ht="17.25" customHeight="1">
      <c r="A244" s="1391" t="s">
        <v>29</v>
      </c>
      <c r="B244" s="1626" t="str">
        <f>'CNKT '!C44</f>
        <v>T . Phết</v>
      </c>
      <c r="C244" s="1373"/>
      <c r="D244" s="1623" t="s">
        <v>806</v>
      </c>
      <c r="E244" s="1623" t="s">
        <v>32</v>
      </c>
      <c r="F244" s="1625"/>
      <c r="G244" s="1391" t="s">
        <v>29</v>
      </c>
      <c r="H244" s="1626" t="str">
        <f>'CNKT '!C45</f>
        <v>T. Viêng Sa Văn</v>
      </c>
      <c r="I244" s="1373"/>
      <c r="J244" s="1623" t="s">
        <v>806</v>
      </c>
      <c r="K244" s="1623" t="s">
        <v>32</v>
      </c>
      <c r="L244" s="1372"/>
    </row>
    <row r="245" spans="1:12" s="31" customFormat="1" ht="17.25" customHeight="1">
      <c r="A245" s="1375" t="s">
        <v>807</v>
      </c>
      <c r="B245" s="1628" t="s">
        <v>1080</v>
      </c>
      <c r="C245" s="1376" t="str">
        <f>VLOOKUP(B244,'BTH mủ tạp'!$C$15:$AL$92,36,0)</f>
        <v>A</v>
      </c>
      <c r="D245" s="1377"/>
      <c r="E245" s="1377"/>
      <c r="F245" s="1397"/>
      <c r="G245" s="1375" t="s">
        <v>807</v>
      </c>
      <c r="H245" s="1628" t="s">
        <v>1080</v>
      </c>
      <c r="I245" s="1376" t="str">
        <f>VLOOKUP(H244,'BTH mủ tạp'!$C$15:$AL$92,36,0)</f>
        <v>A</v>
      </c>
      <c r="J245" s="1377"/>
      <c r="K245" s="1377"/>
      <c r="L245" s="1372"/>
    </row>
    <row r="246" spans="1:12" s="31" customFormat="1" ht="17.25" customHeight="1">
      <c r="A246" s="1375" t="s">
        <v>121</v>
      </c>
      <c r="B246" s="1629" t="s">
        <v>865</v>
      </c>
      <c r="C246" s="1378">
        <f>VLOOKUP(B244,'CNKT '!$C$16:$Z$96,3,0)</f>
        <v>0</v>
      </c>
      <c r="D246" s="1379">
        <v>25000</v>
      </c>
      <c r="E246" s="1377">
        <f>C246*D246</f>
        <v>0</v>
      </c>
      <c r="F246" s="1625"/>
      <c r="G246" s="1375" t="s">
        <v>121</v>
      </c>
      <c r="H246" s="1629" t="s">
        <v>865</v>
      </c>
      <c r="I246" s="1378">
        <f>VLOOKUP(H244,'CNKT '!$C$16:$Z$96,3,0)</f>
        <v>0</v>
      </c>
      <c r="J246" s="1379">
        <v>25000</v>
      </c>
      <c r="K246" s="1377">
        <f>I246*J246</f>
        <v>0</v>
      </c>
      <c r="L246" s="1372"/>
    </row>
    <row r="247" spans="1:12" s="31" customFormat="1" ht="17.25" customHeight="1">
      <c r="A247" s="1375" t="s">
        <v>628</v>
      </c>
      <c r="B247" s="1630" t="s">
        <v>1081</v>
      </c>
      <c r="C247" s="1433">
        <f>VLOOKUP(B244,'CNKT '!$C$16:$Z$96,11,0)</f>
        <v>0</v>
      </c>
      <c r="D247" s="1380">
        <f>46.1*$B$2</f>
        <v>30241.600000000002</v>
      </c>
      <c r="E247" s="1377">
        <f t="shared" ref="E247:E251" si="28">C247*D247</f>
        <v>0</v>
      </c>
      <c r="F247" s="1392"/>
      <c r="G247" s="1375" t="s">
        <v>628</v>
      </c>
      <c r="H247" s="1630" t="s">
        <v>1081</v>
      </c>
      <c r="I247" s="1433">
        <f>VLOOKUP(H244,'CNKT '!$C$16:$Z$96,11,0)</f>
        <v>0</v>
      </c>
      <c r="J247" s="1380">
        <f>46.1*$B$2</f>
        <v>30241.600000000002</v>
      </c>
      <c r="K247" s="1377">
        <f t="shared" ref="K247:K251" si="29">I247*J247</f>
        <v>0</v>
      </c>
      <c r="L247" s="1372"/>
    </row>
    <row r="248" spans="1:12" s="31" customFormat="1" ht="17.25" customHeight="1">
      <c r="A248" s="1375" t="s">
        <v>809</v>
      </c>
      <c r="B248" s="1630" t="s">
        <v>1082</v>
      </c>
      <c r="C248" s="1433">
        <f>VLOOKUP(B244,'CNKT '!$C$16:$Z$96,12,0)</f>
        <v>0</v>
      </c>
      <c r="D248" s="1379">
        <f>76.9*$B$2</f>
        <v>50446.400000000001</v>
      </c>
      <c r="E248" s="1377">
        <f t="shared" si="28"/>
        <v>0</v>
      </c>
      <c r="F248" s="1392"/>
      <c r="G248" s="1375" t="s">
        <v>809</v>
      </c>
      <c r="H248" s="1630" t="s">
        <v>1082</v>
      </c>
      <c r="I248" s="1433">
        <f>VLOOKUP(H244,'CNKT '!$C$16:$Z$96,12,0)</f>
        <v>0</v>
      </c>
      <c r="J248" s="1379">
        <f>76.9*$B$2</f>
        <v>50446.400000000001</v>
      </c>
      <c r="K248" s="1377">
        <f t="shared" si="29"/>
        <v>0</v>
      </c>
      <c r="L248" s="1372"/>
    </row>
    <row r="249" spans="1:12" s="31" customFormat="1" ht="17.25" customHeight="1">
      <c r="A249" s="1375" t="s">
        <v>122</v>
      </c>
      <c r="B249" s="1630" t="s">
        <v>1083</v>
      </c>
      <c r="C249" s="1433">
        <f>VLOOKUP(B244,'CNKT '!$C$16:$Z$96,8,0)</f>
        <v>0</v>
      </c>
      <c r="D249" s="1379">
        <f>IF(C245="A",6.1,IF(C245="B",5.8,IF(C245="C",5.5,IF(C245="C.",5.5,IF(C245="D",5.2)))))*$B$2</f>
        <v>4001.6</v>
      </c>
      <c r="E249" s="1377">
        <f t="shared" si="28"/>
        <v>0</v>
      </c>
      <c r="F249" s="1392"/>
      <c r="G249" s="1375" t="s">
        <v>122</v>
      </c>
      <c r="H249" s="1630" t="s">
        <v>1083</v>
      </c>
      <c r="I249" s="1433">
        <f>VLOOKUP(H244,'CNKT '!$C$16:$Z$96,8,0)</f>
        <v>0</v>
      </c>
      <c r="J249" s="1379">
        <f>IF(I245="A",6.1,IF(I245="B",5.8,IF(I245="C",5.5,IF(I245="C.",5.5,IF(I245="D",5.2)))))*$B$2</f>
        <v>4001.6</v>
      </c>
      <c r="K249" s="1377">
        <f t="shared" si="29"/>
        <v>0</v>
      </c>
      <c r="L249" s="1372"/>
    </row>
    <row r="250" spans="1:12" s="31" customFormat="1" ht="17.25" customHeight="1">
      <c r="A250" s="1375" t="s">
        <v>959</v>
      </c>
      <c r="B250" s="1630" t="s">
        <v>1084</v>
      </c>
      <c r="C250" s="1433">
        <f>VLOOKUP(B244,'CNKT '!$C$16:$Z$96,15,0)</f>
        <v>0</v>
      </c>
      <c r="D250" s="1380">
        <f>92.2*$B$2</f>
        <v>60483.200000000004</v>
      </c>
      <c r="E250" s="1377">
        <f t="shared" si="28"/>
        <v>0</v>
      </c>
      <c r="F250" s="1392"/>
      <c r="G250" s="1375" t="s">
        <v>959</v>
      </c>
      <c r="H250" s="1630" t="s">
        <v>1084</v>
      </c>
      <c r="I250" s="1433">
        <f>VLOOKUP(H244,'CNKT '!$C$16:$Z$96,15,0)</f>
        <v>0</v>
      </c>
      <c r="J250" s="1380">
        <f>92.2*$B$2</f>
        <v>60483.200000000004</v>
      </c>
      <c r="K250" s="1377">
        <f t="shared" si="29"/>
        <v>0</v>
      </c>
      <c r="L250" s="1372"/>
    </row>
    <row r="251" spans="1:12" s="31" customFormat="1" ht="17.25" customHeight="1">
      <c r="A251" s="1375" t="s">
        <v>960</v>
      </c>
      <c r="B251" s="1630" t="s">
        <v>964</v>
      </c>
      <c r="C251" s="1433">
        <f>VLOOKUP(B244,'CNKT '!$C$16:$Z$96,16,0)</f>
        <v>0</v>
      </c>
      <c r="D251" s="1379">
        <f>153.8*$B$2</f>
        <v>100892.8</v>
      </c>
      <c r="E251" s="1377">
        <f t="shared" si="28"/>
        <v>0</v>
      </c>
      <c r="F251" s="1392"/>
      <c r="G251" s="1375" t="s">
        <v>960</v>
      </c>
      <c r="H251" s="1630" t="s">
        <v>964</v>
      </c>
      <c r="I251" s="1433">
        <f>VLOOKUP(H244,'CNKT '!$C$16:$Z$96,16,0)</f>
        <v>0</v>
      </c>
      <c r="J251" s="1379">
        <f>153.8*$B$2</f>
        <v>100892.8</v>
      </c>
      <c r="K251" s="1377">
        <f t="shared" si="29"/>
        <v>0</v>
      </c>
      <c r="L251" s="1372"/>
    </row>
    <row r="252" spans="1:12" s="31" customFormat="1" ht="17.25" customHeight="1">
      <c r="A252" s="1375" t="s">
        <v>899</v>
      </c>
      <c r="B252" s="1630" t="s">
        <v>965</v>
      </c>
      <c r="C252" s="1433">
        <f>VLOOKUP(B244,'CNKT '!$C$16:$Z$96,18,0)</f>
        <v>0</v>
      </c>
      <c r="D252" s="1379">
        <v>10000</v>
      </c>
      <c r="E252" s="1377">
        <f>C252*D252</f>
        <v>0</v>
      </c>
      <c r="F252" s="1392"/>
      <c r="G252" s="1375" t="s">
        <v>899</v>
      </c>
      <c r="H252" s="1630" t="s">
        <v>965</v>
      </c>
      <c r="I252" s="1433">
        <f>VLOOKUP(H244,'CNKT '!$C$16:$Z$96,18,0)</f>
        <v>0</v>
      </c>
      <c r="J252" s="1379">
        <v>10000</v>
      </c>
      <c r="K252" s="1377">
        <f>I252*J252</f>
        <v>0</v>
      </c>
      <c r="L252" s="1372"/>
    </row>
    <row r="253" spans="1:12" s="31" customFormat="1" ht="17.25" customHeight="1">
      <c r="A253" s="1375" t="s">
        <v>899</v>
      </c>
      <c r="B253" s="1630" t="s">
        <v>965</v>
      </c>
      <c r="C253" s="1433">
        <f>VLOOKUP(B244,'CNKT '!$C$16:$Z$96,19,0)</f>
        <v>0</v>
      </c>
      <c r="D253" s="1379">
        <v>20000</v>
      </c>
      <c r="E253" s="1377">
        <f>C253*D253</f>
        <v>0</v>
      </c>
      <c r="F253" s="1392"/>
      <c r="G253" s="1375" t="s">
        <v>899</v>
      </c>
      <c r="H253" s="1630" t="s">
        <v>965</v>
      </c>
      <c r="I253" s="1433">
        <f>VLOOKUP(H244,'CNKT '!$C$16:$Z$96,19,0)</f>
        <v>0</v>
      </c>
      <c r="J253" s="1379">
        <v>20000</v>
      </c>
      <c r="K253" s="1377">
        <f>I253*J253</f>
        <v>0</v>
      </c>
      <c r="L253" s="1372"/>
    </row>
    <row r="254" spans="1:12" s="31" customFormat="1" ht="17.25" customHeight="1">
      <c r="A254" s="1375" t="s">
        <v>995</v>
      </c>
      <c r="B254" s="1630" t="s">
        <v>997</v>
      </c>
      <c r="C254" s="1433"/>
      <c r="D254" s="1379"/>
      <c r="E254" s="1377"/>
      <c r="F254" s="1392"/>
      <c r="G254" s="1375" t="s">
        <v>995</v>
      </c>
      <c r="H254" s="1630" t="s">
        <v>997</v>
      </c>
      <c r="I254" s="1433"/>
      <c r="J254" s="1379"/>
      <c r="K254" s="1377"/>
      <c r="L254" s="1372"/>
    </row>
    <row r="255" spans="1:12" s="31" customFormat="1" ht="17.25" customHeight="1">
      <c r="A255" s="1381" t="s">
        <v>123</v>
      </c>
      <c r="B255" s="1631" t="s">
        <v>1085</v>
      </c>
      <c r="C255" s="1382"/>
      <c r="D255" s="1383"/>
      <c r="E255" s="1382"/>
      <c r="F255" s="1392"/>
      <c r="G255" s="1381" t="s">
        <v>123</v>
      </c>
      <c r="H255" s="1631" t="s">
        <v>1085</v>
      </c>
      <c r="I255" s="1382"/>
      <c r="J255" s="1383"/>
      <c r="K255" s="1382"/>
      <c r="L255" s="1372"/>
    </row>
    <row r="256" spans="1:12" s="31" customFormat="1" ht="17.25" customHeight="1">
      <c r="A256" s="1384" t="s">
        <v>124</v>
      </c>
      <c r="B256" s="1632" t="s">
        <v>1086</v>
      </c>
      <c r="C256" s="1382"/>
      <c r="D256" s="1382"/>
      <c r="E256" s="1382"/>
      <c r="F256" s="1396"/>
      <c r="G256" s="1384" t="s">
        <v>124</v>
      </c>
      <c r="H256" s="1632" t="s">
        <v>1086</v>
      </c>
      <c r="I256" s="1382"/>
      <c r="J256" s="1382"/>
      <c r="K256" s="1382"/>
      <c r="L256" s="1372"/>
    </row>
    <row r="257" spans="1:13" s="31" customFormat="1" ht="17.25" customHeight="1">
      <c r="A257" s="1384" t="s">
        <v>125</v>
      </c>
      <c r="B257" s="1633" t="s">
        <v>1087</v>
      </c>
      <c r="C257" s="1382"/>
      <c r="D257" s="1382"/>
      <c r="E257" s="1377">
        <f>SUM(E256)</f>
        <v>0</v>
      </c>
      <c r="F257" s="1396"/>
      <c r="G257" s="1384" t="s">
        <v>125</v>
      </c>
      <c r="H257" s="1633" t="s">
        <v>1087</v>
      </c>
      <c r="I257" s="1382"/>
      <c r="J257" s="1382"/>
      <c r="K257" s="1377">
        <f>SUM(K256)</f>
        <v>0</v>
      </c>
      <c r="L257" s="1372"/>
      <c r="M257" s="1385">
        <f>E257+K257</f>
        <v>0</v>
      </c>
    </row>
    <row r="258" spans="1:13" s="31" customFormat="1" ht="17.25" customHeight="1">
      <c r="A258" s="1386" t="s">
        <v>126</v>
      </c>
      <c r="B258" s="1634" t="s">
        <v>871</v>
      </c>
      <c r="C258" s="1387"/>
      <c r="D258" s="1387"/>
      <c r="E258" s="1387">
        <f>(E246+E247+E248+E249+E250+E251+E252+E253+E254)-E257</f>
        <v>0</v>
      </c>
      <c r="F258" s="1396"/>
      <c r="G258" s="1386" t="s">
        <v>126</v>
      </c>
      <c r="H258" s="1634" t="s">
        <v>871</v>
      </c>
      <c r="I258" s="1387"/>
      <c r="J258" s="1387"/>
      <c r="K258" s="1387">
        <f>(K246+K247+K248+K249+K250+K251+K252+K253+K254)-K257</f>
        <v>0</v>
      </c>
      <c r="L258" s="1389">
        <f>E258+K258</f>
        <v>0</v>
      </c>
    </row>
    <row r="259" spans="1:13" s="31" customFormat="1" ht="15" customHeight="1">
      <c r="A259" s="1392"/>
      <c r="B259" s="1398"/>
      <c r="C259" s="1399"/>
      <c r="D259" s="1399"/>
      <c r="E259" s="1397"/>
      <c r="F259" s="1396"/>
      <c r="G259" s="1392"/>
      <c r="H259" s="1398"/>
      <c r="I259" s="1399"/>
      <c r="J259" s="1397"/>
      <c r="K259" s="1390"/>
      <c r="L259" s="1372"/>
    </row>
    <row r="260" spans="1:13" s="31" customFormat="1" ht="17.25" customHeight="1">
      <c r="A260" s="2182" t="str">
        <f>G243</f>
        <v>LƯƠNG THÁNG 01/2025</v>
      </c>
      <c r="B260" s="2183"/>
      <c r="C260" s="2183"/>
      <c r="D260" s="2183"/>
      <c r="E260" s="1452">
        <v>31</v>
      </c>
      <c r="F260" s="1397"/>
      <c r="G260" s="2182" t="str">
        <f>A260</f>
        <v>LƯƠNG THÁNG 01/2025</v>
      </c>
      <c r="H260" s="2183"/>
      <c r="I260" s="2183"/>
      <c r="J260" s="2184"/>
      <c r="K260" s="1452">
        <v>32</v>
      </c>
      <c r="L260" s="1372"/>
    </row>
    <row r="261" spans="1:13" s="31" customFormat="1" ht="17.25" customHeight="1">
      <c r="A261" s="1391" t="s">
        <v>29</v>
      </c>
      <c r="B261" s="1626" t="str">
        <f>'CNKT '!C46</f>
        <v>T. Ca Te</v>
      </c>
      <c r="C261" s="1373"/>
      <c r="D261" s="1623" t="s">
        <v>806</v>
      </c>
      <c r="E261" s="1623" t="s">
        <v>32</v>
      </c>
      <c r="F261" s="1402"/>
      <c r="G261" s="1391" t="s">
        <v>29</v>
      </c>
      <c r="H261" s="1626" t="str">
        <f>'CNKT '!C47</f>
        <v>T. Lâm Phon</v>
      </c>
      <c r="I261" s="1373"/>
      <c r="J261" s="1623" t="s">
        <v>806</v>
      </c>
      <c r="K261" s="1623" t="s">
        <v>32</v>
      </c>
      <c r="L261" s="1372"/>
    </row>
    <row r="262" spans="1:13" s="31" customFormat="1" ht="17.25" customHeight="1">
      <c r="A262" s="1375" t="s">
        <v>807</v>
      </c>
      <c r="B262" s="1628" t="s">
        <v>1080</v>
      </c>
      <c r="C262" s="1376" t="str">
        <f>VLOOKUP(B261,'BTH mủ tạp'!$C$15:$AL$92,36,0)</f>
        <v>A</v>
      </c>
      <c r="D262" s="1377"/>
      <c r="E262" s="1377"/>
      <c r="F262" s="1625"/>
      <c r="G262" s="1375" t="s">
        <v>807</v>
      </c>
      <c r="H262" s="1628" t="s">
        <v>1080</v>
      </c>
      <c r="I262" s="1376" t="str">
        <f>VLOOKUP(H261,'BTH mủ tạp'!$C$15:$AL$92,36,0)</f>
        <v>A</v>
      </c>
      <c r="J262" s="1377"/>
      <c r="K262" s="1377"/>
      <c r="L262" s="1372"/>
    </row>
    <row r="263" spans="1:13" s="31" customFormat="1" ht="17.25" customHeight="1">
      <c r="A263" s="1375" t="s">
        <v>121</v>
      </c>
      <c r="B263" s="1629" t="s">
        <v>865</v>
      </c>
      <c r="C263" s="1378">
        <f>VLOOKUP(B261,'CNKT '!$C$16:$Z$96,3,0)</f>
        <v>0</v>
      </c>
      <c r="D263" s="1379">
        <v>25000</v>
      </c>
      <c r="E263" s="1377">
        <f>C263*D263</f>
        <v>0</v>
      </c>
      <c r="F263" s="1392"/>
      <c r="G263" s="1375" t="s">
        <v>121</v>
      </c>
      <c r="H263" s="1629" t="s">
        <v>865</v>
      </c>
      <c r="I263" s="1378">
        <f>VLOOKUP(H261,'CNKT '!$C$16:$Z$96,3,0)</f>
        <v>0</v>
      </c>
      <c r="J263" s="1379">
        <v>25000</v>
      </c>
      <c r="K263" s="1377">
        <f>I263*J263</f>
        <v>0</v>
      </c>
      <c r="L263" s="1372"/>
    </row>
    <row r="264" spans="1:13" s="31" customFormat="1" ht="17.25" customHeight="1">
      <c r="A264" s="1375" t="s">
        <v>628</v>
      </c>
      <c r="B264" s="1630" t="s">
        <v>1081</v>
      </c>
      <c r="C264" s="1433">
        <f>VLOOKUP(B261,'CNKT '!$C$16:$Z$96,11,0)</f>
        <v>0</v>
      </c>
      <c r="D264" s="1380">
        <f>46.1*$B$2</f>
        <v>30241.600000000002</v>
      </c>
      <c r="E264" s="1377">
        <f t="shared" ref="E264:E268" si="30">C264*D264</f>
        <v>0</v>
      </c>
      <c r="F264" s="1392"/>
      <c r="G264" s="1375" t="s">
        <v>628</v>
      </c>
      <c r="H264" s="1630" t="s">
        <v>1081</v>
      </c>
      <c r="I264" s="1433">
        <f>VLOOKUP(H261,'CNKT '!$C$16:$Z$96,11,0)</f>
        <v>0</v>
      </c>
      <c r="J264" s="1380">
        <f>46.1*$B$2</f>
        <v>30241.600000000002</v>
      </c>
      <c r="K264" s="1377">
        <f t="shared" ref="K264:K268" si="31">I264*J264</f>
        <v>0</v>
      </c>
      <c r="L264" s="1372"/>
    </row>
    <row r="265" spans="1:13" s="31" customFormat="1" ht="17.25" customHeight="1">
      <c r="A265" s="1375" t="s">
        <v>809</v>
      </c>
      <c r="B265" s="1630" t="s">
        <v>1082</v>
      </c>
      <c r="C265" s="1433">
        <f>VLOOKUP(B261,'CNKT '!$C$16:$Z$96,12,0)</f>
        <v>0</v>
      </c>
      <c r="D265" s="1379">
        <f>76.9*$B$2</f>
        <v>50446.400000000001</v>
      </c>
      <c r="E265" s="1377">
        <f t="shared" si="30"/>
        <v>0</v>
      </c>
      <c r="F265" s="1392"/>
      <c r="G265" s="1375" t="s">
        <v>809</v>
      </c>
      <c r="H265" s="1630" t="s">
        <v>1082</v>
      </c>
      <c r="I265" s="1433">
        <f>VLOOKUP(H261,'CNKT '!$C$16:$Z$96,12,0)</f>
        <v>0</v>
      </c>
      <c r="J265" s="1379">
        <f>76.9*$B$2</f>
        <v>50446.400000000001</v>
      </c>
      <c r="K265" s="1377">
        <f t="shared" si="31"/>
        <v>0</v>
      </c>
      <c r="L265" s="1372"/>
    </row>
    <row r="266" spans="1:13" s="31" customFormat="1" ht="17.25" customHeight="1">
      <c r="A266" s="1375" t="s">
        <v>122</v>
      </c>
      <c r="B266" s="1630" t="s">
        <v>1083</v>
      </c>
      <c r="C266" s="1433">
        <f>VLOOKUP(B261,'CNKT '!$C$16:$Z$96,8,0)</f>
        <v>0</v>
      </c>
      <c r="D266" s="1379">
        <f>IF(C262="A",6.1,IF(C262="B",5.8,IF(C262="C",5.5,IF(C262="C.",5.5,IF(C262="D",5.2)))))*$B$2</f>
        <v>4001.6</v>
      </c>
      <c r="E266" s="1377">
        <f t="shared" si="30"/>
        <v>0</v>
      </c>
      <c r="F266" s="1392"/>
      <c r="G266" s="1375" t="s">
        <v>122</v>
      </c>
      <c r="H266" s="1630" t="s">
        <v>1083</v>
      </c>
      <c r="I266" s="1433">
        <f>VLOOKUP(H261,'CNKT '!$C$16:$Z$96,8,0)</f>
        <v>0</v>
      </c>
      <c r="J266" s="1379">
        <f>IF(I262="A",6.1,IF(I262="B",5.8,IF(I262="C",5.5,IF(I262="C.",5.5,IF(I262="D",5.2)))))*$B$2</f>
        <v>4001.6</v>
      </c>
      <c r="K266" s="1377">
        <f t="shared" si="31"/>
        <v>0</v>
      </c>
      <c r="L266" s="1372"/>
    </row>
    <row r="267" spans="1:13" s="31" customFormat="1" ht="17.25" customHeight="1">
      <c r="A267" s="1375" t="s">
        <v>959</v>
      </c>
      <c r="B267" s="1630" t="s">
        <v>1084</v>
      </c>
      <c r="C267" s="1433">
        <f>VLOOKUP(B261,'CNKT '!$C$16:$Z$96,15,0)</f>
        <v>0</v>
      </c>
      <c r="D267" s="1380">
        <f>92.2*$B$2</f>
        <v>60483.200000000004</v>
      </c>
      <c r="E267" s="1377">
        <f t="shared" si="30"/>
        <v>0</v>
      </c>
      <c r="F267" s="1392"/>
      <c r="G267" s="1375" t="s">
        <v>959</v>
      </c>
      <c r="H267" s="1630" t="s">
        <v>1084</v>
      </c>
      <c r="I267" s="1433">
        <f>VLOOKUP(H261,'CNKT '!$C$16:$Z$96,15,0)</f>
        <v>0</v>
      </c>
      <c r="J267" s="1380">
        <f>92.2*$B$2</f>
        <v>60483.200000000004</v>
      </c>
      <c r="K267" s="1377">
        <f t="shared" si="31"/>
        <v>0</v>
      </c>
      <c r="L267" s="1372"/>
    </row>
    <row r="268" spans="1:13" s="31" customFormat="1" ht="17.25" customHeight="1">
      <c r="A268" s="1375" t="s">
        <v>960</v>
      </c>
      <c r="B268" s="1630" t="s">
        <v>964</v>
      </c>
      <c r="C268" s="1433">
        <f>VLOOKUP(B261,'CNKT '!$C$16:$Z$96,16,0)</f>
        <v>0</v>
      </c>
      <c r="D268" s="1379">
        <f>153.8*$B$2</f>
        <v>100892.8</v>
      </c>
      <c r="E268" s="1377">
        <f t="shared" si="30"/>
        <v>0</v>
      </c>
      <c r="F268" s="1392"/>
      <c r="G268" s="1375" t="s">
        <v>960</v>
      </c>
      <c r="H268" s="1630" t="s">
        <v>964</v>
      </c>
      <c r="I268" s="1433">
        <f>VLOOKUP(H261,'CNKT '!$C$16:$Z$96,16,0)</f>
        <v>0</v>
      </c>
      <c r="J268" s="1379">
        <f>153.8*$B$2</f>
        <v>100892.8</v>
      </c>
      <c r="K268" s="1377">
        <f t="shared" si="31"/>
        <v>0</v>
      </c>
      <c r="L268" s="1372"/>
    </row>
    <row r="269" spans="1:13" s="31" customFormat="1" ht="17.25" customHeight="1">
      <c r="A269" s="1375" t="s">
        <v>899</v>
      </c>
      <c r="B269" s="1630" t="s">
        <v>965</v>
      </c>
      <c r="C269" s="1433">
        <f>VLOOKUP(B261,'CNKT '!$C$16:$Z$96,18,0)</f>
        <v>0</v>
      </c>
      <c r="D269" s="1379">
        <v>10000</v>
      </c>
      <c r="E269" s="1377">
        <f>C269*D269</f>
        <v>0</v>
      </c>
      <c r="F269" s="1392"/>
      <c r="G269" s="1375" t="s">
        <v>899</v>
      </c>
      <c r="H269" s="1630" t="s">
        <v>965</v>
      </c>
      <c r="I269" s="1433">
        <f>VLOOKUP(H261,'CNKT '!$C$16:$Z$96,18,0)</f>
        <v>0</v>
      </c>
      <c r="J269" s="1379">
        <v>10000</v>
      </c>
      <c r="K269" s="1377">
        <f>I269*J269</f>
        <v>0</v>
      </c>
      <c r="L269" s="1372"/>
    </row>
    <row r="270" spans="1:13" s="31" customFormat="1" ht="17.25" customHeight="1">
      <c r="A270" s="1375" t="s">
        <v>899</v>
      </c>
      <c r="B270" s="1630" t="s">
        <v>965</v>
      </c>
      <c r="C270" s="1433">
        <f>VLOOKUP(B261,'CNKT '!$C$16:$Z$96,19,0)</f>
        <v>0</v>
      </c>
      <c r="D270" s="1379">
        <v>20000</v>
      </c>
      <c r="E270" s="1377">
        <f>C270*D270</f>
        <v>0</v>
      </c>
      <c r="F270" s="1392"/>
      <c r="G270" s="1375" t="s">
        <v>899</v>
      </c>
      <c r="H270" s="1630" t="s">
        <v>965</v>
      </c>
      <c r="I270" s="1433">
        <f>VLOOKUP(H261,'CNKT '!$C$16:$Z$96,19,0)</f>
        <v>0</v>
      </c>
      <c r="J270" s="1379">
        <v>20000</v>
      </c>
      <c r="K270" s="1377">
        <f>I270*J270</f>
        <v>0</v>
      </c>
      <c r="L270" s="1372"/>
    </row>
    <row r="271" spans="1:13" s="31" customFormat="1" ht="17.25" customHeight="1">
      <c r="A271" s="1375" t="s">
        <v>995</v>
      </c>
      <c r="B271" s="1630" t="s">
        <v>997</v>
      </c>
      <c r="C271" s="1433"/>
      <c r="D271" s="1379"/>
      <c r="E271" s="1377"/>
      <c r="F271" s="1392"/>
      <c r="G271" s="1375" t="s">
        <v>995</v>
      </c>
      <c r="H271" s="1630" t="s">
        <v>997</v>
      </c>
      <c r="I271" s="1433"/>
      <c r="J271" s="1379"/>
      <c r="K271" s="1377"/>
      <c r="L271" s="1372"/>
    </row>
    <row r="272" spans="1:13" s="31" customFormat="1" ht="17.25" customHeight="1">
      <c r="A272" s="1381" t="s">
        <v>123</v>
      </c>
      <c r="B272" s="1631" t="s">
        <v>1085</v>
      </c>
      <c r="C272" s="1382"/>
      <c r="D272" s="1383"/>
      <c r="E272" s="1382"/>
      <c r="F272" s="1396"/>
      <c r="G272" s="1381" t="s">
        <v>123</v>
      </c>
      <c r="H272" s="1631" t="s">
        <v>1085</v>
      </c>
      <c r="I272" s="1382"/>
      <c r="J272" s="1383"/>
      <c r="K272" s="1382"/>
      <c r="L272" s="1372"/>
    </row>
    <row r="273" spans="1:13" s="31" customFormat="1" ht="17.25" customHeight="1">
      <c r="A273" s="1384" t="s">
        <v>124</v>
      </c>
      <c r="B273" s="1632" t="s">
        <v>1086</v>
      </c>
      <c r="C273" s="1382"/>
      <c r="D273" s="1382"/>
      <c r="E273" s="1382"/>
      <c r="F273" s="1396"/>
      <c r="G273" s="1384" t="s">
        <v>124</v>
      </c>
      <c r="H273" s="1632" t="s">
        <v>1086</v>
      </c>
      <c r="I273" s="1382"/>
      <c r="J273" s="1382"/>
      <c r="K273" s="1382"/>
      <c r="L273" s="1372"/>
    </row>
    <row r="274" spans="1:13" s="31" customFormat="1" ht="17.25" customHeight="1">
      <c r="A274" s="1384" t="s">
        <v>125</v>
      </c>
      <c r="B274" s="1633" t="s">
        <v>1087</v>
      </c>
      <c r="C274" s="1382"/>
      <c r="D274" s="1382"/>
      <c r="E274" s="1377">
        <f>SUM(E273)</f>
        <v>0</v>
      </c>
      <c r="F274" s="1396"/>
      <c r="G274" s="1384" t="s">
        <v>125</v>
      </c>
      <c r="H274" s="1633" t="s">
        <v>1087</v>
      </c>
      <c r="I274" s="1382"/>
      <c r="J274" s="1382"/>
      <c r="K274" s="1377">
        <f>SUM(K273)</f>
        <v>0</v>
      </c>
      <c r="L274" s="1372"/>
      <c r="M274" s="1385">
        <f>E274+K274</f>
        <v>0</v>
      </c>
    </row>
    <row r="275" spans="1:13" s="31" customFormat="1" ht="17.25" customHeight="1">
      <c r="A275" s="1386" t="s">
        <v>126</v>
      </c>
      <c r="B275" s="1634" t="s">
        <v>871</v>
      </c>
      <c r="C275" s="1387"/>
      <c r="D275" s="1387"/>
      <c r="E275" s="1387">
        <f>(E263+E264+E265+E266+E267+E268+E269+E270+E271)-E274</f>
        <v>0</v>
      </c>
      <c r="F275" s="1396"/>
      <c r="G275" s="1386" t="s">
        <v>126</v>
      </c>
      <c r="H275" s="1634" t="s">
        <v>871</v>
      </c>
      <c r="I275" s="1387"/>
      <c r="J275" s="1387"/>
      <c r="K275" s="1387">
        <f>(K263+K264+K265+K266+K267+K268+K269+K270+K271)-K274</f>
        <v>0</v>
      </c>
      <c r="L275" s="1389">
        <f>E275+K275</f>
        <v>0</v>
      </c>
    </row>
    <row r="276" spans="1:13" s="31" customFormat="1" ht="17.25" customHeight="1">
      <c r="A276" s="1392"/>
      <c r="B276" s="1398"/>
      <c r="C276" s="1399"/>
      <c r="D276" s="1399"/>
      <c r="E276" s="1397"/>
      <c r="F276" s="1396"/>
      <c r="G276" s="1392"/>
      <c r="H276" s="1398"/>
      <c r="I276" s="1399"/>
      <c r="J276" s="1397"/>
      <c r="K276" s="1400"/>
      <c r="L276" s="1372"/>
    </row>
    <row r="277" spans="1:13" s="31" customFormat="1" ht="17.25" customHeight="1">
      <c r="A277" s="2182" t="str">
        <f>G260</f>
        <v>LƯƠNG THÁNG 01/2025</v>
      </c>
      <c r="B277" s="2183"/>
      <c r="C277" s="2183"/>
      <c r="D277" s="2183"/>
      <c r="E277" s="1452">
        <v>33</v>
      </c>
      <c r="F277" s="1397"/>
      <c r="G277" s="2182" t="str">
        <f>A277</f>
        <v>LƯƠNG THÁNG 01/2025</v>
      </c>
      <c r="H277" s="2183"/>
      <c r="I277" s="2183"/>
      <c r="J277" s="2184"/>
      <c r="K277" s="1452">
        <v>34</v>
      </c>
      <c r="L277" s="1372"/>
    </row>
    <row r="278" spans="1:13" s="31" customFormat="1" ht="17.25" customHeight="1">
      <c r="A278" s="1391" t="s">
        <v>29</v>
      </c>
      <c r="B278" s="1626" t="str">
        <f>'CNKT '!C48</f>
        <v>T. Sô Đa</v>
      </c>
      <c r="C278" s="1373"/>
      <c r="D278" s="1623" t="s">
        <v>806</v>
      </c>
      <c r="E278" s="1623" t="s">
        <v>32</v>
      </c>
      <c r="F278" s="1397"/>
      <c r="G278" s="1391" t="s">
        <v>29</v>
      </c>
      <c r="H278" s="1626" t="str">
        <f>'CNKT '!C49</f>
        <v>T. Phu Ngân</v>
      </c>
      <c r="I278" s="1373"/>
      <c r="J278" s="1623" t="s">
        <v>806</v>
      </c>
      <c r="K278" s="1623" t="s">
        <v>32</v>
      </c>
      <c r="L278" s="1372"/>
    </row>
    <row r="279" spans="1:13" s="31" customFormat="1" ht="17.25" customHeight="1">
      <c r="A279" s="1375" t="s">
        <v>807</v>
      </c>
      <c r="B279" s="1628" t="s">
        <v>1080</v>
      </c>
      <c r="C279" s="1376" t="str">
        <f>VLOOKUP(B278,'BTH mủ tạp'!$C$15:$AL$92,36,0)</f>
        <v>A</v>
      </c>
      <c r="D279" s="1377"/>
      <c r="E279" s="1377"/>
      <c r="F279" s="1397"/>
      <c r="G279" s="1375" t="s">
        <v>807</v>
      </c>
      <c r="H279" s="1628" t="s">
        <v>1080</v>
      </c>
      <c r="I279" s="1376" t="str">
        <f>VLOOKUP(H278,'BTH mủ tạp'!$C$15:$AL$92,36,0)</f>
        <v>A</v>
      </c>
      <c r="J279" s="1377"/>
      <c r="K279" s="1377"/>
      <c r="L279" s="1372"/>
    </row>
    <row r="280" spans="1:13" s="31" customFormat="1" ht="17.25" customHeight="1">
      <c r="A280" s="1375" t="s">
        <v>121</v>
      </c>
      <c r="B280" s="1629" t="s">
        <v>865</v>
      </c>
      <c r="C280" s="1378">
        <f>VLOOKUP(B278,'CNKT '!$C$16:$Z$96,3,0)</f>
        <v>0</v>
      </c>
      <c r="D280" s="1379">
        <v>25000</v>
      </c>
      <c r="E280" s="1377">
        <f>C280*D280</f>
        <v>0</v>
      </c>
      <c r="F280" s="1397"/>
      <c r="G280" s="1375" t="s">
        <v>121</v>
      </c>
      <c r="H280" s="1629" t="s">
        <v>865</v>
      </c>
      <c r="I280" s="1378">
        <f>VLOOKUP(H278,'CNKT '!$C$16:$Z$96,3,0)</f>
        <v>0</v>
      </c>
      <c r="J280" s="1379">
        <v>25000</v>
      </c>
      <c r="K280" s="1377">
        <f>I280*J280</f>
        <v>0</v>
      </c>
      <c r="L280" s="1372"/>
    </row>
    <row r="281" spans="1:13" s="31" customFormat="1" ht="17.25" customHeight="1">
      <c r="A281" s="1375" t="s">
        <v>628</v>
      </c>
      <c r="B281" s="1630" t="s">
        <v>1081</v>
      </c>
      <c r="C281" s="1433">
        <f>VLOOKUP(B278,'CNKT '!$C$16:$Z$96,11,0)</f>
        <v>0</v>
      </c>
      <c r="D281" s="1380">
        <f>46.1*$B$2</f>
        <v>30241.600000000002</v>
      </c>
      <c r="E281" s="1377">
        <f t="shared" ref="E281:E285" si="32">C281*D281</f>
        <v>0</v>
      </c>
      <c r="F281" s="1397"/>
      <c r="G281" s="1375" t="s">
        <v>628</v>
      </c>
      <c r="H281" s="1630" t="s">
        <v>1081</v>
      </c>
      <c r="I281" s="1433">
        <f>VLOOKUP(H278,'CNKT '!$C$16:$Z$96,11,0)</f>
        <v>0</v>
      </c>
      <c r="J281" s="1380">
        <f>46.1*$B$2</f>
        <v>30241.600000000002</v>
      </c>
      <c r="K281" s="1377">
        <f t="shared" ref="K281:K285" si="33">I281*J281</f>
        <v>0</v>
      </c>
      <c r="L281" s="1372"/>
    </row>
    <row r="282" spans="1:13" s="31" customFormat="1" ht="17.25" customHeight="1">
      <c r="A282" s="1375" t="s">
        <v>809</v>
      </c>
      <c r="B282" s="1630" t="s">
        <v>1082</v>
      </c>
      <c r="C282" s="1433">
        <f>VLOOKUP(B278,'CNKT '!$C$16:$Z$96,12,0)</f>
        <v>0</v>
      </c>
      <c r="D282" s="1379">
        <f>76.9*$B$2</f>
        <v>50446.400000000001</v>
      </c>
      <c r="E282" s="1377">
        <f t="shared" si="32"/>
        <v>0</v>
      </c>
      <c r="F282" s="1397"/>
      <c r="G282" s="1375" t="s">
        <v>809</v>
      </c>
      <c r="H282" s="1630" t="s">
        <v>1082</v>
      </c>
      <c r="I282" s="1433">
        <f>VLOOKUP(H278,'CNKT '!$C$16:$Z$96,12,0)</f>
        <v>0</v>
      </c>
      <c r="J282" s="1379">
        <f>76.9*$B$2</f>
        <v>50446.400000000001</v>
      </c>
      <c r="K282" s="1377">
        <f t="shared" si="33"/>
        <v>0</v>
      </c>
      <c r="L282" s="1372"/>
    </row>
    <row r="283" spans="1:13" s="31" customFormat="1" ht="17.25" customHeight="1">
      <c r="A283" s="1375" t="s">
        <v>122</v>
      </c>
      <c r="B283" s="1630" t="s">
        <v>1083</v>
      </c>
      <c r="C283" s="1433">
        <f>VLOOKUP(B278,'CNKT '!$C$16:$Z$96,8,0)</f>
        <v>0</v>
      </c>
      <c r="D283" s="1379">
        <f>IF(C279="A",6.1,IF(C279="B",5.8,IF(C279="C",5.5,IF(C279="C.",5.5,IF(C279="D",5.2)))))*$B$2</f>
        <v>4001.6</v>
      </c>
      <c r="E283" s="1377">
        <f t="shared" si="32"/>
        <v>0</v>
      </c>
      <c r="F283" s="1397"/>
      <c r="G283" s="1375" t="s">
        <v>122</v>
      </c>
      <c r="H283" s="1630" t="s">
        <v>1083</v>
      </c>
      <c r="I283" s="1433">
        <f>VLOOKUP(H278,'CNKT '!$C$16:$Z$96,8,0)</f>
        <v>0</v>
      </c>
      <c r="J283" s="1379">
        <f>IF(I279="A",6.1,IF(I279="B",5.8,IF(I279="C",5.5,IF(I279="C.",5.5,IF(I279="D",5.2)))))*$B$2</f>
        <v>4001.6</v>
      </c>
      <c r="K283" s="1377">
        <f t="shared" si="33"/>
        <v>0</v>
      </c>
      <c r="L283" s="1372"/>
    </row>
    <row r="284" spans="1:13" s="31" customFormat="1" ht="17.25" customHeight="1">
      <c r="A284" s="1375" t="s">
        <v>959</v>
      </c>
      <c r="B284" s="1630" t="s">
        <v>1084</v>
      </c>
      <c r="C284" s="1433">
        <f>VLOOKUP(B278,'CNKT '!$C$16:$Z$96,15,0)</f>
        <v>0</v>
      </c>
      <c r="D284" s="1380">
        <f>92.2*$B$2</f>
        <v>60483.200000000004</v>
      </c>
      <c r="E284" s="1377">
        <f t="shared" si="32"/>
        <v>0</v>
      </c>
      <c r="F284" s="1397"/>
      <c r="G284" s="1375" t="s">
        <v>959</v>
      </c>
      <c r="H284" s="1630" t="s">
        <v>1084</v>
      </c>
      <c r="I284" s="1433">
        <f>VLOOKUP(H278,'CNKT '!$C$16:$Z$96,15,0)</f>
        <v>0</v>
      </c>
      <c r="J284" s="1380">
        <f>92.2*$B$2</f>
        <v>60483.200000000004</v>
      </c>
      <c r="K284" s="1377">
        <f t="shared" si="33"/>
        <v>0</v>
      </c>
      <c r="L284" s="1372"/>
    </row>
    <row r="285" spans="1:13" s="31" customFormat="1" ht="17.25" customHeight="1">
      <c r="A285" s="1375" t="s">
        <v>960</v>
      </c>
      <c r="B285" s="1630" t="s">
        <v>964</v>
      </c>
      <c r="C285" s="1433">
        <f>VLOOKUP(B278,'CNKT '!$C$16:$Z$96,16,0)</f>
        <v>0</v>
      </c>
      <c r="D285" s="1379">
        <f>153.8*$B$2</f>
        <v>100892.8</v>
      </c>
      <c r="E285" s="1377">
        <f t="shared" si="32"/>
        <v>0</v>
      </c>
      <c r="F285" s="1397"/>
      <c r="G285" s="1375" t="s">
        <v>960</v>
      </c>
      <c r="H285" s="1630" t="s">
        <v>964</v>
      </c>
      <c r="I285" s="1433">
        <f>VLOOKUP(H278,'CNKT '!$C$16:$Z$96,16,0)</f>
        <v>0</v>
      </c>
      <c r="J285" s="1379">
        <f>153.8*$B$2</f>
        <v>100892.8</v>
      </c>
      <c r="K285" s="1377">
        <f t="shared" si="33"/>
        <v>0</v>
      </c>
      <c r="L285" s="1372"/>
    </row>
    <row r="286" spans="1:13" s="31" customFormat="1" ht="17.25" customHeight="1">
      <c r="A286" s="1375" t="s">
        <v>899</v>
      </c>
      <c r="B286" s="1630" t="s">
        <v>965</v>
      </c>
      <c r="C286" s="1433">
        <f>VLOOKUP(B278,'CNKT '!$C$16:$Z$96,18,0)</f>
        <v>0</v>
      </c>
      <c r="D286" s="1379">
        <v>10000</v>
      </c>
      <c r="E286" s="1377">
        <f>C286*D286</f>
        <v>0</v>
      </c>
      <c r="F286" s="1397"/>
      <c r="G286" s="1375" t="s">
        <v>899</v>
      </c>
      <c r="H286" s="1630" t="s">
        <v>965</v>
      </c>
      <c r="I286" s="1433">
        <f>VLOOKUP(H278,'CNKT '!$C$16:$Z$96,18,0)</f>
        <v>0</v>
      </c>
      <c r="J286" s="1379">
        <v>10000</v>
      </c>
      <c r="K286" s="1377">
        <f>I286*J286</f>
        <v>0</v>
      </c>
      <c r="L286" s="1372"/>
    </row>
    <row r="287" spans="1:13" s="31" customFormat="1" ht="17.25" customHeight="1">
      <c r="A287" s="1375" t="s">
        <v>899</v>
      </c>
      <c r="B287" s="1630" t="s">
        <v>965</v>
      </c>
      <c r="C287" s="1433">
        <f>VLOOKUP(B278,'CNKT '!$C$16:$Z$96,19,0)</f>
        <v>0</v>
      </c>
      <c r="D287" s="1379">
        <v>20000</v>
      </c>
      <c r="E287" s="1377">
        <f>C287*D287</f>
        <v>0</v>
      </c>
      <c r="F287" s="1397"/>
      <c r="G287" s="1375" t="s">
        <v>899</v>
      </c>
      <c r="H287" s="1630" t="s">
        <v>965</v>
      </c>
      <c r="I287" s="1433">
        <f>VLOOKUP(H278,'CNKT '!$C$16:$Z$96,19,0)</f>
        <v>0</v>
      </c>
      <c r="J287" s="1379">
        <v>20000</v>
      </c>
      <c r="K287" s="1377">
        <f>I287*J287</f>
        <v>0</v>
      </c>
      <c r="L287" s="1372"/>
    </row>
    <row r="288" spans="1:13" s="31" customFormat="1" ht="17.25" customHeight="1">
      <c r="A288" s="1375" t="s">
        <v>995</v>
      </c>
      <c r="B288" s="1630" t="s">
        <v>997</v>
      </c>
      <c r="C288" s="1433"/>
      <c r="D288" s="1379"/>
      <c r="E288" s="1377"/>
      <c r="F288" s="1397"/>
      <c r="G288" s="1375" t="s">
        <v>995</v>
      </c>
      <c r="H288" s="1630" t="s">
        <v>997</v>
      </c>
      <c r="I288" s="1433"/>
      <c r="J288" s="1379"/>
      <c r="K288" s="1377"/>
      <c r="L288" s="1372"/>
    </row>
    <row r="289" spans="1:13" s="31" customFormat="1" ht="17.25" customHeight="1">
      <c r="A289" s="1381" t="s">
        <v>123</v>
      </c>
      <c r="B289" s="1631" t="s">
        <v>1085</v>
      </c>
      <c r="C289" s="1382"/>
      <c r="D289" s="1383"/>
      <c r="E289" s="1382"/>
      <c r="F289" s="1397"/>
      <c r="G289" s="1381" t="s">
        <v>123</v>
      </c>
      <c r="H289" s="1631" t="s">
        <v>1085</v>
      </c>
      <c r="I289" s="1382"/>
      <c r="J289" s="1383"/>
      <c r="K289" s="1382"/>
      <c r="L289" s="1372"/>
    </row>
    <row r="290" spans="1:13" s="31" customFormat="1" ht="17.25" customHeight="1">
      <c r="A290" s="1384" t="s">
        <v>124</v>
      </c>
      <c r="B290" s="1632" t="s">
        <v>1086</v>
      </c>
      <c r="C290" s="1382"/>
      <c r="D290" s="1382"/>
      <c r="E290" s="1382"/>
      <c r="F290" s="1397"/>
      <c r="G290" s="1384" t="s">
        <v>124</v>
      </c>
      <c r="H290" s="1632" t="s">
        <v>1086</v>
      </c>
      <c r="I290" s="1382"/>
      <c r="J290" s="1382"/>
      <c r="K290" s="1382"/>
      <c r="L290" s="1372"/>
    </row>
    <row r="291" spans="1:13" s="31" customFormat="1" ht="17.25" customHeight="1">
      <c r="A291" s="1384" t="s">
        <v>125</v>
      </c>
      <c r="B291" s="1633" t="s">
        <v>1087</v>
      </c>
      <c r="C291" s="1382"/>
      <c r="D291" s="1382"/>
      <c r="E291" s="1377">
        <f>SUM(E290)</f>
        <v>0</v>
      </c>
      <c r="F291" s="1397"/>
      <c r="G291" s="1384" t="s">
        <v>125</v>
      </c>
      <c r="H291" s="1633" t="s">
        <v>1087</v>
      </c>
      <c r="I291" s="1382"/>
      <c r="J291" s="1382"/>
      <c r="K291" s="1377">
        <f>SUM(K290)</f>
        <v>0</v>
      </c>
      <c r="L291" s="1372"/>
      <c r="M291" s="1385">
        <f>E291+K291</f>
        <v>0</v>
      </c>
    </row>
    <row r="292" spans="1:13" s="31" customFormat="1" ht="17.25" customHeight="1">
      <c r="A292" s="1386" t="s">
        <v>126</v>
      </c>
      <c r="B292" s="1634" t="s">
        <v>871</v>
      </c>
      <c r="C292" s="1387"/>
      <c r="D292" s="1387"/>
      <c r="E292" s="1387">
        <f>(E280+E281+E282+E283+E284+E285+E286+E287+E288)-E291</f>
        <v>0</v>
      </c>
      <c r="F292" s="1397"/>
      <c r="G292" s="1386" t="s">
        <v>126</v>
      </c>
      <c r="H292" s="1634" t="s">
        <v>871</v>
      </c>
      <c r="I292" s="1387"/>
      <c r="J292" s="1387"/>
      <c r="K292" s="1387">
        <f>(K280+K281+K282+K283+K284+K285+K286+K287+K288)-K291</f>
        <v>0</v>
      </c>
      <c r="L292" s="1389">
        <f>E292+K292</f>
        <v>0</v>
      </c>
    </row>
    <row r="293" spans="1:13" s="31" customFormat="1" ht="17.25" customHeight="1">
      <c r="A293" s="1392"/>
      <c r="B293" s="1398"/>
      <c r="C293" s="1399"/>
      <c r="D293" s="1399"/>
      <c r="E293" s="1397"/>
      <c r="F293" s="1397"/>
      <c r="G293" s="1392"/>
      <c r="H293" s="1398"/>
      <c r="I293" s="1399"/>
      <c r="J293" s="1397"/>
      <c r="K293" s="1390"/>
      <c r="L293" s="1372"/>
    </row>
    <row r="294" spans="1:13" s="31" customFormat="1" ht="17.25" customHeight="1">
      <c r="A294" s="2182" t="str">
        <f>G277</f>
        <v>LƯƠNG THÁNG 01/2025</v>
      </c>
      <c r="B294" s="2183"/>
      <c r="C294" s="2183"/>
      <c r="D294" s="2183"/>
      <c r="E294" s="1452">
        <v>35</v>
      </c>
      <c r="F294" s="1396"/>
      <c r="G294" s="2182" t="str">
        <f>A294</f>
        <v>LƯƠNG THÁNG 01/2025</v>
      </c>
      <c r="H294" s="2183"/>
      <c r="I294" s="2183"/>
      <c r="J294" s="2184"/>
      <c r="K294" s="1452">
        <v>36</v>
      </c>
      <c r="L294" s="1372"/>
    </row>
    <row r="295" spans="1:13" s="31" customFormat="1" ht="17.25" customHeight="1">
      <c r="A295" s="1391" t="s">
        <v>29</v>
      </c>
      <c r="B295" s="1626" t="str">
        <f>'CNKT '!C50</f>
        <v>N. Tủn</v>
      </c>
      <c r="C295" s="1373"/>
      <c r="D295" s="1623" t="s">
        <v>806</v>
      </c>
      <c r="E295" s="1623" t="s">
        <v>32</v>
      </c>
      <c r="F295" s="1396"/>
      <c r="G295" s="1391" t="s">
        <v>29</v>
      </c>
      <c r="H295" s="1626" t="str">
        <f>'CNKT '!C51</f>
        <v>T. Lung</v>
      </c>
      <c r="I295" s="1373"/>
      <c r="J295" s="1623" t="s">
        <v>806</v>
      </c>
      <c r="K295" s="1623" t="s">
        <v>32</v>
      </c>
      <c r="L295" s="1372"/>
    </row>
    <row r="296" spans="1:13" s="31" customFormat="1" ht="17.25" customHeight="1">
      <c r="A296" s="1375" t="s">
        <v>807</v>
      </c>
      <c r="B296" s="1628" t="s">
        <v>1080</v>
      </c>
      <c r="C296" s="1376" t="str">
        <f>VLOOKUP(B295,'BTH mủ tạp'!$C$15:$AL$92,36,0)</f>
        <v>A</v>
      </c>
      <c r="D296" s="1377"/>
      <c r="E296" s="1377"/>
      <c r="F296" s="1625"/>
      <c r="G296" s="1375" t="s">
        <v>807</v>
      </c>
      <c r="H296" s="1628" t="s">
        <v>1080</v>
      </c>
      <c r="I296" s="1376" t="str">
        <f>VLOOKUP(H295,'BTH mủ tạp'!$C$15:$AL$92,36,0)</f>
        <v>A</v>
      </c>
      <c r="J296" s="1377"/>
      <c r="K296" s="1377"/>
      <c r="L296" s="1372"/>
    </row>
    <row r="297" spans="1:13" s="31" customFormat="1" ht="17.25" customHeight="1">
      <c r="A297" s="1375" t="s">
        <v>121</v>
      </c>
      <c r="B297" s="1629" t="s">
        <v>865</v>
      </c>
      <c r="C297" s="1378">
        <f>VLOOKUP(B295,'CNKT '!$C$16:$Z$96,3,0)</f>
        <v>0</v>
      </c>
      <c r="D297" s="1379">
        <v>25000</v>
      </c>
      <c r="E297" s="1377">
        <f>C297*D297</f>
        <v>0</v>
      </c>
      <c r="F297" s="1625"/>
      <c r="G297" s="1375" t="s">
        <v>121</v>
      </c>
      <c r="H297" s="1629" t="s">
        <v>865</v>
      </c>
      <c r="I297" s="1378">
        <f>VLOOKUP(H295,'CNKT '!$C$16:$Z$96,3,0)</f>
        <v>0</v>
      </c>
      <c r="J297" s="1379">
        <v>25000</v>
      </c>
      <c r="K297" s="1377">
        <f>I297*J297</f>
        <v>0</v>
      </c>
      <c r="L297" s="1372"/>
    </row>
    <row r="298" spans="1:13" s="31" customFormat="1" ht="17.25" customHeight="1">
      <c r="A298" s="1375" t="s">
        <v>628</v>
      </c>
      <c r="B298" s="1630" t="s">
        <v>1081</v>
      </c>
      <c r="C298" s="1433">
        <f>VLOOKUP(B295,'CNKT '!$C$16:$Z$96,11,0)</f>
        <v>0</v>
      </c>
      <c r="D298" s="1380">
        <f>46.1*$B$2</f>
        <v>30241.600000000002</v>
      </c>
      <c r="E298" s="1377">
        <f t="shared" ref="E298:E302" si="34">C298*D298</f>
        <v>0</v>
      </c>
      <c r="F298" s="1397"/>
      <c r="G298" s="1375" t="s">
        <v>628</v>
      </c>
      <c r="H298" s="1630" t="s">
        <v>1081</v>
      </c>
      <c r="I298" s="1433">
        <f>VLOOKUP(H295,'CNKT '!$C$16:$Z$96,11,0)</f>
        <v>0</v>
      </c>
      <c r="J298" s="1380">
        <f>46.1*$B$2</f>
        <v>30241.600000000002</v>
      </c>
      <c r="K298" s="1377">
        <f t="shared" ref="K298:K302" si="35">I298*J298</f>
        <v>0</v>
      </c>
      <c r="L298" s="1372"/>
    </row>
    <row r="299" spans="1:13" s="31" customFormat="1" ht="17.25" customHeight="1">
      <c r="A299" s="1375" t="s">
        <v>809</v>
      </c>
      <c r="B299" s="1630" t="s">
        <v>1082</v>
      </c>
      <c r="C299" s="1433">
        <f>VLOOKUP(B295,'CNKT '!$C$16:$Z$96,12,0)</f>
        <v>0</v>
      </c>
      <c r="D299" s="1379">
        <f>76.9*$B$2</f>
        <v>50446.400000000001</v>
      </c>
      <c r="E299" s="1377">
        <f t="shared" si="34"/>
        <v>0</v>
      </c>
      <c r="F299" s="1625"/>
      <c r="G299" s="1375" t="s">
        <v>809</v>
      </c>
      <c r="H299" s="1630" t="s">
        <v>1082</v>
      </c>
      <c r="I299" s="1433">
        <f>VLOOKUP(H295,'CNKT '!$C$16:$Z$96,12,0)</f>
        <v>0</v>
      </c>
      <c r="J299" s="1379">
        <f>76.9*$B$2</f>
        <v>50446.400000000001</v>
      </c>
      <c r="K299" s="1377">
        <f t="shared" si="35"/>
        <v>0</v>
      </c>
      <c r="L299" s="1372"/>
    </row>
    <row r="300" spans="1:13" s="31" customFormat="1" ht="17.25" customHeight="1">
      <c r="A300" s="1375" t="s">
        <v>122</v>
      </c>
      <c r="B300" s="1630" t="s">
        <v>1083</v>
      </c>
      <c r="C300" s="1433">
        <f>VLOOKUP(B295,'CNKT '!$C$16:$Z$96,8,0)</f>
        <v>0</v>
      </c>
      <c r="D300" s="1379">
        <f>IF(C296="A",6.1,IF(C296="B",5.8,IF(C296="C",5.5,IF(C296="C.",5.5,IF(C296="D",5.2)))))*$B$2</f>
        <v>4001.6</v>
      </c>
      <c r="E300" s="1377">
        <f t="shared" si="34"/>
        <v>0</v>
      </c>
      <c r="F300" s="1392"/>
      <c r="G300" s="1375" t="s">
        <v>122</v>
      </c>
      <c r="H300" s="1630" t="s">
        <v>1083</v>
      </c>
      <c r="I300" s="1433">
        <f>VLOOKUP(H295,'CNKT '!$C$16:$Z$96,8,0)</f>
        <v>0</v>
      </c>
      <c r="J300" s="1379">
        <f>IF(I296="A",6.1,IF(I296="B",5.8,IF(I296="C",5.5,IF(I296="C.",5.5,IF(I296="D",5.2)))))*$B$2</f>
        <v>4001.6</v>
      </c>
      <c r="K300" s="1377">
        <f t="shared" si="35"/>
        <v>0</v>
      </c>
      <c r="L300" s="1372"/>
    </row>
    <row r="301" spans="1:13" s="31" customFormat="1" ht="17.25" customHeight="1">
      <c r="A301" s="1375" t="s">
        <v>959</v>
      </c>
      <c r="B301" s="1630" t="s">
        <v>1084</v>
      </c>
      <c r="C301" s="1433">
        <f>VLOOKUP(B295,'CNKT '!$C$16:$Z$96,15,0)</f>
        <v>0</v>
      </c>
      <c r="D301" s="1380">
        <f>92.2*$B$2</f>
        <v>60483.200000000004</v>
      </c>
      <c r="E301" s="1377">
        <f t="shared" si="34"/>
        <v>0</v>
      </c>
      <c r="F301" s="1392"/>
      <c r="G301" s="1375" t="s">
        <v>959</v>
      </c>
      <c r="H301" s="1630" t="s">
        <v>1084</v>
      </c>
      <c r="I301" s="1433">
        <f>VLOOKUP(H295,'CNKT '!$C$16:$Z$96,15,0)</f>
        <v>0</v>
      </c>
      <c r="J301" s="1380">
        <f>92.2*$B$2</f>
        <v>60483.200000000004</v>
      </c>
      <c r="K301" s="1377">
        <f t="shared" si="35"/>
        <v>0</v>
      </c>
      <c r="L301" s="1372"/>
    </row>
    <row r="302" spans="1:13" s="31" customFormat="1" ht="17.25" customHeight="1">
      <c r="A302" s="1375" t="s">
        <v>960</v>
      </c>
      <c r="B302" s="1630" t="s">
        <v>964</v>
      </c>
      <c r="C302" s="1433">
        <f>VLOOKUP(B295,'CNKT '!$C$16:$Z$96,16,0)</f>
        <v>0</v>
      </c>
      <c r="D302" s="1379">
        <f>153.8*$B$2</f>
        <v>100892.8</v>
      </c>
      <c r="E302" s="1377">
        <f t="shared" si="34"/>
        <v>0</v>
      </c>
      <c r="F302" s="1392"/>
      <c r="G302" s="1375" t="s">
        <v>960</v>
      </c>
      <c r="H302" s="1630" t="s">
        <v>964</v>
      </c>
      <c r="I302" s="1433">
        <f>VLOOKUP(H295,'CNKT '!$C$16:$Z$96,16,0)</f>
        <v>0</v>
      </c>
      <c r="J302" s="1379">
        <f>153.8*$B$2</f>
        <v>100892.8</v>
      </c>
      <c r="K302" s="1377">
        <f t="shared" si="35"/>
        <v>0</v>
      </c>
      <c r="L302" s="1372"/>
    </row>
    <row r="303" spans="1:13" s="31" customFormat="1" ht="17.25" customHeight="1">
      <c r="A303" s="1375" t="s">
        <v>899</v>
      </c>
      <c r="B303" s="1630" t="s">
        <v>965</v>
      </c>
      <c r="C303" s="1433">
        <f>VLOOKUP(B295,'CNKT '!$C$16:$Z$96,18,0)</f>
        <v>0</v>
      </c>
      <c r="D303" s="1379">
        <v>10000</v>
      </c>
      <c r="E303" s="1377">
        <f>C303*D303</f>
        <v>0</v>
      </c>
      <c r="F303" s="1392"/>
      <c r="G303" s="1375" t="s">
        <v>899</v>
      </c>
      <c r="H303" s="1630" t="s">
        <v>965</v>
      </c>
      <c r="I303" s="1433">
        <f>VLOOKUP(H295,'CNKT '!$C$16:$Z$96,18,0)</f>
        <v>0</v>
      </c>
      <c r="J303" s="1379">
        <v>10000</v>
      </c>
      <c r="K303" s="1377">
        <f>I303*J303</f>
        <v>0</v>
      </c>
      <c r="L303" s="1372"/>
    </row>
    <row r="304" spans="1:13" s="31" customFormat="1" ht="17.25" customHeight="1">
      <c r="A304" s="1375" t="s">
        <v>899</v>
      </c>
      <c r="B304" s="1630" t="s">
        <v>965</v>
      </c>
      <c r="C304" s="1433">
        <f>VLOOKUP(B295,'CNKT '!$C$16:$Z$96,19,0)</f>
        <v>0</v>
      </c>
      <c r="D304" s="1379">
        <v>20000</v>
      </c>
      <c r="E304" s="1377">
        <f>C304*D304</f>
        <v>0</v>
      </c>
      <c r="F304" s="1392"/>
      <c r="G304" s="1375" t="s">
        <v>899</v>
      </c>
      <c r="H304" s="1630" t="s">
        <v>965</v>
      </c>
      <c r="I304" s="1433">
        <f>VLOOKUP(H295,'CNKT '!$C$16:$Z$96,19,0)</f>
        <v>0</v>
      </c>
      <c r="J304" s="1379">
        <v>20000</v>
      </c>
      <c r="K304" s="1377">
        <f>I304*J304</f>
        <v>0</v>
      </c>
      <c r="L304" s="1372"/>
    </row>
    <row r="305" spans="1:13" s="31" customFormat="1" ht="17.25" customHeight="1">
      <c r="A305" s="1375" t="s">
        <v>995</v>
      </c>
      <c r="B305" s="1630" t="s">
        <v>997</v>
      </c>
      <c r="C305" s="1433"/>
      <c r="D305" s="1379"/>
      <c r="E305" s="1377"/>
      <c r="F305" s="1392"/>
      <c r="G305" s="1375" t="s">
        <v>995</v>
      </c>
      <c r="H305" s="1630" t="s">
        <v>997</v>
      </c>
      <c r="I305" s="1433"/>
      <c r="J305" s="1379"/>
      <c r="K305" s="1377"/>
      <c r="L305" s="1372"/>
    </row>
    <row r="306" spans="1:13" s="31" customFormat="1" ht="17.25" customHeight="1">
      <c r="A306" s="1381" t="s">
        <v>123</v>
      </c>
      <c r="B306" s="1631" t="s">
        <v>1085</v>
      </c>
      <c r="C306" s="1382"/>
      <c r="D306" s="1383"/>
      <c r="E306" s="1382"/>
      <c r="F306" s="1392"/>
      <c r="G306" s="1381" t="s">
        <v>123</v>
      </c>
      <c r="H306" s="1631" t="s">
        <v>1085</v>
      </c>
      <c r="I306" s="1382"/>
      <c r="J306" s="1383"/>
      <c r="K306" s="1382"/>
      <c r="L306" s="1372"/>
    </row>
    <row r="307" spans="1:13" s="31" customFormat="1" ht="17.25" customHeight="1">
      <c r="A307" s="1384" t="s">
        <v>124</v>
      </c>
      <c r="B307" s="1632" t="s">
        <v>1086</v>
      </c>
      <c r="C307" s="1382"/>
      <c r="D307" s="1382"/>
      <c r="E307" s="1382"/>
      <c r="F307" s="1392"/>
      <c r="G307" s="1384" t="s">
        <v>124</v>
      </c>
      <c r="H307" s="1632" t="s">
        <v>1086</v>
      </c>
      <c r="I307" s="1382"/>
      <c r="J307" s="1382"/>
      <c r="K307" s="1382"/>
      <c r="L307" s="1372"/>
    </row>
    <row r="308" spans="1:13" s="31" customFormat="1" ht="17.25" customHeight="1">
      <c r="A308" s="1384" t="s">
        <v>125</v>
      </c>
      <c r="B308" s="1633" t="s">
        <v>1087</v>
      </c>
      <c r="C308" s="1382"/>
      <c r="D308" s="1382"/>
      <c r="E308" s="1377">
        <f>SUM(E307)</f>
        <v>0</v>
      </c>
      <c r="F308" s="1392"/>
      <c r="G308" s="1384" t="s">
        <v>125</v>
      </c>
      <c r="H308" s="1633" t="s">
        <v>1087</v>
      </c>
      <c r="I308" s="1382"/>
      <c r="J308" s="1382"/>
      <c r="K308" s="1377">
        <f>SUM(K307)</f>
        <v>0</v>
      </c>
      <c r="L308" s="1372"/>
      <c r="M308" s="1385">
        <f>E308+K308</f>
        <v>0</v>
      </c>
    </row>
    <row r="309" spans="1:13" s="31" customFormat="1" ht="17.25" customHeight="1">
      <c r="A309" s="1386" t="s">
        <v>126</v>
      </c>
      <c r="B309" s="1634" t="s">
        <v>871</v>
      </c>
      <c r="C309" s="1387"/>
      <c r="D309" s="1387"/>
      <c r="E309" s="1387">
        <f>(E297+E298+E299+E300+E301+E302+E303+E304+E305)-E308</f>
        <v>0</v>
      </c>
      <c r="F309" s="1392"/>
      <c r="G309" s="1386" t="s">
        <v>126</v>
      </c>
      <c r="H309" s="1634" t="s">
        <v>871</v>
      </c>
      <c r="I309" s="1387"/>
      <c r="J309" s="1387"/>
      <c r="K309" s="1387">
        <f>(K297+K298+K299+K300+K301+K302+K303+K304+K305)-K308</f>
        <v>0</v>
      </c>
      <c r="L309" s="1389">
        <f>E309+K309</f>
        <v>0</v>
      </c>
    </row>
    <row r="310" spans="1:13" s="31" customFormat="1" ht="12" customHeight="1">
      <c r="A310" s="1392"/>
      <c r="B310" s="1398"/>
      <c r="C310" s="1399"/>
      <c r="D310" s="1399"/>
      <c r="E310" s="1397"/>
      <c r="F310" s="1392"/>
      <c r="G310" s="1392"/>
      <c r="H310" s="1398"/>
      <c r="I310" s="1399"/>
      <c r="J310" s="1397"/>
      <c r="K310" s="1390"/>
      <c r="L310" s="1372"/>
    </row>
    <row r="311" spans="1:13" s="31" customFormat="1" ht="17.25" customHeight="1">
      <c r="A311" s="2182" t="str">
        <f>G294</f>
        <v>LƯƠNG THÁNG 01/2025</v>
      </c>
      <c r="B311" s="2183"/>
      <c r="C311" s="2183"/>
      <c r="D311" s="2183"/>
      <c r="E311" s="1452">
        <v>37</v>
      </c>
      <c r="F311" s="1397"/>
      <c r="G311" s="2182" t="str">
        <f>A311</f>
        <v>LƯƠNG THÁNG 01/2025</v>
      </c>
      <c r="H311" s="2183"/>
      <c r="I311" s="2183"/>
      <c r="J311" s="2184"/>
      <c r="K311" s="1452">
        <v>38</v>
      </c>
      <c r="L311" s="1372"/>
    </row>
    <row r="312" spans="1:13" s="31" customFormat="1" ht="17.25" customHeight="1">
      <c r="A312" s="1391" t="s">
        <v>29</v>
      </c>
      <c r="B312" s="1626" t="str">
        <f>'CNKT '!C52</f>
        <v>N. Tinh</v>
      </c>
      <c r="C312" s="1373"/>
      <c r="D312" s="1623" t="s">
        <v>806</v>
      </c>
      <c r="E312" s="1623" t="s">
        <v>32</v>
      </c>
      <c r="F312" s="1625"/>
      <c r="G312" s="1391" t="s">
        <v>29</v>
      </c>
      <c r="H312" s="1626" t="str">
        <f>'CNKT '!C53</f>
        <v>N. Ba Say</v>
      </c>
      <c r="I312" s="1373"/>
      <c r="J312" s="1623" t="s">
        <v>806</v>
      </c>
      <c r="K312" s="1623" t="s">
        <v>32</v>
      </c>
      <c r="L312" s="1372"/>
    </row>
    <row r="313" spans="1:13" s="31" customFormat="1" ht="17.25" customHeight="1">
      <c r="A313" s="1375" t="s">
        <v>807</v>
      </c>
      <c r="B313" s="1628" t="s">
        <v>1080</v>
      </c>
      <c r="C313" s="1376" t="str">
        <f>VLOOKUP(B312,'BTH mủ tạp'!$C$15:$AL$92,36,0)</f>
        <v>B</v>
      </c>
      <c r="D313" s="1377"/>
      <c r="E313" s="1377"/>
      <c r="F313" s="1392"/>
      <c r="G313" s="1375" t="s">
        <v>807</v>
      </c>
      <c r="H313" s="1628" t="s">
        <v>1080</v>
      </c>
      <c r="I313" s="1376" t="str">
        <f>VLOOKUP(H312,'BTH mủ tạp'!$C$15:$AL$92,36,0)</f>
        <v>C</v>
      </c>
      <c r="J313" s="1377"/>
      <c r="K313" s="1377"/>
      <c r="L313" s="1372"/>
    </row>
    <row r="314" spans="1:13" s="31" customFormat="1" ht="17.25" customHeight="1">
      <c r="A314" s="1375" t="s">
        <v>121</v>
      </c>
      <c r="B314" s="1629" t="s">
        <v>865</v>
      </c>
      <c r="C314" s="1378">
        <f>VLOOKUP(B312,'CNKT '!$C$16:$Z$96,3,0)</f>
        <v>0</v>
      </c>
      <c r="D314" s="1379">
        <v>25000</v>
      </c>
      <c r="E314" s="1377">
        <f>C314*D314</f>
        <v>0</v>
      </c>
      <c r="F314" s="1392"/>
      <c r="G314" s="1375" t="s">
        <v>121</v>
      </c>
      <c r="H314" s="1629" t="s">
        <v>865</v>
      </c>
      <c r="I314" s="1378">
        <f>VLOOKUP(H312,'CNKT '!$C$16:$Z$96,3,0)</f>
        <v>0</v>
      </c>
      <c r="J314" s="1379">
        <v>25000</v>
      </c>
      <c r="K314" s="1377">
        <f>I314*J314</f>
        <v>0</v>
      </c>
      <c r="L314" s="1372"/>
    </row>
    <row r="315" spans="1:13" s="31" customFormat="1" ht="17.25" customHeight="1">
      <c r="A315" s="1375" t="s">
        <v>628</v>
      </c>
      <c r="B315" s="1630" t="s">
        <v>1081</v>
      </c>
      <c r="C315" s="1433">
        <f>VLOOKUP(B312,'CNKT '!$C$16:$Z$96,11,0)</f>
        <v>0</v>
      </c>
      <c r="D315" s="1380">
        <f>46.1*$B$2</f>
        <v>30241.600000000002</v>
      </c>
      <c r="E315" s="1377">
        <f t="shared" ref="E315:E319" si="36">C315*D315</f>
        <v>0</v>
      </c>
      <c r="F315" s="1392"/>
      <c r="G315" s="1375" t="s">
        <v>628</v>
      </c>
      <c r="H315" s="1630" t="s">
        <v>1081</v>
      </c>
      <c r="I315" s="1433">
        <f>VLOOKUP(H312,'CNKT '!$C$16:$Z$96,11,0)</f>
        <v>0</v>
      </c>
      <c r="J315" s="1380">
        <f>46.1*$B$2</f>
        <v>30241.600000000002</v>
      </c>
      <c r="K315" s="1377">
        <f t="shared" ref="K315:K319" si="37">I315*J315</f>
        <v>0</v>
      </c>
      <c r="L315" s="1372"/>
    </row>
    <row r="316" spans="1:13" s="31" customFormat="1" ht="17.25" customHeight="1">
      <c r="A316" s="1375" t="s">
        <v>809</v>
      </c>
      <c r="B316" s="1630" t="s">
        <v>1082</v>
      </c>
      <c r="C316" s="1433">
        <f>VLOOKUP(B312,'CNKT '!$C$16:$Z$96,12,0)</f>
        <v>0</v>
      </c>
      <c r="D316" s="1379">
        <f>76.9*$B$2</f>
        <v>50446.400000000001</v>
      </c>
      <c r="E316" s="1377">
        <f t="shared" si="36"/>
        <v>0</v>
      </c>
      <c r="F316" s="1392"/>
      <c r="G316" s="1375" t="s">
        <v>809</v>
      </c>
      <c r="H316" s="1630" t="s">
        <v>1082</v>
      </c>
      <c r="I316" s="1433">
        <f>VLOOKUP(H312,'CNKT '!$C$16:$Z$96,12,0)</f>
        <v>0</v>
      </c>
      <c r="J316" s="1379">
        <f>76.9*$B$2</f>
        <v>50446.400000000001</v>
      </c>
      <c r="K316" s="1377">
        <f t="shared" si="37"/>
        <v>0</v>
      </c>
      <c r="L316" s="1372"/>
    </row>
    <row r="317" spans="1:13" s="31" customFormat="1" ht="17.25" customHeight="1">
      <c r="A317" s="1375" t="s">
        <v>122</v>
      </c>
      <c r="B317" s="1630" t="s">
        <v>1083</v>
      </c>
      <c r="C317" s="1433">
        <f>VLOOKUP(B312,'CNKT '!$C$16:$Z$96,8,0)</f>
        <v>0</v>
      </c>
      <c r="D317" s="1379">
        <f>IF(C313="A",6.1,IF(C313="B",5.8,IF(C313="C",5.5,IF(C313="C.",5.5,IF(C313="D",5.2)))))*$B$2</f>
        <v>3804.7999999999997</v>
      </c>
      <c r="E317" s="1377">
        <f t="shared" si="36"/>
        <v>0</v>
      </c>
      <c r="F317" s="1396"/>
      <c r="G317" s="1375" t="s">
        <v>122</v>
      </c>
      <c r="H317" s="1630" t="s">
        <v>1083</v>
      </c>
      <c r="I317" s="1433">
        <f>VLOOKUP(H312,'CNKT '!$C$16:$Z$96,8,0)</f>
        <v>0</v>
      </c>
      <c r="J317" s="1379">
        <f>IF(I313="A",6.1,IF(I313="B",5.8,IF(I313="C",5.5,IF(I313="C.",5.5,IF(I313="D",5.2)))))*$B$2</f>
        <v>3608</v>
      </c>
      <c r="K317" s="1377">
        <f t="shared" si="37"/>
        <v>0</v>
      </c>
      <c r="L317" s="1372"/>
    </row>
    <row r="318" spans="1:13" s="31" customFormat="1" ht="17.25" customHeight="1">
      <c r="A318" s="1375" t="s">
        <v>959</v>
      </c>
      <c r="B318" s="1630" t="s">
        <v>1084</v>
      </c>
      <c r="C318" s="1433">
        <f>VLOOKUP(B312,'CNKT '!$C$16:$Z$96,15,0)</f>
        <v>0</v>
      </c>
      <c r="D318" s="1380">
        <f>92.2*$B$2</f>
        <v>60483.200000000004</v>
      </c>
      <c r="E318" s="1377">
        <f t="shared" si="36"/>
        <v>0</v>
      </c>
      <c r="F318" s="1396"/>
      <c r="G318" s="1375" t="s">
        <v>959</v>
      </c>
      <c r="H318" s="1630" t="s">
        <v>1084</v>
      </c>
      <c r="I318" s="1433">
        <f>VLOOKUP(H312,'CNKT '!$C$16:$Z$96,15,0)</f>
        <v>0</v>
      </c>
      <c r="J318" s="1380">
        <f>92.2*$B$2</f>
        <v>60483.200000000004</v>
      </c>
      <c r="K318" s="1377">
        <f t="shared" si="37"/>
        <v>0</v>
      </c>
      <c r="L318" s="1372"/>
    </row>
    <row r="319" spans="1:13" s="31" customFormat="1" ht="17.25" customHeight="1">
      <c r="A319" s="1375" t="s">
        <v>960</v>
      </c>
      <c r="B319" s="1630" t="s">
        <v>964</v>
      </c>
      <c r="C319" s="1433">
        <f>VLOOKUP(B312,'CNKT '!$C$16:$Z$96,16,0)</f>
        <v>0</v>
      </c>
      <c r="D319" s="1379">
        <f>153.8*$B$2</f>
        <v>100892.8</v>
      </c>
      <c r="E319" s="1377">
        <f t="shared" si="36"/>
        <v>0</v>
      </c>
      <c r="F319" s="1396"/>
      <c r="G319" s="1375" t="s">
        <v>960</v>
      </c>
      <c r="H319" s="1630" t="s">
        <v>964</v>
      </c>
      <c r="I319" s="1433">
        <f>VLOOKUP(H312,'CNKT '!$C$16:$Z$96,16,0)</f>
        <v>0</v>
      </c>
      <c r="J319" s="1379">
        <f>153.8*$B$2</f>
        <v>100892.8</v>
      </c>
      <c r="K319" s="1377">
        <f t="shared" si="37"/>
        <v>0</v>
      </c>
      <c r="L319" s="1372"/>
    </row>
    <row r="320" spans="1:13" s="31" customFormat="1" ht="17.25" customHeight="1">
      <c r="A320" s="1375" t="s">
        <v>899</v>
      </c>
      <c r="B320" s="1630" t="s">
        <v>965</v>
      </c>
      <c r="C320" s="1433">
        <f>VLOOKUP(B312,'CNKT '!$C$16:$Z$96,18,0)</f>
        <v>0</v>
      </c>
      <c r="D320" s="1379">
        <v>10000</v>
      </c>
      <c r="E320" s="1377">
        <f>C320*D320</f>
        <v>0</v>
      </c>
      <c r="F320" s="1396"/>
      <c r="G320" s="1375" t="s">
        <v>899</v>
      </c>
      <c r="H320" s="1630" t="s">
        <v>965</v>
      </c>
      <c r="I320" s="1433">
        <f>VLOOKUP(H312,'CNKT '!$C$16:$Z$96,18,0)</f>
        <v>0</v>
      </c>
      <c r="J320" s="1379">
        <v>10000</v>
      </c>
      <c r="K320" s="1377">
        <f>I320*J320</f>
        <v>0</v>
      </c>
      <c r="L320" s="1372"/>
    </row>
    <row r="321" spans="1:13" s="31" customFormat="1" ht="17.25" customHeight="1">
      <c r="A321" s="1375" t="s">
        <v>899</v>
      </c>
      <c r="B321" s="1630" t="s">
        <v>965</v>
      </c>
      <c r="C321" s="1433">
        <f>VLOOKUP(B312,'CNKT '!$C$16:$Z$96,19,0)</f>
        <v>0</v>
      </c>
      <c r="D321" s="1379">
        <v>20000</v>
      </c>
      <c r="E321" s="1377">
        <f>C321*D321</f>
        <v>0</v>
      </c>
      <c r="F321" s="1396"/>
      <c r="G321" s="1375" t="s">
        <v>899</v>
      </c>
      <c r="H321" s="1630" t="s">
        <v>965</v>
      </c>
      <c r="I321" s="1433">
        <f>VLOOKUP(H312,'CNKT '!$C$16:$Z$96,19,0)</f>
        <v>0</v>
      </c>
      <c r="J321" s="1379">
        <v>20000</v>
      </c>
      <c r="K321" s="1377">
        <f>I321*J321</f>
        <v>0</v>
      </c>
      <c r="L321" s="1372"/>
    </row>
    <row r="322" spans="1:13" s="31" customFormat="1" ht="17.25" customHeight="1">
      <c r="A322" s="1375" t="s">
        <v>995</v>
      </c>
      <c r="B322" s="1630" t="s">
        <v>997</v>
      </c>
      <c r="C322" s="1433"/>
      <c r="D322" s="1379"/>
      <c r="E322" s="1377"/>
      <c r="F322" s="1396"/>
      <c r="G322" s="1375" t="s">
        <v>995</v>
      </c>
      <c r="H322" s="1630" t="s">
        <v>997</v>
      </c>
      <c r="I322" s="1433"/>
      <c r="J322" s="1379"/>
      <c r="K322" s="1377"/>
      <c r="L322" s="1372"/>
    </row>
    <row r="323" spans="1:13" s="31" customFormat="1" ht="17.25" customHeight="1">
      <c r="A323" s="1381" t="s">
        <v>123</v>
      </c>
      <c r="B323" s="1631" t="s">
        <v>1085</v>
      </c>
      <c r="C323" s="1382"/>
      <c r="D323" s="1383"/>
      <c r="E323" s="1382"/>
      <c r="F323" s="1396"/>
      <c r="G323" s="1381" t="s">
        <v>123</v>
      </c>
      <c r="H323" s="1631" t="s">
        <v>1085</v>
      </c>
      <c r="I323" s="1382"/>
      <c r="J323" s="1383"/>
      <c r="K323" s="1382"/>
      <c r="L323" s="1372"/>
    </row>
    <row r="324" spans="1:13" s="31" customFormat="1" ht="17.25" customHeight="1">
      <c r="A324" s="1384" t="s">
        <v>124</v>
      </c>
      <c r="B324" s="1632" t="s">
        <v>1086</v>
      </c>
      <c r="C324" s="1382"/>
      <c r="D324" s="1382"/>
      <c r="E324" s="1382"/>
      <c r="F324" s="1625"/>
      <c r="G324" s="1384" t="s">
        <v>124</v>
      </c>
      <c r="H324" s="1632" t="s">
        <v>1086</v>
      </c>
      <c r="I324" s="1382"/>
      <c r="J324" s="1382"/>
      <c r="K324" s="1382"/>
      <c r="L324" s="1372"/>
    </row>
    <row r="325" spans="1:13" s="31" customFormat="1" ht="17.25" customHeight="1">
      <c r="A325" s="1384" t="s">
        <v>125</v>
      </c>
      <c r="B325" s="1633" t="s">
        <v>1087</v>
      </c>
      <c r="C325" s="1382"/>
      <c r="D325" s="1382"/>
      <c r="E325" s="1377">
        <f>SUM(E324)</f>
        <v>0</v>
      </c>
      <c r="F325" s="1625"/>
      <c r="G325" s="1384" t="s">
        <v>125</v>
      </c>
      <c r="H325" s="1633" t="s">
        <v>1087</v>
      </c>
      <c r="I325" s="1382"/>
      <c r="J325" s="1382"/>
      <c r="K325" s="1377">
        <f>SUM(K324)</f>
        <v>0</v>
      </c>
      <c r="L325" s="1372"/>
      <c r="M325" s="1385">
        <f>E325+K325</f>
        <v>0</v>
      </c>
    </row>
    <row r="326" spans="1:13" s="31" customFormat="1" ht="17.25" customHeight="1">
      <c r="A326" s="1386" t="s">
        <v>126</v>
      </c>
      <c r="B326" s="1634" t="s">
        <v>871</v>
      </c>
      <c r="C326" s="1387"/>
      <c r="D326" s="1387"/>
      <c r="E326" s="1387">
        <f>(E314+E315+E316+E317+E318+E319+E320+E321+E322)-E325</f>
        <v>0</v>
      </c>
      <c r="F326" s="1625"/>
      <c r="G326" s="1386" t="s">
        <v>126</v>
      </c>
      <c r="H326" s="1634" t="s">
        <v>871</v>
      </c>
      <c r="I326" s="1387"/>
      <c r="J326" s="1387"/>
      <c r="K326" s="1387">
        <f>(K314+K315+K316+K317+K318+K319+K320+K321+K322)-K325</f>
        <v>0</v>
      </c>
      <c r="L326" s="1389">
        <f>E326+K326</f>
        <v>0</v>
      </c>
    </row>
    <row r="327" spans="1:13" s="31" customFormat="1" ht="17.25" customHeight="1">
      <c r="A327" s="1392"/>
      <c r="B327" s="1398"/>
      <c r="C327" s="1399"/>
      <c r="D327" s="1399"/>
      <c r="E327" s="1397"/>
      <c r="F327" s="1625"/>
      <c r="G327" s="1392"/>
      <c r="H327" s="1398"/>
      <c r="I327" s="1399"/>
      <c r="J327" s="1397"/>
      <c r="K327" s="1400"/>
      <c r="L327" s="1372"/>
    </row>
    <row r="328" spans="1:13" s="31" customFormat="1" ht="17.25" customHeight="1">
      <c r="A328" s="1395"/>
      <c r="B328" s="1403"/>
      <c r="C328" s="1404"/>
      <c r="D328" s="1404"/>
      <c r="E328" s="1392"/>
      <c r="F328" s="1392"/>
      <c r="G328" s="1395"/>
      <c r="H328" s="1403"/>
      <c r="I328" s="1404"/>
      <c r="J328" s="1392"/>
      <c r="K328" s="1390"/>
      <c r="L328" s="1372"/>
    </row>
    <row r="329" spans="1:13" s="31" customFormat="1" ht="17.25" customHeight="1">
      <c r="A329" s="2182" t="str">
        <f>G311</f>
        <v>LƯƠNG THÁNG 01/2025</v>
      </c>
      <c r="B329" s="2183"/>
      <c r="C329" s="2183"/>
      <c r="D329" s="2183"/>
      <c r="E329" s="1452">
        <v>39</v>
      </c>
      <c r="F329" s="1392"/>
      <c r="G329" s="2182" t="str">
        <f>A329</f>
        <v>LƯƠNG THÁNG 01/2025</v>
      </c>
      <c r="H329" s="2183"/>
      <c r="I329" s="2183"/>
      <c r="J329" s="2184"/>
      <c r="K329" s="1452">
        <v>40</v>
      </c>
      <c r="L329" s="1372"/>
    </row>
    <row r="330" spans="1:13" s="31" customFormat="1" ht="17.25" customHeight="1">
      <c r="A330" s="1391" t="s">
        <v>29</v>
      </c>
      <c r="B330" s="1626" t="str">
        <f>'CNKT '!C54</f>
        <v>N. Đeng</v>
      </c>
      <c r="C330" s="1373"/>
      <c r="D330" s="1623" t="s">
        <v>806</v>
      </c>
      <c r="E330" s="1623" t="s">
        <v>32</v>
      </c>
      <c r="F330" s="1392"/>
      <c r="G330" s="1391" t="s">
        <v>29</v>
      </c>
      <c r="H330" s="1626" t="str">
        <f>'CNKT '!C55</f>
        <v>T. Tinh</v>
      </c>
      <c r="I330" s="1373"/>
      <c r="J330" s="1623" t="s">
        <v>806</v>
      </c>
      <c r="K330" s="1623" t="s">
        <v>32</v>
      </c>
      <c r="L330" s="1372"/>
    </row>
    <row r="331" spans="1:13" s="31" customFormat="1" ht="17.25" customHeight="1">
      <c r="A331" s="1375" t="s">
        <v>807</v>
      </c>
      <c r="B331" s="1628" t="s">
        <v>1080</v>
      </c>
      <c r="C331" s="1376" t="str">
        <f>VLOOKUP(B330,'BTH mủ tạp'!$C$15:$AL$92,36,0)</f>
        <v>A</v>
      </c>
      <c r="D331" s="1377"/>
      <c r="E331" s="1377"/>
      <c r="F331" s="1392"/>
      <c r="G331" s="1375" t="s">
        <v>807</v>
      </c>
      <c r="H331" s="1628" t="s">
        <v>1080</v>
      </c>
      <c r="I331" s="1376" t="str">
        <f>VLOOKUP(H330,'BTH mủ tạp'!$C$15:$AL$92,36,0)</f>
        <v>B</v>
      </c>
      <c r="J331" s="1377"/>
      <c r="K331" s="1377"/>
      <c r="L331" s="1372"/>
    </row>
    <row r="332" spans="1:13" s="31" customFormat="1" ht="17.25" customHeight="1">
      <c r="A332" s="1375" t="s">
        <v>121</v>
      </c>
      <c r="B332" s="1629" t="s">
        <v>865</v>
      </c>
      <c r="C332" s="1378">
        <f>VLOOKUP(B330,'CNKT '!$C$16:$Z$96,3,0)</f>
        <v>0</v>
      </c>
      <c r="D332" s="1379">
        <v>25000</v>
      </c>
      <c r="E332" s="1377">
        <f>C332*D332</f>
        <v>0</v>
      </c>
      <c r="F332" s="1396"/>
      <c r="G332" s="1375" t="s">
        <v>121</v>
      </c>
      <c r="H332" s="1629" t="s">
        <v>865</v>
      </c>
      <c r="I332" s="1378">
        <f>VLOOKUP(H330,'CNKT '!$C$16:$Z$96,3,0)</f>
        <v>0</v>
      </c>
      <c r="J332" s="1379">
        <v>25000</v>
      </c>
      <c r="K332" s="1377">
        <f>I332*J332</f>
        <v>0</v>
      </c>
      <c r="L332" s="1372"/>
    </row>
    <row r="333" spans="1:13" s="31" customFormat="1" ht="17.25" customHeight="1">
      <c r="A333" s="1375" t="s">
        <v>628</v>
      </c>
      <c r="B333" s="1630" t="s">
        <v>1081</v>
      </c>
      <c r="C333" s="1433">
        <f>VLOOKUP(B330,'CNKT '!$C$16:$Z$96,11,0)</f>
        <v>0</v>
      </c>
      <c r="D333" s="1380">
        <f>46.1*$B$2</f>
        <v>30241.600000000002</v>
      </c>
      <c r="E333" s="1377">
        <f t="shared" ref="E333:E337" si="38">C333*D333</f>
        <v>0</v>
      </c>
      <c r="F333" s="1396"/>
      <c r="G333" s="1375" t="s">
        <v>628</v>
      </c>
      <c r="H333" s="1630" t="s">
        <v>1081</v>
      </c>
      <c r="I333" s="1433">
        <f>VLOOKUP(H330,'CNKT '!$C$16:$Z$96,11,0)</f>
        <v>0</v>
      </c>
      <c r="J333" s="1380">
        <f>46.1*$B$2</f>
        <v>30241.600000000002</v>
      </c>
      <c r="K333" s="1377">
        <f t="shared" ref="K333:K337" si="39">I333*J333</f>
        <v>0</v>
      </c>
      <c r="L333" s="1372"/>
    </row>
    <row r="334" spans="1:13" s="31" customFormat="1" ht="17.25" customHeight="1">
      <c r="A334" s="1375" t="s">
        <v>809</v>
      </c>
      <c r="B334" s="1630" t="s">
        <v>1082</v>
      </c>
      <c r="C334" s="1433">
        <f>VLOOKUP(B330,'CNKT '!$C$16:$Z$96,12,0)</f>
        <v>0</v>
      </c>
      <c r="D334" s="1379">
        <f>76.9*$B$2</f>
        <v>50446.400000000001</v>
      </c>
      <c r="E334" s="1377">
        <f t="shared" si="38"/>
        <v>0</v>
      </c>
      <c r="F334" s="1397"/>
      <c r="G334" s="1375" t="s">
        <v>809</v>
      </c>
      <c r="H334" s="1630" t="s">
        <v>1082</v>
      </c>
      <c r="I334" s="1433">
        <f>VLOOKUP(H330,'CNKT '!$C$16:$Z$96,12,0)</f>
        <v>0</v>
      </c>
      <c r="J334" s="1379">
        <f>76.9*$B$2</f>
        <v>50446.400000000001</v>
      </c>
      <c r="K334" s="1377">
        <f t="shared" si="39"/>
        <v>0</v>
      </c>
      <c r="L334" s="1372"/>
    </row>
    <row r="335" spans="1:13" s="31" customFormat="1" ht="17.25" customHeight="1">
      <c r="A335" s="1375" t="s">
        <v>122</v>
      </c>
      <c r="B335" s="1630" t="s">
        <v>1083</v>
      </c>
      <c r="C335" s="1433">
        <f>VLOOKUP(B330,'CNKT '!$C$16:$Z$96,8,0)</f>
        <v>0</v>
      </c>
      <c r="D335" s="1379">
        <f>IF(C331="A",6.1,IF(C331="B",5.8,IF(C331="C",5.5,IF(C331="C.",5.5,IF(C331="D",5.2)))))*$B$2</f>
        <v>4001.6</v>
      </c>
      <c r="E335" s="1377">
        <f t="shared" si="38"/>
        <v>0</v>
      </c>
      <c r="F335" s="1397"/>
      <c r="G335" s="1375" t="s">
        <v>122</v>
      </c>
      <c r="H335" s="1630" t="s">
        <v>1083</v>
      </c>
      <c r="I335" s="1433">
        <f>VLOOKUP(H330,'CNKT '!$C$16:$Z$96,8,0)</f>
        <v>0</v>
      </c>
      <c r="J335" s="1379">
        <f>IF(I331="A",6.1,IF(I331="B",5.8,IF(I331="C",5.5,IF(I331="C.",5.5,IF(I331="D",5.2)))))*$B$2</f>
        <v>3804.7999999999997</v>
      </c>
      <c r="K335" s="1377">
        <f t="shared" si="39"/>
        <v>0</v>
      </c>
      <c r="L335" s="1372"/>
    </row>
    <row r="336" spans="1:13" s="31" customFormat="1" ht="17.25" customHeight="1">
      <c r="A336" s="1375" t="s">
        <v>959</v>
      </c>
      <c r="B336" s="1630" t="s">
        <v>1084</v>
      </c>
      <c r="C336" s="1433">
        <f>VLOOKUP(B330,'CNKT '!$C$16:$Z$96,15,0)</f>
        <v>0</v>
      </c>
      <c r="D336" s="1380">
        <f>92.2*$B$2</f>
        <v>60483.200000000004</v>
      </c>
      <c r="E336" s="1377">
        <f t="shared" si="38"/>
        <v>0</v>
      </c>
      <c r="F336" s="1397"/>
      <c r="G336" s="1375" t="s">
        <v>959</v>
      </c>
      <c r="H336" s="1630" t="s">
        <v>1084</v>
      </c>
      <c r="I336" s="1433">
        <f>VLOOKUP(H330,'CNKT '!$C$16:$Z$96,15,0)</f>
        <v>0</v>
      </c>
      <c r="J336" s="1380">
        <f>92.2*$B$2</f>
        <v>60483.200000000004</v>
      </c>
      <c r="K336" s="1377">
        <f t="shared" si="39"/>
        <v>0</v>
      </c>
      <c r="L336" s="1372"/>
    </row>
    <row r="337" spans="1:13" s="31" customFormat="1" ht="17.25" customHeight="1">
      <c r="A337" s="1375" t="s">
        <v>960</v>
      </c>
      <c r="B337" s="1630" t="s">
        <v>964</v>
      </c>
      <c r="C337" s="1433">
        <f>VLOOKUP(B330,'CNKT '!$C$16:$Z$96,16,0)</f>
        <v>0</v>
      </c>
      <c r="D337" s="1379">
        <f>153.8*$B$2</f>
        <v>100892.8</v>
      </c>
      <c r="E337" s="1377">
        <f t="shared" si="38"/>
        <v>0</v>
      </c>
      <c r="F337" s="1397"/>
      <c r="G337" s="1375" t="s">
        <v>960</v>
      </c>
      <c r="H337" s="1630" t="s">
        <v>964</v>
      </c>
      <c r="I337" s="1433">
        <f>VLOOKUP(H330,'CNKT '!$C$16:$Z$96,16,0)</f>
        <v>0</v>
      </c>
      <c r="J337" s="1379">
        <f>153.8*$B$2</f>
        <v>100892.8</v>
      </c>
      <c r="K337" s="1377">
        <f t="shared" si="39"/>
        <v>0</v>
      </c>
      <c r="L337" s="1372"/>
    </row>
    <row r="338" spans="1:13" s="31" customFormat="1" ht="17.25" customHeight="1">
      <c r="A338" s="1375" t="s">
        <v>899</v>
      </c>
      <c r="B338" s="1630" t="s">
        <v>965</v>
      </c>
      <c r="C338" s="1433">
        <f>VLOOKUP(B330,'CNKT '!$C$16:$Z$96,18,0)</f>
        <v>0</v>
      </c>
      <c r="D338" s="1379">
        <v>10000</v>
      </c>
      <c r="E338" s="1377">
        <f>C338*D338</f>
        <v>0</v>
      </c>
      <c r="F338" s="1397"/>
      <c r="G338" s="1375" t="s">
        <v>899</v>
      </c>
      <c r="H338" s="1630" t="s">
        <v>965</v>
      </c>
      <c r="I338" s="1433">
        <f>VLOOKUP(H330,'CNKT '!$C$16:$Z$96,18,0)</f>
        <v>0</v>
      </c>
      <c r="J338" s="1379">
        <v>10000</v>
      </c>
      <c r="K338" s="1377">
        <f>I338*J338</f>
        <v>0</v>
      </c>
      <c r="L338" s="1372"/>
    </row>
    <row r="339" spans="1:13" s="31" customFormat="1" ht="17.25" customHeight="1">
      <c r="A339" s="1375" t="s">
        <v>899</v>
      </c>
      <c r="B339" s="1630" t="s">
        <v>965</v>
      </c>
      <c r="C339" s="1433">
        <f>VLOOKUP(B330,'CNKT '!$C$16:$Z$96,19,0)</f>
        <v>0</v>
      </c>
      <c r="D339" s="1379">
        <v>20000</v>
      </c>
      <c r="E339" s="1377">
        <f>C339*D339</f>
        <v>0</v>
      </c>
      <c r="F339" s="1397"/>
      <c r="G339" s="1375" t="s">
        <v>899</v>
      </c>
      <c r="H339" s="1630" t="s">
        <v>965</v>
      </c>
      <c r="I339" s="1433">
        <f>VLOOKUP(H330,'CNKT '!$C$16:$Z$96,19,0)</f>
        <v>0</v>
      </c>
      <c r="J339" s="1379">
        <v>20000</v>
      </c>
      <c r="K339" s="1377">
        <f>I339*J339</f>
        <v>0</v>
      </c>
      <c r="L339" s="1372"/>
    </row>
    <row r="340" spans="1:13" s="31" customFormat="1" ht="17.25" customHeight="1">
      <c r="A340" s="1375" t="s">
        <v>995</v>
      </c>
      <c r="B340" s="1630" t="s">
        <v>997</v>
      </c>
      <c r="C340" s="1433"/>
      <c r="D340" s="1379"/>
      <c r="E340" s="1377"/>
      <c r="F340" s="1397"/>
      <c r="G340" s="1375" t="s">
        <v>995</v>
      </c>
      <c r="H340" s="1630" t="s">
        <v>997</v>
      </c>
      <c r="I340" s="1433"/>
      <c r="J340" s="1379"/>
      <c r="K340" s="1377"/>
      <c r="L340" s="1372"/>
    </row>
    <row r="341" spans="1:13" s="31" customFormat="1" ht="17.25" customHeight="1">
      <c r="A341" s="1381" t="s">
        <v>123</v>
      </c>
      <c r="B341" s="1631" t="s">
        <v>1085</v>
      </c>
      <c r="C341" s="1382"/>
      <c r="D341" s="1383"/>
      <c r="E341" s="1382"/>
      <c r="F341" s="1402"/>
      <c r="G341" s="1381" t="s">
        <v>123</v>
      </c>
      <c r="H341" s="1631" t="s">
        <v>1085</v>
      </c>
      <c r="I341" s="1382"/>
      <c r="J341" s="1383"/>
      <c r="K341" s="1382"/>
      <c r="L341" s="1372"/>
    </row>
    <row r="342" spans="1:13" s="31" customFormat="1" ht="17.25" customHeight="1">
      <c r="A342" s="1384" t="s">
        <v>124</v>
      </c>
      <c r="B342" s="1632" t="s">
        <v>1086</v>
      </c>
      <c r="C342" s="1382"/>
      <c r="D342" s="1382"/>
      <c r="E342" s="1382"/>
      <c r="F342" s="1402"/>
      <c r="G342" s="1384" t="s">
        <v>124</v>
      </c>
      <c r="H342" s="1632" t="s">
        <v>1086</v>
      </c>
      <c r="I342" s="1382"/>
      <c r="J342" s="1382"/>
      <c r="K342" s="1382"/>
      <c r="L342" s="1372"/>
    </row>
    <row r="343" spans="1:13" s="31" customFormat="1" ht="17.25" customHeight="1">
      <c r="A343" s="1384" t="s">
        <v>125</v>
      </c>
      <c r="B343" s="1633" t="s">
        <v>1087</v>
      </c>
      <c r="C343" s="1382"/>
      <c r="D343" s="1382"/>
      <c r="E343" s="1377">
        <f>SUM(E342)</f>
        <v>0</v>
      </c>
      <c r="F343" s="1402"/>
      <c r="G343" s="1384" t="s">
        <v>125</v>
      </c>
      <c r="H343" s="1633" t="s">
        <v>1087</v>
      </c>
      <c r="I343" s="1382"/>
      <c r="J343" s="1382"/>
      <c r="K343" s="1377">
        <f>SUM(K342)</f>
        <v>0</v>
      </c>
      <c r="L343" s="1372"/>
      <c r="M343" s="1385">
        <f>E343+K343</f>
        <v>0</v>
      </c>
    </row>
    <row r="344" spans="1:13" s="31" customFormat="1" ht="17.25" customHeight="1">
      <c r="A344" s="1386" t="s">
        <v>126</v>
      </c>
      <c r="B344" s="1634" t="s">
        <v>871</v>
      </c>
      <c r="C344" s="1387"/>
      <c r="D344" s="1387"/>
      <c r="E344" s="1387">
        <f>(E332+E333+E334+E335+E336+E337+E338+E339+E340)-E343</f>
        <v>0</v>
      </c>
      <c r="F344" s="1402"/>
      <c r="G344" s="1386" t="s">
        <v>126</v>
      </c>
      <c r="H344" s="1634" t="s">
        <v>871</v>
      </c>
      <c r="I344" s="1387"/>
      <c r="J344" s="1387"/>
      <c r="K344" s="1387">
        <f>(K332+K333+K334+K335+K336+K337+K338+K339+K340)-K343</f>
        <v>0</v>
      </c>
      <c r="L344" s="1389">
        <f>E344+K344</f>
        <v>0</v>
      </c>
    </row>
    <row r="345" spans="1:13" s="31" customFormat="1" ht="17.25" customHeight="1">
      <c r="A345" s="1392"/>
      <c r="B345" s="1398"/>
      <c r="C345" s="1399"/>
      <c r="D345" s="1399"/>
      <c r="E345" s="1397"/>
      <c r="F345" s="1402"/>
      <c r="G345" s="1392"/>
      <c r="H345" s="1398"/>
      <c r="I345" s="1399"/>
      <c r="J345" s="1397"/>
      <c r="K345" s="1624"/>
      <c r="L345" s="1372"/>
    </row>
    <row r="346" spans="1:13" s="31" customFormat="1" ht="34.5" customHeight="1">
      <c r="A346" s="1395"/>
      <c r="B346" s="1396"/>
      <c r="C346" s="1625"/>
      <c r="D346" s="1625"/>
      <c r="E346" s="1392"/>
      <c r="F346" s="1392"/>
      <c r="G346" s="1395"/>
      <c r="H346" s="1396"/>
      <c r="I346" s="1625"/>
      <c r="J346" s="1392">
        <v>0</v>
      </c>
      <c r="K346" s="1390"/>
      <c r="L346" s="1372"/>
    </row>
    <row r="347" spans="1:13" s="31" customFormat="1" ht="17.25" customHeight="1">
      <c r="A347" s="2182" t="str">
        <f>G329</f>
        <v>LƯƠNG THÁNG 01/2025</v>
      </c>
      <c r="B347" s="2183"/>
      <c r="C347" s="2183"/>
      <c r="D347" s="2183"/>
      <c r="E347" s="1452">
        <v>41</v>
      </c>
      <c r="F347" s="1392"/>
      <c r="G347" s="2182" t="str">
        <f>A347</f>
        <v>LƯƠNG THÁNG 01/2025</v>
      </c>
      <c r="H347" s="2183"/>
      <c r="I347" s="2183"/>
      <c r="J347" s="2184"/>
      <c r="K347" s="1452">
        <v>42</v>
      </c>
      <c r="L347" s="1372"/>
    </row>
    <row r="348" spans="1:13" s="31" customFormat="1" ht="17.25" customHeight="1">
      <c r="A348" s="1391" t="s">
        <v>29</v>
      </c>
      <c r="B348" s="1626" t="str">
        <f>'CNKT '!C56</f>
        <v>T. Khăm Pỏi</v>
      </c>
      <c r="C348" s="1373"/>
      <c r="D348" s="1623" t="s">
        <v>806</v>
      </c>
      <c r="E348" s="1623" t="s">
        <v>32</v>
      </c>
      <c r="F348" s="1392"/>
      <c r="G348" s="1391" t="s">
        <v>29</v>
      </c>
      <c r="H348" s="1626" t="str">
        <f>'CNKT '!C57</f>
        <v>Lăm Ngân</v>
      </c>
      <c r="I348" s="1373"/>
      <c r="J348" s="1623" t="s">
        <v>806</v>
      </c>
      <c r="K348" s="1623" t="s">
        <v>32</v>
      </c>
      <c r="L348" s="1372"/>
    </row>
    <row r="349" spans="1:13" s="31" customFormat="1" ht="17.25" customHeight="1">
      <c r="A349" s="1375" t="s">
        <v>807</v>
      </c>
      <c r="B349" s="1628" t="s">
        <v>1080</v>
      </c>
      <c r="C349" s="1376" t="str">
        <f>VLOOKUP(B348,'BTH mủ tạp'!$C$15:$AL$92,36,0)</f>
        <v>A</v>
      </c>
      <c r="D349" s="1377"/>
      <c r="E349" s="1377"/>
      <c r="F349" s="1396"/>
      <c r="G349" s="1375" t="s">
        <v>807</v>
      </c>
      <c r="H349" s="1628" t="s">
        <v>1080</v>
      </c>
      <c r="I349" s="1376" t="str">
        <f>VLOOKUP(H348,'BTH mủ tạp'!$C$15:$AL$92,36,0)</f>
        <v>A</v>
      </c>
      <c r="J349" s="1377"/>
      <c r="K349" s="1377"/>
      <c r="L349" s="1372"/>
    </row>
    <row r="350" spans="1:13" s="31" customFormat="1" ht="17.25" customHeight="1">
      <c r="A350" s="1375" t="s">
        <v>121</v>
      </c>
      <c r="B350" s="1629" t="s">
        <v>865</v>
      </c>
      <c r="C350" s="1378">
        <f>VLOOKUP(B348,'CNKT '!$C$16:$Z$96,3,0)</f>
        <v>0</v>
      </c>
      <c r="D350" s="1379">
        <v>25000</v>
      </c>
      <c r="E350" s="1377">
        <f>C350*D350</f>
        <v>0</v>
      </c>
      <c r="F350" s="1396"/>
      <c r="G350" s="1375" t="s">
        <v>121</v>
      </c>
      <c r="H350" s="1629" t="s">
        <v>865</v>
      </c>
      <c r="I350" s="1378">
        <f>VLOOKUP(H348,'CNKT '!$C$16:$Z$96,3,0)</f>
        <v>0</v>
      </c>
      <c r="J350" s="1379">
        <v>25000</v>
      </c>
      <c r="K350" s="1377">
        <f>I350*J350</f>
        <v>0</v>
      </c>
      <c r="L350" s="1372"/>
    </row>
    <row r="351" spans="1:13" s="31" customFormat="1" ht="17.25" customHeight="1">
      <c r="A351" s="1375" t="s">
        <v>628</v>
      </c>
      <c r="B351" s="1630" t="s">
        <v>1081</v>
      </c>
      <c r="C351" s="1433">
        <f>VLOOKUP(B348,'CNKT '!$C$16:$Z$96,11,0)</f>
        <v>0</v>
      </c>
      <c r="D351" s="1380">
        <f>46.1*$B$2</f>
        <v>30241.600000000002</v>
      </c>
      <c r="E351" s="1377">
        <f t="shared" ref="E351:E355" si="40">C351*D351</f>
        <v>0</v>
      </c>
      <c r="F351" s="1625"/>
      <c r="G351" s="1375" t="s">
        <v>628</v>
      </c>
      <c r="H351" s="1630" t="s">
        <v>1081</v>
      </c>
      <c r="I351" s="1433">
        <f>VLOOKUP(H348,'CNKT '!$C$16:$Z$96,11,0)</f>
        <v>0</v>
      </c>
      <c r="J351" s="1380">
        <f>46.1*$B$2</f>
        <v>30241.600000000002</v>
      </c>
      <c r="K351" s="1377">
        <f t="shared" ref="K351:K355" si="41">I351*J351</f>
        <v>0</v>
      </c>
      <c r="L351" s="1372"/>
    </row>
    <row r="352" spans="1:13" s="31" customFormat="1" ht="17.25" customHeight="1">
      <c r="A352" s="1375" t="s">
        <v>809</v>
      </c>
      <c r="B352" s="1630" t="s">
        <v>1082</v>
      </c>
      <c r="C352" s="1433">
        <f>VLOOKUP(B348,'CNKT '!$C$16:$Z$96,12,0)</f>
        <v>0</v>
      </c>
      <c r="D352" s="1379">
        <f>76.9*$B$2</f>
        <v>50446.400000000001</v>
      </c>
      <c r="E352" s="1377">
        <f t="shared" si="40"/>
        <v>0</v>
      </c>
      <c r="F352" s="1397"/>
      <c r="G352" s="1375" t="s">
        <v>809</v>
      </c>
      <c r="H352" s="1630" t="s">
        <v>1082</v>
      </c>
      <c r="I352" s="1433">
        <f>VLOOKUP(H348,'CNKT '!$C$16:$Z$96,12,0)</f>
        <v>0</v>
      </c>
      <c r="J352" s="1379">
        <f>76.9*$B$2</f>
        <v>50446.400000000001</v>
      </c>
      <c r="K352" s="1377">
        <f t="shared" si="41"/>
        <v>0</v>
      </c>
      <c r="L352" s="1372"/>
    </row>
    <row r="353" spans="1:13" s="31" customFormat="1" ht="17.25" customHeight="1">
      <c r="A353" s="1375" t="s">
        <v>122</v>
      </c>
      <c r="B353" s="1630" t="s">
        <v>1083</v>
      </c>
      <c r="C353" s="1433">
        <f>VLOOKUP(B348,'CNKT '!$C$16:$Z$96,8,0)</f>
        <v>0</v>
      </c>
      <c r="D353" s="1379">
        <f>IF(C349="A",6.1,IF(C349="B",5.8,IF(C349="C",5.5,IF(C349="C.",5.5,IF(C349="D",5.2)))))*$B$2</f>
        <v>4001.6</v>
      </c>
      <c r="E353" s="1377">
        <f t="shared" si="40"/>
        <v>0</v>
      </c>
      <c r="F353" s="1397"/>
      <c r="G353" s="1375" t="s">
        <v>122</v>
      </c>
      <c r="H353" s="1630" t="s">
        <v>1083</v>
      </c>
      <c r="I353" s="1433">
        <f>VLOOKUP(H348,'CNKT '!$C$16:$Z$96,8,0)</f>
        <v>0</v>
      </c>
      <c r="J353" s="1379">
        <f>IF(I349="A",6.1,IF(I349="B",5.8,IF(I349="C",5.5,IF(I349="C.",5.5,IF(I349="D",5.2)))))*$B$2</f>
        <v>4001.6</v>
      </c>
      <c r="K353" s="1377">
        <f t="shared" si="41"/>
        <v>0</v>
      </c>
      <c r="L353" s="1372"/>
    </row>
    <row r="354" spans="1:13" s="31" customFormat="1" ht="17.25" customHeight="1">
      <c r="A354" s="1375" t="s">
        <v>959</v>
      </c>
      <c r="B354" s="1630" t="s">
        <v>1084</v>
      </c>
      <c r="C354" s="1433">
        <f>VLOOKUP(B348,'CNKT '!$C$16:$Z$96,15,0)</f>
        <v>0</v>
      </c>
      <c r="D354" s="1380">
        <f>92.2*$B$2</f>
        <v>60483.200000000004</v>
      </c>
      <c r="E354" s="1377">
        <f t="shared" si="40"/>
        <v>0</v>
      </c>
      <c r="F354" s="1397"/>
      <c r="G354" s="1375" t="s">
        <v>959</v>
      </c>
      <c r="H354" s="1630" t="s">
        <v>1084</v>
      </c>
      <c r="I354" s="1433">
        <f>VLOOKUP(H348,'CNKT '!$C$16:$Z$96,15,0)</f>
        <v>0</v>
      </c>
      <c r="J354" s="1380">
        <f>92.2*$B$2</f>
        <v>60483.200000000004</v>
      </c>
      <c r="K354" s="1377">
        <f t="shared" si="41"/>
        <v>0</v>
      </c>
      <c r="L354" s="1372"/>
    </row>
    <row r="355" spans="1:13" s="31" customFormat="1" ht="17.25" customHeight="1">
      <c r="A355" s="1375" t="s">
        <v>960</v>
      </c>
      <c r="B355" s="1630" t="s">
        <v>964</v>
      </c>
      <c r="C355" s="1433">
        <f>VLOOKUP(B348,'CNKT '!$C$16:$Z$96,16,0)</f>
        <v>0</v>
      </c>
      <c r="D355" s="1379">
        <f>153.8*$B$2</f>
        <v>100892.8</v>
      </c>
      <c r="E355" s="1377">
        <f t="shared" si="40"/>
        <v>0</v>
      </c>
      <c r="F355" s="1397"/>
      <c r="G355" s="1375" t="s">
        <v>960</v>
      </c>
      <c r="H355" s="1630" t="s">
        <v>964</v>
      </c>
      <c r="I355" s="1433">
        <f>VLOOKUP(H348,'CNKT '!$C$16:$Z$96,16,0)</f>
        <v>0</v>
      </c>
      <c r="J355" s="1379">
        <f>153.8*$B$2</f>
        <v>100892.8</v>
      </c>
      <c r="K355" s="1377">
        <f t="shared" si="41"/>
        <v>0</v>
      </c>
      <c r="L355" s="1372"/>
    </row>
    <row r="356" spans="1:13" s="31" customFormat="1" ht="17.25" customHeight="1">
      <c r="A356" s="1375" t="s">
        <v>899</v>
      </c>
      <c r="B356" s="1630" t="s">
        <v>965</v>
      </c>
      <c r="C356" s="1433">
        <f>VLOOKUP(B348,'CNKT '!$C$16:$Z$96,18,0)</f>
        <v>0</v>
      </c>
      <c r="D356" s="1379">
        <v>10000</v>
      </c>
      <c r="E356" s="1377">
        <f>C356*D356</f>
        <v>0</v>
      </c>
      <c r="F356" s="1397"/>
      <c r="G356" s="1375" t="s">
        <v>899</v>
      </c>
      <c r="H356" s="1630" t="s">
        <v>965</v>
      </c>
      <c r="I356" s="1433">
        <f>VLOOKUP(H348,'CNKT '!$C$16:$Z$96,18,0)</f>
        <v>0</v>
      </c>
      <c r="J356" s="1379">
        <v>10000</v>
      </c>
      <c r="K356" s="1377">
        <f>I356*J356</f>
        <v>0</v>
      </c>
      <c r="L356" s="1372"/>
    </row>
    <row r="357" spans="1:13" s="31" customFormat="1" ht="17.25" customHeight="1">
      <c r="A357" s="1375" t="s">
        <v>899</v>
      </c>
      <c r="B357" s="1630" t="s">
        <v>965</v>
      </c>
      <c r="C357" s="1433">
        <f>VLOOKUP(B348,'CNKT '!$C$16:$Z$96,19,0)</f>
        <v>0</v>
      </c>
      <c r="D357" s="1379">
        <v>20000</v>
      </c>
      <c r="E357" s="1377">
        <f>C357*D357</f>
        <v>0</v>
      </c>
      <c r="F357" s="1397"/>
      <c r="G357" s="1375" t="s">
        <v>899</v>
      </c>
      <c r="H357" s="1630" t="s">
        <v>965</v>
      </c>
      <c r="I357" s="1433">
        <f>VLOOKUP(H348,'CNKT '!$C$16:$Z$96,19,0)</f>
        <v>0</v>
      </c>
      <c r="J357" s="1379">
        <v>20000</v>
      </c>
      <c r="K357" s="1377">
        <f>I357*J357</f>
        <v>0</v>
      </c>
      <c r="L357" s="1372"/>
    </row>
    <row r="358" spans="1:13" s="31" customFormat="1" ht="17.25" customHeight="1">
      <c r="A358" s="1375" t="s">
        <v>995</v>
      </c>
      <c r="B358" s="1630" t="s">
        <v>997</v>
      </c>
      <c r="C358" s="1433"/>
      <c r="D358" s="1379"/>
      <c r="E358" s="1377"/>
      <c r="F358" s="1397"/>
      <c r="G358" s="1375" t="s">
        <v>995</v>
      </c>
      <c r="H358" s="1630" t="s">
        <v>997</v>
      </c>
      <c r="I358" s="1433"/>
      <c r="J358" s="1379"/>
      <c r="K358" s="1377"/>
      <c r="L358" s="1372"/>
    </row>
    <row r="359" spans="1:13" s="31" customFormat="1" ht="17.25" customHeight="1">
      <c r="A359" s="1381" t="s">
        <v>123</v>
      </c>
      <c r="B359" s="1631" t="s">
        <v>1085</v>
      </c>
      <c r="C359" s="1382"/>
      <c r="D359" s="1383"/>
      <c r="E359" s="1382"/>
      <c r="F359" s="1625"/>
      <c r="G359" s="1381" t="s">
        <v>123</v>
      </c>
      <c r="H359" s="1631" t="s">
        <v>1085</v>
      </c>
      <c r="I359" s="1382"/>
      <c r="J359" s="1383"/>
      <c r="K359" s="1382"/>
      <c r="L359" s="1372"/>
    </row>
    <row r="360" spans="1:13" s="31" customFormat="1" ht="17.25" customHeight="1">
      <c r="A360" s="1384" t="s">
        <v>124</v>
      </c>
      <c r="B360" s="1632" t="s">
        <v>1086</v>
      </c>
      <c r="C360" s="1382"/>
      <c r="D360" s="1382"/>
      <c r="E360" s="1382"/>
      <c r="F360" s="1392"/>
      <c r="G360" s="1384" t="s">
        <v>124</v>
      </c>
      <c r="H360" s="1632" t="s">
        <v>1086</v>
      </c>
      <c r="I360" s="1382"/>
      <c r="J360" s="1382"/>
      <c r="K360" s="1382"/>
      <c r="L360" s="1372"/>
    </row>
    <row r="361" spans="1:13" s="31" customFormat="1" ht="17.25" customHeight="1">
      <c r="A361" s="1384" t="s">
        <v>125</v>
      </c>
      <c r="B361" s="1633" t="s">
        <v>1087</v>
      </c>
      <c r="C361" s="1382"/>
      <c r="D361" s="1382"/>
      <c r="E361" s="1377">
        <f>SUM(E360)</f>
        <v>0</v>
      </c>
      <c r="F361" s="1392"/>
      <c r="G361" s="1384" t="s">
        <v>125</v>
      </c>
      <c r="H361" s="1633" t="s">
        <v>1087</v>
      </c>
      <c r="I361" s="1382"/>
      <c r="J361" s="1382"/>
      <c r="K361" s="1377">
        <f>SUM(K360)</f>
        <v>0</v>
      </c>
      <c r="L361" s="1372"/>
      <c r="M361" s="1385">
        <f>E361+K361</f>
        <v>0</v>
      </c>
    </row>
    <row r="362" spans="1:13" s="31" customFormat="1" ht="17.25" customHeight="1">
      <c r="A362" s="1386" t="s">
        <v>126</v>
      </c>
      <c r="B362" s="1634" t="s">
        <v>871</v>
      </c>
      <c r="C362" s="1387"/>
      <c r="D362" s="1387"/>
      <c r="E362" s="1387">
        <f>(E350+E351+E352+E353+E354+E355+E356+E357+E358)-E361</f>
        <v>0</v>
      </c>
      <c r="F362" s="1392"/>
      <c r="G362" s="1386" t="s">
        <v>126</v>
      </c>
      <c r="H362" s="1634" t="s">
        <v>871</v>
      </c>
      <c r="I362" s="1387"/>
      <c r="J362" s="1387"/>
      <c r="K362" s="1387">
        <f>(K350+K351+K352+K353+K354+K355+K356+K357+K358)-K361</f>
        <v>0</v>
      </c>
      <c r="L362" s="1389">
        <f>E362+K362</f>
        <v>0</v>
      </c>
    </row>
    <row r="363" spans="1:13" s="31" customFormat="1" ht="17.25" customHeight="1">
      <c r="A363" s="1395"/>
      <c r="B363" s="1625"/>
      <c r="C363" s="1405"/>
      <c r="D363" s="1405"/>
      <c r="E363" s="1406"/>
      <c r="F363" s="1396"/>
      <c r="G363" s="1395"/>
      <c r="H363" s="1625"/>
      <c r="I363" s="1405"/>
      <c r="J363" s="1406"/>
      <c r="K363" s="1390"/>
      <c r="L363" s="1372"/>
    </row>
    <row r="364" spans="1:13" s="31" customFormat="1" ht="17.25" customHeight="1">
      <c r="A364" s="2182" t="str">
        <f>G347</f>
        <v>LƯƠNG THÁNG 01/2025</v>
      </c>
      <c r="B364" s="2183"/>
      <c r="C364" s="2183"/>
      <c r="D364" s="2183"/>
      <c r="E364" s="1452">
        <v>43</v>
      </c>
      <c r="F364" s="1625"/>
      <c r="G364" s="2182" t="str">
        <f>A364</f>
        <v>LƯƠNG THÁNG 01/2025</v>
      </c>
      <c r="H364" s="2183"/>
      <c r="I364" s="2183"/>
      <c r="J364" s="2184"/>
      <c r="K364" s="1452">
        <v>44</v>
      </c>
      <c r="L364" s="1372"/>
    </row>
    <row r="365" spans="1:13" s="31" customFormat="1" ht="17.25" customHeight="1">
      <c r="A365" s="1391" t="s">
        <v>29</v>
      </c>
      <c r="B365" s="1626" t="str">
        <f>'CNKT '!C58</f>
        <v>N. Ting</v>
      </c>
      <c r="C365" s="1373"/>
      <c r="D365" s="1623" t="s">
        <v>806</v>
      </c>
      <c r="E365" s="1623" t="s">
        <v>32</v>
      </c>
      <c r="F365" s="1397"/>
      <c r="G365" s="1391" t="s">
        <v>29</v>
      </c>
      <c r="H365" s="1626" t="str">
        <f>'CNKT '!C59</f>
        <v>T. Lem</v>
      </c>
      <c r="I365" s="1373"/>
      <c r="J365" s="1623" t="s">
        <v>806</v>
      </c>
      <c r="K365" s="1623" t="s">
        <v>32</v>
      </c>
      <c r="L365" s="1372"/>
    </row>
    <row r="366" spans="1:13" s="31" customFormat="1" ht="17.25" customHeight="1">
      <c r="A366" s="1375" t="s">
        <v>807</v>
      </c>
      <c r="B366" s="1628" t="s">
        <v>1080</v>
      </c>
      <c r="C366" s="1376" t="str">
        <f>VLOOKUP(B365,'BTH mủ tạp'!$C$15:$AL$92,36,0)</f>
        <v>A</v>
      </c>
      <c r="D366" s="1377"/>
      <c r="E366" s="1377"/>
      <c r="F366" s="1397"/>
      <c r="G366" s="1375" t="s">
        <v>807</v>
      </c>
      <c r="H366" s="1628" t="s">
        <v>1080</v>
      </c>
      <c r="I366" s="1376" t="str">
        <f>VLOOKUP(H365,'BTH mủ tạp'!$C$15:$AL$92,36,0)</f>
        <v>B</v>
      </c>
      <c r="J366" s="1377"/>
      <c r="K366" s="1377"/>
      <c r="L366" s="1372"/>
    </row>
    <row r="367" spans="1:13" s="31" customFormat="1" ht="17.25" customHeight="1">
      <c r="A367" s="1375" t="s">
        <v>121</v>
      </c>
      <c r="B367" s="1629" t="s">
        <v>865</v>
      </c>
      <c r="C367" s="1378">
        <f>VLOOKUP(B365,'CNKT '!$C$16:$Z$96,3,0)</f>
        <v>0</v>
      </c>
      <c r="D367" s="1379">
        <v>25000</v>
      </c>
      <c r="E367" s="1377">
        <f>C367*D367</f>
        <v>0</v>
      </c>
      <c r="F367" s="1402"/>
      <c r="G367" s="1375" t="s">
        <v>121</v>
      </c>
      <c r="H367" s="1629" t="s">
        <v>865</v>
      </c>
      <c r="I367" s="1378">
        <f>VLOOKUP(H365,'CNKT '!$C$16:$Z$96,3,0)</f>
        <v>0</v>
      </c>
      <c r="J367" s="1379">
        <v>25000</v>
      </c>
      <c r="K367" s="1377">
        <f>I367*J367</f>
        <v>0</v>
      </c>
      <c r="L367" s="1372"/>
    </row>
    <row r="368" spans="1:13" s="31" customFormat="1" ht="17.25" customHeight="1">
      <c r="A368" s="1375" t="s">
        <v>628</v>
      </c>
      <c r="B368" s="1630" t="s">
        <v>1081</v>
      </c>
      <c r="C368" s="1433">
        <f>VLOOKUP(B365,'CNKT '!$C$16:$Z$96,11,0)</f>
        <v>0</v>
      </c>
      <c r="D368" s="1380">
        <f>46.1*$B$2</f>
        <v>30241.600000000002</v>
      </c>
      <c r="E368" s="1377">
        <f t="shared" ref="E368:E372" si="42">C368*D368</f>
        <v>0</v>
      </c>
      <c r="F368" s="1625"/>
      <c r="G368" s="1375" t="s">
        <v>628</v>
      </c>
      <c r="H368" s="1630" t="s">
        <v>1081</v>
      </c>
      <c r="I368" s="1433">
        <f>VLOOKUP(H365,'CNKT '!$C$16:$Z$96,11,0)</f>
        <v>0</v>
      </c>
      <c r="J368" s="1380">
        <f>46.1*$B$2</f>
        <v>30241.600000000002</v>
      </c>
      <c r="K368" s="1377">
        <f t="shared" ref="K368:K372" si="43">I368*J368</f>
        <v>0</v>
      </c>
      <c r="L368" s="1372"/>
    </row>
    <row r="369" spans="1:13" s="31" customFormat="1" ht="17.25" customHeight="1">
      <c r="A369" s="1375" t="s">
        <v>809</v>
      </c>
      <c r="B369" s="1630" t="s">
        <v>1082</v>
      </c>
      <c r="C369" s="1433">
        <f>VLOOKUP(B365,'CNKT '!$C$16:$Z$96,12,0)</f>
        <v>0</v>
      </c>
      <c r="D369" s="1379">
        <f>76.9*$B$2</f>
        <v>50446.400000000001</v>
      </c>
      <c r="E369" s="1377">
        <f t="shared" si="42"/>
        <v>0</v>
      </c>
      <c r="F369" s="1392"/>
      <c r="G369" s="1375" t="s">
        <v>809</v>
      </c>
      <c r="H369" s="1630" t="s">
        <v>1082</v>
      </c>
      <c r="I369" s="1433">
        <f>VLOOKUP(H365,'CNKT '!$C$16:$Z$96,12,0)</f>
        <v>0</v>
      </c>
      <c r="J369" s="1379">
        <f>76.9*$B$2</f>
        <v>50446.400000000001</v>
      </c>
      <c r="K369" s="1377">
        <f t="shared" si="43"/>
        <v>0</v>
      </c>
      <c r="L369" s="1372"/>
    </row>
    <row r="370" spans="1:13" s="31" customFormat="1" ht="17.25" customHeight="1">
      <c r="A370" s="1375" t="s">
        <v>122</v>
      </c>
      <c r="B370" s="1630" t="s">
        <v>1083</v>
      </c>
      <c r="C370" s="1433">
        <f>VLOOKUP(B365,'CNKT '!$C$16:$Z$96,8,0)</f>
        <v>0</v>
      </c>
      <c r="D370" s="1379">
        <f>IF(C366="A",6.1,IF(C366="B",5.8,IF(C366="C",5.5,IF(C366="C.",5.5,IF(C366="D",5.2)))))*$B$2</f>
        <v>4001.6</v>
      </c>
      <c r="E370" s="1377">
        <f t="shared" si="42"/>
        <v>0</v>
      </c>
      <c r="F370" s="1392"/>
      <c r="G370" s="1375" t="s">
        <v>122</v>
      </c>
      <c r="H370" s="1630" t="s">
        <v>1083</v>
      </c>
      <c r="I370" s="1433">
        <f>VLOOKUP(H365,'CNKT '!$C$16:$Z$96,8,0)</f>
        <v>0</v>
      </c>
      <c r="J370" s="1379">
        <f>IF(I366="A",6.1,IF(I366="B",5.8,IF(I366="C",5.5,IF(I366="C.",5.5,IF(I366="D",5.2)))))*$B$2</f>
        <v>3804.7999999999997</v>
      </c>
      <c r="K370" s="1377">
        <f t="shared" si="43"/>
        <v>0</v>
      </c>
      <c r="L370" s="1372"/>
    </row>
    <row r="371" spans="1:13" s="31" customFormat="1" ht="17.25" customHeight="1">
      <c r="A371" s="1375" t="s">
        <v>959</v>
      </c>
      <c r="B371" s="1630" t="s">
        <v>1084</v>
      </c>
      <c r="C371" s="1433">
        <f>VLOOKUP(B365,'CNKT '!$C$16:$Z$96,15,0)</f>
        <v>0</v>
      </c>
      <c r="D371" s="1380">
        <f>92.2*$B$2</f>
        <v>60483.200000000004</v>
      </c>
      <c r="E371" s="1377">
        <f t="shared" si="42"/>
        <v>0</v>
      </c>
      <c r="F371" s="1392"/>
      <c r="G371" s="1375" t="s">
        <v>959</v>
      </c>
      <c r="H371" s="1630" t="s">
        <v>1084</v>
      </c>
      <c r="I371" s="1433">
        <f>VLOOKUP(H365,'CNKT '!$C$16:$Z$96,15,0)</f>
        <v>0</v>
      </c>
      <c r="J371" s="1380">
        <f>92.2*$B$2</f>
        <v>60483.200000000004</v>
      </c>
      <c r="K371" s="1377">
        <f t="shared" si="43"/>
        <v>0</v>
      </c>
      <c r="L371" s="1372"/>
    </row>
    <row r="372" spans="1:13" s="31" customFormat="1" ht="17.25" customHeight="1">
      <c r="A372" s="1375" t="s">
        <v>960</v>
      </c>
      <c r="B372" s="1630" t="s">
        <v>964</v>
      </c>
      <c r="C372" s="1433">
        <f>VLOOKUP(B365,'CNKT '!$C$16:$Z$96,16,0)</f>
        <v>0</v>
      </c>
      <c r="D372" s="1379">
        <f>153.8*$B$2</f>
        <v>100892.8</v>
      </c>
      <c r="E372" s="1377">
        <f t="shared" si="42"/>
        <v>0</v>
      </c>
      <c r="F372" s="1392"/>
      <c r="G372" s="1375" t="s">
        <v>960</v>
      </c>
      <c r="H372" s="1630" t="s">
        <v>964</v>
      </c>
      <c r="I372" s="1433">
        <f>VLOOKUP(H365,'CNKT '!$C$16:$Z$96,16,0)</f>
        <v>0</v>
      </c>
      <c r="J372" s="1379">
        <f>153.8*$B$2</f>
        <v>100892.8</v>
      </c>
      <c r="K372" s="1377">
        <f t="shared" si="43"/>
        <v>0</v>
      </c>
      <c r="L372" s="1372"/>
    </row>
    <row r="373" spans="1:13" s="31" customFormat="1" ht="17.25" customHeight="1">
      <c r="A373" s="1375" t="s">
        <v>899</v>
      </c>
      <c r="B373" s="1630" t="s">
        <v>965</v>
      </c>
      <c r="C373" s="1433">
        <f>VLOOKUP(B365,'CNKT '!$C$16:$Z$96,18,0)</f>
        <v>0</v>
      </c>
      <c r="D373" s="1379">
        <v>10000</v>
      </c>
      <c r="E373" s="1377">
        <f>C373*D373</f>
        <v>0</v>
      </c>
      <c r="F373" s="1392"/>
      <c r="G373" s="1375" t="s">
        <v>899</v>
      </c>
      <c r="H373" s="1630" t="s">
        <v>965</v>
      </c>
      <c r="I373" s="1433">
        <f>VLOOKUP(H365,'CNKT '!$C$16:$Z$96,18,0)</f>
        <v>0</v>
      </c>
      <c r="J373" s="1379">
        <v>10000</v>
      </c>
      <c r="K373" s="1377">
        <f>I373*J373</f>
        <v>0</v>
      </c>
      <c r="L373" s="1372"/>
    </row>
    <row r="374" spans="1:13" s="31" customFormat="1" ht="17.25" customHeight="1">
      <c r="A374" s="1375" t="s">
        <v>899</v>
      </c>
      <c r="B374" s="1630" t="s">
        <v>965</v>
      </c>
      <c r="C374" s="1433">
        <f>VLOOKUP(B365,'CNKT '!$C$16:$Z$96,19,0)</f>
        <v>0</v>
      </c>
      <c r="D374" s="1379">
        <v>20000</v>
      </c>
      <c r="E374" s="1377">
        <f>C374*D374</f>
        <v>0</v>
      </c>
      <c r="F374" s="1392"/>
      <c r="G374" s="1375" t="s">
        <v>899</v>
      </c>
      <c r="H374" s="1630" t="s">
        <v>965</v>
      </c>
      <c r="I374" s="1433">
        <f>VLOOKUP(H365,'CNKT '!$C$16:$Z$96,19,0)</f>
        <v>0</v>
      </c>
      <c r="J374" s="1379">
        <v>20000</v>
      </c>
      <c r="K374" s="1377">
        <f>I374*J374</f>
        <v>0</v>
      </c>
      <c r="L374" s="1372"/>
    </row>
    <row r="375" spans="1:13" s="31" customFormat="1" ht="17.25" customHeight="1">
      <c r="A375" s="1375" t="s">
        <v>995</v>
      </c>
      <c r="B375" s="1630" t="s">
        <v>997</v>
      </c>
      <c r="C375" s="1433"/>
      <c r="D375" s="1379"/>
      <c r="E375" s="1377"/>
      <c r="F375" s="1392"/>
      <c r="G375" s="1375" t="s">
        <v>995</v>
      </c>
      <c r="H375" s="1630" t="s">
        <v>997</v>
      </c>
      <c r="I375" s="1433"/>
      <c r="J375" s="1379"/>
      <c r="K375" s="1377"/>
      <c r="L375" s="1372"/>
    </row>
    <row r="376" spans="1:13" s="31" customFormat="1" ht="17.25" customHeight="1">
      <c r="A376" s="1381" t="s">
        <v>123</v>
      </c>
      <c r="B376" s="1631" t="s">
        <v>1085</v>
      </c>
      <c r="C376" s="1382"/>
      <c r="D376" s="1383"/>
      <c r="E376" s="1382"/>
      <c r="F376" s="1392"/>
      <c r="G376" s="1381" t="s">
        <v>123</v>
      </c>
      <c r="H376" s="1631" t="s">
        <v>1085</v>
      </c>
      <c r="I376" s="1382"/>
      <c r="J376" s="1383"/>
      <c r="K376" s="1382"/>
      <c r="L376" s="1372"/>
    </row>
    <row r="377" spans="1:13" s="31" customFormat="1" ht="17.25" customHeight="1">
      <c r="A377" s="1384" t="s">
        <v>124</v>
      </c>
      <c r="B377" s="1632" t="s">
        <v>1086</v>
      </c>
      <c r="C377" s="1382"/>
      <c r="D377" s="1382"/>
      <c r="E377" s="1382"/>
      <c r="F377" s="1392"/>
      <c r="G377" s="1384" t="s">
        <v>124</v>
      </c>
      <c r="H377" s="1632" t="s">
        <v>1086</v>
      </c>
      <c r="I377" s="1382"/>
      <c r="J377" s="1382"/>
      <c r="K377" s="1382"/>
      <c r="L377" s="1372"/>
      <c r="M377" s="1385">
        <f>E377+K377</f>
        <v>0</v>
      </c>
    </row>
    <row r="378" spans="1:13" s="31" customFormat="1" ht="17.25" customHeight="1">
      <c r="A378" s="1384" t="s">
        <v>125</v>
      </c>
      <c r="B378" s="1633" t="s">
        <v>1087</v>
      </c>
      <c r="C378" s="1382"/>
      <c r="D378" s="1382"/>
      <c r="E378" s="1377">
        <f>SUM(E377)</f>
        <v>0</v>
      </c>
      <c r="F378" s="1392"/>
      <c r="G378" s="1384" t="s">
        <v>125</v>
      </c>
      <c r="H378" s="1633" t="s">
        <v>1087</v>
      </c>
      <c r="I378" s="1382"/>
      <c r="J378" s="1382"/>
      <c r="K378" s="1377">
        <f>SUM(K377)</f>
        <v>0</v>
      </c>
      <c r="L378" s="1389"/>
    </row>
    <row r="379" spans="1:13" s="31" customFormat="1" ht="17.25" customHeight="1">
      <c r="A379" s="1386" t="s">
        <v>126</v>
      </c>
      <c r="B379" s="1634" t="s">
        <v>871</v>
      </c>
      <c r="C379" s="1387"/>
      <c r="D379" s="1387"/>
      <c r="E379" s="1387">
        <f>(E367+E368+E369+E370+E371+E372+E373+E374+E375)-E378</f>
        <v>0</v>
      </c>
      <c r="F379" s="1392"/>
      <c r="G379" s="1386" t="s">
        <v>126</v>
      </c>
      <c r="H379" s="1634" t="s">
        <v>871</v>
      </c>
      <c r="I379" s="1387"/>
      <c r="J379" s="1387"/>
      <c r="K379" s="1387">
        <f>(K367+K368+K369+K370+K371+K372+K373+K374+K375)-K378</f>
        <v>0</v>
      </c>
      <c r="L379" s="1389">
        <f>E379+K379</f>
        <v>0</v>
      </c>
    </row>
    <row r="380" spans="1:13" s="31" customFormat="1" ht="17.25" customHeight="1">
      <c r="A380" s="1407"/>
      <c r="B380" s="1403"/>
      <c r="C380" s="1408"/>
      <c r="D380" s="1408"/>
      <c r="E380" s="1392"/>
      <c r="F380" s="1397"/>
      <c r="G380" s="1407"/>
      <c r="H380" s="1403"/>
      <c r="I380" s="1408"/>
      <c r="J380" s="1392"/>
      <c r="K380" s="1390"/>
      <c r="L380" s="1372"/>
    </row>
    <row r="381" spans="1:13" s="31" customFormat="1" ht="17.25" customHeight="1">
      <c r="A381" s="2182" t="str">
        <f>G364</f>
        <v>LƯƠNG THÁNG 01/2025</v>
      </c>
      <c r="B381" s="2183"/>
      <c r="C381" s="2183"/>
      <c r="D381" s="2183"/>
      <c r="E381" s="1452">
        <v>45</v>
      </c>
      <c r="F381" s="1625"/>
      <c r="G381" s="2182" t="str">
        <f>A381</f>
        <v>LƯƠNG THÁNG 01/2025</v>
      </c>
      <c r="H381" s="2183"/>
      <c r="I381" s="2183"/>
      <c r="J381" s="2184"/>
      <c r="K381" s="1452">
        <v>46</v>
      </c>
      <c r="L381" s="1372"/>
    </row>
    <row r="382" spans="1:13" s="31" customFormat="1" ht="17.25" customHeight="1">
      <c r="A382" s="1391" t="s">
        <v>29</v>
      </c>
      <c r="B382" s="1626" t="str">
        <f>'CNKT '!C60</f>
        <v>T. Pông</v>
      </c>
      <c r="C382" s="1373"/>
      <c r="D382" s="1623" t="s">
        <v>806</v>
      </c>
      <c r="E382" s="1623" t="s">
        <v>32</v>
      </c>
      <c r="F382" s="1392"/>
      <c r="G382" s="1391" t="s">
        <v>29</v>
      </c>
      <c r="H382" s="1626" t="str">
        <f>'CNKT '!C61</f>
        <v>T. Chít</v>
      </c>
      <c r="I382" s="1373"/>
      <c r="J382" s="1623" t="s">
        <v>806</v>
      </c>
      <c r="K382" s="1623" t="s">
        <v>32</v>
      </c>
      <c r="L382" s="1372"/>
    </row>
    <row r="383" spans="1:13" s="31" customFormat="1" ht="17.25" customHeight="1">
      <c r="A383" s="1375" t="s">
        <v>807</v>
      </c>
      <c r="B383" s="1628" t="s">
        <v>1080</v>
      </c>
      <c r="C383" s="1376" t="str">
        <f>VLOOKUP(B382,'BTH mủ tạp'!$C$15:$AL$92,36,0)</f>
        <v>A</v>
      </c>
      <c r="D383" s="1377"/>
      <c r="E383" s="1377"/>
      <c r="F383" s="1392"/>
      <c r="G383" s="1375" t="s">
        <v>807</v>
      </c>
      <c r="H383" s="1628" t="s">
        <v>1080</v>
      </c>
      <c r="I383" s="1376" t="str">
        <f>VLOOKUP(H382,'BTH mủ tạp'!$C$15:$AL$92,36,0)</f>
        <v>B</v>
      </c>
      <c r="J383" s="1377"/>
      <c r="K383" s="1377"/>
      <c r="L383" s="1372"/>
    </row>
    <row r="384" spans="1:13" s="31" customFormat="1" ht="17.25" customHeight="1">
      <c r="A384" s="1375" t="s">
        <v>121</v>
      </c>
      <c r="B384" s="1629" t="s">
        <v>865</v>
      </c>
      <c r="C384" s="1378">
        <f>VLOOKUP(B382,'CNKT '!$C$16:$Z$96,3,0)</f>
        <v>0</v>
      </c>
      <c r="D384" s="1379">
        <v>25000</v>
      </c>
      <c r="E384" s="1377">
        <f>C384*D384</f>
        <v>0</v>
      </c>
      <c r="F384" s="1392"/>
      <c r="G384" s="1375" t="s">
        <v>121</v>
      </c>
      <c r="H384" s="1629" t="s">
        <v>865</v>
      </c>
      <c r="I384" s="1378">
        <f>VLOOKUP(H382,'CNKT '!$C$16:$Z$96,3,0)</f>
        <v>0</v>
      </c>
      <c r="J384" s="1379">
        <v>25000</v>
      </c>
      <c r="K384" s="1377">
        <f>I384*J384</f>
        <v>0</v>
      </c>
      <c r="L384" s="1372"/>
    </row>
    <row r="385" spans="1:13" s="31" customFormat="1" ht="17.25" customHeight="1">
      <c r="A385" s="1375" t="s">
        <v>628</v>
      </c>
      <c r="B385" s="1630" t="s">
        <v>1081</v>
      </c>
      <c r="C385" s="1433">
        <f>VLOOKUP(B382,'CNKT '!$C$16:$Z$96,11,0)</f>
        <v>0</v>
      </c>
      <c r="D385" s="1380">
        <f>46.1*$B$2</f>
        <v>30241.600000000002</v>
      </c>
      <c r="E385" s="1377">
        <f t="shared" ref="E385:E389" si="44">C385*D385</f>
        <v>0</v>
      </c>
      <c r="F385" s="1392"/>
      <c r="G385" s="1375" t="s">
        <v>628</v>
      </c>
      <c r="H385" s="1630" t="s">
        <v>1081</v>
      </c>
      <c r="I385" s="1433">
        <f>VLOOKUP(H382,'CNKT '!$C$16:$Z$96,11,0)</f>
        <v>0</v>
      </c>
      <c r="J385" s="1380">
        <f>46.1*$B$2</f>
        <v>30241.600000000002</v>
      </c>
      <c r="K385" s="1377">
        <f t="shared" ref="K385:K389" si="45">I385*J385</f>
        <v>0</v>
      </c>
      <c r="L385" s="1372"/>
    </row>
    <row r="386" spans="1:13" s="31" customFormat="1" ht="17.25" customHeight="1">
      <c r="A386" s="1375" t="s">
        <v>809</v>
      </c>
      <c r="B386" s="1630" t="s">
        <v>1082</v>
      </c>
      <c r="C386" s="1433">
        <f>VLOOKUP(B382,'CNKT '!$C$16:$Z$96,12,0)</f>
        <v>0</v>
      </c>
      <c r="D386" s="1379">
        <f>76.9*$B$2</f>
        <v>50446.400000000001</v>
      </c>
      <c r="E386" s="1377">
        <f t="shared" si="44"/>
        <v>0</v>
      </c>
      <c r="F386" s="1396"/>
      <c r="G386" s="1375" t="s">
        <v>809</v>
      </c>
      <c r="H386" s="1630" t="s">
        <v>1082</v>
      </c>
      <c r="I386" s="1433">
        <f>VLOOKUP(H382,'CNKT '!$C$16:$Z$96,12,0)</f>
        <v>0</v>
      </c>
      <c r="J386" s="1379">
        <f>76.9*$B$2</f>
        <v>50446.400000000001</v>
      </c>
      <c r="K386" s="1377">
        <f t="shared" si="45"/>
        <v>0</v>
      </c>
      <c r="L386" s="1372"/>
    </row>
    <row r="387" spans="1:13" s="31" customFormat="1" ht="17.25" customHeight="1">
      <c r="A387" s="1375" t="s">
        <v>122</v>
      </c>
      <c r="B387" s="1630" t="s">
        <v>1083</v>
      </c>
      <c r="C387" s="1433">
        <f>VLOOKUP(B382,'CNKT '!$C$16:$Z$96,8,0)</f>
        <v>0</v>
      </c>
      <c r="D387" s="1379">
        <f>IF(C383="A",6.1,IF(C383="B",5.8,IF(C383="C",5.5,IF(C383="C.",5.5,IF(C383="D",5.2)))))*$B$2</f>
        <v>4001.6</v>
      </c>
      <c r="E387" s="1377">
        <f t="shared" si="44"/>
        <v>0</v>
      </c>
      <c r="F387" s="1396"/>
      <c r="G387" s="1375" t="s">
        <v>122</v>
      </c>
      <c r="H387" s="1630" t="s">
        <v>1083</v>
      </c>
      <c r="I387" s="1433">
        <f>VLOOKUP(H382,'CNKT '!$C$16:$Z$96,8,0)</f>
        <v>0</v>
      </c>
      <c r="J387" s="1379">
        <f>IF(I383="A",6.1,IF(I383="B",5.8,IF(I383="C",5.5,IF(I383="C.",5.5,IF(I383="D",5.2)))))*$B$2</f>
        <v>3804.7999999999997</v>
      </c>
      <c r="K387" s="1377">
        <f t="shared" si="45"/>
        <v>0</v>
      </c>
      <c r="L387" s="1372"/>
    </row>
    <row r="388" spans="1:13" s="31" customFormat="1" ht="17.25" customHeight="1">
      <c r="A388" s="1375" t="s">
        <v>959</v>
      </c>
      <c r="B388" s="1630" t="s">
        <v>1084</v>
      </c>
      <c r="C388" s="1433">
        <f>VLOOKUP(B382,'CNKT '!$C$16:$Z$96,15,0)</f>
        <v>0</v>
      </c>
      <c r="D388" s="1380">
        <f>92.2*$B$2</f>
        <v>60483.200000000004</v>
      </c>
      <c r="E388" s="1377">
        <f t="shared" si="44"/>
        <v>0</v>
      </c>
      <c r="F388" s="1396"/>
      <c r="G388" s="1375" t="s">
        <v>959</v>
      </c>
      <c r="H388" s="1630" t="s">
        <v>1084</v>
      </c>
      <c r="I388" s="1433">
        <f>VLOOKUP(H382,'CNKT '!$C$16:$Z$96,15,0)</f>
        <v>0</v>
      </c>
      <c r="J388" s="1380">
        <f>92.2*$B$2</f>
        <v>60483.200000000004</v>
      </c>
      <c r="K388" s="1377">
        <f t="shared" si="45"/>
        <v>0</v>
      </c>
      <c r="L388" s="1372"/>
    </row>
    <row r="389" spans="1:13" s="31" customFormat="1" ht="17.25" customHeight="1">
      <c r="A389" s="1375" t="s">
        <v>960</v>
      </c>
      <c r="B389" s="1630" t="s">
        <v>964</v>
      </c>
      <c r="C389" s="1433">
        <f>VLOOKUP(B382,'CNKT '!$C$16:$Z$96,16,0)</f>
        <v>0</v>
      </c>
      <c r="D389" s="1379">
        <f>153.8*$B$2</f>
        <v>100892.8</v>
      </c>
      <c r="E389" s="1377">
        <f t="shared" si="44"/>
        <v>0</v>
      </c>
      <c r="F389" s="1396"/>
      <c r="G389" s="1375" t="s">
        <v>960</v>
      </c>
      <c r="H389" s="1630" t="s">
        <v>964</v>
      </c>
      <c r="I389" s="1433">
        <f>VLOOKUP(H382,'CNKT '!$C$16:$Z$96,16,0)</f>
        <v>0</v>
      </c>
      <c r="J389" s="1379">
        <f>153.8*$B$2</f>
        <v>100892.8</v>
      </c>
      <c r="K389" s="1377">
        <f t="shared" si="45"/>
        <v>0</v>
      </c>
      <c r="L389" s="1372"/>
    </row>
    <row r="390" spans="1:13" s="31" customFormat="1" ht="17.25" customHeight="1">
      <c r="A390" s="1375" t="s">
        <v>899</v>
      </c>
      <c r="B390" s="1630" t="s">
        <v>965</v>
      </c>
      <c r="C390" s="1433">
        <f>VLOOKUP(B382,'CNKT '!$C$16:$Z$96,18,0)</f>
        <v>0</v>
      </c>
      <c r="D390" s="1379">
        <v>10000</v>
      </c>
      <c r="E390" s="1377">
        <f>C390*D390</f>
        <v>0</v>
      </c>
      <c r="F390" s="1396"/>
      <c r="G390" s="1375" t="s">
        <v>899</v>
      </c>
      <c r="H390" s="1630" t="s">
        <v>965</v>
      </c>
      <c r="I390" s="1433">
        <f>VLOOKUP(H382,'CNKT '!$C$16:$Z$96,18,0)</f>
        <v>0</v>
      </c>
      <c r="J390" s="1379">
        <v>10000</v>
      </c>
      <c r="K390" s="1377">
        <f>I390*J390</f>
        <v>0</v>
      </c>
      <c r="L390" s="1372"/>
    </row>
    <row r="391" spans="1:13" s="31" customFormat="1" ht="17.25" customHeight="1">
      <c r="A391" s="1375" t="s">
        <v>899</v>
      </c>
      <c r="B391" s="1630" t="s">
        <v>965</v>
      </c>
      <c r="C391" s="1433">
        <f>VLOOKUP(B382,'CNKT '!$C$16:$Z$96,19,0)</f>
        <v>0</v>
      </c>
      <c r="D391" s="1379">
        <v>20000</v>
      </c>
      <c r="E391" s="1377">
        <f>C391*D391</f>
        <v>0</v>
      </c>
      <c r="F391" s="1396"/>
      <c r="G391" s="1375" t="s">
        <v>899</v>
      </c>
      <c r="H391" s="1630" t="s">
        <v>965</v>
      </c>
      <c r="I391" s="1433">
        <f>VLOOKUP(H382,'CNKT '!$C$16:$Z$96,19,0)</f>
        <v>0</v>
      </c>
      <c r="J391" s="1379">
        <v>20000</v>
      </c>
      <c r="K391" s="1377">
        <f>I391*J391</f>
        <v>0</v>
      </c>
      <c r="L391" s="1372"/>
    </row>
    <row r="392" spans="1:13" s="31" customFormat="1" ht="17.25" customHeight="1">
      <c r="A392" s="1375" t="s">
        <v>995</v>
      </c>
      <c r="B392" s="1630" t="s">
        <v>997</v>
      </c>
      <c r="C392" s="1433"/>
      <c r="D392" s="1379"/>
      <c r="E392" s="1377"/>
      <c r="F392" s="1396"/>
      <c r="G392" s="1375" t="s">
        <v>995</v>
      </c>
      <c r="H392" s="1630" t="s">
        <v>997</v>
      </c>
      <c r="I392" s="1433"/>
      <c r="J392" s="1379"/>
      <c r="K392" s="1377"/>
      <c r="L392" s="1372"/>
    </row>
    <row r="393" spans="1:13" s="31" customFormat="1" ht="17.25" customHeight="1">
      <c r="A393" s="1381" t="s">
        <v>123</v>
      </c>
      <c r="B393" s="1631" t="s">
        <v>1085</v>
      </c>
      <c r="C393" s="1382"/>
      <c r="D393" s="1383"/>
      <c r="E393" s="1382"/>
      <c r="F393" s="1625"/>
      <c r="G393" s="1381" t="s">
        <v>123</v>
      </c>
      <c r="H393" s="1631" t="s">
        <v>1085</v>
      </c>
      <c r="I393" s="1382"/>
      <c r="J393" s="1383"/>
      <c r="K393" s="1382"/>
      <c r="L393" s="1372"/>
    </row>
    <row r="394" spans="1:13" s="31" customFormat="1" ht="17.25" customHeight="1">
      <c r="A394" s="1384" t="s">
        <v>124</v>
      </c>
      <c r="B394" s="1632" t="s">
        <v>1086</v>
      </c>
      <c r="C394" s="1382"/>
      <c r="D394" s="1382"/>
      <c r="E394" s="1382"/>
      <c r="F394" s="1397"/>
      <c r="G394" s="1384" t="s">
        <v>124</v>
      </c>
      <c r="H394" s="1632" t="s">
        <v>1086</v>
      </c>
      <c r="I394" s="1382"/>
      <c r="J394" s="1382"/>
      <c r="K394" s="1382"/>
      <c r="L394" s="1372"/>
    </row>
    <row r="395" spans="1:13" s="31" customFormat="1" ht="17.25" customHeight="1">
      <c r="A395" s="1384" t="s">
        <v>125</v>
      </c>
      <c r="B395" s="1633" t="s">
        <v>1087</v>
      </c>
      <c r="C395" s="1382"/>
      <c r="D395" s="1382"/>
      <c r="E395" s="1377">
        <f>SUM(E394)</f>
        <v>0</v>
      </c>
      <c r="F395" s="1397"/>
      <c r="G395" s="1384" t="s">
        <v>125</v>
      </c>
      <c r="H395" s="1633" t="s">
        <v>1087</v>
      </c>
      <c r="I395" s="1382"/>
      <c r="J395" s="1382"/>
      <c r="K395" s="1377">
        <f>SUM(K394)</f>
        <v>0</v>
      </c>
      <c r="L395" s="1372"/>
      <c r="M395" s="1385">
        <f>E395+K395</f>
        <v>0</v>
      </c>
    </row>
    <row r="396" spans="1:13" s="31" customFormat="1" ht="17.25" customHeight="1">
      <c r="A396" s="1386" t="s">
        <v>126</v>
      </c>
      <c r="B396" s="1634" t="s">
        <v>871</v>
      </c>
      <c r="C396" s="1387"/>
      <c r="D396" s="1387"/>
      <c r="E396" s="1387">
        <f>(E384+E385+E386+E387+E388+E389+E390+E391+E392)-E395</f>
        <v>0</v>
      </c>
      <c r="F396" s="1397"/>
      <c r="G396" s="1386" t="s">
        <v>126</v>
      </c>
      <c r="H396" s="1634" t="s">
        <v>871</v>
      </c>
      <c r="I396" s="1387"/>
      <c r="J396" s="1387"/>
      <c r="K396" s="1387">
        <f>(K384+K385+K386+K387+K388+K389+K390+K391+K392)-K395</f>
        <v>0</v>
      </c>
      <c r="L396" s="1389">
        <f>E396+K396</f>
        <v>0</v>
      </c>
    </row>
    <row r="397" spans="1:13" s="31" customFormat="1" ht="17.25" customHeight="1">
      <c r="A397" s="1392"/>
      <c r="B397" s="1398"/>
      <c r="C397" s="1399"/>
      <c r="D397" s="1399"/>
      <c r="E397" s="1397"/>
      <c r="F397" s="1397"/>
      <c r="G397" s="1392"/>
      <c r="H397" s="1398"/>
      <c r="I397" s="1399"/>
      <c r="J397" s="1397"/>
      <c r="K397" s="1400"/>
      <c r="L397" s="1372"/>
    </row>
    <row r="398" spans="1:13" s="31" customFormat="1" ht="185.25" customHeight="1">
      <c r="A398" s="1407"/>
      <c r="B398" s="1396"/>
      <c r="C398" s="1625"/>
      <c r="D398" s="1625"/>
      <c r="E398" s="1392"/>
      <c r="F398" s="1392"/>
      <c r="G398" s="1407"/>
      <c r="H398" s="1396"/>
      <c r="I398" s="1625"/>
      <c r="J398" s="1392"/>
      <c r="K398" s="1390"/>
      <c r="L398" s="1372"/>
    </row>
    <row r="399" spans="1:13" s="31" customFormat="1" ht="17.25" customHeight="1">
      <c r="A399" s="2182" t="str">
        <f>G381</f>
        <v>LƯƠNG THÁNG 01/2025</v>
      </c>
      <c r="B399" s="2183"/>
      <c r="C399" s="2183"/>
      <c r="D399" s="2183"/>
      <c r="E399" s="1452">
        <v>47</v>
      </c>
      <c r="F399" s="1392"/>
      <c r="G399" s="2182" t="str">
        <f>A399</f>
        <v>LƯƠNG THÁNG 01/2025</v>
      </c>
      <c r="H399" s="2183"/>
      <c r="I399" s="2183"/>
      <c r="J399" s="2184"/>
      <c r="K399" s="1452">
        <v>48</v>
      </c>
      <c r="L399" s="1372"/>
    </row>
    <row r="400" spans="1:13" s="31" customFormat="1" ht="17.25" customHeight="1">
      <c r="A400" s="1391" t="s">
        <v>29</v>
      </c>
      <c r="B400" s="1626" t="str">
        <f>'CNKT '!C62</f>
        <v>N. La</v>
      </c>
      <c r="C400" s="1373"/>
      <c r="D400" s="1623" t="s">
        <v>806</v>
      </c>
      <c r="E400" s="1623" t="s">
        <v>32</v>
      </c>
      <c r="F400" s="1392"/>
      <c r="G400" s="1391" t="s">
        <v>29</v>
      </c>
      <c r="H400" s="1626" t="str">
        <f>'CNKT '!C63</f>
        <v>T. Đi</v>
      </c>
      <c r="I400" s="1373"/>
      <c r="J400" s="1623" t="s">
        <v>806</v>
      </c>
      <c r="K400" s="1623" t="s">
        <v>32</v>
      </c>
      <c r="L400" s="1372"/>
    </row>
    <row r="401" spans="1:13" s="31" customFormat="1" ht="17.25" customHeight="1">
      <c r="A401" s="1375" t="s">
        <v>807</v>
      </c>
      <c r="B401" s="1628" t="s">
        <v>1080</v>
      </c>
      <c r="C401" s="1376" t="str">
        <f>VLOOKUP(B400,'BTH mủ tạp'!$C$15:$AL$92,36,0)</f>
        <v>B</v>
      </c>
      <c r="D401" s="1377"/>
      <c r="E401" s="1377"/>
      <c r="F401" s="1396"/>
      <c r="G401" s="1375" t="s">
        <v>807</v>
      </c>
      <c r="H401" s="1628" t="s">
        <v>1080</v>
      </c>
      <c r="I401" s="1376" t="str">
        <f>VLOOKUP(H400,'BTH mủ tạp'!$C$15:$AL$92,36,0)</f>
        <v>B</v>
      </c>
      <c r="J401" s="1377"/>
      <c r="K401" s="1377"/>
      <c r="L401" s="1372"/>
    </row>
    <row r="402" spans="1:13" s="31" customFormat="1" ht="17.25" customHeight="1">
      <c r="A402" s="1375" t="s">
        <v>121</v>
      </c>
      <c r="B402" s="1629" t="s">
        <v>865</v>
      </c>
      <c r="C402" s="1378">
        <f>VLOOKUP(B400,'CNKT '!$C$16:$Z$96,3,0)</f>
        <v>0</v>
      </c>
      <c r="D402" s="1379">
        <v>25000</v>
      </c>
      <c r="E402" s="1377">
        <f>C402*D402</f>
        <v>0</v>
      </c>
      <c r="F402" s="1396"/>
      <c r="G402" s="1375" t="s">
        <v>121</v>
      </c>
      <c r="H402" s="1629" t="s">
        <v>865</v>
      </c>
      <c r="I402" s="1378">
        <f>VLOOKUP(H400,'CNKT '!$C$16:$Z$96,3,0)</f>
        <v>0</v>
      </c>
      <c r="J402" s="1379">
        <v>25000</v>
      </c>
      <c r="K402" s="1377">
        <f>I402*J402</f>
        <v>0</v>
      </c>
      <c r="L402" s="1372"/>
    </row>
    <row r="403" spans="1:13" s="31" customFormat="1" ht="17.25" customHeight="1">
      <c r="A403" s="1375" t="s">
        <v>628</v>
      </c>
      <c r="B403" s="1630" t="s">
        <v>1081</v>
      </c>
      <c r="C403" s="1433">
        <f>VLOOKUP(B400,'CNKT '!$C$16:$Z$96,11,0)</f>
        <v>0</v>
      </c>
      <c r="D403" s="1380">
        <f>46.1*$B$2</f>
        <v>30241.600000000002</v>
      </c>
      <c r="E403" s="1377">
        <f t="shared" ref="E403:E407" si="46">C403*D403</f>
        <v>0</v>
      </c>
      <c r="F403" s="1625"/>
      <c r="G403" s="1375" t="s">
        <v>628</v>
      </c>
      <c r="H403" s="1630" t="s">
        <v>1081</v>
      </c>
      <c r="I403" s="1433">
        <f>VLOOKUP(H400,'CNKT '!$C$16:$Z$96,11,0)</f>
        <v>0</v>
      </c>
      <c r="J403" s="1380">
        <f>46.1*$B$2</f>
        <v>30241.600000000002</v>
      </c>
      <c r="K403" s="1377">
        <f t="shared" ref="K403:K407" si="47">I403*J403</f>
        <v>0</v>
      </c>
      <c r="L403" s="1372"/>
    </row>
    <row r="404" spans="1:13" s="31" customFormat="1" ht="17.25" customHeight="1">
      <c r="A404" s="1375" t="s">
        <v>809</v>
      </c>
      <c r="B404" s="1630" t="s">
        <v>1082</v>
      </c>
      <c r="C404" s="1433">
        <f>VLOOKUP(B400,'CNKT '!$C$16:$Z$96,12,0)</f>
        <v>0</v>
      </c>
      <c r="D404" s="1379">
        <f>76.9*$B$2</f>
        <v>50446.400000000001</v>
      </c>
      <c r="E404" s="1377">
        <f t="shared" si="46"/>
        <v>0</v>
      </c>
      <c r="F404" s="1397"/>
      <c r="G404" s="1375" t="s">
        <v>809</v>
      </c>
      <c r="H404" s="1630" t="s">
        <v>1082</v>
      </c>
      <c r="I404" s="1433">
        <f>VLOOKUP(H400,'CNKT '!$C$16:$Z$96,12,0)</f>
        <v>0</v>
      </c>
      <c r="J404" s="1379">
        <f>76.9*$B$2</f>
        <v>50446.400000000001</v>
      </c>
      <c r="K404" s="1377">
        <f t="shared" si="47"/>
        <v>0</v>
      </c>
      <c r="L404" s="1372"/>
    </row>
    <row r="405" spans="1:13" s="31" customFormat="1" ht="17.25" customHeight="1">
      <c r="A405" s="1375" t="s">
        <v>122</v>
      </c>
      <c r="B405" s="1630" t="s">
        <v>1083</v>
      </c>
      <c r="C405" s="1433">
        <f>VLOOKUP(B400,'CNKT '!$C$16:$Z$96,8,0)</f>
        <v>0</v>
      </c>
      <c r="D405" s="1379">
        <f>IF(C401="A",6.1,IF(C401="B",5.8,IF(C401="C",5.5,IF(C401="C.",5.5,IF(C401="D",5.2)))))*$B$2</f>
        <v>3804.7999999999997</v>
      </c>
      <c r="E405" s="1377">
        <f t="shared" si="46"/>
        <v>0</v>
      </c>
      <c r="F405" s="1397"/>
      <c r="G405" s="1375" t="s">
        <v>122</v>
      </c>
      <c r="H405" s="1630" t="s">
        <v>1083</v>
      </c>
      <c r="I405" s="1433">
        <f>VLOOKUP(H400,'CNKT '!$C$16:$Z$96,8,0)</f>
        <v>0</v>
      </c>
      <c r="J405" s="1379">
        <f>IF(I401="A",6.1,IF(I401="B",5.8,IF(I401="C",5.5,IF(I401="C.",5.5,IF(I401="D",5.2)))))*$B$2</f>
        <v>3804.7999999999997</v>
      </c>
      <c r="K405" s="1377">
        <f t="shared" si="47"/>
        <v>0</v>
      </c>
      <c r="L405" s="1372"/>
    </row>
    <row r="406" spans="1:13" s="31" customFormat="1" ht="17.25" customHeight="1">
      <c r="A406" s="1375" t="s">
        <v>959</v>
      </c>
      <c r="B406" s="1630" t="s">
        <v>1084</v>
      </c>
      <c r="C406" s="1433">
        <f>VLOOKUP(B400,'CNKT '!$C$16:$Z$96,15,0)</f>
        <v>0</v>
      </c>
      <c r="D406" s="1380">
        <f>92.2*$B$2</f>
        <v>60483.200000000004</v>
      </c>
      <c r="E406" s="1377">
        <f t="shared" si="46"/>
        <v>0</v>
      </c>
      <c r="F406" s="1397"/>
      <c r="G406" s="1375" t="s">
        <v>959</v>
      </c>
      <c r="H406" s="1630" t="s">
        <v>1084</v>
      </c>
      <c r="I406" s="1433">
        <f>VLOOKUP(H400,'CNKT '!$C$16:$Z$96,15,0)</f>
        <v>0</v>
      </c>
      <c r="J406" s="1380">
        <f>92.2*$B$2</f>
        <v>60483.200000000004</v>
      </c>
      <c r="K406" s="1377">
        <f t="shared" si="47"/>
        <v>0</v>
      </c>
      <c r="L406" s="1372"/>
    </row>
    <row r="407" spans="1:13" s="31" customFormat="1" ht="17.25" customHeight="1">
      <c r="A407" s="1375" t="s">
        <v>960</v>
      </c>
      <c r="B407" s="1630" t="s">
        <v>964</v>
      </c>
      <c r="C407" s="1433">
        <f>VLOOKUP(B400,'CNKT '!$C$16:$Z$96,16,0)</f>
        <v>0</v>
      </c>
      <c r="D407" s="1379">
        <f>153.8*$B$2</f>
        <v>100892.8</v>
      </c>
      <c r="E407" s="1377">
        <f t="shared" si="46"/>
        <v>0</v>
      </c>
      <c r="F407" s="1397"/>
      <c r="G407" s="1375" t="s">
        <v>960</v>
      </c>
      <c r="H407" s="1630" t="s">
        <v>964</v>
      </c>
      <c r="I407" s="1433">
        <f>VLOOKUP(H400,'CNKT '!$C$16:$Z$96,16,0)</f>
        <v>0</v>
      </c>
      <c r="J407" s="1379">
        <f>153.8*$B$2</f>
        <v>100892.8</v>
      </c>
      <c r="K407" s="1377">
        <f t="shared" si="47"/>
        <v>0</v>
      </c>
      <c r="L407" s="1372"/>
    </row>
    <row r="408" spans="1:13" s="31" customFormat="1" ht="17.25" customHeight="1">
      <c r="A408" s="1375" t="s">
        <v>899</v>
      </c>
      <c r="B408" s="1630" t="s">
        <v>965</v>
      </c>
      <c r="C408" s="1433">
        <f>VLOOKUP(B400,'CNKT '!$C$16:$Z$96,18,0)</f>
        <v>0</v>
      </c>
      <c r="D408" s="1379">
        <v>10000</v>
      </c>
      <c r="E408" s="1377">
        <f>C408*D408</f>
        <v>0</v>
      </c>
      <c r="F408" s="1397"/>
      <c r="G408" s="1375" t="s">
        <v>899</v>
      </c>
      <c r="H408" s="1630" t="s">
        <v>965</v>
      </c>
      <c r="I408" s="1433">
        <f>VLOOKUP(H400,'CNKT '!$C$16:$Z$96,18,0)</f>
        <v>0</v>
      </c>
      <c r="J408" s="1379">
        <v>10000</v>
      </c>
      <c r="K408" s="1377">
        <f>I408*J408</f>
        <v>0</v>
      </c>
      <c r="L408" s="1372"/>
    </row>
    <row r="409" spans="1:13" s="31" customFormat="1" ht="17.25" customHeight="1">
      <c r="A409" s="1375" t="s">
        <v>899</v>
      </c>
      <c r="B409" s="1630" t="s">
        <v>965</v>
      </c>
      <c r="C409" s="1433">
        <f>VLOOKUP(B400,'CNKT '!$C$16:$Z$96,19,0)</f>
        <v>0</v>
      </c>
      <c r="D409" s="1379">
        <v>20000</v>
      </c>
      <c r="E409" s="1377">
        <f>C409*D409</f>
        <v>0</v>
      </c>
      <c r="F409" s="1397"/>
      <c r="G409" s="1375" t="s">
        <v>899</v>
      </c>
      <c r="H409" s="1630" t="s">
        <v>965</v>
      </c>
      <c r="I409" s="1433">
        <f>VLOOKUP(H400,'CNKT '!$C$16:$Z$96,19,0)</f>
        <v>0</v>
      </c>
      <c r="J409" s="1379">
        <v>20000</v>
      </c>
      <c r="K409" s="1377">
        <f>I409*J409</f>
        <v>0</v>
      </c>
      <c r="L409" s="1372"/>
    </row>
    <row r="410" spans="1:13" s="31" customFormat="1" ht="17.25" customHeight="1">
      <c r="A410" s="1375" t="s">
        <v>995</v>
      </c>
      <c r="B410" s="1630" t="s">
        <v>997</v>
      </c>
      <c r="C410" s="1433"/>
      <c r="D410" s="1379"/>
      <c r="E410" s="1377"/>
      <c r="F410" s="1397"/>
      <c r="G410" s="1375" t="s">
        <v>995</v>
      </c>
      <c r="H410" s="1630" t="s">
        <v>997</v>
      </c>
      <c r="I410" s="1433"/>
      <c r="J410" s="1379"/>
      <c r="K410" s="1377"/>
      <c r="L410" s="1372"/>
    </row>
    <row r="411" spans="1:13" s="31" customFormat="1" ht="17.25" customHeight="1">
      <c r="A411" s="1381" t="s">
        <v>123</v>
      </c>
      <c r="B411" s="1631" t="s">
        <v>1085</v>
      </c>
      <c r="C411" s="1382"/>
      <c r="D411" s="1383"/>
      <c r="E411" s="1382"/>
      <c r="F411" s="1625"/>
      <c r="G411" s="1381" t="s">
        <v>123</v>
      </c>
      <c r="H411" s="1631" t="s">
        <v>1085</v>
      </c>
      <c r="I411" s="1382"/>
      <c r="J411" s="1383"/>
      <c r="K411" s="1382"/>
      <c r="L411" s="1372"/>
    </row>
    <row r="412" spans="1:13" s="31" customFormat="1" ht="17.25" customHeight="1">
      <c r="A412" s="1384" t="s">
        <v>124</v>
      </c>
      <c r="B412" s="1632" t="s">
        <v>1086</v>
      </c>
      <c r="C412" s="1382"/>
      <c r="D412" s="1382"/>
      <c r="E412" s="1382"/>
      <c r="F412" s="1392"/>
      <c r="G412" s="1384" t="s">
        <v>124</v>
      </c>
      <c r="H412" s="1632" t="s">
        <v>1086</v>
      </c>
      <c r="I412" s="1382"/>
      <c r="J412" s="1382"/>
      <c r="K412" s="1382"/>
      <c r="L412" s="1372"/>
    </row>
    <row r="413" spans="1:13" s="31" customFormat="1" ht="17.25" customHeight="1">
      <c r="A413" s="1384" t="s">
        <v>125</v>
      </c>
      <c r="B413" s="1633" t="s">
        <v>1087</v>
      </c>
      <c r="C413" s="1382"/>
      <c r="D413" s="1382"/>
      <c r="E413" s="1377">
        <f>SUM(E412)</f>
        <v>0</v>
      </c>
      <c r="F413" s="1392"/>
      <c r="G413" s="1384" t="s">
        <v>125</v>
      </c>
      <c r="H413" s="1633" t="s">
        <v>1087</v>
      </c>
      <c r="I413" s="1382"/>
      <c r="J413" s="1382"/>
      <c r="K413" s="1377">
        <f>SUM(K412)</f>
        <v>0</v>
      </c>
      <c r="L413" s="1372"/>
      <c r="M413" s="1385">
        <f>E413+K413</f>
        <v>0</v>
      </c>
    </row>
    <row r="414" spans="1:13" s="31" customFormat="1" ht="17.25" customHeight="1">
      <c r="A414" s="1386" t="s">
        <v>126</v>
      </c>
      <c r="B414" s="1634" t="s">
        <v>871</v>
      </c>
      <c r="C414" s="1387"/>
      <c r="D414" s="1387"/>
      <c r="E414" s="1387">
        <f>(E402+E403+E404+E405+E406+E407+E408+E409+E410)-E413</f>
        <v>0</v>
      </c>
      <c r="F414" s="1392"/>
      <c r="G414" s="1386" t="s">
        <v>126</v>
      </c>
      <c r="H414" s="1634" t="s">
        <v>871</v>
      </c>
      <c r="I414" s="1387"/>
      <c r="J414" s="1387"/>
      <c r="K414" s="1387">
        <f>(K402+K403+K404+K405+K406+K407+K408+K409+K410)-K413</f>
        <v>0</v>
      </c>
      <c r="L414" s="1389">
        <f>E414+K414</f>
        <v>0</v>
      </c>
    </row>
    <row r="415" spans="1:13" s="31" customFormat="1" ht="17.25" customHeight="1">
      <c r="A415" s="1392"/>
      <c r="B415" s="1398"/>
      <c r="C415" s="1399"/>
      <c r="D415" s="1399"/>
      <c r="E415" s="1397"/>
      <c r="F415" s="1392"/>
      <c r="G415" s="1392"/>
      <c r="H415" s="1398"/>
      <c r="I415" s="1399"/>
      <c r="J415" s="1397"/>
      <c r="K415" s="1390"/>
      <c r="L415" s="1372"/>
    </row>
    <row r="416" spans="1:13" s="31" customFormat="1" ht="17.25" customHeight="1">
      <c r="A416" s="2182" t="str">
        <f>G399</f>
        <v>LƯƠNG THÁNG 01/2025</v>
      </c>
      <c r="B416" s="2183"/>
      <c r="C416" s="2183"/>
      <c r="D416" s="2183"/>
      <c r="E416" s="1452">
        <v>49</v>
      </c>
      <c r="F416" s="1625"/>
      <c r="G416" s="2182" t="str">
        <f>A416</f>
        <v>LƯƠNG THÁNG 01/2025</v>
      </c>
      <c r="H416" s="2183"/>
      <c r="I416" s="2183"/>
      <c r="J416" s="2184"/>
      <c r="K416" s="1452">
        <v>50</v>
      </c>
      <c r="L416" s="1372"/>
    </row>
    <row r="417" spans="1:13" s="31" customFormat="1" ht="17.25" customHeight="1">
      <c r="A417" s="1391" t="s">
        <v>29</v>
      </c>
      <c r="B417" s="1626" t="str">
        <f>'CNKT '!C64</f>
        <v>N. On Xi</v>
      </c>
      <c r="C417" s="1373"/>
      <c r="D417" s="1623" t="s">
        <v>806</v>
      </c>
      <c r="E417" s="1623" t="s">
        <v>32</v>
      </c>
      <c r="F417" s="1397"/>
      <c r="G417" s="1391" t="s">
        <v>29</v>
      </c>
      <c r="H417" s="1626" t="str">
        <f>'CNKT '!C65</f>
        <v>T. Lốp</v>
      </c>
      <c r="I417" s="1373"/>
      <c r="J417" s="1623" t="s">
        <v>806</v>
      </c>
      <c r="K417" s="1623" t="s">
        <v>32</v>
      </c>
      <c r="L417" s="1372"/>
    </row>
    <row r="418" spans="1:13" s="31" customFormat="1" ht="17.25" customHeight="1">
      <c r="A418" s="1375" t="s">
        <v>807</v>
      </c>
      <c r="B418" s="1628" t="s">
        <v>1080</v>
      </c>
      <c r="C418" s="1376" t="str">
        <f>VLOOKUP(B417,'BTH mủ tạp'!$C$15:$AL$92,36,0)</f>
        <v>A</v>
      </c>
      <c r="D418" s="1377"/>
      <c r="E418" s="1377"/>
      <c r="F418" s="1397"/>
      <c r="G418" s="1375" t="s">
        <v>807</v>
      </c>
      <c r="H418" s="1628" t="s">
        <v>1080</v>
      </c>
      <c r="I418" s="1376" t="str">
        <f>VLOOKUP(H417,'BTH mủ tạp'!$C$15:$AL$92,36,0)</f>
        <v>A</v>
      </c>
      <c r="J418" s="1377"/>
      <c r="K418" s="1377"/>
      <c r="L418" s="1372"/>
    </row>
    <row r="419" spans="1:13" s="31" customFormat="1" ht="17.25" customHeight="1">
      <c r="A419" s="1375" t="s">
        <v>121</v>
      </c>
      <c r="B419" s="1629" t="s">
        <v>865</v>
      </c>
      <c r="C419" s="1378">
        <f>VLOOKUP(B417,'CNKT '!$C$16:$Z$96,3,0)</f>
        <v>0</v>
      </c>
      <c r="D419" s="1379">
        <v>25000</v>
      </c>
      <c r="E419" s="1377">
        <f>C419*D419</f>
        <v>0</v>
      </c>
      <c r="F419" s="1397"/>
      <c r="G419" s="1375" t="s">
        <v>121</v>
      </c>
      <c r="H419" s="1629" t="s">
        <v>865</v>
      </c>
      <c r="I419" s="1378">
        <f>VLOOKUP(H417,'CNKT '!$C$16:$Z$96,3,0)</f>
        <v>0</v>
      </c>
      <c r="J419" s="1379">
        <v>25000</v>
      </c>
      <c r="K419" s="1377">
        <f>I419*J419</f>
        <v>0</v>
      </c>
      <c r="L419" s="1372"/>
    </row>
    <row r="420" spans="1:13" s="31" customFormat="1" ht="17.25" customHeight="1">
      <c r="A420" s="1375" t="s">
        <v>628</v>
      </c>
      <c r="B420" s="1630" t="s">
        <v>1081</v>
      </c>
      <c r="C420" s="1433">
        <f>VLOOKUP(B417,'CNKT '!$C$16:$Z$96,11,0)</f>
        <v>0</v>
      </c>
      <c r="D420" s="1380">
        <f>46.1*$B$2</f>
        <v>30241.600000000002</v>
      </c>
      <c r="E420" s="1377">
        <f t="shared" ref="E420:E424" si="48">C420*D420</f>
        <v>0</v>
      </c>
      <c r="F420" s="1397"/>
      <c r="G420" s="1375" t="s">
        <v>628</v>
      </c>
      <c r="H420" s="1630" t="s">
        <v>1081</v>
      </c>
      <c r="I420" s="1433">
        <f>VLOOKUP(H417,'CNKT '!$C$16:$Z$96,11,0)</f>
        <v>0</v>
      </c>
      <c r="J420" s="1380">
        <f>46.1*$B$2</f>
        <v>30241.600000000002</v>
      </c>
      <c r="K420" s="1377">
        <f t="shared" ref="K420:K424" si="49">I420*J420</f>
        <v>0</v>
      </c>
      <c r="L420" s="1372"/>
    </row>
    <row r="421" spans="1:13" s="31" customFormat="1" ht="17.25" customHeight="1">
      <c r="A421" s="1375" t="s">
        <v>809</v>
      </c>
      <c r="B421" s="1630" t="s">
        <v>1082</v>
      </c>
      <c r="C421" s="1433">
        <f>VLOOKUP(B417,'CNKT '!$C$16:$Z$96,12,0)</f>
        <v>0</v>
      </c>
      <c r="D421" s="1379">
        <f>76.9*$B$2</f>
        <v>50446.400000000001</v>
      </c>
      <c r="E421" s="1377">
        <f t="shared" si="48"/>
        <v>0</v>
      </c>
      <c r="F421" s="1397"/>
      <c r="G421" s="1375" t="s">
        <v>809</v>
      </c>
      <c r="H421" s="1630" t="s">
        <v>1082</v>
      </c>
      <c r="I421" s="1433">
        <f>VLOOKUP(H417,'CNKT '!$C$16:$Z$96,12,0)</f>
        <v>0</v>
      </c>
      <c r="J421" s="1379">
        <f>76.9*$B$2</f>
        <v>50446.400000000001</v>
      </c>
      <c r="K421" s="1377">
        <f t="shared" si="49"/>
        <v>0</v>
      </c>
      <c r="L421" s="1372"/>
    </row>
    <row r="422" spans="1:13" s="31" customFormat="1" ht="17.25" customHeight="1">
      <c r="A422" s="1375" t="s">
        <v>122</v>
      </c>
      <c r="B422" s="1630" t="s">
        <v>1083</v>
      </c>
      <c r="C422" s="1433">
        <f>VLOOKUP(B417,'CNKT '!$C$16:$Z$96,8,0)</f>
        <v>0</v>
      </c>
      <c r="D422" s="1379">
        <f>IF(C418="A",6.1,IF(C418="B",5.8,IF(C418="C",5.5,IF(C418="C.",5.5,IF(C418="D",5.2)))))*$B$2</f>
        <v>4001.6</v>
      </c>
      <c r="E422" s="1377">
        <f t="shared" si="48"/>
        <v>0</v>
      </c>
      <c r="F422" s="1625"/>
      <c r="G422" s="1375" t="s">
        <v>122</v>
      </c>
      <c r="H422" s="1630" t="s">
        <v>1083</v>
      </c>
      <c r="I422" s="1433">
        <f>VLOOKUP(H417,'CNKT '!$C$16:$Z$96,8,0)</f>
        <v>0</v>
      </c>
      <c r="J422" s="1379">
        <f>IF(I418="A",6.1,IF(I418="B",5.8,IF(I418="C",5.5,IF(I418="C.",5.5,IF(I418="D",5.2)))))*$B$2</f>
        <v>4001.6</v>
      </c>
      <c r="K422" s="1377">
        <f t="shared" si="49"/>
        <v>0</v>
      </c>
      <c r="L422" s="1372"/>
    </row>
    <row r="423" spans="1:13" s="31" customFormat="1" ht="17.25" customHeight="1">
      <c r="A423" s="1375" t="s">
        <v>959</v>
      </c>
      <c r="B423" s="1630" t="s">
        <v>1084</v>
      </c>
      <c r="C423" s="1433">
        <f>VLOOKUP(B417,'CNKT '!$C$16:$Z$96,15,0)</f>
        <v>0</v>
      </c>
      <c r="D423" s="1380">
        <f>92.2*$B$2</f>
        <v>60483.200000000004</v>
      </c>
      <c r="E423" s="1377">
        <f t="shared" si="48"/>
        <v>0</v>
      </c>
      <c r="F423" s="1625"/>
      <c r="G423" s="1375" t="s">
        <v>959</v>
      </c>
      <c r="H423" s="1630" t="s">
        <v>1084</v>
      </c>
      <c r="I423" s="1433">
        <f>VLOOKUP(H417,'CNKT '!$C$16:$Z$96,15,0)</f>
        <v>0</v>
      </c>
      <c r="J423" s="1380">
        <f>92.2*$B$2</f>
        <v>60483.200000000004</v>
      </c>
      <c r="K423" s="1377">
        <f t="shared" si="49"/>
        <v>0</v>
      </c>
      <c r="L423" s="1372"/>
    </row>
    <row r="424" spans="1:13" s="31" customFormat="1" ht="17.25" customHeight="1">
      <c r="A424" s="1375" t="s">
        <v>960</v>
      </c>
      <c r="B424" s="1630" t="s">
        <v>964</v>
      </c>
      <c r="C424" s="1433">
        <f>VLOOKUP(B417,'CNKT '!$C$16:$Z$96,16,0)</f>
        <v>0</v>
      </c>
      <c r="D424" s="1379">
        <f>153.8*$B$2</f>
        <v>100892.8</v>
      </c>
      <c r="E424" s="1377">
        <f t="shared" si="48"/>
        <v>0</v>
      </c>
      <c r="F424" s="1625"/>
      <c r="G424" s="1375" t="s">
        <v>960</v>
      </c>
      <c r="H424" s="1630" t="s">
        <v>964</v>
      </c>
      <c r="I424" s="1433">
        <f>VLOOKUP(H417,'CNKT '!$C$16:$Z$96,16,0)</f>
        <v>0</v>
      </c>
      <c r="J424" s="1379">
        <f>153.8*$B$2</f>
        <v>100892.8</v>
      </c>
      <c r="K424" s="1377">
        <f t="shared" si="49"/>
        <v>0</v>
      </c>
      <c r="L424" s="1372"/>
    </row>
    <row r="425" spans="1:13" s="31" customFormat="1" ht="17.25" customHeight="1">
      <c r="A425" s="1375" t="s">
        <v>899</v>
      </c>
      <c r="B425" s="1630" t="s">
        <v>965</v>
      </c>
      <c r="C425" s="1433">
        <f>VLOOKUP(B417,'CNKT '!$C$16:$Z$96,18,0)</f>
        <v>0</v>
      </c>
      <c r="D425" s="1379">
        <v>10000</v>
      </c>
      <c r="E425" s="1377">
        <f>C425*D425</f>
        <v>0</v>
      </c>
      <c r="F425" s="1625"/>
      <c r="G425" s="1375" t="s">
        <v>899</v>
      </c>
      <c r="H425" s="1630" t="s">
        <v>965</v>
      </c>
      <c r="I425" s="1433">
        <f>VLOOKUP(H417,'CNKT '!$C$16:$Z$96,18,0)</f>
        <v>0</v>
      </c>
      <c r="J425" s="1379">
        <v>10000</v>
      </c>
      <c r="K425" s="1377">
        <f>I425*J425</f>
        <v>0</v>
      </c>
      <c r="L425" s="1372"/>
    </row>
    <row r="426" spans="1:13" s="31" customFormat="1" ht="17.25" customHeight="1">
      <c r="A426" s="1375" t="s">
        <v>899</v>
      </c>
      <c r="B426" s="1630" t="s">
        <v>965</v>
      </c>
      <c r="C426" s="1433">
        <f>VLOOKUP(B417,'CNKT '!$C$16:$Z$96,19,0)</f>
        <v>0</v>
      </c>
      <c r="D426" s="1379">
        <v>20000</v>
      </c>
      <c r="E426" s="1377">
        <f>C426*D426</f>
        <v>0</v>
      </c>
      <c r="F426" s="1625"/>
      <c r="G426" s="1375" t="s">
        <v>899</v>
      </c>
      <c r="H426" s="1630" t="s">
        <v>965</v>
      </c>
      <c r="I426" s="1433">
        <f>VLOOKUP(H417,'CNKT '!$C$16:$Z$96,19,0)</f>
        <v>0</v>
      </c>
      <c r="J426" s="1379">
        <v>20000</v>
      </c>
      <c r="K426" s="1377">
        <f>I426*J426</f>
        <v>0</v>
      </c>
      <c r="L426" s="1372"/>
    </row>
    <row r="427" spans="1:13" s="31" customFormat="1" ht="17.25" customHeight="1">
      <c r="A427" s="1375" t="s">
        <v>995</v>
      </c>
      <c r="B427" s="1630" t="s">
        <v>997</v>
      </c>
      <c r="C427" s="1433"/>
      <c r="D427" s="1379"/>
      <c r="E427" s="1377"/>
      <c r="F427" s="1625"/>
      <c r="G427" s="1375" t="s">
        <v>995</v>
      </c>
      <c r="H427" s="1630" t="s">
        <v>997</v>
      </c>
      <c r="I427" s="1433"/>
      <c r="J427" s="1379"/>
      <c r="K427" s="1377"/>
      <c r="L427" s="1372"/>
    </row>
    <row r="428" spans="1:13" s="31" customFormat="1" ht="17.25" customHeight="1">
      <c r="A428" s="1381" t="s">
        <v>123</v>
      </c>
      <c r="B428" s="1631" t="s">
        <v>1085</v>
      </c>
      <c r="C428" s="1382"/>
      <c r="D428" s="1383"/>
      <c r="E428" s="1382"/>
      <c r="F428" s="1392"/>
      <c r="G428" s="1381" t="s">
        <v>123</v>
      </c>
      <c r="H428" s="1631" t="s">
        <v>1085</v>
      </c>
      <c r="I428" s="1382"/>
      <c r="J428" s="1383"/>
      <c r="K428" s="1382"/>
      <c r="L428" s="1372"/>
    </row>
    <row r="429" spans="1:13" s="31" customFormat="1" ht="17.25" customHeight="1">
      <c r="A429" s="1384" t="s">
        <v>124</v>
      </c>
      <c r="B429" s="1632" t="s">
        <v>1086</v>
      </c>
      <c r="C429" s="1382"/>
      <c r="D429" s="1382"/>
      <c r="E429" s="1382"/>
      <c r="F429" s="1392"/>
      <c r="G429" s="1384" t="s">
        <v>124</v>
      </c>
      <c r="H429" s="1632" t="s">
        <v>1086</v>
      </c>
      <c r="I429" s="1382"/>
      <c r="J429" s="1382"/>
      <c r="K429" s="1382"/>
      <c r="L429" s="1372"/>
    </row>
    <row r="430" spans="1:13" s="31" customFormat="1" ht="17.25" customHeight="1">
      <c r="A430" s="1384" t="s">
        <v>125</v>
      </c>
      <c r="B430" s="1633" t="s">
        <v>1087</v>
      </c>
      <c r="C430" s="1382"/>
      <c r="D430" s="1382"/>
      <c r="E430" s="1377">
        <f>SUM(E429)</f>
        <v>0</v>
      </c>
      <c r="F430" s="1392"/>
      <c r="G430" s="1384" t="s">
        <v>125</v>
      </c>
      <c r="H430" s="1633" t="s">
        <v>1087</v>
      </c>
      <c r="I430" s="1382"/>
      <c r="J430" s="1382"/>
      <c r="K430" s="1377">
        <f>SUM(K429)</f>
        <v>0</v>
      </c>
      <c r="L430" s="1372"/>
      <c r="M430" s="1385">
        <f>E430+K430</f>
        <v>0</v>
      </c>
    </row>
    <row r="431" spans="1:13" s="31" customFormat="1" ht="17.25" customHeight="1">
      <c r="A431" s="1386" t="s">
        <v>126</v>
      </c>
      <c r="B431" s="1634" t="s">
        <v>871</v>
      </c>
      <c r="C431" s="1387"/>
      <c r="D431" s="1387"/>
      <c r="E431" s="1387">
        <f>(E419+E420+E421+E422+E423+E424+E425+E426+E427)-E430</f>
        <v>0</v>
      </c>
      <c r="F431" s="1392"/>
      <c r="G431" s="1386" t="s">
        <v>126</v>
      </c>
      <c r="H431" s="1634" t="s">
        <v>871</v>
      </c>
      <c r="I431" s="1387"/>
      <c r="J431" s="1387"/>
      <c r="K431" s="1387">
        <f>(K419+K420+K421+K422+K423+K424+K425+K426+K427)-K430</f>
        <v>0</v>
      </c>
      <c r="L431" s="1389">
        <f>E431+K431</f>
        <v>0</v>
      </c>
    </row>
    <row r="432" spans="1:13" s="31" customFormat="1" ht="17.25" customHeight="1">
      <c r="A432" s="1392"/>
      <c r="B432" s="1398"/>
      <c r="C432" s="1399"/>
      <c r="D432" s="1399"/>
      <c r="E432" s="1397"/>
      <c r="F432" s="1392"/>
      <c r="G432" s="1392"/>
      <c r="H432" s="1398"/>
      <c r="I432" s="1399"/>
      <c r="J432" s="1397"/>
      <c r="K432" s="1390"/>
      <c r="L432" s="1372"/>
    </row>
    <row r="433" spans="1:13" s="31" customFormat="1" ht="17.25" customHeight="1">
      <c r="A433" s="2182" t="str">
        <f>G416</f>
        <v>LƯƠNG THÁNG 01/2025</v>
      </c>
      <c r="B433" s="2183"/>
      <c r="C433" s="2183"/>
      <c r="D433" s="2183"/>
      <c r="E433" s="1452">
        <v>51</v>
      </c>
      <c r="F433" s="1397"/>
      <c r="G433" s="2182" t="str">
        <f>A433</f>
        <v>LƯƠNG THÁNG 01/2025</v>
      </c>
      <c r="H433" s="2183"/>
      <c r="I433" s="2183"/>
      <c r="J433" s="2184"/>
      <c r="K433" s="1452">
        <v>52</v>
      </c>
      <c r="L433" s="1372"/>
    </row>
    <row r="434" spans="1:13" s="31" customFormat="1" ht="17.25" customHeight="1">
      <c r="A434" s="1391" t="s">
        <v>29</v>
      </c>
      <c r="B434" s="1626" t="str">
        <f>'CNKT '!C66</f>
        <v>T. Son Xay</v>
      </c>
      <c r="C434" s="1373"/>
      <c r="D434" s="1623" t="s">
        <v>806</v>
      </c>
      <c r="E434" s="1623" t="s">
        <v>32</v>
      </c>
      <c r="F434" s="1397"/>
      <c r="G434" s="1391" t="s">
        <v>29</v>
      </c>
      <c r="H434" s="1626" t="str">
        <f>'CNKT '!C67</f>
        <v>N. Lăm Phay</v>
      </c>
      <c r="I434" s="1373"/>
      <c r="J434" s="1623" t="s">
        <v>806</v>
      </c>
      <c r="K434" s="1623" t="s">
        <v>32</v>
      </c>
      <c r="L434" s="1372"/>
    </row>
    <row r="435" spans="1:13" s="31" customFormat="1" ht="17.25" customHeight="1">
      <c r="A435" s="1375" t="s">
        <v>807</v>
      </c>
      <c r="B435" s="1628" t="s">
        <v>1080</v>
      </c>
      <c r="C435" s="1376" t="str">
        <f>VLOOKUP(B434,'BTH mủ tạp'!$C$15:$AL$92,36,0)</f>
        <v>A</v>
      </c>
      <c r="D435" s="1377"/>
      <c r="E435" s="1377"/>
      <c r="F435" s="1397"/>
      <c r="G435" s="1375" t="s">
        <v>807</v>
      </c>
      <c r="H435" s="1628" t="s">
        <v>1080</v>
      </c>
      <c r="I435" s="1376" t="str">
        <f>VLOOKUP(H434,'BTH mủ tạp'!$C$15:$AL$92,36,0)</f>
        <v>B</v>
      </c>
      <c r="J435" s="1377"/>
      <c r="K435" s="1377"/>
      <c r="L435" s="1372"/>
    </row>
    <row r="436" spans="1:13" s="31" customFormat="1" ht="17.25" customHeight="1">
      <c r="A436" s="1375" t="s">
        <v>121</v>
      </c>
      <c r="B436" s="1629" t="s">
        <v>865</v>
      </c>
      <c r="C436" s="1378">
        <f>VLOOKUP(B434,'CNKT '!$C$16:$Z$96,3,0)</f>
        <v>0</v>
      </c>
      <c r="D436" s="1379">
        <v>25000</v>
      </c>
      <c r="E436" s="1377">
        <f>C436*D436</f>
        <v>0</v>
      </c>
      <c r="F436" s="1625"/>
      <c r="G436" s="1375" t="s">
        <v>121</v>
      </c>
      <c r="H436" s="1629" t="s">
        <v>865</v>
      </c>
      <c r="I436" s="1378">
        <f>VLOOKUP(H434,'CNKT '!$C$16:$Z$96,3,0)</f>
        <v>0</v>
      </c>
      <c r="J436" s="1379">
        <v>25000</v>
      </c>
      <c r="K436" s="1377">
        <f>I436*J436</f>
        <v>0</v>
      </c>
      <c r="L436" s="1372"/>
    </row>
    <row r="437" spans="1:13" s="31" customFormat="1" ht="17.25" customHeight="1">
      <c r="A437" s="1375" t="s">
        <v>628</v>
      </c>
      <c r="B437" s="1630" t="s">
        <v>1081</v>
      </c>
      <c r="C437" s="1433">
        <f>VLOOKUP(B434,'CNKT '!$C$16:$Z$96,11,0)</f>
        <v>0</v>
      </c>
      <c r="D437" s="1380">
        <f>46.1*$B$2</f>
        <v>30241.600000000002</v>
      </c>
      <c r="E437" s="1377">
        <f t="shared" ref="E437:E441" si="50">C437*D437</f>
        <v>0</v>
      </c>
      <c r="F437" s="1392"/>
      <c r="G437" s="1375" t="s">
        <v>628</v>
      </c>
      <c r="H437" s="1630" t="s">
        <v>1081</v>
      </c>
      <c r="I437" s="1433">
        <f>VLOOKUP(H434,'CNKT '!$C$16:$Z$96,11,0)</f>
        <v>0</v>
      </c>
      <c r="J437" s="1380">
        <f>46.1*$B$2</f>
        <v>30241.600000000002</v>
      </c>
      <c r="K437" s="1377">
        <f t="shared" ref="K437:K441" si="51">I437*J437</f>
        <v>0</v>
      </c>
      <c r="L437" s="1372"/>
    </row>
    <row r="438" spans="1:13" s="31" customFormat="1" ht="17.25" customHeight="1">
      <c r="A438" s="1375" t="s">
        <v>809</v>
      </c>
      <c r="B438" s="1630" t="s">
        <v>1082</v>
      </c>
      <c r="C438" s="1433">
        <f>VLOOKUP(B434,'CNKT '!$C$16:$Z$96,12,0)</f>
        <v>0</v>
      </c>
      <c r="D438" s="1379">
        <f>76.9*$B$2</f>
        <v>50446.400000000001</v>
      </c>
      <c r="E438" s="1377">
        <f t="shared" si="50"/>
        <v>0</v>
      </c>
      <c r="F438" s="1392"/>
      <c r="G438" s="1375" t="s">
        <v>809</v>
      </c>
      <c r="H438" s="1630" t="s">
        <v>1082</v>
      </c>
      <c r="I438" s="1433">
        <f>VLOOKUP(H434,'CNKT '!$C$16:$Z$96,12,0)</f>
        <v>0</v>
      </c>
      <c r="J438" s="1379">
        <f>76.9*$B$2</f>
        <v>50446.400000000001</v>
      </c>
      <c r="K438" s="1377">
        <f t="shared" si="51"/>
        <v>0</v>
      </c>
      <c r="L438" s="1372"/>
    </row>
    <row r="439" spans="1:13" s="31" customFormat="1" ht="17.25" customHeight="1">
      <c r="A439" s="1375" t="s">
        <v>122</v>
      </c>
      <c r="B439" s="1630" t="s">
        <v>1083</v>
      </c>
      <c r="C439" s="1433">
        <f>VLOOKUP(B434,'CNKT '!$C$16:$Z$96,8,0)</f>
        <v>0</v>
      </c>
      <c r="D439" s="1379">
        <f>IF(C435="A",6.1,IF(C435="B",5.8,IF(C435="C",5.5,IF(C435="C.",5.5,IF(C435="D",5.2)))))*$B$2</f>
        <v>4001.6</v>
      </c>
      <c r="E439" s="1377">
        <f t="shared" si="50"/>
        <v>0</v>
      </c>
      <c r="F439" s="1392"/>
      <c r="G439" s="1375" t="s">
        <v>122</v>
      </c>
      <c r="H439" s="1630" t="s">
        <v>1083</v>
      </c>
      <c r="I439" s="1433">
        <f>VLOOKUP(H434,'CNKT '!$C$16:$Z$96,8,0)</f>
        <v>0</v>
      </c>
      <c r="J439" s="1379">
        <f>IF(I435="A",6.1,IF(I435="B",5.8,IF(I435="C",5.5,IF(I435="C.",5.5,IF(I435="D",5.2)))))*$B$2</f>
        <v>3804.7999999999997</v>
      </c>
      <c r="K439" s="1377">
        <f t="shared" si="51"/>
        <v>0</v>
      </c>
      <c r="L439" s="1372"/>
    </row>
    <row r="440" spans="1:13" s="31" customFormat="1" ht="17.25" customHeight="1">
      <c r="A440" s="1375" t="s">
        <v>959</v>
      </c>
      <c r="B440" s="1630" t="s">
        <v>1084</v>
      </c>
      <c r="C440" s="1433">
        <f>VLOOKUP(B434,'CNKT '!$C$16:$Z$96,15,0)</f>
        <v>0</v>
      </c>
      <c r="D440" s="1380">
        <f>92.2*$B$2</f>
        <v>60483.200000000004</v>
      </c>
      <c r="E440" s="1377">
        <f t="shared" si="50"/>
        <v>0</v>
      </c>
      <c r="F440" s="1392"/>
      <c r="G440" s="1375" t="s">
        <v>959</v>
      </c>
      <c r="H440" s="1630" t="s">
        <v>1084</v>
      </c>
      <c r="I440" s="1433">
        <f>VLOOKUP(H434,'CNKT '!$C$16:$Z$96,15,0)</f>
        <v>0</v>
      </c>
      <c r="J440" s="1380">
        <f>92.2*$B$2</f>
        <v>60483.200000000004</v>
      </c>
      <c r="K440" s="1377">
        <f t="shared" si="51"/>
        <v>0</v>
      </c>
      <c r="L440" s="1372"/>
    </row>
    <row r="441" spans="1:13" s="31" customFormat="1" ht="17.25" customHeight="1">
      <c r="A441" s="1375" t="s">
        <v>960</v>
      </c>
      <c r="B441" s="1630" t="s">
        <v>964</v>
      </c>
      <c r="C441" s="1433">
        <f>VLOOKUP(B434,'CNKT '!$C$16:$Z$96,16,0)</f>
        <v>0</v>
      </c>
      <c r="D441" s="1379">
        <f>153.8*$B$2</f>
        <v>100892.8</v>
      </c>
      <c r="E441" s="1377">
        <f t="shared" si="50"/>
        <v>0</v>
      </c>
      <c r="F441" s="1396"/>
      <c r="G441" s="1375" t="s">
        <v>960</v>
      </c>
      <c r="H441" s="1630" t="s">
        <v>964</v>
      </c>
      <c r="I441" s="1433">
        <f>VLOOKUP(H434,'CNKT '!$C$16:$Z$96,16,0)</f>
        <v>0</v>
      </c>
      <c r="J441" s="1379">
        <f>153.8*$B$2</f>
        <v>100892.8</v>
      </c>
      <c r="K441" s="1377">
        <f t="shared" si="51"/>
        <v>0</v>
      </c>
      <c r="L441" s="1372"/>
    </row>
    <row r="442" spans="1:13" s="31" customFormat="1" ht="17.25" customHeight="1">
      <c r="A442" s="1375" t="s">
        <v>899</v>
      </c>
      <c r="B442" s="1630" t="s">
        <v>965</v>
      </c>
      <c r="C442" s="1433">
        <f>VLOOKUP(B434,'CNKT '!$C$16:$Z$96,18,0)</f>
        <v>0</v>
      </c>
      <c r="D442" s="1379">
        <v>10000</v>
      </c>
      <c r="E442" s="1377">
        <f>C442*D442</f>
        <v>0</v>
      </c>
      <c r="F442" s="1396"/>
      <c r="G442" s="1375" t="s">
        <v>899</v>
      </c>
      <c r="H442" s="1630" t="s">
        <v>965</v>
      </c>
      <c r="I442" s="1433">
        <f>VLOOKUP(H434,'CNKT '!$C$16:$Z$96,18,0)</f>
        <v>0</v>
      </c>
      <c r="J442" s="1379">
        <v>10000</v>
      </c>
      <c r="K442" s="1377">
        <f>I442*J442</f>
        <v>0</v>
      </c>
      <c r="L442" s="1372"/>
    </row>
    <row r="443" spans="1:13" s="31" customFormat="1" ht="17.25" customHeight="1">
      <c r="A443" s="1375" t="s">
        <v>899</v>
      </c>
      <c r="B443" s="1630" t="s">
        <v>965</v>
      </c>
      <c r="C443" s="1433">
        <f>VLOOKUP(B434,'CNKT '!$C$16:$Z$96,19,0)</f>
        <v>0</v>
      </c>
      <c r="D443" s="1379">
        <v>20000</v>
      </c>
      <c r="E443" s="1377">
        <f>C443*D443</f>
        <v>0</v>
      </c>
      <c r="F443" s="1396"/>
      <c r="G443" s="1375" t="s">
        <v>899</v>
      </c>
      <c r="H443" s="1630" t="s">
        <v>965</v>
      </c>
      <c r="I443" s="1433">
        <f>VLOOKUP(H434,'CNKT '!$C$16:$Z$96,19,0)</f>
        <v>0</v>
      </c>
      <c r="J443" s="1379">
        <v>20000</v>
      </c>
      <c r="K443" s="1377">
        <f>I443*J443</f>
        <v>0</v>
      </c>
      <c r="L443" s="1372"/>
    </row>
    <row r="444" spans="1:13" s="31" customFormat="1" ht="17.25" customHeight="1">
      <c r="A444" s="1375" t="s">
        <v>995</v>
      </c>
      <c r="B444" s="1630" t="s">
        <v>997</v>
      </c>
      <c r="C444" s="1433"/>
      <c r="D444" s="1379"/>
      <c r="E444" s="1377"/>
      <c r="F444" s="1396"/>
      <c r="G444" s="1375" t="s">
        <v>995</v>
      </c>
      <c r="H444" s="1630" t="s">
        <v>997</v>
      </c>
      <c r="I444" s="1433"/>
      <c r="J444" s="1379"/>
      <c r="K444" s="1377"/>
      <c r="L444" s="1372"/>
    </row>
    <row r="445" spans="1:13" s="31" customFormat="1" ht="17.25" customHeight="1">
      <c r="A445" s="1381" t="s">
        <v>123</v>
      </c>
      <c r="B445" s="1631" t="s">
        <v>1085</v>
      </c>
      <c r="C445" s="1382"/>
      <c r="D445" s="1383"/>
      <c r="E445" s="1382"/>
      <c r="F445" s="1396"/>
      <c r="G445" s="1381" t="s">
        <v>123</v>
      </c>
      <c r="H445" s="1631" t="s">
        <v>1085</v>
      </c>
      <c r="I445" s="1382"/>
      <c r="J445" s="1383"/>
      <c r="K445" s="1382"/>
      <c r="L445" s="1372"/>
    </row>
    <row r="446" spans="1:13" s="31" customFormat="1" ht="17.25" customHeight="1">
      <c r="A446" s="1384" t="s">
        <v>124</v>
      </c>
      <c r="B446" s="1632" t="s">
        <v>1086</v>
      </c>
      <c r="C446" s="1382"/>
      <c r="D446" s="1382"/>
      <c r="E446" s="1382"/>
      <c r="F446" s="1396"/>
      <c r="G446" s="1384" t="s">
        <v>124</v>
      </c>
      <c r="H446" s="1632" t="s">
        <v>1086</v>
      </c>
      <c r="I446" s="1382"/>
      <c r="J446" s="1382"/>
      <c r="K446" s="1382"/>
      <c r="L446" s="1389"/>
    </row>
    <row r="447" spans="1:13" s="31" customFormat="1" ht="17.25" customHeight="1">
      <c r="A447" s="1384" t="s">
        <v>125</v>
      </c>
      <c r="B447" s="1633" t="s">
        <v>1087</v>
      </c>
      <c r="C447" s="1382"/>
      <c r="D447" s="1382"/>
      <c r="E447" s="1377">
        <f>SUM(E446)</f>
        <v>0</v>
      </c>
      <c r="F447" s="1396"/>
      <c r="G447" s="1384" t="s">
        <v>125</v>
      </c>
      <c r="H447" s="1633" t="s">
        <v>1087</v>
      </c>
      <c r="I447" s="1382"/>
      <c r="J447" s="1382"/>
      <c r="K447" s="1377">
        <f>SUM(K446)</f>
        <v>0</v>
      </c>
      <c r="L447" s="1372"/>
      <c r="M447" s="1385">
        <f>E447+K447</f>
        <v>0</v>
      </c>
    </row>
    <row r="448" spans="1:13" s="31" customFormat="1" ht="17.25" customHeight="1">
      <c r="A448" s="1386" t="s">
        <v>126</v>
      </c>
      <c r="B448" s="1634" t="s">
        <v>871</v>
      </c>
      <c r="C448" s="1387"/>
      <c r="D448" s="1387"/>
      <c r="E448" s="1387">
        <f>(E436+E437+E438+E439+E440+E441+E442+E443+E444)-E447</f>
        <v>0</v>
      </c>
      <c r="F448" s="1625"/>
      <c r="G448" s="1386" t="s">
        <v>126</v>
      </c>
      <c r="H448" s="1634" t="s">
        <v>871</v>
      </c>
      <c r="I448" s="1387"/>
      <c r="J448" s="1387"/>
      <c r="K448" s="1387">
        <f>(K436+K437+K438+K439+K440+K441+K442+K443+K444)-K447</f>
        <v>0</v>
      </c>
      <c r="L448" s="1389">
        <f>E448+K448</f>
        <v>0</v>
      </c>
    </row>
    <row r="449" spans="1:13" s="31" customFormat="1" ht="17.25" customHeight="1">
      <c r="A449" s="2182" t="str">
        <f>G433</f>
        <v>LƯƠNG THÁNG 01/2025</v>
      </c>
      <c r="B449" s="2183"/>
      <c r="C449" s="2183"/>
      <c r="D449" s="2183"/>
      <c r="E449" s="1452">
        <v>53</v>
      </c>
      <c r="F449" s="1397"/>
      <c r="G449" s="2182" t="str">
        <f>A449</f>
        <v>LƯƠNG THÁNG 01/2025</v>
      </c>
      <c r="H449" s="2183"/>
      <c r="I449" s="2183"/>
      <c r="J449" s="2184"/>
      <c r="K449" s="1452">
        <v>54</v>
      </c>
      <c r="L449" s="1372"/>
    </row>
    <row r="450" spans="1:13" s="31" customFormat="1" ht="17.25" customHeight="1">
      <c r="A450" s="1391" t="s">
        <v>29</v>
      </c>
      <c r="B450" s="1626" t="str">
        <f>'CNKT '!C68</f>
        <v>T. Nhung</v>
      </c>
      <c r="C450" s="1373"/>
      <c r="D450" s="1623" t="s">
        <v>806</v>
      </c>
      <c r="E450" s="1623" t="s">
        <v>32</v>
      </c>
      <c r="F450" s="1397"/>
      <c r="G450" s="1391" t="s">
        <v>29</v>
      </c>
      <c r="H450" s="1626" t="str">
        <f>'CNKT '!C69</f>
        <v>N. In Ton</v>
      </c>
      <c r="I450" s="1373"/>
      <c r="J450" s="1623" t="s">
        <v>806</v>
      </c>
      <c r="K450" s="1623" t="s">
        <v>32</v>
      </c>
      <c r="L450" s="1372"/>
    </row>
    <row r="451" spans="1:13" s="31" customFormat="1" ht="17.25" customHeight="1">
      <c r="A451" s="1375" t="s">
        <v>807</v>
      </c>
      <c r="B451" s="1628" t="s">
        <v>1080</v>
      </c>
      <c r="C451" s="1376" t="str">
        <f>VLOOKUP(B450,'BTH mủ tạp'!$C$15:$AL$92,36,0)</f>
        <v>A</v>
      </c>
      <c r="D451" s="1377"/>
      <c r="E451" s="1377"/>
      <c r="F451" s="1397"/>
      <c r="G451" s="1375" t="s">
        <v>807</v>
      </c>
      <c r="H451" s="1628" t="s">
        <v>1080</v>
      </c>
      <c r="I451" s="1376" t="str">
        <f>VLOOKUP(H450,'BTH mủ tạp'!$C$15:$AL$92,36,0)</f>
        <v>A</v>
      </c>
      <c r="J451" s="1377"/>
      <c r="K451" s="1377"/>
      <c r="L451" s="1372"/>
    </row>
    <row r="452" spans="1:13" s="31" customFormat="1" ht="17.25" customHeight="1">
      <c r="A452" s="1375" t="s">
        <v>121</v>
      </c>
      <c r="B452" s="1629" t="s">
        <v>865</v>
      </c>
      <c r="C452" s="1378">
        <f>VLOOKUP(B450,'CNKT '!$C$16:$Z$96,3,0)</f>
        <v>0</v>
      </c>
      <c r="D452" s="1379">
        <v>25000</v>
      </c>
      <c r="E452" s="1377">
        <f>C452*D452</f>
        <v>0</v>
      </c>
      <c r="F452" s="1625"/>
      <c r="G452" s="1375" t="s">
        <v>121</v>
      </c>
      <c r="H452" s="1629" t="s">
        <v>865</v>
      </c>
      <c r="I452" s="1378">
        <f>VLOOKUP(H450,'CNKT '!$C$16:$Z$96,3,0)</f>
        <v>0</v>
      </c>
      <c r="J452" s="1379">
        <v>25000</v>
      </c>
      <c r="K452" s="1377">
        <f>I452*J452</f>
        <v>0</v>
      </c>
      <c r="L452" s="1372"/>
    </row>
    <row r="453" spans="1:13" s="31" customFormat="1" ht="17.25" customHeight="1">
      <c r="A453" s="1375" t="s">
        <v>628</v>
      </c>
      <c r="B453" s="1630" t="s">
        <v>1081</v>
      </c>
      <c r="C453" s="1433">
        <f>VLOOKUP(B450,'CNKT '!$C$16:$Z$96,11,0)</f>
        <v>0</v>
      </c>
      <c r="D453" s="1380">
        <f>46.1*$B$2</f>
        <v>30241.600000000002</v>
      </c>
      <c r="E453" s="1377">
        <f t="shared" ref="E453:E457" si="52">C453*D453</f>
        <v>0</v>
      </c>
      <c r="F453" s="1392"/>
      <c r="G453" s="1375" t="s">
        <v>628</v>
      </c>
      <c r="H453" s="1630" t="s">
        <v>1081</v>
      </c>
      <c r="I453" s="1433">
        <f>VLOOKUP(H450,'CNKT '!$C$16:$Z$96,11,0)</f>
        <v>0</v>
      </c>
      <c r="J453" s="1380">
        <f>46.1*$B$2</f>
        <v>30241.600000000002</v>
      </c>
      <c r="K453" s="1377">
        <f t="shared" ref="K453:K457" si="53">I453*J453</f>
        <v>0</v>
      </c>
      <c r="L453" s="1372"/>
    </row>
    <row r="454" spans="1:13" s="31" customFormat="1" ht="17.25" customHeight="1">
      <c r="A454" s="1375" t="s">
        <v>809</v>
      </c>
      <c r="B454" s="1630" t="s">
        <v>1082</v>
      </c>
      <c r="C454" s="1433">
        <f>VLOOKUP(B450,'CNKT '!$C$16:$Z$96,12,0)</f>
        <v>0</v>
      </c>
      <c r="D454" s="1379">
        <f>76.9*$B$2</f>
        <v>50446.400000000001</v>
      </c>
      <c r="E454" s="1377">
        <f t="shared" si="52"/>
        <v>0</v>
      </c>
      <c r="F454" s="1392"/>
      <c r="G454" s="1375" t="s">
        <v>809</v>
      </c>
      <c r="H454" s="1630" t="s">
        <v>1082</v>
      </c>
      <c r="I454" s="1433">
        <f>VLOOKUP(H450,'CNKT '!$C$16:$Z$96,12,0)</f>
        <v>0</v>
      </c>
      <c r="J454" s="1379">
        <f>76.9*$B$2</f>
        <v>50446.400000000001</v>
      </c>
      <c r="K454" s="1377">
        <f t="shared" si="53"/>
        <v>0</v>
      </c>
      <c r="L454" s="1372"/>
    </row>
    <row r="455" spans="1:13" s="31" customFormat="1" ht="17.25" customHeight="1">
      <c r="A455" s="1375" t="s">
        <v>122</v>
      </c>
      <c r="B455" s="1630" t="s">
        <v>1083</v>
      </c>
      <c r="C455" s="1433">
        <f>VLOOKUP(B450,'CNKT '!$C$16:$Z$96,8,0)</f>
        <v>0</v>
      </c>
      <c r="D455" s="1379">
        <f>IF(C451="A",6.1,IF(C451="B",5.8,IF(C451="C",5.5,IF(C451="C.",5.5,IF(C451="D",5.2)))))*$B$2</f>
        <v>4001.6</v>
      </c>
      <c r="E455" s="1377">
        <f t="shared" si="52"/>
        <v>0</v>
      </c>
      <c r="F455" s="1392"/>
      <c r="G455" s="1375" t="s">
        <v>122</v>
      </c>
      <c r="H455" s="1630" t="s">
        <v>1083</v>
      </c>
      <c r="I455" s="1433">
        <f>VLOOKUP(H450,'CNKT '!$C$16:$Z$96,8,0)</f>
        <v>0</v>
      </c>
      <c r="J455" s="1379">
        <f>IF(I451="A",6.1,IF(I451="B",5.8,IF(I451="C",5.5,IF(I451="C.",5.5,IF(I451="D",5.2)))))*$B$2</f>
        <v>4001.6</v>
      </c>
      <c r="K455" s="1377">
        <f t="shared" si="53"/>
        <v>0</v>
      </c>
      <c r="L455" s="1372"/>
    </row>
    <row r="456" spans="1:13" s="31" customFormat="1" ht="17.25" customHeight="1">
      <c r="A456" s="1375" t="s">
        <v>959</v>
      </c>
      <c r="B456" s="1630" t="s">
        <v>1084</v>
      </c>
      <c r="C456" s="1433">
        <f>VLOOKUP(B450,'CNKT '!$C$16:$Z$96,15,0)</f>
        <v>0</v>
      </c>
      <c r="D456" s="1380">
        <f>92.2*$B$2</f>
        <v>60483.200000000004</v>
      </c>
      <c r="E456" s="1377">
        <f t="shared" si="52"/>
        <v>0</v>
      </c>
      <c r="F456" s="1392"/>
      <c r="G456" s="1375" t="s">
        <v>959</v>
      </c>
      <c r="H456" s="1630" t="s">
        <v>1084</v>
      </c>
      <c r="I456" s="1433">
        <f>VLOOKUP(H450,'CNKT '!$C$16:$Z$96,15,0)</f>
        <v>0</v>
      </c>
      <c r="J456" s="1380">
        <f>92.2*$B$2</f>
        <v>60483.200000000004</v>
      </c>
      <c r="K456" s="1377">
        <f t="shared" si="53"/>
        <v>0</v>
      </c>
      <c r="L456" s="1372"/>
    </row>
    <row r="457" spans="1:13" s="31" customFormat="1" ht="17.25" customHeight="1">
      <c r="A457" s="1375" t="s">
        <v>960</v>
      </c>
      <c r="B457" s="1630" t="s">
        <v>964</v>
      </c>
      <c r="C457" s="1433">
        <f>VLOOKUP(B450,'CNKT '!$C$16:$Z$96,16,0)</f>
        <v>0</v>
      </c>
      <c r="D457" s="1379">
        <f>153.8*$B$2</f>
        <v>100892.8</v>
      </c>
      <c r="E457" s="1377">
        <f t="shared" si="52"/>
        <v>0</v>
      </c>
      <c r="F457" s="1392"/>
      <c r="G457" s="1375" t="s">
        <v>960</v>
      </c>
      <c r="H457" s="1630" t="s">
        <v>964</v>
      </c>
      <c r="I457" s="1433">
        <f>VLOOKUP(H450,'CNKT '!$C$16:$Z$96,16,0)</f>
        <v>0</v>
      </c>
      <c r="J457" s="1379">
        <f>153.8*$B$2</f>
        <v>100892.8</v>
      </c>
      <c r="K457" s="1377">
        <f t="shared" si="53"/>
        <v>0</v>
      </c>
      <c r="L457" s="1372"/>
    </row>
    <row r="458" spans="1:13" s="31" customFormat="1" ht="17.25" customHeight="1">
      <c r="A458" s="1375" t="s">
        <v>899</v>
      </c>
      <c r="B458" s="1630" t="s">
        <v>965</v>
      </c>
      <c r="C458" s="1433">
        <f>VLOOKUP(B450,'CNKT '!$C$16:$Z$96,18,0)</f>
        <v>0</v>
      </c>
      <c r="D458" s="1379">
        <v>10000</v>
      </c>
      <c r="E458" s="1377">
        <f>C458*D458</f>
        <v>0</v>
      </c>
      <c r="F458" s="1392"/>
      <c r="G458" s="1375" t="s">
        <v>899</v>
      </c>
      <c r="H458" s="1630" t="s">
        <v>965</v>
      </c>
      <c r="I458" s="1433">
        <f>VLOOKUP(H450,'CNKT '!$C$16:$Z$96,18,0)</f>
        <v>0</v>
      </c>
      <c r="J458" s="1379">
        <v>10000</v>
      </c>
      <c r="K458" s="1377">
        <f>I458*J458</f>
        <v>0</v>
      </c>
      <c r="L458" s="1372"/>
    </row>
    <row r="459" spans="1:13" s="31" customFormat="1" ht="17.25" customHeight="1">
      <c r="A459" s="1375" t="s">
        <v>899</v>
      </c>
      <c r="B459" s="1630" t="s">
        <v>965</v>
      </c>
      <c r="C459" s="1433">
        <f>VLOOKUP(B450,'CNKT '!$C$16:$Z$96,19,0)</f>
        <v>0</v>
      </c>
      <c r="D459" s="1379">
        <v>20000</v>
      </c>
      <c r="E459" s="1377">
        <f>C459*D459</f>
        <v>0</v>
      </c>
      <c r="F459" s="1392"/>
      <c r="G459" s="1375" t="s">
        <v>899</v>
      </c>
      <c r="H459" s="1630" t="s">
        <v>965</v>
      </c>
      <c r="I459" s="1433">
        <f>VLOOKUP(H450,'CNKT '!$C$16:$Z$96,19,0)</f>
        <v>0</v>
      </c>
      <c r="J459" s="1379">
        <v>20000</v>
      </c>
      <c r="K459" s="1377">
        <f>I459*J459</f>
        <v>0</v>
      </c>
      <c r="L459" s="1372"/>
    </row>
    <row r="460" spans="1:13" s="31" customFormat="1" ht="17.25" customHeight="1">
      <c r="A460" s="1375" t="s">
        <v>995</v>
      </c>
      <c r="B460" s="1630" t="s">
        <v>997</v>
      </c>
      <c r="C460" s="1433"/>
      <c r="D460" s="1379"/>
      <c r="E460" s="1377"/>
      <c r="F460" s="1392"/>
      <c r="G460" s="1375" t="s">
        <v>995</v>
      </c>
      <c r="H460" s="1630" t="s">
        <v>997</v>
      </c>
      <c r="I460" s="1433"/>
      <c r="J460" s="1379"/>
      <c r="K460" s="1377"/>
      <c r="L460" s="1372"/>
    </row>
    <row r="461" spans="1:13" s="31" customFormat="1" ht="17.25" customHeight="1">
      <c r="A461" s="1381" t="s">
        <v>123</v>
      </c>
      <c r="B461" s="1631" t="s">
        <v>1085</v>
      </c>
      <c r="C461" s="1382"/>
      <c r="D461" s="1383"/>
      <c r="E461" s="1382"/>
      <c r="F461" s="1392"/>
      <c r="G461" s="1381" t="s">
        <v>123</v>
      </c>
      <c r="H461" s="1631" t="s">
        <v>1085</v>
      </c>
      <c r="I461" s="1382"/>
      <c r="J461" s="1383"/>
      <c r="K461" s="1382"/>
      <c r="L461" s="1372"/>
    </row>
    <row r="462" spans="1:13" s="31" customFormat="1" ht="17.25" customHeight="1">
      <c r="A462" s="1384" t="s">
        <v>124</v>
      </c>
      <c r="B462" s="1632" t="s">
        <v>1086</v>
      </c>
      <c r="C462" s="1382"/>
      <c r="D462" s="1382"/>
      <c r="E462" s="1382"/>
      <c r="F462" s="1396"/>
      <c r="G462" s="1384" t="s">
        <v>124</v>
      </c>
      <c r="H462" s="1632" t="s">
        <v>1086</v>
      </c>
      <c r="I462" s="1382"/>
      <c r="J462" s="1382"/>
      <c r="K462" s="1382"/>
      <c r="L462" s="1372"/>
    </row>
    <row r="463" spans="1:13" s="31" customFormat="1" ht="17.25" customHeight="1">
      <c r="A463" s="1384" t="s">
        <v>125</v>
      </c>
      <c r="B463" s="1633" t="s">
        <v>1087</v>
      </c>
      <c r="C463" s="1382"/>
      <c r="D463" s="1382"/>
      <c r="E463" s="1377">
        <f>SUM(E462)</f>
        <v>0</v>
      </c>
      <c r="F463" s="1396"/>
      <c r="G463" s="1384" t="s">
        <v>125</v>
      </c>
      <c r="H463" s="1633" t="s">
        <v>1087</v>
      </c>
      <c r="I463" s="1382"/>
      <c r="J463" s="1382"/>
      <c r="K463" s="1377">
        <f>SUM(K462)</f>
        <v>0</v>
      </c>
      <c r="L463" s="1372"/>
      <c r="M463" s="1385">
        <f>E463+K463</f>
        <v>0</v>
      </c>
    </row>
    <row r="464" spans="1:13" s="31" customFormat="1" ht="17.25" customHeight="1">
      <c r="A464" s="1386" t="s">
        <v>126</v>
      </c>
      <c r="B464" s="1634" t="s">
        <v>871</v>
      </c>
      <c r="C464" s="1387"/>
      <c r="D464" s="1387"/>
      <c r="E464" s="1387">
        <f>(E452+E453+E454+E455+E456+E457+E458+E459+E460)-E463</f>
        <v>0</v>
      </c>
      <c r="F464" s="1396"/>
      <c r="G464" s="1386" t="s">
        <v>126</v>
      </c>
      <c r="H464" s="1634" t="s">
        <v>871</v>
      </c>
      <c r="I464" s="1387"/>
      <c r="J464" s="1387"/>
      <c r="K464" s="1387">
        <f>(K452+K453+K454+K455+K456+K457+K458+K459+K460)-K463</f>
        <v>0</v>
      </c>
      <c r="L464" s="1389">
        <f>E464+K464</f>
        <v>0</v>
      </c>
    </row>
    <row r="465" spans="1:12" s="31" customFormat="1" ht="2.25" customHeight="1">
      <c r="A465" s="1392"/>
      <c r="B465" s="1398"/>
      <c r="C465" s="1399"/>
      <c r="D465" s="1399"/>
      <c r="E465" s="1397"/>
      <c r="F465" s="1396"/>
      <c r="G465" s="1392"/>
      <c r="H465" s="1398"/>
      <c r="I465" s="1399"/>
      <c r="J465" s="1397"/>
      <c r="K465" s="1624"/>
      <c r="L465" s="1372"/>
    </row>
    <row r="466" spans="1:12" s="31" customFormat="1" ht="5.25" customHeight="1">
      <c r="A466" s="1407"/>
      <c r="B466" s="1396"/>
      <c r="C466" s="1625"/>
      <c r="D466" s="1625"/>
      <c r="E466" s="1392"/>
      <c r="F466" s="1625"/>
      <c r="G466" s="1407"/>
      <c r="H466" s="1396"/>
      <c r="I466" s="1625"/>
      <c r="J466" s="1392"/>
      <c r="K466" s="1624"/>
      <c r="L466" s="1372"/>
    </row>
    <row r="467" spans="1:12" s="31" customFormat="1" ht="17.25" customHeight="1">
      <c r="A467" s="2182" t="str">
        <f>G433</f>
        <v>LƯƠNG THÁNG 01/2025</v>
      </c>
      <c r="B467" s="2183"/>
      <c r="C467" s="2183"/>
      <c r="D467" s="2183"/>
      <c r="E467" s="1452">
        <v>55</v>
      </c>
      <c r="F467" s="1392"/>
      <c r="G467" s="2182" t="str">
        <f>A467</f>
        <v>LƯƠNG THÁNG 01/2025</v>
      </c>
      <c r="H467" s="2183"/>
      <c r="I467" s="2183"/>
      <c r="J467" s="2184"/>
      <c r="K467" s="1452">
        <v>56</v>
      </c>
      <c r="L467" s="1372"/>
    </row>
    <row r="468" spans="1:12" s="31" customFormat="1" ht="17.25" customHeight="1">
      <c r="A468" s="1391" t="s">
        <v>29</v>
      </c>
      <c r="B468" s="1626" t="str">
        <f>'CNKT '!C70</f>
        <v>N. Khay Chăn</v>
      </c>
      <c r="C468" s="1373"/>
      <c r="D468" s="1623" t="s">
        <v>806</v>
      </c>
      <c r="E468" s="1623" t="s">
        <v>32</v>
      </c>
      <c r="F468" s="1392"/>
      <c r="G468" s="1391" t="s">
        <v>29</v>
      </c>
      <c r="H468" s="1626" t="str">
        <f>'CNKT '!C71</f>
        <v>T Dăn</v>
      </c>
      <c r="I468" s="1373"/>
      <c r="J468" s="1623" t="s">
        <v>806</v>
      </c>
      <c r="K468" s="1623" t="s">
        <v>32</v>
      </c>
      <c r="L468" s="1372"/>
    </row>
    <row r="469" spans="1:12" s="31" customFormat="1" ht="17.25" customHeight="1">
      <c r="A469" s="1375" t="s">
        <v>807</v>
      </c>
      <c r="B469" s="1628" t="s">
        <v>1080</v>
      </c>
      <c r="C469" s="1376" t="str">
        <f>VLOOKUP(B468,'BTH mủ tạp'!$C$15:$AL$92,36,0)</f>
        <v>A</v>
      </c>
      <c r="D469" s="1377"/>
      <c r="E469" s="1377"/>
      <c r="F469" s="1392"/>
      <c r="G469" s="1375" t="s">
        <v>807</v>
      </c>
      <c r="H469" s="1628" t="s">
        <v>1080</v>
      </c>
      <c r="I469" s="1376" t="str">
        <f>VLOOKUP(H468,'BTH mủ tạp'!$C$15:$AL$92,36,0)</f>
        <v>A</v>
      </c>
      <c r="J469" s="1377"/>
      <c r="K469" s="1377"/>
      <c r="L469" s="1372"/>
    </row>
    <row r="470" spans="1:12" s="31" customFormat="1" ht="17.25" customHeight="1">
      <c r="A470" s="1375" t="s">
        <v>121</v>
      </c>
      <c r="B470" s="1629" t="s">
        <v>865</v>
      </c>
      <c r="C470" s="1378">
        <f>VLOOKUP(B468,'CNKT '!$C$16:$Z$96,3,0)</f>
        <v>0</v>
      </c>
      <c r="D470" s="1379">
        <v>25000</v>
      </c>
      <c r="E470" s="1377">
        <f>C470*D470</f>
        <v>0</v>
      </c>
      <c r="F470" s="1392"/>
      <c r="G470" s="1375" t="s">
        <v>121</v>
      </c>
      <c r="H470" s="1629" t="s">
        <v>865</v>
      </c>
      <c r="I470" s="1378">
        <f>VLOOKUP(H468,'CNKT '!$C$16:$Z$96,3,0)</f>
        <v>0</v>
      </c>
      <c r="J470" s="1379">
        <v>25000</v>
      </c>
      <c r="K470" s="1377">
        <f>I470*J470</f>
        <v>0</v>
      </c>
      <c r="L470" s="1372"/>
    </row>
    <row r="471" spans="1:12" s="31" customFormat="1" ht="17.25" customHeight="1">
      <c r="A471" s="1375" t="s">
        <v>628</v>
      </c>
      <c r="B471" s="1630" t="s">
        <v>1081</v>
      </c>
      <c r="C471" s="1433">
        <f>VLOOKUP(B468,'CNKT '!$C$16:$Z$96,11,0)</f>
        <v>0</v>
      </c>
      <c r="D471" s="1380">
        <f>46.1*$B$2</f>
        <v>30241.600000000002</v>
      </c>
      <c r="E471" s="1377">
        <f t="shared" ref="E471:E475" si="54">C471*D471</f>
        <v>0</v>
      </c>
      <c r="F471" s="1392"/>
      <c r="G471" s="1375" t="s">
        <v>628</v>
      </c>
      <c r="H471" s="1630" t="s">
        <v>1081</v>
      </c>
      <c r="I471" s="1433">
        <f>VLOOKUP(H468,'CNKT '!$C$16:$Z$96,11,0)</f>
        <v>0</v>
      </c>
      <c r="J471" s="1380">
        <f>46.1*$B$2</f>
        <v>30241.600000000002</v>
      </c>
      <c r="K471" s="1377">
        <f t="shared" ref="K471:K475" si="55">I471*J471</f>
        <v>0</v>
      </c>
      <c r="L471" s="1372"/>
    </row>
    <row r="472" spans="1:12" s="31" customFormat="1" ht="17.25" customHeight="1">
      <c r="A472" s="1375" t="s">
        <v>809</v>
      </c>
      <c r="B472" s="1630" t="s">
        <v>1082</v>
      </c>
      <c r="C472" s="1433">
        <f>VLOOKUP(B468,'CNKT '!$C$16:$Z$96,12,0)</f>
        <v>0</v>
      </c>
      <c r="D472" s="1379">
        <f>76.9*$B$2</f>
        <v>50446.400000000001</v>
      </c>
      <c r="E472" s="1377">
        <f t="shared" si="54"/>
        <v>0</v>
      </c>
      <c r="F472" s="1396"/>
      <c r="G472" s="1375" t="s">
        <v>809</v>
      </c>
      <c r="H472" s="1630" t="s">
        <v>1082</v>
      </c>
      <c r="I472" s="1433">
        <f>VLOOKUP(H468,'CNKT '!$C$16:$Z$96,12,0)</f>
        <v>0</v>
      </c>
      <c r="J472" s="1379">
        <f>76.9*$B$2</f>
        <v>50446.400000000001</v>
      </c>
      <c r="K472" s="1377">
        <f t="shared" si="55"/>
        <v>0</v>
      </c>
      <c r="L472" s="1372"/>
    </row>
    <row r="473" spans="1:12" s="31" customFormat="1" ht="17.25" customHeight="1">
      <c r="A473" s="1375" t="s">
        <v>122</v>
      </c>
      <c r="B473" s="1630" t="s">
        <v>1083</v>
      </c>
      <c r="C473" s="1433">
        <f>VLOOKUP(B468,'CNKT '!$C$16:$Z$96,8,0)</f>
        <v>0</v>
      </c>
      <c r="D473" s="1379">
        <f>IF(C469="A",6.1,IF(C469="B",5.8,IF(C469="C",5.5,IF(C469="C.",5.5,IF(C469="D",5.2)))))*$B$2</f>
        <v>4001.6</v>
      </c>
      <c r="E473" s="1377">
        <f t="shared" si="54"/>
        <v>0</v>
      </c>
      <c r="F473" s="1625"/>
      <c r="G473" s="1375" t="s">
        <v>122</v>
      </c>
      <c r="H473" s="1630" t="s">
        <v>1083</v>
      </c>
      <c r="I473" s="1433">
        <f>VLOOKUP(H468,'CNKT '!$C$16:$Z$96,8,0)</f>
        <v>0</v>
      </c>
      <c r="J473" s="1379">
        <f>IF(I469="A",6.1,IF(I469="B",5.8,IF(I469="C",5.5,IF(I469="C.",5.5,IF(I469="D",5.2)))))*$B$2</f>
        <v>4001.6</v>
      </c>
      <c r="K473" s="1377">
        <f t="shared" si="55"/>
        <v>0</v>
      </c>
      <c r="L473" s="1372"/>
    </row>
    <row r="474" spans="1:12" s="31" customFormat="1" ht="17.25" customHeight="1">
      <c r="A474" s="1375" t="s">
        <v>959</v>
      </c>
      <c r="B474" s="1630" t="s">
        <v>1084</v>
      </c>
      <c r="C474" s="1433">
        <f>VLOOKUP(B468,'CNKT '!$C$16:$Z$96,15,0)</f>
        <v>0</v>
      </c>
      <c r="D474" s="1380">
        <f>92.2*$B$2</f>
        <v>60483.200000000004</v>
      </c>
      <c r="E474" s="1377">
        <f t="shared" si="54"/>
        <v>0</v>
      </c>
      <c r="F474" s="1625"/>
      <c r="G474" s="1375" t="s">
        <v>959</v>
      </c>
      <c r="H474" s="1630" t="s">
        <v>1084</v>
      </c>
      <c r="I474" s="1433">
        <f>VLOOKUP(H468,'CNKT '!$C$16:$Z$96,15,0)</f>
        <v>0</v>
      </c>
      <c r="J474" s="1380">
        <f>92.2*$B$2</f>
        <v>60483.200000000004</v>
      </c>
      <c r="K474" s="1377">
        <f t="shared" si="55"/>
        <v>0</v>
      </c>
      <c r="L474" s="1372"/>
    </row>
    <row r="475" spans="1:12" s="31" customFormat="1" ht="17.25" customHeight="1">
      <c r="A475" s="1375" t="s">
        <v>960</v>
      </c>
      <c r="B475" s="1630" t="s">
        <v>964</v>
      </c>
      <c r="C475" s="1433">
        <f>VLOOKUP(B468,'CNKT '!$C$16:$Z$96,16,0)</f>
        <v>0</v>
      </c>
      <c r="D475" s="1379">
        <f>153.8*$B$2</f>
        <v>100892.8</v>
      </c>
      <c r="E475" s="1377">
        <f t="shared" si="54"/>
        <v>0</v>
      </c>
      <c r="F475" s="1625"/>
      <c r="G475" s="1375" t="s">
        <v>960</v>
      </c>
      <c r="H475" s="1630" t="s">
        <v>964</v>
      </c>
      <c r="I475" s="1433">
        <f>VLOOKUP(H468,'CNKT '!$C$16:$Z$96,16,0)</f>
        <v>0</v>
      </c>
      <c r="J475" s="1379">
        <f>153.8*$B$2</f>
        <v>100892.8</v>
      </c>
      <c r="K475" s="1377">
        <f t="shared" si="55"/>
        <v>0</v>
      </c>
      <c r="L475" s="1372"/>
    </row>
    <row r="476" spans="1:12" s="31" customFormat="1" ht="17.25" customHeight="1">
      <c r="A476" s="1375" t="s">
        <v>899</v>
      </c>
      <c r="B476" s="1630" t="s">
        <v>965</v>
      </c>
      <c r="C476" s="1433">
        <f>VLOOKUP(B468,'CNKT '!$C$16:$Z$96,18,0)</f>
        <v>0</v>
      </c>
      <c r="D476" s="1379">
        <v>10000</v>
      </c>
      <c r="E476" s="1377">
        <f>C476*D476</f>
        <v>0</v>
      </c>
      <c r="F476" s="1625"/>
      <c r="G476" s="1375" t="s">
        <v>899</v>
      </c>
      <c r="H476" s="1630" t="s">
        <v>965</v>
      </c>
      <c r="I476" s="1433">
        <f>VLOOKUP(H468,'CNKT '!$C$16:$Z$96,18,0)</f>
        <v>0</v>
      </c>
      <c r="J476" s="1379">
        <v>10000</v>
      </c>
      <c r="K476" s="1377">
        <f>I476*J476</f>
        <v>0</v>
      </c>
      <c r="L476" s="1372"/>
    </row>
    <row r="477" spans="1:12" s="31" customFormat="1" ht="17.25" customHeight="1">
      <c r="A477" s="1375" t="s">
        <v>899</v>
      </c>
      <c r="B477" s="1630" t="s">
        <v>965</v>
      </c>
      <c r="C477" s="1433">
        <f>VLOOKUP(B468,'CNKT '!$C$16:$Z$96,19,0)</f>
        <v>0</v>
      </c>
      <c r="D477" s="1379">
        <v>20000</v>
      </c>
      <c r="E477" s="1377">
        <f>C477*D477</f>
        <v>0</v>
      </c>
      <c r="F477" s="1625"/>
      <c r="G477" s="1375" t="s">
        <v>899</v>
      </c>
      <c r="H477" s="1630" t="s">
        <v>965</v>
      </c>
      <c r="I477" s="1433">
        <f>VLOOKUP(H468,'CNKT '!$C$16:$Z$96,19,0)</f>
        <v>0</v>
      </c>
      <c r="J477" s="1379">
        <v>20000</v>
      </c>
      <c r="K477" s="1377">
        <f>I477*J477</f>
        <v>0</v>
      </c>
      <c r="L477" s="1372"/>
    </row>
    <row r="478" spans="1:12" s="31" customFormat="1" ht="17.25" customHeight="1">
      <c r="A478" s="1375" t="s">
        <v>995</v>
      </c>
      <c r="B478" s="1630" t="s">
        <v>997</v>
      </c>
      <c r="C478" s="1433"/>
      <c r="D478" s="1379"/>
      <c r="E478" s="1377"/>
      <c r="F478" s="1625"/>
      <c r="G478" s="1375" t="s">
        <v>995</v>
      </c>
      <c r="H478" s="1630" t="s">
        <v>997</v>
      </c>
      <c r="I478" s="1433"/>
      <c r="J478" s="1379"/>
      <c r="K478" s="1377"/>
      <c r="L478" s="1372"/>
    </row>
    <row r="479" spans="1:12" s="31" customFormat="1" ht="17.25" customHeight="1">
      <c r="A479" s="1381" t="s">
        <v>123</v>
      </c>
      <c r="B479" s="1631" t="s">
        <v>1085</v>
      </c>
      <c r="C479" s="1382"/>
      <c r="D479" s="1383"/>
      <c r="E479" s="1382"/>
      <c r="F479" s="1397"/>
      <c r="G479" s="1381" t="s">
        <v>123</v>
      </c>
      <c r="H479" s="1631" t="s">
        <v>1085</v>
      </c>
      <c r="I479" s="1382"/>
      <c r="J479" s="1383"/>
      <c r="K479" s="1382"/>
      <c r="L479" s="1372"/>
    </row>
    <row r="480" spans="1:12" s="31" customFormat="1" ht="17.25" customHeight="1">
      <c r="A480" s="1384" t="s">
        <v>124</v>
      </c>
      <c r="B480" s="1632" t="s">
        <v>1086</v>
      </c>
      <c r="C480" s="1382"/>
      <c r="D480" s="1382"/>
      <c r="E480" s="1382"/>
      <c r="F480" s="1397"/>
      <c r="G480" s="1384" t="s">
        <v>124</v>
      </c>
      <c r="H480" s="1632" t="s">
        <v>1086</v>
      </c>
      <c r="I480" s="1382"/>
      <c r="J480" s="1382"/>
      <c r="K480" s="1382"/>
      <c r="L480" s="1372"/>
    </row>
    <row r="481" spans="1:14" s="31" customFormat="1" ht="17.25" customHeight="1">
      <c r="A481" s="1384" t="s">
        <v>125</v>
      </c>
      <c r="B481" s="1633" t="s">
        <v>1087</v>
      </c>
      <c r="C481" s="1382"/>
      <c r="D481" s="1382"/>
      <c r="E481" s="1377">
        <f>SUM(E480)</f>
        <v>0</v>
      </c>
      <c r="F481" s="1397"/>
      <c r="G481" s="1384" t="s">
        <v>125</v>
      </c>
      <c r="H481" s="1633" t="s">
        <v>1087</v>
      </c>
      <c r="I481" s="1382"/>
      <c r="J481" s="1382"/>
      <c r="K481" s="1377">
        <f>SUM(K480)</f>
        <v>0</v>
      </c>
      <c r="L481" s="1372"/>
      <c r="M481" s="1385">
        <f>E481+K481</f>
        <v>0</v>
      </c>
    </row>
    <row r="482" spans="1:14" s="31" customFormat="1" ht="17.25" customHeight="1">
      <c r="A482" s="1386" t="s">
        <v>126</v>
      </c>
      <c r="B482" s="1634" t="s">
        <v>871</v>
      </c>
      <c r="C482" s="1387"/>
      <c r="D482" s="1387"/>
      <c r="E482" s="1387">
        <f>(E470+E471+E472+E473+E474+E475+E476+E477+E478)-E481</f>
        <v>0</v>
      </c>
      <c r="F482" s="1397"/>
      <c r="G482" s="1386" t="s">
        <v>126</v>
      </c>
      <c r="H482" s="1634" t="s">
        <v>871</v>
      </c>
      <c r="I482" s="1387"/>
      <c r="J482" s="1387"/>
      <c r="K482" s="1387">
        <f>(K470+K471+K472+K473+K474+K475+K476+K477+K478)-K481</f>
        <v>0</v>
      </c>
      <c r="L482" s="1389">
        <f>E482+K482</f>
        <v>0</v>
      </c>
    </row>
    <row r="483" spans="1:14" s="31" customFormat="1" ht="17.25" customHeight="1">
      <c r="A483" s="1392"/>
      <c r="B483" s="1398"/>
      <c r="C483" s="1399"/>
      <c r="D483" s="1399"/>
      <c r="E483" s="1397"/>
      <c r="F483" s="1397"/>
      <c r="G483" s="1392"/>
      <c r="H483" s="1398"/>
      <c r="I483" s="1399"/>
      <c r="J483" s="1397"/>
      <c r="K483" s="1409"/>
      <c r="L483" s="1372"/>
    </row>
    <row r="484" spans="1:14" s="31" customFormat="1" ht="17.25" customHeight="1">
      <c r="A484" s="1407"/>
      <c r="B484" s="1396"/>
      <c r="C484" s="1625"/>
      <c r="D484" s="1625"/>
      <c r="E484" s="1392"/>
      <c r="F484" s="1392"/>
      <c r="G484" s="1407"/>
      <c r="H484" s="1396"/>
      <c r="I484" s="1625"/>
      <c r="J484" s="1392"/>
      <c r="K484" s="1400"/>
      <c r="L484" s="1372"/>
    </row>
    <row r="485" spans="1:14" s="31" customFormat="1" ht="17.25" customHeight="1">
      <c r="A485" s="2182" t="str">
        <f>G467</f>
        <v>LƯƠNG THÁNG 01/2025</v>
      </c>
      <c r="B485" s="2183"/>
      <c r="C485" s="2183"/>
      <c r="D485" s="2183"/>
      <c r="E485" s="1452">
        <v>57</v>
      </c>
      <c r="F485" s="1392"/>
      <c r="G485" s="2182" t="str">
        <f>A485</f>
        <v>LƯƠNG THÁNG 01/2025</v>
      </c>
      <c r="H485" s="2183"/>
      <c r="I485" s="2183"/>
      <c r="J485" s="2184"/>
      <c r="K485" s="1452">
        <v>58</v>
      </c>
      <c r="L485" s="1372"/>
    </row>
    <row r="486" spans="1:14" s="31" customFormat="1" ht="17.25" customHeight="1">
      <c r="A486" s="1391" t="s">
        <v>29</v>
      </c>
      <c r="B486" s="1626" t="str">
        <f>'CNKT '!C72</f>
        <v>T. Xợt</v>
      </c>
      <c r="C486" s="1373"/>
      <c r="D486" s="1623" t="s">
        <v>806</v>
      </c>
      <c r="E486" s="1623" t="s">
        <v>32</v>
      </c>
      <c r="F486" s="1396"/>
      <c r="G486" s="1391" t="s">
        <v>29</v>
      </c>
      <c r="H486" s="1626" t="str">
        <f>'CNKT '!C73</f>
        <v>N. Phết 2</v>
      </c>
      <c r="I486" s="1373"/>
      <c r="J486" s="1623" t="s">
        <v>806</v>
      </c>
      <c r="K486" s="1623" t="s">
        <v>32</v>
      </c>
      <c r="L486" s="1372"/>
    </row>
    <row r="487" spans="1:14" s="31" customFormat="1" ht="17.25" customHeight="1">
      <c r="A487" s="1375" t="s">
        <v>807</v>
      </c>
      <c r="B487" s="1628" t="s">
        <v>1080</v>
      </c>
      <c r="C487" s="1376" t="str">
        <f>VLOOKUP(B486,'BTH mủ tạp'!$C$15:$AL$92,36,0)</f>
        <v>A</v>
      </c>
      <c r="D487" s="1377"/>
      <c r="E487" s="1377"/>
      <c r="F487" s="1396"/>
      <c r="G487" s="1375" t="s">
        <v>807</v>
      </c>
      <c r="H487" s="1628" t="s">
        <v>1080</v>
      </c>
      <c r="I487" s="1376" t="str">
        <f>VLOOKUP(H486,'BTH mủ tạp'!$C$15:$AL$92,36,0)</f>
        <v>A</v>
      </c>
      <c r="J487" s="1377"/>
      <c r="K487" s="1377"/>
      <c r="L487" s="1372"/>
    </row>
    <row r="488" spans="1:14" s="31" customFormat="1" ht="17.25" customHeight="1">
      <c r="A488" s="1375" t="s">
        <v>121</v>
      </c>
      <c r="B488" s="1629" t="s">
        <v>865</v>
      </c>
      <c r="C488" s="1378">
        <f>VLOOKUP(B486,'CNKT '!$C$16:$Z$96,3,0)</f>
        <v>0</v>
      </c>
      <c r="D488" s="1379">
        <v>25000</v>
      </c>
      <c r="E488" s="1377">
        <f>C488*D488</f>
        <v>0</v>
      </c>
      <c r="F488" s="1625"/>
      <c r="G488" s="1375" t="s">
        <v>121</v>
      </c>
      <c r="H488" s="1629" t="s">
        <v>865</v>
      </c>
      <c r="I488" s="1378">
        <f>VLOOKUP(H486,'CNKT '!$C$16:$Z$96,3,0)</f>
        <v>0</v>
      </c>
      <c r="J488" s="1379">
        <v>25000</v>
      </c>
      <c r="K488" s="1377">
        <f>I488*J488</f>
        <v>0</v>
      </c>
      <c r="L488" s="1372"/>
    </row>
    <row r="489" spans="1:14" s="31" customFormat="1" ht="17.25" customHeight="1">
      <c r="A489" s="1375" t="s">
        <v>628</v>
      </c>
      <c r="B489" s="1630" t="s">
        <v>1081</v>
      </c>
      <c r="C489" s="1433">
        <f>VLOOKUP(B486,'CNKT '!$C$16:$Z$96,11,0)</f>
        <v>0</v>
      </c>
      <c r="D489" s="1380">
        <f>46.1*$B$2</f>
        <v>30241.600000000002</v>
      </c>
      <c r="E489" s="1377">
        <f t="shared" ref="E489:E493" si="56">C489*D489</f>
        <v>0</v>
      </c>
      <c r="F489" s="1397"/>
      <c r="G489" s="1375" t="s">
        <v>628</v>
      </c>
      <c r="H489" s="1630" t="s">
        <v>1081</v>
      </c>
      <c r="I489" s="1433">
        <f>VLOOKUP(H486,'CNKT '!$C$16:$Z$96,11,0)</f>
        <v>0</v>
      </c>
      <c r="J489" s="1380">
        <f>46.1*$B$2</f>
        <v>30241.600000000002</v>
      </c>
      <c r="K489" s="1377">
        <f t="shared" ref="K489:K493" si="57">I489*J489</f>
        <v>0</v>
      </c>
      <c r="L489" s="1372"/>
    </row>
    <row r="490" spans="1:14" s="31" customFormat="1" ht="17.25" customHeight="1">
      <c r="A490" s="1375" t="s">
        <v>809</v>
      </c>
      <c r="B490" s="1630" t="s">
        <v>1082</v>
      </c>
      <c r="C490" s="1433">
        <f>VLOOKUP(B486,'CNKT '!$C$16:$Z$96,12,0)</f>
        <v>0</v>
      </c>
      <c r="D490" s="1379">
        <f>76.9*$B$2</f>
        <v>50446.400000000001</v>
      </c>
      <c r="E490" s="1377">
        <f t="shared" si="56"/>
        <v>0</v>
      </c>
      <c r="F490" s="1397"/>
      <c r="G490" s="1375" t="s">
        <v>809</v>
      </c>
      <c r="H490" s="1630" t="s">
        <v>1082</v>
      </c>
      <c r="I490" s="1433">
        <f>VLOOKUP(H486,'CNKT '!$C$16:$Z$96,12,0)</f>
        <v>0</v>
      </c>
      <c r="J490" s="1379">
        <f>76.9*$B$2</f>
        <v>50446.400000000001</v>
      </c>
      <c r="K490" s="1377">
        <f t="shared" si="57"/>
        <v>0</v>
      </c>
      <c r="L490" s="1372"/>
    </row>
    <row r="491" spans="1:14" s="31" customFormat="1" ht="17.25" customHeight="1">
      <c r="A491" s="1375" t="s">
        <v>122</v>
      </c>
      <c r="B491" s="1630" t="s">
        <v>1083</v>
      </c>
      <c r="C491" s="1433">
        <f>VLOOKUP(B486,'CNKT '!$C$16:$Z$96,8,0)</f>
        <v>0</v>
      </c>
      <c r="D491" s="1379">
        <f>IF(C487="A",6.1,IF(C487="B",5.8,IF(C487="C",5.5,IF(C487="C.",5.5,IF(C487="D",5.2)))))*$B$2</f>
        <v>4001.6</v>
      </c>
      <c r="E491" s="1377">
        <f t="shared" si="56"/>
        <v>0</v>
      </c>
      <c r="F491" s="1409"/>
      <c r="G491" s="1375" t="s">
        <v>122</v>
      </c>
      <c r="H491" s="1630" t="s">
        <v>1083</v>
      </c>
      <c r="I491" s="1433">
        <f>VLOOKUP(H486,'CNKT '!$C$16:$Z$96,8,0)</f>
        <v>0</v>
      </c>
      <c r="J491" s="1379">
        <f>IF(I487="A",6.1,IF(I487="B",5.8,IF(I487="C",5.5,IF(I487="C.",5.5,IF(I487="D",5.2)))))*$B$2</f>
        <v>4001.6</v>
      </c>
      <c r="K491" s="1377">
        <f t="shared" si="57"/>
        <v>0</v>
      </c>
      <c r="L491" s="1410"/>
      <c r="M491" s="1328"/>
      <c r="N491" s="1411"/>
    </row>
    <row r="492" spans="1:14" s="31" customFormat="1" ht="17.25" customHeight="1">
      <c r="A492" s="1375" t="s">
        <v>959</v>
      </c>
      <c r="B492" s="1630" t="s">
        <v>1084</v>
      </c>
      <c r="C492" s="1433">
        <f>VLOOKUP(B486,'CNKT '!$C$16:$Z$96,15,0)</f>
        <v>0</v>
      </c>
      <c r="D492" s="1380">
        <f>92.2*$B$2</f>
        <v>60483.200000000004</v>
      </c>
      <c r="E492" s="1377">
        <f t="shared" si="56"/>
        <v>0</v>
      </c>
      <c r="F492" s="1409"/>
      <c r="G492" s="1375" t="s">
        <v>959</v>
      </c>
      <c r="H492" s="1630" t="s">
        <v>1084</v>
      </c>
      <c r="I492" s="1433">
        <f>VLOOKUP(H486,'CNKT '!$C$16:$Z$96,15,0)</f>
        <v>0</v>
      </c>
      <c r="J492" s="1380">
        <f>92.2*$B$2</f>
        <v>60483.200000000004</v>
      </c>
      <c r="K492" s="1377">
        <f t="shared" si="57"/>
        <v>0</v>
      </c>
      <c r="L492" s="1410"/>
      <c r="M492" s="1328"/>
      <c r="N492" s="1411"/>
    </row>
    <row r="493" spans="1:14" s="31" customFormat="1" ht="17.25" customHeight="1">
      <c r="A493" s="1375" t="s">
        <v>960</v>
      </c>
      <c r="B493" s="1630" t="s">
        <v>964</v>
      </c>
      <c r="C493" s="1433">
        <f>VLOOKUP(B486,'CNKT '!$C$16:$Z$96,16,0)</f>
        <v>0</v>
      </c>
      <c r="D493" s="1379">
        <f>153.8*$B$2</f>
        <v>100892.8</v>
      </c>
      <c r="E493" s="1377">
        <f t="shared" si="56"/>
        <v>0</v>
      </c>
      <c r="F493" s="1409"/>
      <c r="G493" s="1375" t="s">
        <v>960</v>
      </c>
      <c r="H493" s="1630" t="s">
        <v>964</v>
      </c>
      <c r="I493" s="1433">
        <f>VLOOKUP(H486,'CNKT '!$C$16:$Z$96,16,0)</f>
        <v>0</v>
      </c>
      <c r="J493" s="1379">
        <f>153.8*$B$2</f>
        <v>100892.8</v>
      </c>
      <c r="K493" s="1377">
        <f t="shared" si="57"/>
        <v>0</v>
      </c>
      <c r="L493" s="1410"/>
      <c r="M493" s="1328"/>
      <c r="N493" s="1411"/>
    </row>
    <row r="494" spans="1:14" s="31" customFormat="1" ht="17.25" customHeight="1">
      <c r="A494" s="1375" t="s">
        <v>899</v>
      </c>
      <c r="B494" s="1630" t="s">
        <v>965</v>
      </c>
      <c r="C494" s="1433">
        <f>VLOOKUP(B486,'CNKT '!$C$16:$Z$96,18,0)</f>
        <v>0</v>
      </c>
      <c r="D494" s="1379">
        <v>10000</v>
      </c>
      <c r="E494" s="1377">
        <f>C494*D494</f>
        <v>0</v>
      </c>
      <c r="F494" s="1409"/>
      <c r="G494" s="1375" t="s">
        <v>899</v>
      </c>
      <c r="H494" s="1630" t="s">
        <v>965</v>
      </c>
      <c r="I494" s="1433">
        <f>VLOOKUP(H486,'CNKT '!$C$16:$Z$96,18,0)</f>
        <v>0</v>
      </c>
      <c r="J494" s="1379">
        <v>10000</v>
      </c>
      <c r="K494" s="1377">
        <f>I494*J494</f>
        <v>0</v>
      </c>
      <c r="L494" s="1410"/>
      <c r="M494" s="1328"/>
      <c r="N494" s="1411"/>
    </row>
    <row r="495" spans="1:14" s="31" customFormat="1" ht="17.25" customHeight="1">
      <c r="A495" s="1375" t="s">
        <v>899</v>
      </c>
      <c r="B495" s="1630" t="s">
        <v>965</v>
      </c>
      <c r="C495" s="1433">
        <f>VLOOKUP(B486,'CNKT '!$C$16:$Z$96,19,0)</f>
        <v>0</v>
      </c>
      <c r="D495" s="1379">
        <v>20000</v>
      </c>
      <c r="E495" s="1377">
        <f>C495*D495</f>
        <v>0</v>
      </c>
      <c r="F495" s="1409"/>
      <c r="G495" s="1375" t="s">
        <v>899</v>
      </c>
      <c r="H495" s="1630" t="s">
        <v>965</v>
      </c>
      <c r="I495" s="1433">
        <f>VLOOKUP(H486,'CNKT '!$C$16:$Z$96,19,0)</f>
        <v>0</v>
      </c>
      <c r="J495" s="1379">
        <v>20000</v>
      </c>
      <c r="K495" s="1377">
        <f>I495*J495</f>
        <v>0</v>
      </c>
      <c r="L495" s="1410"/>
      <c r="M495" s="1328"/>
      <c r="N495" s="1411"/>
    </row>
    <row r="496" spans="1:14" s="31" customFormat="1" ht="17.25" customHeight="1">
      <c r="A496" s="1375" t="s">
        <v>995</v>
      </c>
      <c r="B496" s="1630" t="s">
        <v>997</v>
      </c>
      <c r="C496" s="1433"/>
      <c r="D496" s="1379"/>
      <c r="E496" s="1377"/>
      <c r="F496" s="1409"/>
      <c r="G496" s="1375" t="s">
        <v>995</v>
      </c>
      <c r="H496" s="1630" t="s">
        <v>997</v>
      </c>
      <c r="I496" s="1433"/>
      <c r="J496" s="1379"/>
      <c r="K496" s="1377"/>
      <c r="L496" s="1410"/>
      <c r="M496" s="1328"/>
      <c r="N496" s="1411"/>
    </row>
    <row r="497" spans="1:14" s="31" customFormat="1" ht="17.25" customHeight="1">
      <c r="A497" s="1381" t="s">
        <v>123</v>
      </c>
      <c r="B497" s="1631" t="s">
        <v>1085</v>
      </c>
      <c r="C497" s="1382"/>
      <c r="D497" s="1383"/>
      <c r="E497" s="1382"/>
      <c r="F497" s="1409"/>
      <c r="G497" s="1381" t="s">
        <v>123</v>
      </c>
      <c r="H497" s="1631" t="s">
        <v>1085</v>
      </c>
      <c r="I497" s="1382"/>
      <c r="J497" s="1383"/>
      <c r="K497" s="1382"/>
      <c r="L497" s="1410"/>
      <c r="M497" s="1328"/>
      <c r="N497" s="1411"/>
    </row>
    <row r="498" spans="1:14" s="31" customFormat="1" ht="17.25" customHeight="1">
      <c r="A498" s="1384" t="s">
        <v>124</v>
      </c>
      <c r="B498" s="1632" t="s">
        <v>1086</v>
      </c>
      <c r="C498" s="1382"/>
      <c r="D498" s="1382"/>
      <c r="E498" s="1382"/>
      <c r="F498" s="1409"/>
      <c r="G498" s="1384" t="s">
        <v>124</v>
      </c>
      <c r="H498" s="1632" t="s">
        <v>1086</v>
      </c>
      <c r="I498" s="1382"/>
      <c r="J498" s="1382"/>
      <c r="K498" s="1382"/>
      <c r="L498" s="1410"/>
      <c r="M498" s="1328"/>
      <c r="N498" s="1411"/>
    </row>
    <row r="499" spans="1:14" s="31" customFormat="1" ht="17.25" customHeight="1">
      <c r="A499" s="1384" t="s">
        <v>125</v>
      </c>
      <c r="B499" s="1633" t="s">
        <v>1087</v>
      </c>
      <c r="C499" s="1382"/>
      <c r="D499" s="1382"/>
      <c r="E499" s="1377">
        <f>SUM(E498)</f>
        <v>0</v>
      </c>
      <c r="F499" s="1409"/>
      <c r="G499" s="1384" t="s">
        <v>125</v>
      </c>
      <c r="H499" s="1633" t="s">
        <v>1087</v>
      </c>
      <c r="I499" s="1382"/>
      <c r="J499" s="1382"/>
      <c r="K499" s="1377">
        <f>SUM(K498)</f>
        <v>0</v>
      </c>
      <c r="L499" s="1410"/>
      <c r="M499" s="1385">
        <f>E499+K499</f>
        <v>0</v>
      </c>
      <c r="N499" s="1411"/>
    </row>
    <row r="500" spans="1:14" s="31" customFormat="1" ht="17.25" customHeight="1">
      <c r="A500" s="1386" t="s">
        <v>126</v>
      </c>
      <c r="B500" s="1634" t="s">
        <v>871</v>
      </c>
      <c r="C500" s="1387"/>
      <c r="D500" s="1387"/>
      <c r="E500" s="1387">
        <f>(E488+E489+E490+E491+E492+E493+E494+E495+E496)-E499</f>
        <v>0</v>
      </c>
      <c r="F500" s="1409"/>
      <c r="G500" s="1386" t="s">
        <v>126</v>
      </c>
      <c r="H500" s="1634" t="s">
        <v>871</v>
      </c>
      <c r="I500" s="1387"/>
      <c r="J500" s="1387"/>
      <c r="K500" s="1387">
        <f>(K488+K489+K490+K491+K492+K493+K494+K495+K496)-K499</f>
        <v>0</v>
      </c>
      <c r="L500" s="1389">
        <f>E500+K500</f>
        <v>0</v>
      </c>
      <c r="M500" s="1328"/>
      <c r="N500" s="1411"/>
    </row>
    <row r="501" spans="1:14" s="31" customFormat="1" ht="17.25" customHeight="1">
      <c r="A501" s="1392"/>
      <c r="B501" s="1398"/>
      <c r="C501" s="1399"/>
      <c r="D501" s="1399"/>
      <c r="E501" s="1397"/>
      <c r="F501" s="1409"/>
      <c r="G501" s="1392"/>
      <c r="H501" s="1398"/>
      <c r="I501" s="1399"/>
      <c r="J501" s="1397"/>
      <c r="K501" s="1400"/>
      <c r="L501" s="1410"/>
      <c r="M501" s="1328"/>
      <c r="N501" s="1411"/>
    </row>
    <row r="502" spans="1:14" s="31" customFormat="1" ht="17.25" customHeight="1">
      <c r="A502" s="2182" t="str">
        <f>G485</f>
        <v>LƯƠNG THÁNG 01/2025</v>
      </c>
      <c r="B502" s="2183"/>
      <c r="C502" s="2183"/>
      <c r="D502" s="2183"/>
      <c r="E502" s="1452">
        <v>59</v>
      </c>
      <c r="F502" s="1409"/>
      <c r="G502" s="2182" t="str">
        <f>A502</f>
        <v>LƯƠNG THÁNG 01/2025</v>
      </c>
      <c r="H502" s="2183"/>
      <c r="I502" s="2183"/>
      <c r="J502" s="2184"/>
      <c r="K502" s="1452">
        <v>60</v>
      </c>
      <c r="L502" s="1410"/>
      <c r="M502" s="1328"/>
      <c r="N502" s="1411"/>
    </row>
    <row r="503" spans="1:14" s="31" customFormat="1" ht="17.25" customHeight="1">
      <c r="A503" s="1391" t="s">
        <v>29</v>
      </c>
      <c r="B503" s="1626" t="str">
        <f>'CNKT '!C74</f>
        <v>T. Cạp</v>
      </c>
      <c r="C503" s="1373"/>
      <c r="D503" s="1623" t="s">
        <v>806</v>
      </c>
      <c r="E503" s="1623" t="s">
        <v>32</v>
      </c>
      <c r="F503" s="1409"/>
      <c r="G503" s="1391" t="s">
        <v>29</v>
      </c>
      <c r="H503" s="1626" t="str">
        <f>'CNKT '!C75</f>
        <v>N. Phết</v>
      </c>
      <c r="I503" s="1373"/>
      <c r="J503" s="1623" t="s">
        <v>806</v>
      </c>
      <c r="K503" s="1623" t="s">
        <v>32</v>
      </c>
      <c r="L503" s="1410"/>
      <c r="M503" s="1328"/>
      <c r="N503" s="1411"/>
    </row>
    <row r="504" spans="1:14" s="31" customFormat="1" ht="17.25" customHeight="1">
      <c r="A504" s="1375" t="s">
        <v>807</v>
      </c>
      <c r="B504" s="1628" t="s">
        <v>1080</v>
      </c>
      <c r="C504" s="1376" t="str">
        <f>VLOOKUP(B503,'BTH mủ tạp'!$C$15:$AL$92,36,0)</f>
        <v>B</v>
      </c>
      <c r="D504" s="1377"/>
      <c r="E504" s="1377"/>
      <c r="F504" s="1409"/>
      <c r="G504" s="1375" t="s">
        <v>807</v>
      </c>
      <c r="H504" s="1628" t="s">
        <v>1080</v>
      </c>
      <c r="I504" s="1376" t="str">
        <f>VLOOKUP(H503,'BTH mủ tạp'!$C$15:$AL$92,36,0)</f>
        <v>A</v>
      </c>
      <c r="J504" s="1377"/>
      <c r="K504" s="1377"/>
      <c r="L504" s="1410"/>
      <c r="M504" s="1328"/>
      <c r="N504" s="1411"/>
    </row>
    <row r="505" spans="1:14" s="31" customFormat="1" ht="17.25" customHeight="1">
      <c r="A505" s="1375" t="s">
        <v>121</v>
      </c>
      <c r="B505" s="1629" t="s">
        <v>865</v>
      </c>
      <c r="C505" s="1378">
        <f>VLOOKUP(B503,'CNKT '!$C$16:$Z$96,3,0)</f>
        <v>0</v>
      </c>
      <c r="D505" s="1379">
        <v>25000</v>
      </c>
      <c r="E505" s="1377">
        <f>C505*D505</f>
        <v>0</v>
      </c>
      <c r="F505" s="1409"/>
      <c r="G505" s="1375" t="s">
        <v>121</v>
      </c>
      <c r="H505" s="1629" t="s">
        <v>865</v>
      </c>
      <c r="I505" s="1378">
        <f>VLOOKUP(H503,'CNKT '!$C$16:$Z$96,3,0)</f>
        <v>0</v>
      </c>
      <c r="J505" s="1379">
        <v>25000</v>
      </c>
      <c r="K505" s="1377">
        <f>I505*J505</f>
        <v>0</v>
      </c>
      <c r="L505" s="1410"/>
      <c r="M505" s="1328"/>
      <c r="N505" s="1411"/>
    </row>
    <row r="506" spans="1:14" s="31" customFormat="1" ht="17.25" customHeight="1">
      <c r="A506" s="1375" t="s">
        <v>628</v>
      </c>
      <c r="B506" s="1630" t="s">
        <v>1081</v>
      </c>
      <c r="C506" s="1433">
        <f>VLOOKUP(B503,'CNKT '!$C$16:$Z$96,11,0)</f>
        <v>0</v>
      </c>
      <c r="D506" s="1380">
        <f>46.1*$B$2</f>
        <v>30241.600000000002</v>
      </c>
      <c r="E506" s="1377">
        <f t="shared" ref="E506:E510" si="58">C506*D506</f>
        <v>0</v>
      </c>
      <c r="F506" s="1409"/>
      <c r="G506" s="1375" t="s">
        <v>628</v>
      </c>
      <c r="H506" s="1630" t="s">
        <v>1081</v>
      </c>
      <c r="I506" s="1433">
        <f>VLOOKUP(H503,'CNKT '!$C$16:$Z$96,11,0)</f>
        <v>0</v>
      </c>
      <c r="J506" s="1380">
        <f>46.1*$B$2</f>
        <v>30241.600000000002</v>
      </c>
      <c r="K506" s="1377">
        <f t="shared" ref="K506:K510" si="59">I506*J506</f>
        <v>0</v>
      </c>
      <c r="L506" s="1410"/>
      <c r="M506" s="1328"/>
      <c r="N506" s="1411"/>
    </row>
    <row r="507" spans="1:14" s="31" customFormat="1" ht="17.25" customHeight="1">
      <c r="A507" s="1375" t="s">
        <v>809</v>
      </c>
      <c r="B507" s="1630" t="s">
        <v>1082</v>
      </c>
      <c r="C507" s="1433">
        <f>VLOOKUP(B503,'CNKT '!$C$16:$Z$96,12,0)</f>
        <v>0</v>
      </c>
      <c r="D507" s="1379">
        <f>76.9*$B$2</f>
        <v>50446.400000000001</v>
      </c>
      <c r="E507" s="1377">
        <f t="shared" si="58"/>
        <v>0</v>
      </c>
      <c r="F507" s="1409"/>
      <c r="G507" s="1375" t="s">
        <v>809</v>
      </c>
      <c r="H507" s="1630" t="s">
        <v>1082</v>
      </c>
      <c r="I507" s="1433">
        <f>VLOOKUP(H503,'CNKT '!$C$16:$Z$96,12,0)</f>
        <v>0</v>
      </c>
      <c r="J507" s="1379">
        <f>76.9*$B$2</f>
        <v>50446.400000000001</v>
      </c>
      <c r="K507" s="1377">
        <f t="shared" si="59"/>
        <v>0</v>
      </c>
      <c r="L507" s="1410"/>
      <c r="M507" s="1328"/>
      <c r="N507" s="1411"/>
    </row>
    <row r="508" spans="1:14" s="31" customFormat="1" ht="17.25" customHeight="1">
      <c r="A508" s="1375" t="s">
        <v>122</v>
      </c>
      <c r="B508" s="1630" t="s">
        <v>1083</v>
      </c>
      <c r="C508" s="1433">
        <f>VLOOKUP(B503,'CNKT '!$C$16:$Z$96,8,0)</f>
        <v>0</v>
      </c>
      <c r="D508" s="1379">
        <f>IF(C504="A",6.1,IF(C504="B",5.8,IF(C504="C",5.5,IF(C504="C.",5.5,IF(C504="D",5.2)))))*$B$2</f>
        <v>3804.7999999999997</v>
      </c>
      <c r="E508" s="1377">
        <f t="shared" si="58"/>
        <v>0</v>
      </c>
      <c r="F508" s="1409"/>
      <c r="G508" s="1375" t="s">
        <v>122</v>
      </c>
      <c r="H508" s="1630" t="s">
        <v>1083</v>
      </c>
      <c r="I508" s="1433">
        <f>VLOOKUP(H503,'CNKT '!$C$16:$Z$96,8,0)</f>
        <v>0</v>
      </c>
      <c r="J508" s="1379">
        <f>IF(I504="A",6.1,IF(I504="B",5.8,IF(I504="C",5.5,IF(I504="C.",5.5,IF(I504="D",5.2)))))*$B$2</f>
        <v>4001.6</v>
      </c>
      <c r="K508" s="1377">
        <f t="shared" si="59"/>
        <v>0</v>
      </c>
      <c r="L508" s="1410"/>
      <c r="M508" s="1328"/>
      <c r="N508" s="1411"/>
    </row>
    <row r="509" spans="1:14" s="31" customFormat="1" ht="17.25" customHeight="1">
      <c r="A509" s="1375" t="s">
        <v>959</v>
      </c>
      <c r="B509" s="1630" t="s">
        <v>1084</v>
      </c>
      <c r="C509" s="1433">
        <f>VLOOKUP(B503,'CNKT '!$C$16:$Z$96,15,0)</f>
        <v>0</v>
      </c>
      <c r="D509" s="1380">
        <f>92.2*$B$2</f>
        <v>60483.200000000004</v>
      </c>
      <c r="E509" s="1377">
        <f t="shared" si="58"/>
        <v>0</v>
      </c>
      <c r="F509" s="1409"/>
      <c r="G509" s="1375" t="s">
        <v>959</v>
      </c>
      <c r="H509" s="1630" t="s">
        <v>1084</v>
      </c>
      <c r="I509" s="1433">
        <f>VLOOKUP(H503,'CNKT '!$C$16:$Z$96,15,0)</f>
        <v>0</v>
      </c>
      <c r="J509" s="1380">
        <f>92.2*$B$2</f>
        <v>60483.200000000004</v>
      </c>
      <c r="K509" s="1377">
        <f t="shared" si="59"/>
        <v>0</v>
      </c>
      <c r="L509" s="1410"/>
      <c r="M509" s="1328"/>
      <c r="N509" s="1411"/>
    </row>
    <row r="510" spans="1:14" s="31" customFormat="1" ht="17.25" customHeight="1">
      <c r="A510" s="1375" t="s">
        <v>960</v>
      </c>
      <c r="B510" s="1630" t="s">
        <v>964</v>
      </c>
      <c r="C510" s="1433">
        <f>VLOOKUP(B503,'CNKT '!$C$16:$Z$96,16,0)</f>
        <v>0</v>
      </c>
      <c r="D510" s="1379">
        <f>153.8*$B$2</f>
        <v>100892.8</v>
      </c>
      <c r="E510" s="1377">
        <f t="shared" si="58"/>
        <v>0</v>
      </c>
      <c r="F510" s="1409"/>
      <c r="G510" s="1375" t="s">
        <v>960</v>
      </c>
      <c r="H510" s="1630" t="s">
        <v>964</v>
      </c>
      <c r="I510" s="1433">
        <f>VLOOKUP(H503,'CNKT '!$C$16:$Z$96,16,0)</f>
        <v>0</v>
      </c>
      <c r="J510" s="1379">
        <f>153.8*$B$2</f>
        <v>100892.8</v>
      </c>
      <c r="K510" s="1377">
        <f t="shared" si="59"/>
        <v>0</v>
      </c>
      <c r="L510" s="1410"/>
      <c r="M510" s="1328"/>
      <c r="N510" s="1411"/>
    </row>
    <row r="511" spans="1:14" s="31" customFormat="1" ht="17.25" customHeight="1">
      <c r="A511" s="1375" t="s">
        <v>899</v>
      </c>
      <c r="B511" s="1630" t="s">
        <v>965</v>
      </c>
      <c r="C511" s="1433">
        <f>VLOOKUP(B503,'CNKT '!$C$16:$Z$96,18,0)</f>
        <v>0</v>
      </c>
      <c r="D511" s="1379">
        <v>10000</v>
      </c>
      <c r="E511" s="1377">
        <f>C511*D511</f>
        <v>0</v>
      </c>
      <c r="F511" s="1409"/>
      <c r="G511" s="1375" t="s">
        <v>899</v>
      </c>
      <c r="H511" s="1630" t="s">
        <v>965</v>
      </c>
      <c r="I511" s="1433">
        <f>VLOOKUP(H503,'CNKT '!$C$16:$Z$96,18,0)</f>
        <v>0</v>
      </c>
      <c r="J511" s="1379">
        <v>10000</v>
      </c>
      <c r="K511" s="1377">
        <f>I511*J511</f>
        <v>0</v>
      </c>
      <c r="L511" s="1410"/>
      <c r="M511" s="1328"/>
      <c r="N511" s="1411"/>
    </row>
    <row r="512" spans="1:14" s="31" customFormat="1" ht="17.25" customHeight="1">
      <c r="A512" s="1375" t="s">
        <v>899</v>
      </c>
      <c r="B512" s="1630" t="s">
        <v>965</v>
      </c>
      <c r="C512" s="1433">
        <f>VLOOKUP(B503,'CNKT '!$C$16:$Z$96,19,0)</f>
        <v>0</v>
      </c>
      <c r="D512" s="1379">
        <v>20000</v>
      </c>
      <c r="E512" s="1377">
        <f>C512*D512</f>
        <v>0</v>
      </c>
      <c r="F512" s="1409"/>
      <c r="G512" s="1375" t="s">
        <v>899</v>
      </c>
      <c r="H512" s="1630" t="s">
        <v>965</v>
      </c>
      <c r="I512" s="1433">
        <f>VLOOKUP(H503,'CNKT '!$C$16:$Z$96,19,0)</f>
        <v>0</v>
      </c>
      <c r="J512" s="1379">
        <v>20000</v>
      </c>
      <c r="K512" s="1377">
        <f>I512*J512</f>
        <v>0</v>
      </c>
      <c r="L512" s="1410"/>
      <c r="M512" s="1328"/>
      <c r="N512" s="1411"/>
    </row>
    <row r="513" spans="1:14" s="31" customFormat="1" ht="17.25" customHeight="1">
      <c r="A513" s="1375" t="s">
        <v>995</v>
      </c>
      <c r="B513" s="1630" t="s">
        <v>997</v>
      </c>
      <c r="C513" s="1433"/>
      <c r="D513" s="1379"/>
      <c r="E513" s="1377"/>
      <c r="F513" s="1409"/>
      <c r="G513" s="1375" t="s">
        <v>995</v>
      </c>
      <c r="H513" s="1630" t="s">
        <v>997</v>
      </c>
      <c r="I513" s="1433"/>
      <c r="J513" s="1379"/>
      <c r="K513" s="1377"/>
      <c r="L513" s="1410"/>
      <c r="M513" s="1328"/>
      <c r="N513" s="1411"/>
    </row>
    <row r="514" spans="1:14" s="31" customFormat="1" ht="17.25" customHeight="1">
      <c r="A514" s="1381" t="s">
        <v>123</v>
      </c>
      <c r="B514" s="1631" t="s">
        <v>1085</v>
      </c>
      <c r="C514" s="1382"/>
      <c r="D514" s="1383"/>
      <c r="E514" s="1382"/>
      <c r="F514" s="1409"/>
      <c r="G514" s="1381" t="s">
        <v>123</v>
      </c>
      <c r="H514" s="1631" t="s">
        <v>1085</v>
      </c>
      <c r="I514" s="1382"/>
      <c r="J514" s="1383"/>
      <c r="K514" s="1382"/>
      <c r="L514" s="1410"/>
      <c r="M514" s="1328"/>
      <c r="N514" s="1411"/>
    </row>
    <row r="515" spans="1:14" s="31" customFormat="1" ht="17.25" customHeight="1">
      <c r="A515" s="1384" t="s">
        <v>124</v>
      </c>
      <c r="B515" s="1632" t="s">
        <v>1086</v>
      </c>
      <c r="C515" s="1382"/>
      <c r="D515" s="1382"/>
      <c r="E515" s="1382"/>
      <c r="F515" s="1409"/>
      <c r="G515" s="1384" t="s">
        <v>124</v>
      </c>
      <c r="H515" s="1632" t="s">
        <v>1086</v>
      </c>
      <c r="I515" s="1382"/>
      <c r="J515" s="1382"/>
      <c r="K515" s="1382"/>
      <c r="L515" s="1410"/>
      <c r="M515" s="1328"/>
      <c r="N515" s="1411"/>
    </row>
    <row r="516" spans="1:14" s="31" customFormat="1" ht="17.25" customHeight="1">
      <c r="A516" s="1384" t="s">
        <v>125</v>
      </c>
      <c r="B516" s="1633" t="s">
        <v>1087</v>
      </c>
      <c r="C516" s="1382"/>
      <c r="D516" s="1382"/>
      <c r="E516" s="1377">
        <f>SUM(E515)</f>
        <v>0</v>
      </c>
      <c r="F516" s="1409"/>
      <c r="G516" s="1384" t="s">
        <v>125</v>
      </c>
      <c r="H516" s="1633" t="s">
        <v>1087</v>
      </c>
      <c r="I516" s="1382"/>
      <c r="J516" s="1382"/>
      <c r="K516" s="1377">
        <f>SUM(K515)</f>
        <v>0</v>
      </c>
      <c r="L516" s="1410"/>
      <c r="M516" s="1385">
        <f>E516+K516</f>
        <v>0</v>
      </c>
      <c r="N516" s="1411"/>
    </row>
    <row r="517" spans="1:14" s="31" customFormat="1" ht="17.25" customHeight="1">
      <c r="A517" s="1386" t="s">
        <v>126</v>
      </c>
      <c r="B517" s="1634" t="s">
        <v>871</v>
      </c>
      <c r="C517" s="1387"/>
      <c r="D517" s="1387"/>
      <c r="E517" s="1387">
        <f>(E505+E506+E507+E508+E509+E510+E511+E512+E513)-E516</f>
        <v>0</v>
      </c>
      <c r="F517" s="1409"/>
      <c r="G517" s="1386" t="s">
        <v>126</v>
      </c>
      <c r="H517" s="1634" t="s">
        <v>871</v>
      </c>
      <c r="I517" s="1387"/>
      <c r="J517" s="1387"/>
      <c r="K517" s="1387">
        <f>(K505+K506+K507+K508+K509+K510+K511+K512+K513)-K516</f>
        <v>0</v>
      </c>
      <c r="L517" s="1389">
        <f>E517+K517</f>
        <v>0</v>
      </c>
      <c r="M517" s="1328"/>
      <c r="N517" s="1411"/>
    </row>
    <row r="518" spans="1:14" s="31" customFormat="1" ht="7.5" customHeight="1">
      <c r="A518" s="1392"/>
      <c r="B518" s="1398"/>
      <c r="C518" s="1399"/>
      <c r="D518" s="1399"/>
      <c r="E518" s="1397"/>
      <c r="F518" s="1409"/>
      <c r="G518" s="1392"/>
      <c r="H518" s="1398"/>
      <c r="I518" s="1399"/>
      <c r="J518" s="1397"/>
      <c r="K518" s="1624"/>
      <c r="L518" s="1410"/>
      <c r="M518" s="1328"/>
      <c r="N518" s="1411"/>
    </row>
    <row r="519" spans="1:14" s="31" customFormat="1" ht="17.25" customHeight="1">
      <c r="A519" s="2182" t="str">
        <f>G502</f>
        <v>LƯƠNG THÁNG 01/2025</v>
      </c>
      <c r="B519" s="2183"/>
      <c r="C519" s="2183"/>
      <c r="D519" s="2183"/>
      <c r="E519" s="1452">
        <v>61</v>
      </c>
      <c r="F519" s="1409"/>
      <c r="G519" s="2182" t="str">
        <f>A519</f>
        <v>LƯƠNG THÁNG 01/2025</v>
      </c>
      <c r="H519" s="2183"/>
      <c r="I519" s="2183"/>
      <c r="J519" s="2184"/>
      <c r="K519" s="1452">
        <v>62</v>
      </c>
      <c r="L519" s="1410"/>
      <c r="M519" s="1328"/>
      <c r="N519" s="1411"/>
    </row>
    <row r="520" spans="1:14" s="31" customFormat="1" ht="17.25" customHeight="1">
      <c r="A520" s="1391" t="s">
        <v>29</v>
      </c>
      <c r="B520" s="1626" t="str">
        <f>'CNKT '!C76</f>
        <v>N. Bua Hom</v>
      </c>
      <c r="C520" s="1373"/>
      <c r="D520" s="1623" t="s">
        <v>806</v>
      </c>
      <c r="E520" s="1623" t="s">
        <v>32</v>
      </c>
      <c r="F520" s="1409"/>
      <c r="G520" s="1391" t="s">
        <v>29</v>
      </c>
      <c r="H520" s="1626" t="str">
        <f>'CNKT '!C77</f>
        <v>N. Không</v>
      </c>
      <c r="I520" s="1373"/>
      <c r="J520" s="1623" t="s">
        <v>806</v>
      </c>
      <c r="K520" s="1623" t="s">
        <v>32</v>
      </c>
      <c r="L520" s="1410"/>
      <c r="M520" s="1328"/>
      <c r="N520" s="1411"/>
    </row>
    <row r="521" spans="1:14" s="31" customFormat="1" ht="17.25" customHeight="1">
      <c r="A521" s="1375" t="s">
        <v>807</v>
      </c>
      <c r="B521" s="1628" t="s">
        <v>1080</v>
      </c>
      <c r="C521" s="1376" t="str">
        <f>VLOOKUP(B520,'BTH mủ tạp'!$C$15:$AL$92,36,0)</f>
        <v>A</v>
      </c>
      <c r="D521" s="1377"/>
      <c r="E521" s="1377"/>
      <c r="F521" s="1409"/>
      <c r="G521" s="1375" t="s">
        <v>807</v>
      </c>
      <c r="H521" s="1628" t="s">
        <v>1080</v>
      </c>
      <c r="I521" s="1376" t="str">
        <f>VLOOKUP(H520,'BTH mủ tạp'!$C$15:$AL$92,36,0)</f>
        <v>B</v>
      </c>
      <c r="J521" s="1377"/>
      <c r="K521" s="1377"/>
      <c r="L521" s="1410"/>
      <c r="M521" s="1328"/>
      <c r="N521" s="1411"/>
    </row>
    <row r="522" spans="1:14" s="31" customFormat="1" ht="17.25" customHeight="1">
      <c r="A522" s="1375" t="s">
        <v>121</v>
      </c>
      <c r="B522" s="1629" t="s">
        <v>865</v>
      </c>
      <c r="C522" s="1378">
        <f>VLOOKUP(B520,'CNKT '!$C$16:$Z$96,3,0)</f>
        <v>0</v>
      </c>
      <c r="D522" s="1379">
        <v>25000</v>
      </c>
      <c r="E522" s="1377">
        <f>C522*D522</f>
        <v>0</v>
      </c>
      <c r="F522" s="1409"/>
      <c r="G522" s="1375" t="s">
        <v>121</v>
      </c>
      <c r="H522" s="1629" t="s">
        <v>865</v>
      </c>
      <c r="I522" s="1378">
        <f>VLOOKUP(H520,'CNKT '!$C$16:$Z$96,3,0)</f>
        <v>0</v>
      </c>
      <c r="J522" s="1379">
        <v>25000</v>
      </c>
      <c r="K522" s="1377">
        <f>I522*J522</f>
        <v>0</v>
      </c>
      <c r="L522" s="1410"/>
      <c r="M522" s="1328"/>
      <c r="N522" s="1411"/>
    </row>
    <row r="523" spans="1:14" s="31" customFormat="1" ht="17.25" customHeight="1">
      <c r="A523" s="1375" t="s">
        <v>628</v>
      </c>
      <c r="B523" s="1630" t="s">
        <v>1081</v>
      </c>
      <c r="C523" s="1433">
        <f>VLOOKUP(B520,'CNKT '!$C$16:$Z$96,11,0)</f>
        <v>0</v>
      </c>
      <c r="D523" s="1380">
        <f>46.1*$B$2</f>
        <v>30241.600000000002</v>
      </c>
      <c r="E523" s="1377">
        <f t="shared" ref="E523:E527" si="60">C523*D523</f>
        <v>0</v>
      </c>
      <c r="F523" s="1409"/>
      <c r="G523" s="1375" t="s">
        <v>628</v>
      </c>
      <c r="H523" s="1630" t="s">
        <v>1081</v>
      </c>
      <c r="I523" s="1433">
        <f>VLOOKUP(H520,'CNKT '!$C$16:$Z$96,11,0)</f>
        <v>0</v>
      </c>
      <c r="J523" s="1380">
        <f>46.1*$B$2</f>
        <v>30241.600000000002</v>
      </c>
      <c r="K523" s="1377">
        <f t="shared" ref="K523:K527" si="61">I523*J523</f>
        <v>0</v>
      </c>
      <c r="L523" s="1410"/>
      <c r="M523" s="1328"/>
      <c r="N523" s="1411"/>
    </row>
    <row r="524" spans="1:14" s="31" customFormat="1" ht="17.25" customHeight="1">
      <c r="A524" s="1375" t="s">
        <v>809</v>
      </c>
      <c r="B524" s="1630" t="s">
        <v>1082</v>
      </c>
      <c r="C524" s="1433">
        <f>VLOOKUP(B520,'CNKT '!$C$16:$Z$96,12,0)</f>
        <v>0</v>
      </c>
      <c r="D524" s="1379">
        <f>76.9*$B$2</f>
        <v>50446.400000000001</v>
      </c>
      <c r="E524" s="1377">
        <f t="shared" si="60"/>
        <v>0</v>
      </c>
      <c r="F524" s="1409"/>
      <c r="G524" s="1375" t="s">
        <v>809</v>
      </c>
      <c r="H524" s="1630" t="s">
        <v>1082</v>
      </c>
      <c r="I524" s="1433">
        <f>VLOOKUP(H520,'CNKT '!$C$16:$Z$96,12,0)</f>
        <v>0</v>
      </c>
      <c r="J524" s="1379">
        <f>76.9*$B$2</f>
        <v>50446.400000000001</v>
      </c>
      <c r="K524" s="1377">
        <f t="shared" si="61"/>
        <v>0</v>
      </c>
      <c r="L524" s="1410"/>
      <c r="M524" s="1328"/>
      <c r="N524" s="1411"/>
    </row>
    <row r="525" spans="1:14" s="31" customFormat="1" ht="17.25" customHeight="1">
      <c r="A525" s="1375" t="s">
        <v>122</v>
      </c>
      <c r="B525" s="1630" t="s">
        <v>1083</v>
      </c>
      <c r="C525" s="1433">
        <f>VLOOKUP(B520,'CNKT '!$C$16:$Z$96,8,0)</f>
        <v>0</v>
      </c>
      <c r="D525" s="1379">
        <f>IF(C521="A",6.1,IF(C521="B",5.8,IF(C521="C",5.5,IF(C521="C.",5.5,IF(C521="D",5.2)))))*$B$2</f>
        <v>4001.6</v>
      </c>
      <c r="E525" s="1377">
        <f t="shared" si="60"/>
        <v>0</v>
      </c>
      <c r="F525" s="1409"/>
      <c r="G525" s="1375" t="s">
        <v>122</v>
      </c>
      <c r="H525" s="1630" t="s">
        <v>1083</v>
      </c>
      <c r="I525" s="1433">
        <f>VLOOKUP(H520,'CNKT '!$C$16:$Z$96,8,0)</f>
        <v>0</v>
      </c>
      <c r="J525" s="1379">
        <f>IF(I521="A",6.1,IF(I521="B",5.8,IF(I521="C",5.5,IF(I521="C.",5.5,IF(I521="D",5.2)))))*$B$2</f>
        <v>3804.7999999999997</v>
      </c>
      <c r="K525" s="1377">
        <f t="shared" si="61"/>
        <v>0</v>
      </c>
      <c r="L525" s="1410"/>
      <c r="M525" s="1328"/>
      <c r="N525" s="1411"/>
    </row>
    <row r="526" spans="1:14" s="31" customFormat="1" ht="17.25" customHeight="1">
      <c r="A526" s="1375" t="s">
        <v>959</v>
      </c>
      <c r="B526" s="1630" t="s">
        <v>1084</v>
      </c>
      <c r="C526" s="1433">
        <f>VLOOKUP(B520,'CNKT '!$C$16:$Z$96,15,0)</f>
        <v>0</v>
      </c>
      <c r="D526" s="1380">
        <f>92.2*$B$2</f>
        <v>60483.200000000004</v>
      </c>
      <c r="E526" s="1377">
        <f t="shared" si="60"/>
        <v>0</v>
      </c>
      <c r="F526" s="1409"/>
      <c r="G526" s="1375" t="s">
        <v>959</v>
      </c>
      <c r="H526" s="1630" t="s">
        <v>1084</v>
      </c>
      <c r="I526" s="1433">
        <f>VLOOKUP(H520,'CNKT '!$C$16:$Z$96,15,0)</f>
        <v>0</v>
      </c>
      <c r="J526" s="1380">
        <f>92.2*$B$2</f>
        <v>60483.200000000004</v>
      </c>
      <c r="K526" s="1377">
        <f t="shared" si="61"/>
        <v>0</v>
      </c>
      <c r="L526" s="1410"/>
      <c r="M526" s="1328"/>
      <c r="N526" s="1411"/>
    </row>
    <row r="527" spans="1:14" s="31" customFormat="1" ht="17.25" customHeight="1">
      <c r="A527" s="1375" t="s">
        <v>960</v>
      </c>
      <c r="B527" s="1630" t="s">
        <v>964</v>
      </c>
      <c r="C527" s="1433">
        <f>VLOOKUP(B520,'CNKT '!$C$16:$Z$96,16,0)</f>
        <v>0</v>
      </c>
      <c r="D527" s="1379">
        <f>153.8*$B$2</f>
        <v>100892.8</v>
      </c>
      <c r="E527" s="1377">
        <f t="shared" si="60"/>
        <v>0</v>
      </c>
      <c r="F527" s="1409"/>
      <c r="G527" s="1375" t="s">
        <v>960</v>
      </c>
      <c r="H527" s="1630" t="s">
        <v>964</v>
      </c>
      <c r="I527" s="1433">
        <f>VLOOKUP(H520,'CNKT '!$C$16:$Z$96,16,0)</f>
        <v>0</v>
      </c>
      <c r="J527" s="1379">
        <f>153.8*$B$2</f>
        <v>100892.8</v>
      </c>
      <c r="K527" s="1377">
        <f t="shared" si="61"/>
        <v>0</v>
      </c>
      <c r="L527" s="1410"/>
      <c r="M527" s="1328"/>
      <c r="N527" s="1411"/>
    </row>
    <row r="528" spans="1:14" s="31" customFormat="1" ht="17.25" customHeight="1">
      <c r="A528" s="1375" t="s">
        <v>899</v>
      </c>
      <c r="B528" s="1630" t="s">
        <v>965</v>
      </c>
      <c r="C528" s="1433">
        <f>VLOOKUP(B520,'CNKT '!$C$16:$Z$96,18,0)</f>
        <v>0</v>
      </c>
      <c r="D528" s="1379">
        <v>10000</v>
      </c>
      <c r="E528" s="1377">
        <f>C528*D528</f>
        <v>0</v>
      </c>
      <c r="F528" s="1409"/>
      <c r="G528" s="1375" t="s">
        <v>899</v>
      </c>
      <c r="H528" s="1630" t="s">
        <v>965</v>
      </c>
      <c r="I528" s="1433">
        <f>VLOOKUP(H520,'CNKT '!$C$16:$Z$96,18,0)</f>
        <v>0</v>
      </c>
      <c r="J528" s="1379">
        <v>10000</v>
      </c>
      <c r="K528" s="1377">
        <f>I528*J528</f>
        <v>0</v>
      </c>
      <c r="L528" s="1410"/>
      <c r="M528" s="1328"/>
      <c r="N528" s="1411"/>
    </row>
    <row r="529" spans="1:14" s="31" customFormat="1" ht="17.25" customHeight="1">
      <c r="A529" s="1375" t="s">
        <v>899</v>
      </c>
      <c r="B529" s="1630" t="s">
        <v>965</v>
      </c>
      <c r="C529" s="1433">
        <f>VLOOKUP(B520,'CNKT '!$C$16:$Z$96,19,0)</f>
        <v>0</v>
      </c>
      <c r="D529" s="1379">
        <v>20000</v>
      </c>
      <c r="E529" s="1377">
        <f>C529*D529</f>
        <v>0</v>
      </c>
      <c r="F529" s="1409"/>
      <c r="G529" s="1375" t="s">
        <v>899</v>
      </c>
      <c r="H529" s="1630" t="s">
        <v>965</v>
      </c>
      <c r="I529" s="1433">
        <f>VLOOKUP(H520,'CNKT '!$C$16:$Z$96,19,0)</f>
        <v>0</v>
      </c>
      <c r="J529" s="1379">
        <v>20000</v>
      </c>
      <c r="K529" s="1377">
        <f>I529*J529</f>
        <v>0</v>
      </c>
      <c r="L529" s="1410"/>
      <c r="M529" s="1328"/>
      <c r="N529" s="1411"/>
    </row>
    <row r="530" spans="1:14" s="31" customFormat="1" ht="17.25" customHeight="1">
      <c r="A530" s="1375" t="s">
        <v>995</v>
      </c>
      <c r="B530" s="1630" t="s">
        <v>997</v>
      </c>
      <c r="C530" s="1433"/>
      <c r="D530" s="1379"/>
      <c r="E530" s="1377"/>
      <c r="F530" s="1409"/>
      <c r="G530" s="1375" t="s">
        <v>995</v>
      </c>
      <c r="H530" s="1630" t="s">
        <v>997</v>
      </c>
      <c r="I530" s="1433"/>
      <c r="J530" s="1379"/>
      <c r="K530" s="1377"/>
      <c r="L530" s="1410"/>
      <c r="M530" s="1328"/>
      <c r="N530" s="1411"/>
    </row>
    <row r="531" spans="1:14" s="31" customFormat="1" ht="17.25" customHeight="1">
      <c r="A531" s="1381" t="s">
        <v>123</v>
      </c>
      <c r="B531" s="1631" t="s">
        <v>1085</v>
      </c>
      <c r="C531" s="1382"/>
      <c r="D531" s="1383"/>
      <c r="E531" s="1382"/>
      <c r="F531" s="1409"/>
      <c r="G531" s="1381" t="s">
        <v>123</v>
      </c>
      <c r="H531" s="1631" t="s">
        <v>1085</v>
      </c>
      <c r="I531" s="1382"/>
      <c r="J531" s="1383"/>
      <c r="K531" s="1382"/>
      <c r="L531" s="1410"/>
      <c r="M531" s="1328"/>
      <c r="N531" s="1411"/>
    </row>
    <row r="532" spans="1:14" s="31" customFormat="1" ht="17.25" customHeight="1">
      <c r="A532" s="1384" t="s">
        <v>124</v>
      </c>
      <c r="B532" s="1632" t="s">
        <v>1086</v>
      </c>
      <c r="C532" s="1382"/>
      <c r="D532" s="1382"/>
      <c r="E532" s="1382"/>
      <c r="F532" s="1409"/>
      <c r="G532" s="1384" t="s">
        <v>124</v>
      </c>
      <c r="H532" s="1632" t="s">
        <v>1086</v>
      </c>
      <c r="I532" s="1382"/>
      <c r="J532" s="1382"/>
      <c r="K532" s="1382"/>
      <c r="L532" s="1389">
        <f>E532+K532</f>
        <v>0</v>
      </c>
      <c r="M532" s="1328"/>
      <c r="N532" s="1411"/>
    </row>
    <row r="533" spans="1:14" s="31" customFormat="1" ht="17.25" customHeight="1">
      <c r="A533" s="1384" t="s">
        <v>125</v>
      </c>
      <c r="B533" s="1633" t="s">
        <v>1087</v>
      </c>
      <c r="C533" s="1382"/>
      <c r="D533" s="1382"/>
      <c r="E533" s="1377">
        <f>SUM(E532)</f>
        <v>0</v>
      </c>
      <c r="F533" s="1409"/>
      <c r="G533" s="1384" t="s">
        <v>125</v>
      </c>
      <c r="H533" s="1633" t="s">
        <v>1087</v>
      </c>
      <c r="I533" s="1382"/>
      <c r="J533" s="1382"/>
      <c r="K533" s="1377">
        <f>SUM(K532)</f>
        <v>0</v>
      </c>
      <c r="L533" s="1410"/>
      <c r="M533" s="1385">
        <f>E533+K533</f>
        <v>0</v>
      </c>
      <c r="N533" s="1411"/>
    </row>
    <row r="534" spans="1:14" s="31" customFormat="1" ht="17.25" customHeight="1">
      <c r="A534" s="1386" t="s">
        <v>126</v>
      </c>
      <c r="B534" s="1634" t="s">
        <v>871</v>
      </c>
      <c r="C534" s="1387"/>
      <c r="D534" s="1387"/>
      <c r="E534" s="1387">
        <f>(E522+E523+E524+E525+E526+E527+E528+E529+E530)-E533</f>
        <v>0</v>
      </c>
      <c r="F534" s="1409"/>
      <c r="G534" s="1386" t="s">
        <v>126</v>
      </c>
      <c r="H534" s="1634" t="s">
        <v>871</v>
      </c>
      <c r="I534" s="1387"/>
      <c r="J534" s="1387"/>
      <c r="K534" s="1387">
        <f>(K522+K523+K524+K525+K526+K527+K528+K529+K530)-K533</f>
        <v>0</v>
      </c>
      <c r="L534" s="1389">
        <f>E534+K534</f>
        <v>0</v>
      </c>
      <c r="M534" s="1328"/>
      <c r="N534" s="1411"/>
    </row>
    <row r="535" spans="1:14" s="31" customFormat="1" ht="17.25" customHeight="1">
      <c r="A535" s="2182" t="str">
        <f>G519</f>
        <v>LƯƠNG THÁNG 01/2025</v>
      </c>
      <c r="B535" s="2183"/>
      <c r="C535" s="2183"/>
      <c r="D535" s="2183"/>
      <c r="E535" s="1452">
        <v>63</v>
      </c>
      <c r="F535" s="1409"/>
      <c r="G535" s="2182" t="str">
        <f>A535</f>
        <v>LƯƠNG THÁNG 01/2025</v>
      </c>
      <c r="H535" s="2183"/>
      <c r="I535" s="2183"/>
      <c r="J535" s="2184"/>
      <c r="K535" s="1452">
        <v>64</v>
      </c>
      <c r="L535" s="1410"/>
      <c r="M535" s="1328"/>
      <c r="N535" s="1411"/>
    </row>
    <row r="536" spans="1:14" s="31" customFormat="1" ht="17.25" customHeight="1">
      <c r="A536" s="1391" t="s">
        <v>29</v>
      </c>
      <c r="B536" s="1626" t="str">
        <f>'CNKT '!C78</f>
        <v>T. Đèng</v>
      </c>
      <c r="C536" s="1373"/>
      <c r="D536" s="1623" t="s">
        <v>806</v>
      </c>
      <c r="E536" s="1623" t="s">
        <v>32</v>
      </c>
      <c r="F536" s="1409"/>
      <c r="G536" s="1391" t="s">
        <v>29</v>
      </c>
      <c r="H536" s="1626" t="str">
        <f>'CNKT '!C79</f>
        <v>T. May</v>
      </c>
      <c r="I536" s="1373"/>
      <c r="J536" s="1623" t="s">
        <v>806</v>
      </c>
      <c r="K536" s="1623" t="s">
        <v>32</v>
      </c>
      <c r="L536" s="1410"/>
      <c r="M536" s="1328"/>
      <c r="N536" s="1411"/>
    </row>
    <row r="537" spans="1:14" s="31" customFormat="1" ht="17.25" customHeight="1">
      <c r="A537" s="1375" t="s">
        <v>807</v>
      </c>
      <c r="B537" s="1628" t="s">
        <v>1080</v>
      </c>
      <c r="C537" s="1376" t="str">
        <f>VLOOKUP(B536,'BTH mủ tạp'!$C$15:$AL$92,36,0)</f>
        <v>B</v>
      </c>
      <c r="D537" s="1377"/>
      <c r="E537" s="1377"/>
      <c r="F537" s="1409"/>
      <c r="G537" s="1375" t="s">
        <v>807</v>
      </c>
      <c r="H537" s="1628" t="s">
        <v>1080</v>
      </c>
      <c r="I537" s="1376" t="str">
        <f>VLOOKUP(H536,'BTH mủ tạp'!$C$15:$AL$92,36,0)</f>
        <v>D</v>
      </c>
      <c r="J537" s="1377"/>
      <c r="K537" s="1377"/>
      <c r="L537" s="1410"/>
      <c r="M537" s="1328"/>
      <c r="N537" s="1411"/>
    </row>
    <row r="538" spans="1:14" s="31" customFormat="1" ht="17.25" customHeight="1">
      <c r="A538" s="1375" t="s">
        <v>121</v>
      </c>
      <c r="B538" s="1629" t="s">
        <v>865</v>
      </c>
      <c r="C538" s="1378">
        <f>VLOOKUP(B536,'CNKT '!$C$16:$Z$96,3,0)</f>
        <v>0</v>
      </c>
      <c r="D538" s="1379">
        <v>25000</v>
      </c>
      <c r="E538" s="1377">
        <f>C538*D538</f>
        <v>0</v>
      </c>
      <c r="F538" s="1409"/>
      <c r="G538" s="1375" t="s">
        <v>121</v>
      </c>
      <c r="H538" s="1629" t="s">
        <v>865</v>
      </c>
      <c r="I538" s="1378">
        <f>VLOOKUP(H536,'CNKT '!$C$16:$Z$96,3,0)</f>
        <v>0</v>
      </c>
      <c r="J538" s="1379">
        <v>25000</v>
      </c>
      <c r="K538" s="1377">
        <f>I538*J538</f>
        <v>0</v>
      </c>
      <c r="L538" s="1410"/>
      <c r="M538" s="1328"/>
      <c r="N538" s="1411"/>
    </row>
    <row r="539" spans="1:14" s="31" customFormat="1" ht="17.25" customHeight="1">
      <c r="A539" s="1375" t="s">
        <v>628</v>
      </c>
      <c r="B539" s="1630" t="s">
        <v>1081</v>
      </c>
      <c r="C539" s="1433">
        <f>VLOOKUP(B536,'CNKT '!$C$16:$Z$96,11,0)</f>
        <v>0</v>
      </c>
      <c r="D539" s="1380">
        <f>46.1*$B$2</f>
        <v>30241.600000000002</v>
      </c>
      <c r="E539" s="1377">
        <f t="shared" ref="E539:E543" si="62">C539*D539</f>
        <v>0</v>
      </c>
      <c r="F539" s="1409"/>
      <c r="G539" s="1375" t="s">
        <v>628</v>
      </c>
      <c r="H539" s="1630" t="s">
        <v>1081</v>
      </c>
      <c r="I539" s="1433">
        <f>VLOOKUP(H536,'CNKT '!$C$16:$Z$96,11,0)</f>
        <v>0</v>
      </c>
      <c r="J539" s="1380">
        <f>46.1*$B$2</f>
        <v>30241.600000000002</v>
      </c>
      <c r="K539" s="1377">
        <f t="shared" ref="K539:K543" si="63">I539*J539</f>
        <v>0</v>
      </c>
      <c r="L539" s="1410"/>
      <c r="M539" s="1328"/>
      <c r="N539" s="1411"/>
    </row>
    <row r="540" spans="1:14" s="31" customFormat="1" ht="17.25" customHeight="1">
      <c r="A540" s="1375" t="s">
        <v>809</v>
      </c>
      <c r="B540" s="1630" t="s">
        <v>1082</v>
      </c>
      <c r="C540" s="1433">
        <f>VLOOKUP(B536,'CNKT '!$C$16:$Z$96,12,0)</f>
        <v>0</v>
      </c>
      <c r="D540" s="1379">
        <f>76.9*$B$2</f>
        <v>50446.400000000001</v>
      </c>
      <c r="E540" s="1377">
        <f t="shared" si="62"/>
        <v>0</v>
      </c>
      <c r="F540" s="1409"/>
      <c r="G540" s="1375" t="s">
        <v>809</v>
      </c>
      <c r="H540" s="1630" t="s">
        <v>1082</v>
      </c>
      <c r="I540" s="1433">
        <f>VLOOKUP(H536,'CNKT '!$C$16:$Z$96,12,0)</f>
        <v>0</v>
      </c>
      <c r="J540" s="1379">
        <f>76.9*$B$2</f>
        <v>50446.400000000001</v>
      </c>
      <c r="K540" s="1377">
        <f t="shared" si="63"/>
        <v>0</v>
      </c>
      <c r="L540" s="1410"/>
      <c r="M540" s="1328"/>
      <c r="N540" s="1411"/>
    </row>
    <row r="541" spans="1:14" s="31" customFormat="1" ht="17.25" customHeight="1">
      <c r="A541" s="1375" t="s">
        <v>122</v>
      </c>
      <c r="B541" s="1630" t="s">
        <v>1083</v>
      </c>
      <c r="C541" s="1433">
        <f>VLOOKUP(B536,'CNKT '!$C$16:$Z$96,8,0)</f>
        <v>0</v>
      </c>
      <c r="D541" s="1379">
        <f>IF(C537="A",6.1,IF(C537="B",5.8,IF(C537="C",5.5,IF(C537="C.",5.5,IF(C537="D",5.2)))))*$B$2</f>
        <v>3804.7999999999997</v>
      </c>
      <c r="E541" s="1377">
        <f t="shared" si="62"/>
        <v>0</v>
      </c>
      <c r="F541" s="1409"/>
      <c r="G541" s="1375" t="s">
        <v>122</v>
      </c>
      <c r="H541" s="1630" t="s">
        <v>1083</v>
      </c>
      <c r="I541" s="1433">
        <f>VLOOKUP(H536,'CNKT '!$C$16:$Z$96,8,0)</f>
        <v>0</v>
      </c>
      <c r="J541" s="1379">
        <f>IF(I537="A",6.1,IF(I537="B",5.8,IF(I537="C",5.5,IF(I537="C.",5.5,IF(I537="D",5.2)))))*$B$2</f>
        <v>3411.2000000000003</v>
      </c>
      <c r="K541" s="1377">
        <f t="shared" si="63"/>
        <v>0</v>
      </c>
      <c r="L541" s="1410"/>
      <c r="M541" s="1328"/>
      <c r="N541" s="1411"/>
    </row>
    <row r="542" spans="1:14" s="31" customFormat="1" ht="17.25" customHeight="1">
      <c r="A542" s="1375" t="s">
        <v>959</v>
      </c>
      <c r="B542" s="1630" t="s">
        <v>1084</v>
      </c>
      <c r="C542" s="1433">
        <f>VLOOKUP(B536,'CNKT '!$C$16:$Z$96,15,0)</f>
        <v>0</v>
      </c>
      <c r="D542" s="1380">
        <f>92.2*$B$2</f>
        <v>60483.200000000004</v>
      </c>
      <c r="E542" s="1377">
        <f t="shared" si="62"/>
        <v>0</v>
      </c>
      <c r="F542" s="1409"/>
      <c r="G542" s="1375" t="s">
        <v>959</v>
      </c>
      <c r="H542" s="1630" t="s">
        <v>1084</v>
      </c>
      <c r="I542" s="1433">
        <f>VLOOKUP(H536,'CNKT '!$C$16:$Z$96,15,0)</f>
        <v>0</v>
      </c>
      <c r="J542" s="1380">
        <f>92.2*$B$2</f>
        <v>60483.200000000004</v>
      </c>
      <c r="K542" s="1377">
        <f t="shared" si="63"/>
        <v>0</v>
      </c>
      <c r="L542" s="1410"/>
      <c r="M542" s="1328"/>
      <c r="N542" s="1411"/>
    </row>
    <row r="543" spans="1:14" s="31" customFormat="1" ht="17.25" customHeight="1">
      <c r="A543" s="1375" t="s">
        <v>960</v>
      </c>
      <c r="B543" s="1630" t="s">
        <v>964</v>
      </c>
      <c r="C543" s="1433">
        <f>VLOOKUP(B536,'CNKT '!$C$16:$Z$96,16,0)</f>
        <v>0</v>
      </c>
      <c r="D543" s="1379">
        <f>153.8*$B$2</f>
        <v>100892.8</v>
      </c>
      <c r="E543" s="1377">
        <f t="shared" si="62"/>
        <v>0</v>
      </c>
      <c r="F543" s="1409"/>
      <c r="G543" s="1375" t="s">
        <v>960</v>
      </c>
      <c r="H543" s="1630" t="s">
        <v>964</v>
      </c>
      <c r="I543" s="1433">
        <f>VLOOKUP(H536,'CNKT '!$C$16:$Z$96,16,0)</f>
        <v>0</v>
      </c>
      <c r="J543" s="1379">
        <f>153.8*$B$2</f>
        <v>100892.8</v>
      </c>
      <c r="K543" s="1377">
        <f t="shared" si="63"/>
        <v>0</v>
      </c>
      <c r="L543" s="1410"/>
      <c r="M543" s="1328"/>
      <c r="N543" s="1411"/>
    </row>
    <row r="544" spans="1:14" s="31" customFormat="1" ht="17.25" customHeight="1">
      <c r="A544" s="1375" t="s">
        <v>899</v>
      </c>
      <c r="B544" s="1630" t="s">
        <v>965</v>
      </c>
      <c r="C544" s="1433">
        <f>VLOOKUP(B536,'CNKT '!$C$16:$Z$96,18,0)</f>
        <v>0</v>
      </c>
      <c r="D544" s="1379">
        <v>10000</v>
      </c>
      <c r="E544" s="1377">
        <f>C544*D544</f>
        <v>0</v>
      </c>
      <c r="F544" s="1409"/>
      <c r="G544" s="1375" t="s">
        <v>899</v>
      </c>
      <c r="H544" s="1630" t="s">
        <v>965</v>
      </c>
      <c r="I544" s="1433">
        <f>VLOOKUP(H536,'CNKT '!$C$16:$Z$96,18,0)</f>
        <v>0</v>
      </c>
      <c r="J544" s="1379">
        <v>10000</v>
      </c>
      <c r="K544" s="1377">
        <f>I544*J544</f>
        <v>0</v>
      </c>
      <c r="L544" s="1410"/>
      <c r="M544" s="1328"/>
      <c r="N544" s="1411"/>
    </row>
    <row r="545" spans="1:14" s="31" customFormat="1" ht="17.25" customHeight="1">
      <c r="A545" s="1375" t="s">
        <v>899</v>
      </c>
      <c r="B545" s="1630" t="s">
        <v>965</v>
      </c>
      <c r="C545" s="1433">
        <f>VLOOKUP(B536,'CNKT '!$C$16:$Z$96,19,0)</f>
        <v>0</v>
      </c>
      <c r="D545" s="1379">
        <v>20000</v>
      </c>
      <c r="E545" s="1377">
        <f>C545*D545</f>
        <v>0</v>
      </c>
      <c r="F545" s="1409"/>
      <c r="G545" s="1375" t="s">
        <v>899</v>
      </c>
      <c r="H545" s="1630" t="s">
        <v>965</v>
      </c>
      <c r="I545" s="1433">
        <f>VLOOKUP(H536,'CNKT '!$C$16:$Z$96,19,0)</f>
        <v>0</v>
      </c>
      <c r="J545" s="1379">
        <v>20000</v>
      </c>
      <c r="K545" s="1377">
        <f>I545*J545</f>
        <v>0</v>
      </c>
      <c r="L545" s="1410"/>
      <c r="M545" s="1328"/>
      <c r="N545" s="1411"/>
    </row>
    <row r="546" spans="1:14" s="31" customFormat="1" ht="17.25" customHeight="1">
      <c r="A546" s="1375" t="s">
        <v>995</v>
      </c>
      <c r="B546" s="1630" t="s">
        <v>997</v>
      </c>
      <c r="C546" s="1433"/>
      <c r="D546" s="1379"/>
      <c r="E546" s="1377"/>
      <c r="F546" s="1409"/>
      <c r="G546" s="1375" t="s">
        <v>995</v>
      </c>
      <c r="H546" s="1630" t="s">
        <v>997</v>
      </c>
      <c r="I546" s="1433"/>
      <c r="J546" s="1379"/>
      <c r="K546" s="1377"/>
      <c r="L546" s="1410"/>
      <c r="M546" s="1328"/>
      <c r="N546" s="1411"/>
    </row>
    <row r="547" spans="1:14" s="31" customFormat="1" ht="17.25" customHeight="1">
      <c r="A547" s="1381" t="s">
        <v>123</v>
      </c>
      <c r="B547" s="1631" t="s">
        <v>1085</v>
      </c>
      <c r="C547" s="1382"/>
      <c r="D547" s="1383"/>
      <c r="E547" s="1382"/>
      <c r="F547" s="1409"/>
      <c r="G547" s="1381" t="s">
        <v>123</v>
      </c>
      <c r="H547" s="1631" t="s">
        <v>1085</v>
      </c>
      <c r="I547" s="1382"/>
      <c r="J547" s="1383"/>
      <c r="K547" s="1382"/>
      <c r="L547" s="1410"/>
      <c r="M547" s="1328"/>
      <c r="N547" s="1411"/>
    </row>
    <row r="548" spans="1:14" s="31" customFormat="1" ht="17.25" customHeight="1">
      <c r="A548" s="1384" t="s">
        <v>124</v>
      </c>
      <c r="B548" s="1632" t="s">
        <v>1086</v>
      </c>
      <c r="C548" s="1382"/>
      <c r="D548" s="1382"/>
      <c r="E548" s="1382"/>
      <c r="F548" s="1409"/>
      <c r="G548" s="1384" t="s">
        <v>124</v>
      </c>
      <c r="H548" s="1632" t="s">
        <v>1086</v>
      </c>
      <c r="I548" s="1382"/>
      <c r="J548" s="1382"/>
      <c r="K548" s="1382"/>
      <c r="L548" s="1410"/>
      <c r="M548" s="1328"/>
      <c r="N548" s="1411"/>
    </row>
    <row r="549" spans="1:14" s="31" customFormat="1" ht="17.25" customHeight="1">
      <c r="A549" s="1384" t="s">
        <v>125</v>
      </c>
      <c r="B549" s="1633" t="s">
        <v>1087</v>
      </c>
      <c r="C549" s="1382"/>
      <c r="D549" s="1382"/>
      <c r="E549" s="1377">
        <f>SUM(E548)</f>
        <v>0</v>
      </c>
      <c r="F549" s="1409"/>
      <c r="G549" s="1384" t="s">
        <v>125</v>
      </c>
      <c r="H549" s="1633" t="s">
        <v>1087</v>
      </c>
      <c r="I549" s="1382"/>
      <c r="J549" s="1382"/>
      <c r="K549" s="1377">
        <f>SUM(K548)</f>
        <v>0</v>
      </c>
      <c r="L549" s="1410"/>
      <c r="M549" s="1385">
        <f>E549+K549</f>
        <v>0</v>
      </c>
      <c r="N549" s="1411"/>
    </row>
    <row r="550" spans="1:14" s="31" customFormat="1" ht="17.25" customHeight="1">
      <c r="A550" s="1386" t="s">
        <v>126</v>
      </c>
      <c r="B550" s="1634" t="s">
        <v>871</v>
      </c>
      <c r="C550" s="1387"/>
      <c r="D550" s="1387"/>
      <c r="E550" s="1387">
        <f>(E538+E539+E540+E541+E542+E543+E544+E545+E546)-E549</f>
        <v>0</v>
      </c>
      <c r="F550" s="1409"/>
      <c r="G550" s="1386" t="s">
        <v>126</v>
      </c>
      <c r="H550" s="1634" t="s">
        <v>871</v>
      </c>
      <c r="I550" s="1387"/>
      <c r="J550" s="1387"/>
      <c r="K550" s="1387">
        <f>(K538+K539+K540+K541+K542+K543+K544+K545+K546)-K549</f>
        <v>0</v>
      </c>
      <c r="L550" s="1389">
        <f>E550+K550</f>
        <v>0</v>
      </c>
      <c r="M550" s="1328"/>
      <c r="N550" s="1411"/>
    </row>
    <row r="551" spans="1:14" s="31" customFormat="1" ht="9.75" customHeight="1">
      <c r="A551" s="1392"/>
      <c r="B551" s="1398"/>
      <c r="C551" s="1399"/>
      <c r="D551" s="1399"/>
      <c r="E551" s="1397"/>
      <c r="F551" s="1409"/>
      <c r="G551" s="1392"/>
      <c r="H551" s="1398"/>
      <c r="I551" s="1399"/>
      <c r="J551" s="1397"/>
      <c r="K551" s="1624"/>
      <c r="L551" s="1410"/>
      <c r="M551" s="1328"/>
      <c r="N551" s="1411"/>
    </row>
    <row r="552" spans="1:14" s="31" customFormat="1" ht="17.25" customHeight="1">
      <c r="A552" s="2182" t="str">
        <f>G535</f>
        <v>LƯƠNG THÁNG 01/2025</v>
      </c>
      <c r="B552" s="2183"/>
      <c r="C552" s="2183"/>
      <c r="D552" s="2183"/>
      <c r="E552" s="1452">
        <v>65</v>
      </c>
      <c r="F552" s="1409"/>
      <c r="G552" s="2182" t="str">
        <f>A552</f>
        <v>LƯƠNG THÁNG 01/2025</v>
      </c>
      <c r="H552" s="2183"/>
      <c r="I552" s="2183"/>
      <c r="J552" s="2184"/>
      <c r="K552" s="1452">
        <v>66</v>
      </c>
      <c r="L552" s="1410"/>
      <c r="M552" s="1328"/>
      <c r="N552" s="1411"/>
    </row>
    <row r="553" spans="1:14" s="31" customFormat="1" ht="17.25" customHeight="1">
      <c r="A553" s="1391" t="s">
        <v>29</v>
      </c>
      <c r="B553" s="1626" t="str">
        <f>'CNKT '!C80</f>
        <v xml:space="preserve">T. La </v>
      </c>
      <c r="C553" s="1373"/>
      <c r="D553" s="1623" t="s">
        <v>806</v>
      </c>
      <c r="E553" s="1623" t="s">
        <v>32</v>
      </c>
      <c r="F553" s="1409"/>
      <c r="G553" s="1391" t="s">
        <v>29</v>
      </c>
      <c r="H553" s="1626" t="str">
        <f>'CNKT '!C81</f>
        <v>T. Bờm</v>
      </c>
      <c r="I553" s="1373"/>
      <c r="J553" s="1623" t="s">
        <v>806</v>
      </c>
      <c r="K553" s="1623" t="s">
        <v>32</v>
      </c>
      <c r="L553" s="1410"/>
      <c r="M553" s="1328"/>
      <c r="N553" s="1411"/>
    </row>
    <row r="554" spans="1:14" s="31" customFormat="1" ht="17.25" customHeight="1">
      <c r="A554" s="1375" t="s">
        <v>807</v>
      </c>
      <c r="B554" s="1628" t="s">
        <v>1080</v>
      </c>
      <c r="C554" s="1376" t="str">
        <f>VLOOKUP(B553,'BTH mủ tạp'!$C$15:$AL$92,36,0)</f>
        <v>A</v>
      </c>
      <c r="D554" s="1377"/>
      <c r="E554" s="1377"/>
      <c r="F554" s="1409"/>
      <c r="G554" s="1375" t="s">
        <v>807</v>
      </c>
      <c r="H554" s="1628" t="s">
        <v>1080</v>
      </c>
      <c r="I554" s="1376" t="str">
        <f>VLOOKUP(H553,'BTH mủ tạp'!$C$15:$AL$92,36,0)</f>
        <v>A</v>
      </c>
      <c r="J554" s="1377"/>
      <c r="K554" s="1377"/>
      <c r="L554" s="1410"/>
      <c r="M554" s="1328"/>
      <c r="N554" s="1411"/>
    </row>
    <row r="555" spans="1:14" s="31" customFormat="1" ht="17.25" customHeight="1">
      <c r="A555" s="1375" t="s">
        <v>121</v>
      </c>
      <c r="B555" s="1629" t="s">
        <v>865</v>
      </c>
      <c r="C555" s="1378">
        <f>VLOOKUP(B553,'CNKT '!$C$16:$Z$96,3,0)</f>
        <v>0</v>
      </c>
      <c r="D555" s="1379">
        <v>25000</v>
      </c>
      <c r="E555" s="1377">
        <f>C555*D555</f>
        <v>0</v>
      </c>
      <c r="F555" s="1409"/>
      <c r="G555" s="1375" t="s">
        <v>121</v>
      </c>
      <c r="H555" s="1629" t="s">
        <v>865</v>
      </c>
      <c r="I555" s="1378">
        <f>VLOOKUP(H553,'CNKT '!$C$16:$Z$96,3,0)</f>
        <v>0</v>
      </c>
      <c r="J555" s="1379">
        <v>25000</v>
      </c>
      <c r="K555" s="1377">
        <f>I555*J555</f>
        <v>0</v>
      </c>
      <c r="L555" s="1410"/>
      <c r="M555" s="1328"/>
      <c r="N555" s="1411"/>
    </row>
    <row r="556" spans="1:14" s="31" customFormat="1" ht="17.25" customHeight="1">
      <c r="A556" s="1375" t="s">
        <v>628</v>
      </c>
      <c r="B556" s="1630" t="s">
        <v>1081</v>
      </c>
      <c r="C556" s="1433">
        <f>VLOOKUP(B553,'CNKT '!$C$16:$Z$96,11,0)</f>
        <v>0</v>
      </c>
      <c r="D556" s="1380">
        <f>46.1*$B$2</f>
        <v>30241.600000000002</v>
      </c>
      <c r="E556" s="1377">
        <f t="shared" ref="E556:E560" si="64">C556*D556</f>
        <v>0</v>
      </c>
      <c r="F556" s="1409"/>
      <c r="G556" s="1375" t="s">
        <v>628</v>
      </c>
      <c r="H556" s="1630" t="s">
        <v>1081</v>
      </c>
      <c r="I556" s="1433">
        <f>VLOOKUP(H553,'CNKT '!$C$16:$Z$96,11,0)</f>
        <v>0</v>
      </c>
      <c r="J556" s="1380">
        <f>46.1*$B$2</f>
        <v>30241.600000000002</v>
      </c>
      <c r="K556" s="1377">
        <f t="shared" ref="K556:K560" si="65">I556*J556</f>
        <v>0</v>
      </c>
      <c r="L556" s="1410"/>
      <c r="M556" s="1328"/>
      <c r="N556" s="1411"/>
    </row>
    <row r="557" spans="1:14" s="31" customFormat="1" ht="17.25" customHeight="1">
      <c r="A557" s="1375" t="s">
        <v>809</v>
      </c>
      <c r="B557" s="1630" t="s">
        <v>1082</v>
      </c>
      <c r="C557" s="1433">
        <f>VLOOKUP(B553,'CNKT '!$C$16:$Z$96,12,0)</f>
        <v>0</v>
      </c>
      <c r="D557" s="1379">
        <f>76.9*$B$2</f>
        <v>50446.400000000001</v>
      </c>
      <c r="E557" s="1377">
        <f t="shared" si="64"/>
        <v>0</v>
      </c>
      <c r="F557" s="1409"/>
      <c r="G557" s="1375" t="s">
        <v>809</v>
      </c>
      <c r="H557" s="1630" t="s">
        <v>1082</v>
      </c>
      <c r="I557" s="1433">
        <f>VLOOKUP(H553,'CNKT '!$C$16:$Z$96,12,0)</f>
        <v>0</v>
      </c>
      <c r="J557" s="1379">
        <f>76.9*$B$2</f>
        <v>50446.400000000001</v>
      </c>
      <c r="K557" s="1377">
        <f t="shared" si="65"/>
        <v>0</v>
      </c>
      <c r="L557" s="1410"/>
      <c r="M557" s="1328"/>
      <c r="N557" s="1411"/>
    </row>
    <row r="558" spans="1:14" s="31" customFormat="1" ht="17.25" customHeight="1">
      <c r="A558" s="1375" t="s">
        <v>122</v>
      </c>
      <c r="B558" s="1630" t="s">
        <v>1083</v>
      </c>
      <c r="C558" s="1433">
        <f>VLOOKUP(B553,'CNKT '!$C$16:$Z$96,8,0)</f>
        <v>0</v>
      </c>
      <c r="D558" s="1379">
        <f>IF(C554="A",6.1,IF(C554="B",5.8,IF(C554="C",5.5,IF(C554="C.",5.5,IF(C554="D",5.2)))))*$B$2</f>
        <v>4001.6</v>
      </c>
      <c r="E558" s="1377">
        <f t="shared" si="64"/>
        <v>0</v>
      </c>
      <c r="F558" s="1409"/>
      <c r="G558" s="1375" t="s">
        <v>122</v>
      </c>
      <c r="H558" s="1630" t="s">
        <v>1083</v>
      </c>
      <c r="I558" s="1433">
        <f>VLOOKUP(H553,'CNKT '!$C$16:$Z$96,8,0)</f>
        <v>0</v>
      </c>
      <c r="J558" s="1379">
        <f>IF(I554="A",6.1,IF(I554="B",5.8,IF(I554="C",5.5,IF(I554="C.",5.5,IF(I554="D",5.2)))))*$B$2</f>
        <v>4001.6</v>
      </c>
      <c r="K558" s="1377">
        <f t="shared" si="65"/>
        <v>0</v>
      </c>
      <c r="L558" s="1410"/>
      <c r="M558" s="1328"/>
      <c r="N558" s="1411"/>
    </row>
    <row r="559" spans="1:14" s="31" customFormat="1" ht="17.25" customHeight="1">
      <c r="A559" s="1375" t="s">
        <v>959</v>
      </c>
      <c r="B559" s="1630" t="s">
        <v>1084</v>
      </c>
      <c r="C559" s="1433">
        <f>VLOOKUP(B553,'CNKT '!$C$16:$Z$96,15,0)</f>
        <v>0</v>
      </c>
      <c r="D559" s="1380">
        <f>92.2*$B$2</f>
        <v>60483.200000000004</v>
      </c>
      <c r="E559" s="1377">
        <f t="shared" si="64"/>
        <v>0</v>
      </c>
      <c r="F559" s="1409"/>
      <c r="G559" s="1375" t="s">
        <v>959</v>
      </c>
      <c r="H559" s="1630" t="s">
        <v>1084</v>
      </c>
      <c r="I559" s="1433">
        <f>VLOOKUP(H553,'CNKT '!$C$16:$Z$96,15,0)</f>
        <v>0</v>
      </c>
      <c r="J559" s="1380">
        <f>92.2*$B$2</f>
        <v>60483.200000000004</v>
      </c>
      <c r="K559" s="1377">
        <f t="shared" si="65"/>
        <v>0</v>
      </c>
      <c r="L559" s="1410"/>
      <c r="M559" s="1328"/>
      <c r="N559" s="1411"/>
    </row>
    <row r="560" spans="1:14" s="31" customFormat="1" ht="17.25" customHeight="1">
      <c r="A560" s="1375" t="s">
        <v>960</v>
      </c>
      <c r="B560" s="1630" t="s">
        <v>964</v>
      </c>
      <c r="C560" s="1433">
        <f>VLOOKUP(B553,'CNKT '!$C$16:$Z$96,16,0)</f>
        <v>0</v>
      </c>
      <c r="D560" s="1379">
        <f>153.8*$B$2</f>
        <v>100892.8</v>
      </c>
      <c r="E560" s="1377">
        <f t="shared" si="64"/>
        <v>0</v>
      </c>
      <c r="F560" s="1409"/>
      <c r="G560" s="1375" t="s">
        <v>960</v>
      </c>
      <c r="H560" s="1630" t="s">
        <v>964</v>
      </c>
      <c r="I560" s="1433">
        <f>VLOOKUP(H553,'CNKT '!$C$16:$Z$96,16,0)</f>
        <v>0</v>
      </c>
      <c r="J560" s="1379">
        <f>153.8*$B$2</f>
        <v>100892.8</v>
      </c>
      <c r="K560" s="1377">
        <f t="shared" si="65"/>
        <v>0</v>
      </c>
      <c r="L560" s="1410"/>
      <c r="M560" s="1328"/>
      <c r="N560" s="1411"/>
    </row>
    <row r="561" spans="1:14" s="31" customFormat="1" ht="17.25" customHeight="1">
      <c r="A561" s="1375" t="s">
        <v>899</v>
      </c>
      <c r="B561" s="1630" t="s">
        <v>965</v>
      </c>
      <c r="C561" s="1433">
        <f>VLOOKUP(B553,'CNKT '!$C$16:$Z$96,18,0)</f>
        <v>0</v>
      </c>
      <c r="D561" s="1379">
        <v>10000</v>
      </c>
      <c r="E561" s="1377">
        <f>C561*D561</f>
        <v>0</v>
      </c>
      <c r="F561" s="1409"/>
      <c r="G561" s="1375" t="s">
        <v>899</v>
      </c>
      <c r="H561" s="1630" t="s">
        <v>965</v>
      </c>
      <c r="I561" s="1433">
        <f>VLOOKUP(H553,'CNKT '!$C$16:$Z$96,18,0)</f>
        <v>0</v>
      </c>
      <c r="J561" s="1379">
        <v>10000</v>
      </c>
      <c r="K561" s="1377">
        <f>I561*J561</f>
        <v>0</v>
      </c>
      <c r="L561" s="1410"/>
      <c r="M561" s="1328"/>
      <c r="N561" s="1411"/>
    </row>
    <row r="562" spans="1:14" s="31" customFormat="1" ht="17.25" customHeight="1">
      <c r="A562" s="1375" t="s">
        <v>899</v>
      </c>
      <c r="B562" s="1630" t="s">
        <v>965</v>
      </c>
      <c r="C562" s="1433">
        <f>VLOOKUP(B553,'CNKT '!$C$16:$Z$96,19,0)</f>
        <v>0</v>
      </c>
      <c r="D562" s="1379">
        <v>20000</v>
      </c>
      <c r="E562" s="1377">
        <f>C562*D562</f>
        <v>0</v>
      </c>
      <c r="F562" s="1409"/>
      <c r="G562" s="1375" t="s">
        <v>899</v>
      </c>
      <c r="H562" s="1630" t="s">
        <v>965</v>
      </c>
      <c r="I562" s="1433">
        <f>VLOOKUP(H553,'CNKT '!$C$16:$Z$96,19,0)</f>
        <v>0</v>
      </c>
      <c r="J562" s="1379">
        <v>20000</v>
      </c>
      <c r="K562" s="1377">
        <f>I562*J562</f>
        <v>0</v>
      </c>
      <c r="L562" s="1410"/>
      <c r="M562" s="1328"/>
      <c r="N562" s="1411"/>
    </row>
    <row r="563" spans="1:14" s="31" customFormat="1" ht="17.25" customHeight="1">
      <c r="A563" s="1375" t="s">
        <v>995</v>
      </c>
      <c r="B563" s="1630" t="s">
        <v>997</v>
      </c>
      <c r="C563" s="1433"/>
      <c r="D563" s="1379"/>
      <c r="E563" s="1377"/>
      <c r="F563" s="1409"/>
      <c r="G563" s="1375" t="s">
        <v>995</v>
      </c>
      <c r="H563" s="1630" t="s">
        <v>997</v>
      </c>
      <c r="I563" s="1433"/>
      <c r="J563" s="1379"/>
      <c r="K563" s="1377"/>
      <c r="L563" s="1410"/>
      <c r="M563" s="1328"/>
      <c r="N563" s="1411"/>
    </row>
    <row r="564" spans="1:14" s="31" customFormat="1" ht="17.25" customHeight="1">
      <c r="A564" s="1381" t="s">
        <v>123</v>
      </c>
      <c r="B564" s="1631" t="s">
        <v>1085</v>
      </c>
      <c r="C564" s="1382"/>
      <c r="D564" s="1383"/>
      <c r="E564" s="1382"/>
      <c r="F564" s="1409"/>
      <c r="G564" s="1381" t="s">
        <v>123</v>
      </c>
      <c r="H564" s="1631" t="s">
        <v>1085</v>
      </c>
      <c r="I564" s="1382"/>
      <c r="J564" s="1383"/>
      <c r="K564" s="1382"/>
      <c r="L564" s="1410"/>
      <c r="M564" s="1328"/>
      <c r="N564" s="1411"/>
    </row>
    <row r="565" spans="1:14" s="31" customFormat="1" ht="17.25" customHeight="1">
      <c r="A565" s="1384" t="s">
        <v>124</v>
      </c>
      <c r="B565" s="1632" t="s">
        <v>1086</v>
      </c>
      <c r="C565" s="1382"/>
      <c r="D565" s="1382"/>
      <c r="E565" s="1382"/>
      <c r="F565" s="1409"/>
      <c r="G565" s="1384" t="s">
        <v>124</v>
      </c>
      <c r="H565" s="1632" t="s">
        <v>1086</v>
      </c>
      <c r="I565" s="1382"/>
      <c r="J565" s="1382"/>
      <c r="K565" s="1382"/>
      <c r="L565" s="1410"/>
      <c r="M565" s="1328"/>
      <c r="N565" s="1411"/>
    </row>
    <row r="566" spans="1:14" s="31" customFormat="1" ht="17.25" customHeight="1">
      <c r="A566" s="1384" t="s">
        <v>125</v>
      </c>
      <c r="B566" s="1633" t="s">
        <v>1087</v>
      </c>
      <c r="C566" s="1382"/>
      <c r="D566" s="1382"/>
      <c r="E566" s="1377">
        <f>SUM(E565)</f>
        <v>0</v>
      </c>
      <c r="F566" s="1409"/>
      <c r="G566" s="1384" t="s">
        <v>125</v>
      </c>
      <c r="H566" s="1633" t="s">
        <v>1087</v>
      </c>
      <c r="I566" s="1382"/>
      <c r="J566" s="1382"/>
      <c r="K566" s="1377">
        <f>SUM(K565)</f>
        <v>0</v>
      </c>
      <c r="L566" s="1410"/>
      <c r="M566" s="1385">
        <f>E566+K566</f>
        <v>0</v>
      </c>
      <c r="N566" s="1411"/>
    </row>
    <row r="567" spans="1:14" s="31" customFormat="1" ht="17.25" customHeight="1">
      <c r="A567" s="1386" t="s">
        <v>126</v>
      </c>
      <c r="B567" s="1634" t="s">
        <v>871</v>
      </c>
      <c r="C567" s="1387"/>
      <c r="D567" s="1387"/>
      <c r="E567" s="1387">
        <f>(E555+E556+E557+E558+E559+E560+E561+E562+E563)-E566</f>
        <v>0</v>
      </c>
      <c r="F567" s="1409"/>
      <c r="G567" s="1386" t="s">
        <v>126</v>
      </c>
      <c r="H567" s="1634" t="s">
        <v>871</v>
      </c>
      <c r="I567" s="1387"/>
      <c r="J567" s="1387"/>
      <c r="K567" s="1387">
        <f>(K555+K556+K557+K558+K559+K560+K561+K562+K563)-K566</f>
        <v>0</v>
      </c>
      <c r="L567" s="1389">
        <f>E567+K567</f>
        <v>0</v>
      </c>
      <c r="M567" s="1328"/>
      <c r="N567" s="1411"/>
    </row>
    <row r="568" spans="1:14" s="31" customFormat="1" ht="17.25" customHeight="1">
      <c r="A568" s="1392"/>
      <c r="B568" s="1398"/>
      <c r="C568" s="1399"/>
      <c r="D568" s="1399"/>
      <c r="E568" s="1397"/>
      <c r="F568" s="1409"/>
      <c r="G568" s="1392"/>
      <c r="H568" s="1398"/>
      <c r="I568" s="1399"/>
      <c r="J568" s="1397"/>
      <c r="K568" s="1624"/>
      <c r="L568" s="1410"/>
      <c r="M568" s="1328"/>
      <c r="N568" s="1411"/>
    </row>
    <row r="569" spans="1:14" s="31" customFormat="1" ht="17.25" customHeight="1">
      <c r="A569" s="2182" t="str">
        <f>A552</f>
        <v>LƯƠNG THÁNG 01/2025</v>
      </c>
      <c r="B569" s="2183"/>
      <c r="C569" s="2183"/>
      <c r="D569" s="2183"/>
      <c r="E569" s="1452">
        <v>67</v>
      </c>
      <c r="F569" s="1409"/>
      <c r="G569" s="2182" t="str">
        <f>A569</f>
        <v>LƯƠNG THÁNG 01/2025</v>
      </c>
      <c r="H569" s="2183"/>
      <c r="I569" s="2183"/>
      <c r="J569" s="2184"/>
      <c r="K569" s="1452">
        <v>68</v>
      </c>
      <c r="L569" s="1410"/>
      <c r="M569" s="1328"/>
      <c r="N569" s="1411"/>
    </row>
    <row r="570" spans="1:14" s="31" customFormat="1" ht="17.25" customHeight="1">
      <c r="A570" s="1391" t="s">
        <v>29</v>
      </c>
      <c r="B570" s="1626" t="str">
        <f>'CNKT '!C82</f>
        <v>N. Đon</v>
      </c>
      <c r="C570" s="1373"/>
      <c r="D570" s="1623" t="s">
        <v>806</v>
      </c>
      <c r="E570" s="1623" t="s">
        <v>32</v>
      </c>
      <c r="F570" s="1409"/>
      <c r="G570" s="1391" t="s">
        <v>29</v>
      </c>
      <c r="H570" s="1626" t="str">
        <f>'CNKT '!C83</f>
        <v>T. Keo Ma Ni Son</v>
      </c>
      <c r="I570" s="1373"/>
      <c r="J570" s="1623" t="s">
        <v>806</v>
      </c>
      <c r="K570" s="1623" t="s">
        <v>32</v>
      </c>
      <c r="L570" s="1410"/>
      <c r="M570" s="1328"/>
      <c r="N570" s="1411"/>
    </row>
    <row r="571" spans="1:14" s="31" customFormat="1" ht="17.25" customHeight="1">
      <c r="A571" s="1375" t="s">
        <v>807</v>
      </c>
      <c r="B571" s="1628" t="s">
        <v>1080</v>
      </c>
      <c r="C571" s="1376" t="str">
        <f>VLOOKUP(B570,'BTH mủ tạp'!$C$15:$AL$92,36,0)</f>
        <v>B</v>
      </c>
      <c r="D571" s="1377"/>
      <c r="E571" s="1377"/>
      <c r="F571" s="1409"/>
      <c r="G571" s="1375" t="s">
        <v>807</v>
      </c>
      <c r="H571" s="1628" t="s">
        <v>1080</v>
      </c>
      <c r="I571" s="1376" t="str">
        <f>VLOOKUP(H570,'BTH mủ tạp'!$C$15:$AL$92,36,0)</f>
        <v>B</v>
      </c>
      <c r="J571" s="1377"/>
      <c r="K571" s="1377"/>
      <c r="L571" s="1410"/>
      <c r="M571" s="1328"/>
      <c r="N571" s="1411"/>
    </row>
    <row r="572" spans="1:14" s="31" customFormat="1" ht="17.25" customHeight="1">
      <c r="A572" s="1375" t="s">
        <v>121</v>
      </c>
      <c r="B572" s="1629" t="s">
        <v>865</v>
      </c>
      <c r="C572" s="1378">
        <f>VLOOKUP(B570,'CNKT '!$C$16:$Z$96,3,0)</f>
        <v>0</v>
      </c>
      <c r="D572" s="1379">
        <v>25000</v>
      </c>
      <c r="E572" s="1377">
        <f>C572*D572</f>
        <v>0</v>
      </c>
      <c r="F572" s="1409"/>
      <c r="G572" s="1375" t="s">
        <v>121</v>
      </c>
      <c r="H572" s="1629" t="s">
        <v>865</v>
      </c>
      <c r="I572" s="1378">
        <f>VLOOKUP(H570,'CNKT '!$C$16:$Z$96,3,0)</f>
        <v>0</v>
      </c>
      <c r="J572" s="1379">
        <v>25000</v>
      </c>
      <c r="K572" s="1377">
        <f>I572*J572</f>
        <v>0</v>
      </c>
      <c r="L572" s="1410"/>
      <c r="M572" s="1328"/>
      <c r="N572" s="1411"/>
    </row>
    <row r="573" spans="1:14" s="31" customFormat="1" ht="17.25" customHeight="1">
      <c r="A573" s="1375" t="s">
        <v>628</v>
      </c>
      <c r="B573" s="1630" t="s">
        <v>1081</v>
      </c>
      <c r="C573" s="1433">
        <f>VLOOKUP(B570,'CNKT '!$C$16:$Z$96,11,0)</f>
        <v>0</v>
      </c>
      <c r="D573" s="1380">
        <f>46.1*$B$2</f>
        <v>30241.600000000002</v>
      </c>
      <c r="E573" s="1377">
        <f t="shared" ref="E573:E577" si="66">C573*D573</f>
        <v>0</v>
      </c>
      <c r="F573" s="1409"/>
      <c r="G573" s="1375" t="s">
        <v>628</v>
      </c>
      <c r="H573" s="1630" t="s">
        <v>1081</v>
      </c>
      <c r="I573" s="1433">
        <f>VLOOKUP(H570,'CNKT '!$C$16:$Z$96,11,0)</f>
        <v>0</v>
      </c>
      <c r="J573" s="1380">
        <f>46.1*$B$2</f>
        <v>30241.600000000002</v>
      </c>
      <c r="K573" s="1377">
        <f t="shared" ref="K573:K577" si="67">I573*J573</f>
        <v>0</v>
      </c>
      <c r="L573" s="1410"/>
      <c r="M573" s="1328"/>
      <c r="N573" s="1411"/>
    </row>
    <row r="574" spans="1:14" s="31" customFormat="1" ht="17.25" customHeight="1">
      <c r="A574" s="1375" t="s">
        <v>809</v>
      </c>
      <c r="B574" s="1630" t="s">
        <v>1082</v>
      </c>
      <c r="C574" s="1433">
        <f>VLOOKUP(B570,'CNKT '!$C$16:$Z$96,12,0)</f>
        <v>0</v>
      </c>
      <c r="D574" s="1379">
        <f>76.9*$B$2</f>
        <v>50446.400000000001</v>
      </c>
      <c r="E574" s="1377">
        <f t="shared" si="66"/>
        <v>0</v>
      </c>
      <c r="F574" s="1409"/>
      <c r="G574" s="1375" t="s">
        <v>809</v>
      </c>
      <c r="H574" s="1630" t="s">
        <v>1082</v>
      </c>
      <c r="I574" s="1433">
        <f>VLOOKUP(H570,'CNKT '!$C$16:$Z$96,12,0)</f>
        <v>0</v>
      </c>
      <c r="J574" s="1379">
        <f>76.9*$B$2</f>
        <v>50446.400000000001</v>
      </c>
      <c r="K574" s="1377">
        <f t="shared" si="67"/>
        <v>0</v>
      </c>
      <c r="L574" s="1410"/>
      <c r="M574" s="1328"/>
      <c r="N574" s="1411"/>
    </row>
    <row r="575" spans="1:14" s="31" customFormat="1" ht="17.25" customHeight="1">
      <c r="A575" s="1375" t="s">
        <v>122</v>
      </c>
      <c r="B575" s="1630" t="s">
        <v>1083</v>
      </c>
      <c r="C575" s="1433">
        <f>VLOOKUP(B570,'CNKT '!$C$16:$Z$96,8,0)</f>
        <v>0</v>
      </c>
      <c r="D575" s="1379">
        <f>IF(C571="A",6.1,IF(C571="B",5.8,IF(C571="C",5.5,IF(C571="C.",5.5,IF(C571="D",5.2)))))*$B$2</f>
        <v>3804.7999999999997</v>
      </c>
      <c r="E575" s="1377">
        <f t="shared" si="66"/>
        <v>0</v>
      </c>
      <c r="F575" s="1409"/>
      <c r="G575" s="1375" t="s">
        <v>122</v>
      </c>
      <c r="H575" s="1630" t="s">
        <v>1083</v>
      </c>
      <c r="I575" s="1433">
        <f>VLOOKUP(H570,'CNKT '!$C$16:$Z$96,8,0)</f>
        <v>0</v>
      </c>
      <c r="J575" s="1379">
        <f>IF(I571="A",6.1,IF(I571="B",5.8,IF(I571="C",5.5,IF(I571="C.",5.5,IF(I571="D",5.2)))))*$B$2</f>
        <v>3804.7999999999997</v>
      </c>
      <c r="K575" s="1377">
        <f t="shared" si="67"/>
        <v>0</v>
      </c>
      <c r="L575" s="1410"/>
      <c r="M575" s="1328"/>
      <c r="N575" s="1411"/>
    </row>
    <row r="576" spans="1:14" s="31" customFormat="1" ht="17.25" customHeight="1">
      <c r="A576" s="1375" t="s">
        <v>959</v>
      </c>
      <c r="B576" s="1630" t="s">
        <v>1084</v>
      </c>
      <c r="C576" s="1433">
        <f>VLOOKUP(B570,'CNKT '!$C$16:$Z$96,15,0)</f>
        <v>0</v>
      </c>
      <c r="D576" s="1380">
        <f>92.2*$B$2</f>
        <v>60483.200000000004</v>
      </c>
      <c r="E576" s="1377">
        <f t="shared" si="66"/>
        <v>0</v>
      </c>
      <c r="F576" s="1409"/>
      <c r="G576" s="1375" t="s">
        <v>959</v>
      </c>
      <c r="H576" s="1630" t="s">
        <v>1084</v>
      </c>
      <c r="I576" s="1433">
        <f>VLOOKUP(H570,'CNKT '!$C$16:$Z$96,15,0)</f>
        <v>0</v>
      </c>
      <c r="J576" s="1380">
        <f>92.2*$B$2</f>
        <v>60483.200000000004</v>
      </c>
      <c r="K576" s="1377">
        <f t="shared" si="67"/>
        <v>0</v>
      </c>
      <c r="L576" s="1410"/>
      <c r="M576" s="1328"/>
      <c r="N576" s="1411"/>
    </row>
    <row r="577" spans="1:14" s="31" customFormat="1" ht="17.25" customHeight="1">
      <c r="A577" s="1375" t="s">
        <v>960</v>
      </c>
      <c r="B577" s="1630" t="s">
        <v>964</v>
      </c>
      <c r="C577" s="1433">
        <f>VLOOKUP(B570,'CNKT '!$C$16:$Z$96,16,0)</f>
        <v>0</v>
      </c>
      <c r="D577" s="1379">
        <f>153.8*$B$2</f>
        <v>100892.8</v>
      </c>
      <c r="E577" s="1377">
        <f t="shared" si="66"/>
        <v>0</v>
      </c>
      <c r="F577" s="1409"/>
      <c r="G577" s="1375" t="s">
        <v>960</v>
      </c>
      <c r="H577" s="1630" t="s">
        <v>964</v>
      </c>
      <c r="I577" s="1433">
        <f>VLOOKUP(H570,'CNKT '!$C$16:$Z$96,16,0)</f>
        <v>0</v>
      </c>
      <c r="J577" s="1379">
        <f>153.8*$B$2</f>
        <v>100892.8</v>
      </c>
      <c r="K577" s="1377">
        <f t="shared" si="67"/>
        <v>0</v>
      </c>
      <c r="L577" s="1410"/>
      <c r="M577" s="1328"/>
      <c r="N577" s="1411"/>
    </row>
    <row r="578" spans="1:14" s="31" customFormat="1" ht="17.25" customHeight="1">
      <c r="A578" s="1375" t="s">
        <v>899</v>
      </c>
      <c r="B578" s="1630" t="s">
        <v>965</v>
      </c>
      <c r="C578" s="1433">
        <f>VLOOKUP(B570,'CNKT '!$C$16:$Z$96,18,0)</f>
        <v>0</v>
      </c>
      <c r="D578" s="1379">
        <v>10000</v>
      </c>
      <c r="E578" s="1377">
        <f>C578*D578</f>
        <v>0</v>
      </c>
      <c r="F578" s="1409"/>
      <c r="G578" s="1375" t="s">
        <v>899</v>
      </c>
      <c r="H578" s="1630" t="s">
        <v>965</v>
      </c>
      <c r="I578" s="1433">
        <f>VLOOKUP(H570,'CNKT '!$C$16:$Z$96,18,0)</f>
        <v>0</v>
      </c>
      <c r="J578" s="1379">
        <v>10000</v>
      </c>
      <c r="K578" s="1377">
        <f>I578*J578</f>
        <v>0</v>
      </c>
      <c r="L578" s="1410"/>
      <c r="M578" s="1328"/>
      <c r="N578" s="1411"/>
    </row>
    <row r="579" spans="1:14" s="31" customFormat="1" ht="17.25" customHeight="1">
      <c r="A579" s="1375" t="s">
        <v>899</v>
      </c>
      <c r="B579" s="1630" t="s">
        <v>965</v>
      </c>
      <c r="C579" s="1433">
        <f>VLOOKUP(B570,'CNKT '!$C$16:$Z$96,19,0)</f>
        <v>0</v>
      </c>
      <c r="D579" s="1379">
        <v>20000</v>
      </c>
      <c r="E579" s="1377">
        <f>C579*D579</f>
        <v>0</v>
      </c>
      <c r="F579" s="1409"/>
      <c r="G579" s="1375" t="s">
        <v>899</v>
      </c>
      <c r="H579" s="1630" t="s">
        <v>965</v>
      </c>
      <c r="I579" s="1433">
        <f>VLOOKUP(H570,'CNKT '!$C$16:$Z$96,19,0)</f>
        <v>0</v>
      </c>
      <c r="J579" s="1379">
        <v>20000</v>
      </c>
      <c r="K579" s="1377">
        <f>I579*J579</f>
        <v>0</v>
      </c>
      <c r="L579" s="1410"/>
      <c r="M579" s="1328"/>
      <c r="N579" s="1411"/>
    </row>
    <row r="580" spans="1:14" s="31" customFormat="1" ht="17.25" customHeight="1">
      <c r="A580" s="1375" t="s">
        <v>995</v>
      </c>
      <c r="B580" s="1630" t="s">
        <v>997</v>
      </c>
      <c r="C580" s="1433"/>
      <c r="D580" s="1379"/>
      <c r="E580" s="1377"/>
      <c r="F580" s="1409"/>
      <c r="G580" s="1375" t="s">
        <v>995</v>
      </c>
      <c r="H580" s="1630" t="s">
        <v>997</v>
      </c>
      <c r="I580" s="1433"/>
      <c r="J580" s="1379"/>
      <c r="K580" s="1377"/>
      <c r="L580" s="1410"/>
      <c r="M580" s="1328"/>
      <c r="N580" s="1411"/>
    </row>
    <row r="581" spans="1:14" s="31" customFormat="1" ht="17.25" customHeight="1">
      <c r="A581" s="1381" t="s">
        <v>123</v>
      </c>
      <c r="B581" s="1631" t="s">
        <v>1085</v>
      </c>
      <c r="C581" s="1382"/>
      <c r="D581" s="1383"/>
      <c r="E581" s="1382"/>
      <c r="F581" s="1409"/>
      <c r="G581" s="1381" t="s">
        <v>123</v>
      </c>
      <c r="H581" s="1631" t="s">
        <v>1085</v>
      </c>
      <c r="I581" s="1382"/>
      <c r="J581" s="1383"/>
      <c r="K581" s="1382"/>
      <c r="L581" s="1410"/>
      <c r="M581" s="1328"/>
      <c r="N581" s="1411"/>
    </row>
    <row r="582" spans="1:14" s="31" customFormat="1" ht="17.25" customHeight="1">
      <c r="A582" s="1384" t="s">
        <v>124</v>
      </c>
      <c r="B582" s="1632" t="s">
        <v>1086</v>
      </c>
      <c r="C582" s="1382"/>
      <c r="D582" s="1382"/>
      <c r="E582" s="1382"/>
      <c r="F582" s="1409"/>
      <c r="G582" s="1384" t="s">
        <v>124</v>
      </c>
      <c r="H582" s="1632" t="s">
        <v>1086</v>
      </c>
      <c r="I582" s="1382"/>
      <c r="J582" s="1382"/>
      <c r="K582" s="1382"/>
      <c r="L582" s="1410"/>
      <c r="M582" s="1328"/>
      <c r="N582" s="1411"/>
    </row>
    <row r="583" spans="1:14" s="31" customFormat="1" ht="17.25" customHeight="1">
      <c r="A583" s="1384" t="s">
        <v>125</v>
      </c>
      <c r="B583" s="1633" t="s">
        <v>1087</v>
      </c>
      <c r="C583" s="1382"/>
      <c r="D583" s="1382"/>
      <c r="E583" s="1377">
        <f>SUM(E582)</f>
        <v>0</v>
      </c>
      <c r="F583" s="1409"/>
      <c r="G583" s="1384" t="s">
        <v>125</v>
      </c>
      <c r="H583" s="1633" t="s">
        <v>1087</v>
      </c>
      <c r="I583" s="1382"/>
      <c r="J583" s="1382"/>
      <c r="K583" s="1377">
        <f>SUM(K582)</f>
        <v>0</v>
      </c>
      <c r="L583" s="1410"/>
      <c r="M583" s="1385">
        <f>E583+K583</f>
        <v>0</v>
      </c>
      <c r="N583" s="1411"/>
    </row>
    <row r="584" spans="1:14" s="31" customFormat="1" ht="17.25" customHeight="1">
      <c r="A584" s="1386" t="s">
        <v>126</v>
      </c>
      <c r="B584" s="1634" t="s">
        <v>871</v>
      </c>
      <c r="C584" s="1387"/>
      <c r="D584" s="1387"/>
      <c r="E584" s="1387">
        <f>(E572+E573+E574+E575+E576+E577+E578+E579+E580)-E583</f>
        <v>0</v>
      </c>
      <c r="F584" s="1409"/>
      <c r="G584" s="1386" t="s">
        <v>126</v>
      </c>
      <c r="H584" s="1634" t="s">
        <v>871</v>
      </c>
      <c r="I584" s="1387"/>
      <c r="J584" s="1387"/>
      <c r="K584" s="1387">
        <f>(K572+K573+K574+K575+K576+K577+K578+K579+K580)-K583</f>
        <v>0</v>
      </c>
      <c r="L584" s="1389">
        <f>E584+K584</f>
        <v>0</v>
      </c>
      <c r="M584" s="1328"/>
      <c r="N584" s="1411"/>
    </row>
    <row r="585" spans="1:14" s="31" customFormat="1" ht="17.25" customHeight="1">
      <c r="A585" s="1392"/>
      <c r="B585" s="1398"/>
      <c r="C585" s="1399"/>
      <c r="D585" s="1399"/>
      <c r="E585" s="1397"/>
      <c r="F585" s="1409"/>
      <c r="G585" s="1392"/>
      <c r="H585" s="1398"/>
      <c r="I585" s="1399"/>
      <c r="J585" s="1397"/>
      <c r="K585" s="1624"/>
      <c r="L585" s="1410"/>
      <c r="M585" s="1328"/>
      <c r="N585" s="1411"/>
    </row>
    <row r="586" spans="1:14" s="31" customFormat="1" ht="17.25" customHeight="1">
      <c r="A586" s="2182" t="str">
        <f>A569</f>
        <v>LƯƠNG THÁNG 01/2025</v>
      </c>
      <c r="B586" s="2183"/>
      <c r="C586" s="2183"/>
      <c r="D586" s="2183"/>
      <c r="E586" s="1452">
        <v>69</v>
      </c>
      <c r="F586" s="1409"/>
      <c r="G586" s="2182" t="str">
        <f>A586</f>
        <v>LƯƠNG THÁNG 01/2025</v>
      </c>
      <c r="H586" s="2183"/>
      <c r="I586" s="2183"/>
      <c r="J586" s="2184"/>
      <c r="K586" s="1452">
        <v>70</v>
      </c>
      <c r="L586" s="1410"/>
      <c r="M586" s="1328"/>
      <c r="N586" s="1411"/>
    </row>
    <row r="587" spans="1:14" s="31" customFormat="1" ht="17.25" customHeight="1">
      <c r="A587" s="1391" t="s">
        <v>29</v>
      </c>
      <c r="B587" s="1626" t="str">
        <f>'CNKT '!C84</f>
        <v>T Bun</v>
      </c>
      <c r="C587" s="1373"/>
      <c r="D587" s="1623" t="s">
        <v>806</v>
      </c>
      <c r="E587" s="1623" t="s">
        <v>32</v>
      </c>
      <c r="F587" s="1409"/>
      <c r="G587" s="1391" t="s">
        <v>29</v>
      </c>
      <c r="H587" s="1626" t="str">
        <f>'CNKT '!C85</f>
        <v>N. Xi</v>
      </c>
      <c r="I587" s="1373"/>
      <c r="J587" s="1623" t="s">
        <v>806</v>
      </c>
      <c r="K587" s="1623" t="s">
        <v>32</v>
      </c>
      <c r="L587" s="1410"/>
      <c r="M587" s="1328"/>
      <c r="N587" s="1411"/>
    </row>
    <row r="588" spans="1:14" s="31" customFormat="1" ht="17.25" customHeight="1">
      <c r="A588" s="1375" t="s">
        <v>807</v>
      </c>
      <c r="B588" s="1628" t="s">
        <v>1080</v>
      </c>
      <c r="C588" s="1376" t="str">
        <f>VLOOKUP(B587,'BTH mủ tạp'!$C$15:$AL$92,36,0)</f>
        <v>B</v>
      </c>
      <c r="D588" s="1377"/>
      <c r="E588" s="1377"/>
      <c r="F588" s="1409"/>
      <c r="G588" s="1375" t="s">
        <v>807</v>
      </c>
      <c r="H588" s="1628" t="s">
        <v>1080</v>
      </c>
      <c r="I588" s="1376" t="str">
        <f>VLOOKUP(H587,'BTH mủ tạp'!$C$15:$AL$92,36,0)</f>
        <v>A</v>
      </c>
      <c r="J588" s="1377"/>
      <c r="K588" s="1377"/>
      <c r="L588" s="1410"/>
      <c r="M588" s="1328"/>
      <c r="N588" s="1411"/>
    </row>
    <row r="589" spans="1:14" s="31" customFormat="1" ht="17.25" customHeight="1">
      <c r="A589" s="1375" t="s">
        <v>121</v>
      </c>
      <c r="B589" s="1629" t="s">
        <v>865</v>
      </c>
      <c r="C589" s="1378">
        <f>VLOOKUP(B587,'CNKT '!$C$16:$Z$96,3,0)</f>
        <v>0</v>
      </c>
      <c r="D589" s="1379">
        <v>25000</v>
      </c>
      <c r="E589" s="1377">
        <f>C589*D589</f>
        <v>0</v>
      </c>
      <c r="F589" s="1409"/>
      <c r="G589" s="1375" t="s">
        <v>121</v>
      </c>
      <c r="H589" s="1629" t="s">
        <v>865</v>
      </c>
      <c r="I589" s="1378">
        <f>VLOOKUP(H587,'CNKT '!$C$16:$Z$96,3,0)</f>
        <v>0</v>
      </c>
      <c r="J589" s="1379">
        <v>25000</v>
      </c>
      <c r="K589" s="1377">
        <f>I589*J589</f>
        <v>0</v>
      </c>
      <c r="L589" s="1410"/>
      <c r="M589" s="1328"/>
      <c r="N589" s="1411"/>
    </row>
    <row r="590" spans="1:14" s="31" customFormat="1" ht="17.25" customHeight="1">
      <c r="A590" s="1375" t="s">
        <v>628</v>
      </c>
      <c r="B590" s="1630" t="s">
        <v>1081</v>
      </c>
      <c r="C590" s="1433">
        <f>VLOOKUP(B587,'CNKT '!$C$16:$Z$96,11,0)</f>
        <v>0</v>
      </c>
      <c r="D590" s="1380">
        <f>46.1*$B$2</f>
        <v>30241.600000000002</v>
      </c>
      <c r="E590" s="1377">
        <f t="shared" ref="E590:E594" si="68">C590*D590</f>
        <v>0</v>
      </c>
      <c r="F590" s="1409"/>
      <c r="G590" s="1375" t="s">
        <v>628</v>
      </c>
      <c r="H590" s="1630" t="s">
        <v>1081</v>
      </c>
      <c r="I590" s="1433">
        <f>VLOOKUP(H587,'CNKT '!$C$16:$Z$96,11,0)</f>
        <v>0</v>
      </c>
      <c r="J590" s="1380">
        <f>46.1*$B$2</f>
        <v>30241.600000000002</v>
      </c>
      <c r="K590" s="1377">
        <f t="shared" ref="K590:K594" si="69">I590*J590</f>
        <v>0</v>
      </c>
      <c r="L590" s="1410"/>
      <c r="M590" s="1328"/>
      <c r="N590" s="1411"/>
    </row>
    <row r="591" spans="1:14" s="31" customFormat="1" ht="17.25" customHeight="1">
      <c r="A591" s="1375" t="s">
        <v>809</v>
      </c>
      <c r="B591" s="1630" t="s">
        <v>1082</v>
      </c>
      <c r="C591" s="1433">
        <f>VLOOKUP(B587,'CNKT '!$C$16:$Z$96,12,0)</f>
        <v>0</v>
      </c>
      <c r="D591" s="1379">
        <f>76.9*$B$2</f>
        <v>50446.400000000001</v>
      </c>
      <c r="E591" s="1377">
        <f t="shared" si="68"/>
        <v>0</v>
      </c>
      <c r="F591" s="1409"/>
      <c r="G591" s="1375" t="s">
        <v>809</v>
      </c>
      <c r="H591" s="1630" t="s">
        <v>1082</v>
      </c>
      <c r="I591" s="1433">
        <f>VLOOKUP(H587,'CNKT '!$C$16:$Z$96,12,0)</f>
        <v>0</v>
      </c>
      <c r="J591" s="1379">
        <f>76.9*$B$2</f>
        <v>50446.400000000001</v>
      </c>
      <c r="K591" s="1377">
        <f t="shared" si="69"/>
        <v>0</v>
      </c>
      <c r="L591" s="1410"/>
      <c r="M591" s="1328"/>
      <c r="N591" s="1411"/>
    </row>
    <row r="592" spans="1:14" s="31" customFormat="1" ht="17.25" customHeight="1">
      <c r="A592" s="1375" t="s">
        <v>122</v>
      </c>
      <c r="B592" s="1630" t="s">
        <v>1083</v>
      </c>
      <c r="C592" s="1433">
        <f>VLOOKUP(B587,'CNKT '!$C$16:$Z$96,8,0)</f>
        <v>0</v>
      </c>
      <c r="D592" s="1379">
        <f>IF(C588="A",6.1,IF(C588="B",5.8,IF(C588="C",5.5,IF(C588="C.",5.5,IF(C588="D",5.2)))))*$B$2</f>
        <v>3804.7999999999997</v>
      </c>
      <c r="E592" s="1377">
        <f t="shared" si="68"/>
        <v>0</v>
      </c>
      <c r="F592" s="1409"/>
      <c r="G592" s="1375" t="s">
        <v>122</v>
      </c>
      <c r="H592" s="1630" t="s">
        <v>1083</v>
      </c>
      <c r="I592" s="1433">
        <f>VLOOKUP(H587,'CNKT '!$C$16:$Z$96,8,0)</f>
        <v>0</v>
      </c>
      <c r="J592" s="1379">
        <f>IF(I588="A",6.1,IF(I588="B",5.8,IF(I588="C",5.5,IF(I588="C.",5.5,IF(I588="D",5.2)))))*$B$2</f>
        <v>4001.6</v>
      </c>
      <c r="K592" s="1377">
        <f t="shared" si="69"/>
        <v>0</v>
      </c>
      <c r="L592" s="1410"/>
      <c r="M592" s="1328"/>
      <c r="N592" s="1411"/>
    </row>
    <row r="593" spans="1:14" s="31" customFormat="1" ht="17.25" customHeight="1">
      <c r="A593" s="1375" t="s">
        <v>959</v>
      </c>
      <c r="B593" s="1630" t="s">
        <v>1084</v>
      </c>
      <c r="C593" s="1433">
        <f>VLOOKUP(B587,'CNKT '!$C$16:$Z$96,15,0)</f>
        <v>0</v>
      </c>
      <c r="D593" s="1380">
        <f>92.2*$B$2</f>
        <v>60483.200000000004</v>
      </c>
      <c r="E593" s="1377">
        <f t="shared" si="68"/>
        <v>0</v>
      </c>
      <c r="F593" s="1409"/>
      <c r="G593" s="1375" t="s">
        <v>959</v>
      </c>
      <c r="H593" s="1630" t="s">
        <v>1084</v>
      </c>
      <c r="I593" s="1433">
        <f>VLOOKUP(H587,'CNKT '!$C$16:$Z$96,15,0)</f>
        <v>0</v>
      </c>
      <c r="J593" s="1380">
        <f>92.2*$B$2</f>
        <v>60483.200000000004</v>
      </c>
      <c r="K593" s="1377">
        <f t="shared" si="69"/>
        <v>0</v>
      </c>
      <c r="L593" s="1410"/>
      <c r="M593" s="1328"/>
      <c r="N593" s="1411"/>
    </row>
    <row r="594" spans="1:14" s="31" customFormat="1" ht="17.25" customHeight="1">
      <c r="A594" s="1375" t="s">
        <v>960</v>
      </c>
      <c r="B594" s="1630" t="s">
        <v>964</v>
      </c>
      <c r="C594" s="1433">
        <f>VLOOKUP(B587,'CNKT '!$C$16:$Z$96,16,0)</f>
        <v>0</v>
      </c>
      <c r="D594" s="1379">
        <f>153.8*$B$2</f>
        <v>100892.8</v>
      </c>
      <c r="E594" s="1377">
        <f t="shared" si="68"/>
        <v>0</v>
      </c>
      <c r="F594" s="1409"/>
      <c r="G594" s="1375" t="s">
        <v>960</v>
      </c>
      <c r="H594" s="1630" t="s">
        <v>964</v>
      </c>
      <c r="I594" s="1433">
        <f>VLOOKUP(H587,'CNKT '!$C$16:$Z$96,16,0)</f>
        <v>0</v>
      </c>
      <c r="J594" s="1379">
        <f>153.8*$B$2</f>
        <v>100892.8</v>
      </c>
      <c r="K594" s="1377">
        <f t="shared" si="69"/>
        <v>0</v>
      </c>
      <c r="L594" s="1410"/>
      <c r="M594" s="1328"/>
      <c r="N594" s="1411"/>
    </row>
    <row r="595" spans="1:14" s="31" customFormat="1" ht="17.25" customHeight="1">
      <c r="A595" s="1375" t="s">
        <v>899</v>
      </c>
      <c r="B595" s="1630" t="s">
        <v>965</v>
      </c>
      <c r="C595" s="1433">
        <f>VLOOKUP(B587,'CNKT '!$C$16:$Z$96,18,0)</f>
        <v>0</v>
      </c>
      <c r="D595" s="1379">
        <v>10000</v>
      </c>
      <c r="E595" s="1377">
        <f>C595*D595</f>
        <v>0</v>
      </c>
      <c r="F595" s="1409"/>
      <c r="G595" s="1375" t="s">
        <v>899</v>
      </c>
      <c r="H595" s="1630" t="s">
        <v>965</v>
      </c>
      <c r="I595" s="1433">
        <f>VLOOKUP(H587,'CNKT '!$C$16:$Z$96,18,0)</f>
        <v>0</v>
      </c>
      <c r="J595" s="1379">
        <v>10000</v>
      </c>
      <c r="K595" s="1377">
        <f>I595*J595</f>
        <v>0</v>
      </c>
      <c r="L595" s="1410"/>
      <c r="M595" s="1328"/>
      <c r="N595" s="1411"/>
    </row>
    <row r="596" spans="1:14" s="31" customFormat="1" ht="17.25" customHeight="1">
      <c r="A596" s="1375" t="s">
        <v>899</v>
      </c>
      <c r="B596" s="1630" t="s">
        <v>965</v>
      </c>
      <c r="C596" s="1433">
        <f>VLOOKUP(B587,'CNKT '!$C$16:$Z$96,19,0)</f>
        <v>0</v>
      </c>
      <c r="D596" s="1379">
        <v>20000</v>
      </c>
      <c r="E596" s="1377">
        <f>C596*D596</f>
        <v>0</v>
      </c>
      <c r="F596" s="1409"/>
      <c r="G596" s="1375" t="s">
        <v>899</v>
      </c>
      <c r="H596" s="1630" t="s">
        <v>965</v>
      </c>
      <c r="I596" s="1433">
        <f>VLOOKUP(H587,'CNKT '!$C$16:$Z$96,19,0)</f>
        <v>0</v>
      </c>
      <c r="J596" s="1379">
        <v>20000</v>
      </c>
      <c r="K596" s="1377">
        <f>I596*J596</f>
        <v>0</v>
      </c>
      <c r="L596" s="1410"/>
      <c r="M596" s="1328"/>
      <c r="N596" s="1411"/>
    </row>
    <row r="597" spans="1:14" s="31" customFormat="1" ht="17.25" customHeight="1">
      <c r="A597" s="1375" t="s">
        <v>995</v>
      </c>
      <c r="B597" s="1630" t="s">
        <v>997</v>
      </c>
      <c r="C597" s="1433"/>
      <c r="D597" s="1379"/>
      <c r="E597" s="1377"/>
      <c r="F597" s="1409"/>
      <c r="G597" s="1375" t="s">
        <v>995</v>
      </c>
      <c r="H597" s="1630" t="s">
        <v>997</v>
      </c>
      <c r="I597" s="1433"/>
      <c r="J597" s="1379"/>
      <c r="K597" s="1377"/>
      <c r="L597" s="1410"/>
      <c r="M597" s="1328"/>
      <c r="N597" s="1411"/>
    </row>
    <row r="598" spans="1:14" s="31" customFormat="1" ht="17.25" customHeight="1">
      <c r="A598" s="1381" t="s">
        <v>123</v>
      </c>
      <c r="B598" s="1631" t="s">
        <v>1085</v>
      </c>
      <c r="C598" s="1382"/>
      <c r="D598" s="1383"/>
      <c r="E598" s="1382"/>
      <c r="F598" s="1409"/>
      <c r="G598" s="1381" t="s">
        <v>123</v>
      </c>
      <c r="H598" s="1631" t="s">
        <v>1085</v>
      </c>
      <c r="I598" s="1382"/>
      <c r="J598" s="1383"/>
      <c r="K598" s="1382"/>
      <c r="L598" s="1410"/>
      <c r="M598" s="1328"/>
      <c r="N598" s="1411"/>
    </row>
    <row r="599" spans="1:14" s="31" customFormat="1" ht="17.25" customHeight="1">
      <c r="A599" s="1384" t="s">
        <v>124</v>
      </c>
      <c r="B599" s="1632" t="s">
        <v>1086</v>
      </c>
      <c r="C599" s="1382"/>
      <c r="D599" s="1382"/>
      <c r="E599" s="1382"/>
      <c r="F599" s="1409"/>
      <c r="G599" s="1384" t="s">
        <v>124</v>
      </c>
      <c r="H599" s="1632" t="s">
        <v>1086</v>
      </c>
      <c r="I599" s="1382"/>
      <c r="J599" s="1382"/>
      <c r="K599" s="1382"/>
      <c r="L599" s="1410"/>
      <c r="M599" s="1328"/>
      <c r="N599" s="1411"/>
    </row>
    <row r="600" spans="1:14" s="31" customFormat="1" ht="17.25" customHeight="1">
      <c r="A600" s="1384" t="s">
        <v>125</v>
      </c>
      <c r="B600" s="1633" t="s">
        <v>1087</v>
      </c>
      <c r="C600" s="1382"/>
      <c r="D600" s="1382"/>
      <c r="E600" s="1377">
        <f>SUM(E599)</f>
        <v>0</v>
      </c>
      <c r="F600" s="1409"/>
      <c r="G600" s="1384" t="s">
        <v>125</v>
      </c>
      <c r="H600" s="1633" t="s">
        <v>1087</v>
      </c>
      <c r="I600" s="1382"/>
      <c r="J600" s="1382"/>
      <c r="K600" s="1377">
        <f>SUM(K599)</f>
        <v>0</v>
      </c>
      <c r="L600" s="1410"/>
      <c r="M600" s="1385">
        <f>E600+K600</f>
        <v>0</v>
      </c>
      <c r="N600" s="1411"/>
    </row>
    <row r="601" spans="1:14" s="31" customFormat="1" ht="17.25" customHeight="1">
      <c r="A601" s="1386" t="s">
        <v>126</v>
      </c>
      <c r="B601" s="1634" t="s">
        <v>871</v>
      </c>
      <c r="C601" s="1387"/>
      <c r="D601" s="1387"/>
      <c r="E601" s="1387">
        <f>(E589+E590+E591+E592+E593+E594+E595+E596+E597)-E600</f>
        <v>0</v>
      </c>
      <c r="F601" s="1409"/>
      <c r="G601" s="1386" t="s">
        <v>126</v>
      </c>
      <c r="H601" s="1634" t="s">
        <v>871</v>
      </c>
      <c r="I601" s="1387"/>
      <c r="J601" s="1387"/>
      <c r="K601" s="1387">
        <f>(K589+K590+K591+K592+K593+K594+K595+K596+K597)-K600</f>
        <v>0</v>
      </c>
      <c r="L601" s="1389">
        <f>E601+K601</f>
        <v>0</v>
      </c>
      <c r="M601" s="1328"/>
      <c r="N601" s="1411"/>
    </row>
    <row r="602" spans="1:14" s="31" customFormat="1" ht="70.5" customHeight="1">
      <c r="A602" s="1401"/>
      <c r="B602" s="1396"/>
      <c r="C602" s="1396"/>
      <c r="D602" s="1396"/>
      <c r="E602" s="1396"/>
      <c r="F602" s="1409"/>
      <c r="G602" s="1401"/>
      <c r="H602" s="1396"/>
      <c r="I602" s="1396"/>
      <c r="J602" s="1396"/>
      <c r="K602" s="1624"/>
      <c r="L602" s="1410"/>
      <c r="M602" s="1328"/>
      <c r="N602" s="1411"/>
    </row>
    <row r="603" spans="1:14" s="31" customFormat="1" ht="17.25" customHeight="1">
      <c r="A603" s="2182" t="str">
        <f>A586</f>
        <v>LƯƠNG THÁNG 01/2025</v>
      </c>
      <c r="B603" s="2183"/>
      <c r="C603" s="2183"/>
      <c r="D603" s="2183"/>
      <c r="E603" s="1452">
        <v>71</v>
      </c>
      <c r="F603" s="1409"/>
      <c r="G603" s="2182" t="str">
        <f>A603</f>
        <v>LƯƠNG THÁNG 01/2025</v>
      </c>
      <c r="H603" s="2183"/>
      <c r="I603" s="2183"/>
      <c r="J603" s="2184"/>
      <c r="K603" s="1452">
        <v>72</v>
      </c>
      <c r="L603" s="1410"/>
      <c r="M603" s="1328"/>
      <c r="N603" s="1411"/>
    </row>
    <row r="604" spans="1:14" s="31" customFormat="1" ht="17.25" customHeight="1">
      <c r="A604" s="1391" t="s">
        <v>29</v>
      </c>
      <c r="B604" s="1626" t="str">
        <f>'CNKT '!C86</f>
        <v>N. Chay</v>
      </c>
      <c r="C604" s="1373"/>
      <c r="D604" s="1623" t="s">
        <v>806</v>
      </c>
      <c r="E604" s="1623" t="s">
        <v>32</v>
      </c>
      <c r="F604" s="1409"/>
      <c r="G604" s="1391" t="s">
        <v>29</v>
      </c>
      <c r="H604" s="1626" t="str">
        <f>'CNKT '!C87</f>
        <v xml:space="preserve">N. Khăm </v>
      </c>
      <c r="I604" s="1373"/>
      <c r="J604" s="1623" t="s">
        <v>806</v>
      </c>
      <c r="K604" s="1623" t="s">
        <v>32</v>
      </c>
      <c r="L604" s="1410"/>
      <c r="M604" s="1328"/>
      <c r="N604" s="1411"/>
    </row>
    <row r="605" spans="1:14" s="31" customFormat="1" ht="17.25" customHeight="1">
      <c r="A605" s="1375" t="s">
        <v>807</v>
      </c>
      <c r="B605" s="1628" t="s">
        <v>1080</v>
      </c>
      <c r="C605" s="1376" t="str">
        <f>VLOOKUP(B604,'BTH mủ tạp'!$C$15:$AL$92,36,0)</f>
        <v>A</v>
      </c>
      <c r="D605" s="1377"/>
      <c r="E605" s="1377"/>
      <c r="F605" s="1409"/>
      <c r="G605" s="1375" t="s">
        <v>807</v>
      </c>
      <c r="H605" s="1628" t="s">
        <v>1080</v>
      </c>
      <c r="I605" s="1376" t="str">
        <f>VLOOKUP(H604,'BTH mủ tạp'!$C$15:$AL$92,36,0)</f>
        <v>A</v>
      </c>
      <c r="J605" s="1377"/>
      <c r="K605" s="1377"/>
      <c r="L605" s="1410"/>
      <c r="M605" s="1328"/>
      <c r="N605" s="1411"/>
    </row>
    <row r="606" spans="1:14" s="31" customFormat="1" ht="17.25" customHeight="1">
      <c r="A606" s="1375" t="s">
        <v>121</v>
      </c>
      <c r="B606" s="1629" t="s">
        <v>865</v>
      </c>
      <c r="C606" s="1378">
        <f>VLOOKUP(B604,'CNKT '!$C$16:$Z$96,3,0)</f>
        <v>0</v>
      </c>
      <c r="D606" s="1379">
        <v>25000</v>
      </c>
      <c r="E606" s="1377">
        <f>C606*D606</f>
        <v>0</v>
      </c>
      <c r="F606" s="1409"/>
      <c r="G606" s="1375" t="s">
        <v>121</v>
      </c>
      <c r="H606" s="1629" t="s">
        <v>865</v>
      </c>
      <c r="I606" s="1378">
        <f>VLOOKUP(H604,'CNKT '!$C$16:$Z$96,3,0)</f>
        <v>0</v>
      </c>
      <c r="J606" s="1379">
        <v>25000</v>
      </c>
      <c r="K606" s="1377">
        <f>I606*J606</f>
        <v>0</v>
      </c>
      <c r="L606" s="1410"/>
      <c r="M606" s="1328"/>
      <c r="N606" s="1411"/>
    </row>
    <row r="607" spans="1:14" s="31" customFormat="1" ht="17.25" customHeight="1">
      <c r="A607" s="1375" t="s">
        <v>628</v>
      </c>
      <c r="B607" s="1630" t="s">
        <v>1081</v>
      </c>
      <c r="C607" s="1433">
        <f>VLOOKUP(B604,'CNKT '!$C$16:$Z$96,11,0)</f>
        <v>0</v>
      </c>
      <c r="D607" s="1380">
        <f>46.1*$B$2</f>
        <v>30241.600000000002</v>
      </c>
      <c r="E607" s="1377">
        <f t="shared" ref="E607:E611" si="70">C607*D607</f>
        <v>0</v>
      </c>
      <c r="F607" s="1409"/>
      <c r="G607" s="1375" t="s">
        <v>628</v>
      </c>
      <c r="H607" s="1630" t="s">
        <v>1081</v>
      </c>
      <c r="I607" s="1433">
        <f>VLOOKUP(H604,'CNKT '!$C$16:$Z$96,11,0)</f>
        <v>0</v>
      </c>
      <c r="J607" s="1380">
        <f>46.1*$B$2</f>
        <v>30241.600000000002</v>
      </c>
      <c r="K607" s="1377">
        <f t="shared" ref="K607:K611" si="71">I607*J607</f>
        <v>0</v>
      </c>
      <c r="L607" s="1410"/>
      <c r="M607" s="1328"/>
      <c r="N607" s="1411"/>
    </row>
    <row r="608" spans="1:14" s="31" customFormat="1" ht="17.25" customHeight="1">
      <c r="A608" s="1375" t="s">
        <v>809</v>
      </c>
      <c r="B608" s="1630" t="s">
        <v>1082</v>
      </c>
      <c r="C608" s="1433">
        <f>VLOOKUP(B604,'CNKT '!$C$16:$Z$96,12,0)</f>
        <v>0</v>
      </c>
      <c r="D608" s="1379">
        <f>76.9*$B$2</f>
        <v>50446.400000000001</v>
      </c>
      <c r="E608" s="1377">
        <f t="shared" si="70"/>
        <v>0</v>
      </c>
      <c r="F608" s="1409"/>
      <c r="G608" s="1375" t="s">
        <v>809</v>
      </c>
      <c r="H608" s="1630" t="s">
        <v>1082</v>
      </c>
      <c r="I608" s="1433">
        <f>VLOOKUP(H604,'CNKT '!$C$16:$Z$96,12,0)</f>
        <v>0</v>
      </c>
      <c r="J608" s="1379">
        <f>76.9*$B$2</f>
        <v>50446.400000000001</v>
      </c>
      <c r="K608" s="1377">
        <f t="shared" si="71"/>
        <v>0</v>
      </c>
      <c r="L608" s="1410"/>
      <c r="M608" s="1328"/>
      <c r="N608" s="1411"/>
    </row>
    <row r="609" spans="1:14" s="31" customFormat="1" ht="17.25" customHeight="1">
      <c r="A609" s="1375" t="s">
        <v>122</v>
      </c>
      <c r="B609" s="1630" t="s">
        <v>1083</v>
      </c>
      <c r="C609" s="1433">
        <f>VLOOKUP(B604,'CNKT '!$C$16:$Z$96,8,0)</f>
        <v>0</v>
      </c>
      <c r="D609" s="1379">
        <f>IF(C605="A",6.1,IF(C605="B",5.8,IF(C605="C",5.5,IF(C605="C.",5.5,IF(C605="D",5.2)))))*$B$2</f>
        <v>4001.6</v>
      </c>
      <c r="E609" s="1377">
        <f t="shared" si="70"/>
        <v>0</v>
      </c>
      <c r="F609" s="1409"/>
      <c r="G609" s="1375" t="s">
        <v>122</v>
      </c>
      <c r="H609" s="1630" t="s">
        <v>1083</v>
      </c>
      <c r="I609" s="1433">
        <f>VLOOKUP(H604,'CNKT '!$C$16:$Z$96,8,0)</f>
        <v>0</v>
      </c>
      <c r="J609" s="1379">
        <f>IF(I605="A",6.1,IF(I605="B",5.8,IF(I605="C",5.5,IF(I605="C.",5.5,IF(I605="D",5.2)))))*$B$2</f>
        <v>4001.6</v>
      </c>
      <c r="K609" s="1377">
        <f t="shared" si="71"/>
        <v>0</v>
      </c>
      <c r="L609" s="1410"/>
      <c r="M609" s="1328"/>
      <c r="N609" s="1411"/>
    </row>
    <row r="610" spans="1:14" s="31" customFormat="1" ht="17.25" customHeight="1">
      <c r="A610" s="1375" t="s">
        <v>959</v>
      </c>
      <c r="B610" s="1630" t="s">
        <v>1084</v>
      </c>
      <c r="C610" s="1433">
        <f>VLOOKUP(B604,'CNKT '!$C$16:$Z$96,15,0)</f>
        <v>0</v>
      </c>
      <c r="D610" s="1380">
        <f>92.2*$B$2</f>
        <v>60483.200000000004</v>
      </c>
      <c r="E610" s="1377">
        <f t="shared" si="70"/>
        <v>0</v>
      </c>
      <c r="F610" s="1409"/>
      <c r="G610" s="1375" t="s">
        <v>959</v>
      </c>
      <c r="H610" s="1630" t="s">
        <v>1084</v>
      </c>
      <c r="I610" s="1433">
        <f>VLOOKUP(H604,'CNKT '!$C$16:$Z$96,15,0)</f>
        <v>0</v>
      </c>
      <c r="J610" s="1380">
        <f>92.2*$B$2</f>
        <v>60483.200000000004</v>
      </c>
      <c r="K610" s="1377">
        <f t="shared" si="71"/>
        <v>0</v>
      </c>
      <c r="L610" s="1410"/>
      <c r="M610" s="1328"/>
      <c r="N610" s="1411"/>
    </row>
    <row r="611" spans="1:14" s="31" customFormat="1" ht="17.25" customHeight="1">
      <c r="A611" s="1375" t="s">
        <v>960</v>
      </c>
      <c r="B611" s="1630" t="s">
        <v>964</v>
      </c>
      <c r="C611" s="1433">
        <f>VLOOKUP(B604,'CNKT '!$C$16:$Z$96,16,0)</f>
        <v>0</v>
      </c>
      <c r="D611" s="1379">
        <f>153.8*$B$2</f>
        <v>100892.8</v>
      </c>
      <c r="E611" s="1377">
        <f t="shared" si="70"/>
        <v>0</v>
      </c>
      <c r="F611" s="1409"/>
      <c r="G611" s="1375" t="s">
        <v>960</v>
      </c>
      <c r="H611" s="1630" t="s">
        <v>964</v>
      </c>
      <c r="I611" s="1433">
        <f>VLOOKUP(H604,'CNKT '!$C$16:$Z$96,16,0)</f>
        <v>0</v>
      </c>
      <c r="J611" s="1379">
        <f>153.8*$B$2</f>
        <v>100892.8</v>
      </c>
      <c r="K611" s="1377">
        <f t="shared" si="71"/>
        <v>0</v>
      </c>
      <c r="L611" s="1410"/>
      <c r="M611" s="1328"/>
      <c r="N611" s="1411"/>
    </row>
    <row r="612" spans="1:14" s="31" customFormat="1" ht="17.25" customHeight="1">
      <c r="A612" s="1375" t="s">
        <v>899</v>
      </c>
      <c r="B612" s="1630" t="s">
        <v>965</v>
      </c>
      <c r="C612" s="1433">
        <f>VLOOKUP(B604,'CNKT '!$C$16:$Z$96,18,0)</f>
        <v>0</v>
      </c>
      <c r="D612" s="1379">
        <v>10000</v>
      </c>
      <c r="E612" s="1377">
        <f>C612*D612</f>
        <v>0</v>
      </c>
      <c r="F612" s="1409"/>
      <c r="G612" s="1375" t="s">
        <v>899</v>
      </c>
      <c r="H612" s="1630" t="s">
        <v>965</v>
      </c>
      <c r="I612" s="1433">
        <f>VLOOKUP(H604,'CNKT '!$C$16:$Z$96,18,0)</f>
        <v>0</v>
      </c>
      <c r="J612" s="1379">
        <v>10000</v>
      </c>
      <c r="K612" s="1377">
        <f>I612*J612</f>
        <v>0</v>
      </c>
      <c r="L612" s="1410"/>
      <c r="M612" s="1328"/>
      <c r="N612" s="1411"/>
    </row>
    <row r="613" spans="1:14" s="31" customFormat="1" ht="17.25" customHeight="1">
      <c r="A613" s="1375" t="s">
        <v>899</v>
      </c>
      <c r="B613" s="1630" t="s">
        <v>965</v>
      </c>
      <c r="C613" s="1433">
        <f>VLOOKUP(B604,'CNKT '!$C$16:$Z$96,19,0)</f>
        <v>0</v>
      </c>
      <c r="D613" s="1379">
        <v>20000</v>
      </c>
      <c r="E613" s="1377">
        <f>C613*D613</f>
        <v>0</v>
      </c>
      <c r="F613" s="1409"/>
      <c r="G613" s="1375" t="s">
        <v>899</v>
      </c>
      <c r="H613" s="1630" t="s">
        <v>965</v>
      </c>
      <c r="I613" s="1433">
        <f>VLOOKUP(H604,'CNKT '!$C$16:$Z$96,19,0)</f>
        <v>0</v>
      </c>
      <c r="J613" s="1379">
        <v>20000</v>
      </c>
      <c r="K613" s="1377">
        <f>I613*J613</f>
        <v>0</v>
      </c>
      <c r="L613" s="1410"/>
      <c r="M613" s="1328"/>
      <c r="N613" s="1411"/>
    </row>
    <row r="614" spans="1:14" s="31" customFormat="1" ht="17.25" customHeight="1">
      <c r="A614" s="1375" t="s">
        <v>995</v>
      </c>
      <c r="B614" s="1630" t="s">
        <v>997</v>
      </c>
      <c r="C614" s="1433"/>
      <c r="D614" s="1379"/>
      <c r="E614" s="1377"/>
      <c r="F614" s="1409"/>
      <c r="G614" s="1375" t="s">
        <v>995</v>
      </c>
      <c r="H614" s="1630" t="s">
        <v>997</v>
      </c>
      <c r="I614" s="1433"/>
      <c r="J614" s="1379"/>
      <c r="K614" s="1377"/>
      <c r="L614" s="1410"/>
      <c r="M614" s="1328"/>
      <c r="N614" s="1411"/>
    </row>
    <row r="615" spans="1:14" s="31" customFormat="1" ht="17.25" customHeight="1">
      <c r="A615" s="1381" t="s">
        <v>123</v>
      </c>
      <c r="B615" s="1631" t="s">
        <v>1085</v>
      </c>
      <c r="C615" s="1382"/>
      <c r="D615" s="1383"/>
      <c r="E615" s="1382"/>
      <c r="F615" s="1409"/>
      <c r="G615" s="1381" t="s">
        <v>123</v>
      </c>
      <c r="H615" s="1631" t="s">
        <v>1085</v>
      </c>
      <c r="I615" s="1382"/>
      <c r="J615" s="1383"/>
      <c r="K615" s="1382"/>
      <c r="L615" s="1410"/>
      <c r="M615" s="1328"/>
      <c r="N615" s="1411"/>
    </row>
    <row r="616" spans="1:14" s="31" customFormat="1" ht="17.25" customHeight="1">
      <c r="A616" s="1384" t="s">
        <v>124</v>
      </c>
      <c r="B616" s="1632" t="s">
        <v>1086</v>
      </c>
      <c r="C616" s="1382"/>
      <c r="D616" s="1382"/>
      <c r="E616" s="1382"/>
      <c r="F616" s="1409"/>
      <c r="G616" s="1384" t="s">
        <v>124</v>
      </c>
      <c r="H616" s="1632" t="s">
        <v>1086</v>
      </c>
      <c r="I616" s="1382"/>
      <c r="J616" s="1382"/>
      <c r="K616" s="1382"/>
      <c r="L616" s="1410"/>
      <c r="M616" s="1328"/>
      <c r="N616" s="1411"/>
    </row>
    <row r="617" spans="1:14" s="31" customFormat="1" ht="17.25" customHeight="1">
      <c r="A617" s="1384" t="s">
        <v>125</v>
      </c>
      <c r="B617" s="1633" t="s">
        <v>1087</v>
      </c>
      <c r="C617" s="1382"/>
      <c r="D617" s="1382"/>
      <c r="E617" s="1377">
        <f>SUM(E616)</f>
        <v>0</v>
      </c>
      <c r="F617" s="1409"/>
      <c r="G617" s="1384" t="s">
        <v>125</v>
      </c>
      <c r="H617" s="1633" t="s">
        <v>1087</v>
      </c>
      <c r="I617" s="1382"/>
      <c r="J617" s="1382"/>
      <c r="K617" s="1377">
        <f>SUM(K616)</f>
        <v>0</v>
      </c>
      <c r="L617" s="1410"/>
      <c r="M617" s="1385">
        <f>E617+K617</f>
        <v>0</v>
      </c>
      <c r="N617" s="1411"/>
    </row>
    <row r="618" spans="1:14" s="31" customFormat="1" ht="17.25" customHeight="1">
      <c r="A618" s="1386" t="s">
        <v>126</v>
      </c>
      <c r="B618" s="1634" t="s">
        <v>871</v>
      </c>
      <c r="C618" s="1387"/>
      <c r="D618" s="1387"/>
      <c r="E618" s="1387">
        <f>(E606+E607+E608+E609+E610+E611+E612+E613+E614)-E617</f>
        <v>0</v>
      </c>
      <c r="F618" s="1409"/>
      <c r="G618" s="1386" t="s">
        <v>126</v>
      </c>
      <c r="H618" s="1634" t="s">
        <v>871</v>
      </c>
      <c r="I618" s="1387"/>
      <c r="J618" s="1387"/>
      <c r="K618" s="1387">
        <f>(K606+K607+K608+K609+K610+K611+K612+K613+K614)-K617</f>
        <v>0</v>
      </c>
      <c r="L618" s="1389">
        <f>E618+K618</f>
        <v>0</v>
      </c>
      <c r="M618" s="1328"/>
      <c r="N618" s="1411"/>
    </row>
    <row r="619" spans="1:14" s="31" customFormat="1" ht="17.25" customHeight="1">
      <c r="A619" s="1401"/>
      <c r="B619" s="1396"/>
      <c r="C619" s="1396"/>
      <c r="D619" s="1396"/>
      <c r="E619" s="1396"/>
      <c r="F619" s="1409"/>
      <c r="G619" s="1401"/>
      <c r="H619" s="1396"/>
      <c r="I619" s="1396"/>
      <c r="J619" s="1396"/>
      <c r="K619" s="1624"/>
      <c r="L619" s="1410"/>
      <c r="M619" s="1328"/>
      <c r="N619" s="1411"/>
    </row>
    <row r="620" spans="1:14" s="31" customFormat="1" ht="17.25" customHeight="1">
      <c r="A620" s="2182" t="str">
        <f>A603</f>
        <v>LƯƠNG THÁNG 01/2025</v>
      </c>
      <c r="B620" s="2183"/>
      <c r="C620" s="2183"/>
      <c r="D620" s="2183"/>
      <c r="E620" s="1452">
        <v>73</v>
      </c>
      <c r="F620" s="1409"/>
      <c r="G620" s="2182" t="str">
        <f>A620</f>
        <v>LƯƠNG THÁNG 01/2025</v>
      </c>
      <c r="H620" s="2183"/>
      <c r="I620" s="2183"/>
      <c r="J620" s="2184"/>
      <c r="K620" s="1452">
        <v>74</v>
      </c>
      <c r="L620" s="1410"/>
      <c r="M620" s="1328"/>
      <c r="N620" s="1411"/>
    </row>
    <row r="621" spans="1:14" s="31" customFormat="1" ht="17.25" customHeight="1">
      <c r="A621" s="1391" t="s">
        <v>29</v>
      </c>
      <c r="B621" s="1626" t="str">
        <f>'CNKT '!C88</f>
        <v>N. Phôn</v>
      </c>
      <c r="C621" s="1373"/>
      <c r="D621" s="1623" t="s">
        <v>806</v>
      </c>
      <c r="E621" s="1623" t="s">
        <v>32</v>
      </c>
      <c r="F621" s="1409"/>
      <c r="G621" s="1391" t="s">
        <v>29</v>
      </c>
      <c r="H621" s="1626" t="str">
        <f>'CNKT '!C89</f>
        <v>T. Xem</v>
      </c>
      <c r="I621" s="1373"/>
      <c r="J621" s="1623" t="s">
        <v>806</v>
      </c>
      <c r="K621" s="1623" t="s">
        <v>32</v>
      </c>
      <c r="L621" s="1410"/>
      <c r="M621" s="1328"/>
      <c r="N621" s="1411"/>
    </row>
    <row r="622" spans="1:14" s="31" customFormat="1" ht="17.25" customHeight="1">
      <c r="A622" s="1375" t="s">
        <v>807</v>
      </c>
      <c r="B622" s="1628" t="s">
        <v>1080</v>
      </c>
      <c r="C622" s="1376" t="str">
        <f>VLOOKUP(B621,'BTH mủ tạp'!$C$15:$AL$92,36,0)</f>
        <v>A</v>
      </c>
      <c r="D622" s="1377"/>
      <c r="E622" s="1377"/>
      <c r="F622" s="1409"/>
      <c r="G622" s="1375" t="s">
        <v>807</v>
      </c>
      <c r="H622" s="1628" t="s">
        <v>1080</v>
      </c>
      <c r="I622" s="1376" t="str">
        <f>VLOOKUP(H621,'BTH mủ tạp'!$C$15:$AL$92,36,0)</f>
        <v>C.</v>
      </c>
      <c r="J622" s="1377"/>
      <c r="K622" s="1377"/>
      <c r="L622" s="1410"/>
      <c r="M622" s="1328"/>
      <c r="N622" s="1411"/>
    </row>
    <row r="623" spans="1:14" s="31" customFormat="1" ht="17.25" customHeight="1">
      <c r="A623" s="1375" t="s">
        <v>121</v>
      </c>
      <c r="B623" s="1629" t="s">
        <v>865</v>
      </c>
      <c r="C623" s="1378">
        <f>VLOOKUP(B621,'CNKT '!$C$16:$Z$96,3,0)</f>
        <v>0</v>
      </c>
      <c r="D623" s="1379">
        <v>25000</v>
      </c>
      <c r="E623" s="1377">
        <f>C623*D623</f>
        <v>0</v>
      </c>
      <c r="F623" s="1409"/>
      <c r="G623" s="1375" t="s">
        <v>121</v>
      </c>
      <c r="H623" s="1629" t="s">
        <v>865</v>
      </c>
      <c r="I623" s="1378">
        <f>VLOOKUP(H621,'CNKT '!$C$16:$Z$96,3,0)</f>
        <v>0</v>
      </c>
      <c r="J623" s="1379">
        <v>25000</v>
      </c>
      <c r="K623" s="1377">
        <f>I623*J623</f>
        <v>0</v>
      </c>
      <c r="L623" s="1410"/>
      <c r="M623" s="1328"/>
      <c r="N623" s="1411"/>
    </row>
    <row r="624" spans="1:14" s="31" customFormat="1" ht="17.25" customHeight="1">
      <c r="A624" s="1375" t="s">
        <v>628</v>
      </c>
      <c r="B624" s="1630" t="s">
        <v>1081</v>
      </c>
      <c r="C624" s="1433">
        <f>VLOOKUP(B621,'CNKT '!$C$16:$Z$96,11,0)</f>
        <v>0</v>
      </c>
      <c r="D624" s="1380">
        <f>46.1*$B$2</f>
        <v>30241.600000000002</v>
      </c>
      <c r="E624" s="1377">
        <f t="shared" ref="E624:E628" si="72">C624*D624</f>
        <v>0</v>
      </c>
      <c r="F624" s="1409"/>
      <c r="G624" s="1375" t="s">
        <v>628</v>
      </c>
      <c r="H624" s="1630" t="s">
        <v>1081</v>
      </c>
      <c r="I624" s="1433">
        <f>VLOOKUP(H621,'CNKT '!$C$16:$Z$96,11,0)</f>
        <v>0</v>
      </c>
      <c r="J624" s="1380">
        <f>46.1*$B$2</f>
        <v>30241.600000000002</v>
      </c>
      <c r="K624" s="1377">
        <f t="shared" ref="K624:K628" si="73">I624*J624</f>
        <v>0</v>
      </c>
      <c r="L624" s="1410"/>
      <c r="M624" s="1328"/>
      <c r="N624" s="1411"/>
    </row>
    <row r="625" spans="1:14" s="31" customFormat="1" ht="17.25" customHeight="1">
      <c r="A625" s="1375" t="s">
        <v>809</v>
      </c>
      <c r="B625" s="1630" t="s">
        <v>1082</v>
      </c>
      <c r="C625" s="1433">
        <f>VLOOKUP(B621,'CNKT '!$C$16:$Z$96,12,0)</f>
        <v>0</v>
      </c>
      <c r="D625" s="1379">
        <f>76.9*$B$2</f>
        <v>50446.400000000001</v>
      </c>
      <c r="E625" s="1377">
        <f t="shared" si="72"/>
        <v>0</v>
      </c>
      <c r="F625" s="1409"/>
      <c r="G625" s="1375" t="s">
        <v>809</v>
      </c>
      <c r="H625" s="1630" t="s">
        <v>1082</v>
      </c>
      <c r="I625" s="1433">
        <f>VLOOKUP(H621,'CNKT '!$C$16:$Z$96,12,0)</f>
        <v>0</v>
      </c>
      <c r="J625" s="1379">
        <f>76.9*$B$2</f>
        <v>50446.400000000001</v>
      </c>
      <c r="K625" s="1377">
        <f t="shared" si="73"/>
        <v>0</v>
      </c>
      <c r="L625" s="1410"/>
      <c r="M625" s="1328"/>
      <c r="N625" s="1411"/>
    </row>
    <row r="626" spans="1:14" s="31" customFormat="1" ht="17.25" customHeight="1">
      <c r="A626" s="1375" t="s">
        <v>122</v>
      </c>
      <c r="B626" s="1630" t="s">
        <v>1083</v>
      </c>
      <c r="C626" s="1433">
        <f>VLOOKUP(B621,'CNKT '!$C$16:$Z$96,8,0)</f>
        <v>0</v>
      </c>
      <c r="D626" s="1379">
        <f>IF(C622="A",6.1,IF(C622="B",5.8,IF(C622="C",5.5,IF(C622="C.",5.5,IF(C622="D",5.2)))))*$B$2</f>
        <v>4001.6</v>
      </c>
      <c r="E626" s="1377">
        <f t="shared" si="72"/>
        <v>0</v>
      </c>
      <c r="F626" s="1409"/>
      <c r="G626" s="1375" t="s">
        <v>122</v>
      </c>
      <c r="H626" s="1630" t="s">
        <v>1083</v>
      </c>
      <c r="I626" s="1433">
        <f>VLOOKUP(H621,'CNKT '!$C$16:$Z$96,8,0)</f>
        <v>0</v>
      </c>
      <c r="J626" s="1379">
        <f>IF(I622="A",6.1,IF(I622="B",5.8,IF(I622="C",5.5,IF(I622="C.",5.5,IF(I622="D",5.2)))))*$B$2</f>
        <v>3608</v>
      </c>
      <c r="K626" s="1377">
        <f t="shared" si="73"/>
        <v>0</v>
      </c>
      <c r="L626" s="1410"/>
      <c r="M626" s="1328"/>
      <c r="N626" s="1411"/>
    </row>
    <row r="627" spans="1:14" s="31" customFormat="1" ht="17.25" customHeight="1">
      <c r="A627" s="1375" t="s">
        <v>959</v>
      </c>
      <c r="B627" s="1630" t="s">
        <v>1084</v>
      </c>
      <c r="C627" s="1433">
        <f>VLOOKUP(B621,'CNKT '!$C$16:$Z$96,15,0)</f>
        <v>0</v>
      </c>
      <c r="D627" s="1380">
        <f>92.2*$B$2</f>
        <v>60483.200000000004</v>
      </c>
      <c r="E627" s="1377">
        <f t="shared" si="72"/>
        <v>0</v>
      </c>
      <c r="F627" s="1409"/>
      <c r="G627" s="1375" t="s">
        <v>959</v>
      </c>
      <c r="H627" s="1630" t="s">
        <v>1084</v>
      </c>
      <c r="I627" s="1433">
        <f>VLOOKUP(H621,'CNKT '!$C$16:$Z$96,15,0)</f>
        <v>0</v>
      </c>
      <c r="J627" s="1380">
        <f>92.2*$B$2</f>
        <v>60483.200000000004</v>
      </c>
      <c r="K627" s="1377">
        <f t="shared" si="73"/>
        <v>0</v>
      </c>
      <c r="L627" s="1410"/>
      <c r="M627" s="1328"/>
      <c r="N627" s="1411"/>
    </row>
    <row r="628" spans="1:14" s="31" customFormat="1" ht="17.25" customHeight="1">
      <c r="A628" s="1375" t="s">
        <v>960</v>
      </c>
      <c r="B628" s="1630" t="s">
        <v>964</v>
      </c>
      <c r="C628" s="1433">
        <f>VLOOKUP(B621,'CNKT '!$C$16:$Z$96,16,0)</f>
        <v>0</v>
      </c>
      <c r="D628" s="1379">
        <f>153.8*$B$2</f>
        <v>100892.8</v>
      </c>
      <c r="E628" s="1377">
        <f t="shared" si="72"/>
        <v>0</v>
      </c>
      <c r="F628" s="1409"/>
      <c r="G628" s="1375" t="s">
        <v>960</v>
      </c>
      <c r="H628" s="1630" t="s">
        <v>964</v>
      </c>
      <c r="I628" s="1433">
        <f>VLOOKUP(H621,'CNKT '!$C$16:$Z$96,16,0)</f>
        <v>0</v>
      </c>
      <c r="J628" s="1379">
        <f>153.8*$B$2</f>
        <v>100892.8</v>
      </c>
      <c r="K628" s="1377">
        <f t="shared" si="73"/>
        <v>0</v>
      </c>
      <c r="L628" s="1410"/>
      <c r="M628" s="1328"/>
      <c r="N628" s="1411"/>
    </row>
    <row r="629" spans="1:14" s="31" customFormat="1" ht="17.25" customHeight="1">
      <c r="A629" s="1375" t="s">
        <v>899</v>
      </c>
      <c r="B629" s="1630" t="s">
        <v>965</v>
      </c>
      <c r="C629" s="1433">
        <f>VLOOKUP(B621,'CNKT '!$C$16:$Z$96,18,0)</f>
        <v>0</v>
      </c>
      <c r="D629" s="1379">
        <v>10000</v>
      </c>
      <c r="E629" s="1377">
        <f>C629*D629</f>
        <v>0</v>
      </c>
      <c r="F629" s="1409"/>
      <c r="G629" s="1375" t="s">
        <v>899</v>
      </c>
      <c r="H629" s="1630" t="s">
        <v>965</v>
      </c>
      <c r="I629" s="1433">
        <f>VLOOKUP(H621,'CNKT '!$C$16:$Z$96,18,0)</f>
        <v>0</v>
      </c>
      <c r="J629" s="1379">
        <v>10000</v>
      </c>
      <c r="K629" s="1377">
        <f>I629*J629</f>
        <v>0</v>
      </c>
      <c r="L629" s="1410"/>
      <c r="M629" s="1328"/>
      <c r="N629" s="1411"/>
    </row>
    <row r="630" spans="1:14" s="31" customFormat="1" ht="17.25" customHeight="1">
      <c r="A630" s="1375" t="s">
        <v>899</v>
      </c>
      <c r="B630" s="1630" t="s">
        <v>965</v>
      </c>
      <c r="C630" s="1433">
        <f>VLOOKUP(B621,'CNKT '!$C$16:$Z$96,19,0)</f>
        <v>0</v>
      </c>
      <c r="D630" s="1379">
        <v>20000</v>
      </c>
      <c r="E630" s="1377">
        <f>C630*D630</f>
        <v>0</v>
      </c>
      <c r="F630" s="1409"/>
      <c r="G630" s="1375" t="s">
        <v>899</v>
      </c>
      <c r="H630" s="1630" t="s">
        <v>965</v>
      </c>
      <c r="I630" s="1433">
        <f>VLOOKUP(H621,'CNKT '!$C$16:$Z$96,19,0)</f>
        <v>0</v>
      </c>
      <c r="J630" s="1379">
        <v>20000</v>
      </c>
      <c r="K630" s="1377">
        <f>I630*J630</f>
        <v>0</v>
      </c>
      <c r="L630" s="1410"/>
      <c r="M630" s="1328"/>
      <c r="N630" s="1411"/>
    </row>
    <row r="631" spans="1:14" s="31" customFormat="1" ht="17.25" customHeight="1">
      <c r="A631" s="1375" t="s">
        <v>995</v>
      </c>
      <c r="B631" s="1630" t="s">
        <v>997</v>
      </c>
      <c r="C631" s="1433"/>
      <c r="D631" s="1379"/>
      <c r="E631" s="1377"/>
      <c r="F631" s="1409"/>
      <c r="G631" s="1375" t="s">
        <v>995</v>
      </c>
      <c r="H631" s="1630" t="s">
        <v>997</v>
      </c>
      <c r="I631" s="1433"/>
      <c r="J631" s="1379"/>
      <c r="K631" s="1377"/>
      <c r="L631" s="1410"/>
      <c r="M631" s="1328"/>
      <c r="N631" s="1411"/>
    </row>
    <row r="632" spans="1:14" s="31" customFormat="1" ht="17.25" customHeight="1">
      <c r="A632" s="1381" t="s">
        <v>123</v>
      </c>
      <c r="B632" s="1631" t="s">
        <v>1085</v>
      </c>
      <c r="C632" s="1382"/>
      <c r="D632" s="1383"/>
      <c r="E632" s="1382"/>
      <c r="F632" s="1409"/>
      <c r="G632" s="1381" t="s">
        <v>123</v>
      </c>
      <c r="H632" s="1631" t="s">
        <v>1085</v>
      </c>
      <c r="I632" s="1382"/>
      <c r="J632" s="1383"/>
      <c r="K632" s="1382"/>
      <c r="L632" s="1410"/>
      <c r="M632" s="1328"/>
      <c r="N632" s="1411"/>
    </row>
    <row r="633" spans="1:14" s="31" customFormat="1" ht="17.25" customHeight="1">
      <c r="A633" s="1384" t="s">
        <v>124</v>
      </c>
      <c r="B633" s="1632" t="s">
        <v>1086</v>
      </c>
      <c r="C633" s="1382"/>
      <c r="D633" s="1382"/>
      <c r="E633" s="1382"/>
      <c r="F633" s="1409"/>
      <c r="G633" s="1384" t="s">
        <v>124</v>
      </c>
      <c r="H633" s="1632" t="s">
        <v>1086</v>
      </c>
      <c r="I633" s="1382"/>
      <c r="J633" s="1382"/>
      <c r="K633" s="1382"/>
      <c r="L633" s="1410"/>
      <c r="M633" s="1328"/>
      <c r="N633" s="1411"/>
    </row>
    <row r="634" spans="1:14" s="31" customFormat="1" ht="17.25" customHeight="1">
      <c r="A634" s="1384" t="s">
        <v>125</v>
      </c>
      <c r="B634" s="1633" t="s">
        <v>1087</v>
      </c>
      <c r="C634" s="1382"/>
      <c r="D634" s="1382"/>
      <c r="E634" s="1377">
        <f>SUM(E633)</f>
        <v>0</v>
      </c>
      <c r="F634" s="1409"/>
      <c r="G634" s="1384" t="s">
        <v>125</v>
      </c>
      <c r="H634" s="1633" t="s">
        <v>1087</v>
      </c>
      <c r="I634" s="1382"/>
      <c r="J634" s="1382"/>
      <c r="K634" s="1377">
        <f>SUM(K633)</f>
        <v>0</v>
      </c>
      <c r="L634" s="1410"/>
      <c r="M634" s="1385">
        <f>E634+K634</f>
        <v>0</v>
      </c>
      <c r="N634" s="1411"/>
    </row>
    <row r="635" spans="1:14" s="31" customFormat="1" ht="17.25" customHeight="1">
      <c r="A635" s="1386" t="s">
        <v>126</v>
      </c>
      <c r="B635" s="1634" t="s">
        <v>871</v>
      </c>
      <c r="C635" s="1387"/>
      <c r="D635" s="1387"/>
      <c r="E635" s="1387">
        <f>(E623+E624+E625+E626+E627+E628+E629+E630+E631)-E634</f>
        <v>0</v>
      </c>
      <c r="F635" s="1409"/>
      <c r="G635" s="1386" t="s">
        <v>126</v>
      </c>
      <c r="H635" s="1634" t="s">
        <v>871</v>
      </c>
      <c r="I635" s="1387"/>
      <c r="J635" s="1387"/>
      <c r="K635" s="1387">
        <f>(K623+K624+K625+K626+K627+K628+K629+K630+K631)-K634</f>
        <v>0</v>
      </c>
      <c r="L635" s="1389">
        <f>E635+K635</f>
        <v>0</v>
      </c>
      <c r="M635" s="1328"/>
      <c r="N635" s="1411"/>
    </row>
    <row r="636" spans="1:14" s="31" customFormat="1" ht="17.25" customHeight="1">
      <c r="A636" s="1392"/>
      <c r="B636" s="1398"/>
      <c r="C636" s="1399"/>
      <c r="D636" s="1399"/>
      <c r="E636" s="1397"/>
      <c r="F636" s="1409"/>
      <c r="G636" s="1392"/>
      <c r="H636" s="1398"/>
      <c r="I636" s="1399"/>
      <c r="J636" s="1397"/>
      <c r="K636" s="1624"/>
      <c r="L636" s="1410"/>
      <c r="M636" s="1328"/>
      <c r="N636" s="1411"/>
    </row>
    <row r="637" spans="1:14" s="31" customFormat="1" ht="187.5" customHeight="1">
      <c r="A637" s="1392"/>
      <c r="B637" s="1398"/>
      <c r="C637" s="1399"/>
      <c r="D637" s="1399"/>
      <c r="E637" s="1397"/>
      <c r="F637" s="1409"/>
      <c r="G637" s="1392"/>
      <c r="H637" s="1398"/>
      <c r="I637" s="1399"/>
      <c r="J637" s="1397"/>
      <c r="K637" s="1624"/>
      <c r="L637" s="1410"/>
      <c r="M637" s="1328"/>
      <c r="N637" s="1411"/>
    </row>
    <row r="638" spans="1:14" s="31" customFormat="1" ht="17.25" customHeight="1">
      <c r="A638" s="2182" t="str">
        <f>A620</f>
        <v>LƯƠNG THÁNG 01/2025</v>
      </c>
      <c r="B638" s="2183"/>
      <c r="C638" s="2183"/>
      <c r="D638" s="2183"/>
      <c r="E638" s="1452">
        <v>75</v>
      </c>
      <c r="F638" s="1409"/>
      <c r="G638" s="2182" t="str">
        <f>A638</f>
        <v>LƯƠNG THÁNG 01/2025</v>
      </c>
      <c r="H638" s="2183"/>
      <c r="I638" s="2183"/>
      <c r="J638" s="2184"/>
      <c r="K638" s="1452">
        <v>76</v>
      </c>
      <c r="L638" s="1410"/>
      <c r="M638" s="1328"/>
      <c r="N638" s="1411"/>
    </row>
    <row r="639" spans="1:14" s="31" customFormat="1" ht="17.25" customHeight="1">
      <c r="A639" s="1391" t="s">
        <v>29</v>
      </c>
      <c r="B639" s="1626" t="str">
        <f>'CNKT '!C90</f>
        <v>T.Trí</v>
      </c>
      <c r="C639" s="1373"/>
      <c r="D639" s="1623" t="s">
        <v>806</v>
      </c>
      <c r="E639" s="1623" t="s">
        <v>32</v>
      </c>
      <c r="F639" s="1409"/>
      <c r="G639" s="1391" t="s">
        <v>29</v>
      </c>
      <c r="H639" s="1626" t="str">
        <f>'CNKT '!C91</f>
        <v>T. Ngân</v>
      </c>
      <c r="I639" s="1373"/>
      <c r="J639" s="1623" t="s">
        <v>806</v>
      </c>
      <c r="K639" s="1623" t="s">
        <v>32</v>
      </c>
      <c r="L639" s="1410"/>
      <c r="M639" s="1328"/>
      <c r="N639" s="1411"/>
    </row>
    <row r="640" spans="1:14" s="31" customFormat="1" ht="17.25" customHeight="1">
      <c r="A640" s="1375" t="s">
        <v>807</v>
      </c>
      <c r="B640" s="1628" t="s">
        <v>1080</v>
      </c>
      <c r="C640" s="1376" t="str">
        <f>VLOOKUP(B639,'BTH mủ tạp'!$C$15:$AL$92,36,0)</f>
        <v>C.</v>
      </c>
      <c r="D640" s="1377"/>
      <c r="E640" s="1377"/>
      <c r="F640" s="1409"/>
      <c r="G640" s="1375" t="s">
        <v>807</v>
      </c>
      <c r="H640" s="1628" t="s">
        <v>1080</v>
      </c>
      <c r="I640" s="1376" t="str">
        <f>VLOOKUP(H639,'BTH mủ tạp'!$C$15:$AL$92,36,0)</f>
        <v>C.</v>
      </c>
      <c r="J640" s="1377"/>
      <c r="K640" s="1377"/>
      <c r="L640" s="1410"/>
      <c r="M640" s="1328"/>
      <c r="N640" s="1411"/>
    </row>
    <row r="641" spans="1:14" s="31" customFormat="1" ht="17.25" customHeight="1">
      <c r="A641" s="1375" t="s">
        <v>121</v>
      </c>
      <c r="B641" s="1629" t="s">
        <v>865</v>
      </c>
      <c r="C641" s="1378">
        <f>VLOOKUP(B639,'CNKT '!$C$16:$Z$96,3,0)</f>
        <v>0</v>
      </c>
      <c r="D641" s="1379">
        <v>25000</v>
      </c>
      <c r="E641" s="1377">
        <f>C641*D641</f>
        <v>0</v>
      </c>
      <c r="F641" s="1409"/>
      <c r="G641" s="1375" t="s">
        <v>121</v>
      </c>
      <c r="H641" s="1629" t="s">
        <v>865</v>
      </c>
      <c r="I641" s="1378">
        <f>VLOOKUP(H639,'CNKT '!$C$16:$Z$96,3,0)</f>
        <v>0</v>
      </c>
      <c r="J641" s="1379">
        <v>25000</v>
      </c>
      <c r="K641" s="1377">
        <f>I641*J641</f>
        <v>0</v>
      </c>
      <c r="L641" s="1410"/>
      <c r="M641" s="1328"/>
      <c r="N641" s="1411"/>
    </row>
    <row r="642" spans="1:14" s="31" customFormat="1" ht="17.25" customHeight="1">
      <c r="A642" s="1375" t="s">
        <v>628</v>
      </c>
      <c r="B642" s="1630" t="s">
        <v>1081</v>
      </c>
      <c r="C642" s="1433">
        <f>VLOOKUP(B639,'CNKT '!$C$16:$Z$96,11,0)</f>
        <v>0</v>
      </c>
      <c r="D642" s="1380">
        <f>46.1*$B$2</f>
        <v>30241.600000000002</v>
      </c>
      <c r="E642" s="1377">
        <f t="shared" ref="E642:E646" si="74">C642*D642</f>
        <v>0</v>
      </c>
      <c r="F642" s="1409"/>
      <c r="G642" s="1375" t="s">
        <v>628</v>
      </c>
      <c r="H642" s="1630" t="s">
        <v>1081</v>
      </c>
      <c r="I642" s="1433">
        <f>VLOOKUP(H639,'CNKT '!$C$16:$Z$96,11,0)</f>
        <v>0</v>
      </c>
      <c r="J642" s="1380">
        <f>46.1*$B$2</f>
        <v>30241.600000000002</v>
      </c>
      <c r="K642" s="1377">
        <f t="shared" ref="K642:K646" si="75">I642*J642</f>
        <v>0</v>
      </c>
      <c r="L642" s="1410"/>
      <c r="M642" s="1328"/>
      <c r="N642" s="1411"/>
    </row>
    <row r="643" spans="1:14" s="31" customFormat="1" ht="17.25" customHeight="1">
      <c r="A643" s="1375" t="s">
        <v>809</v>
      </c>
      <c r="B643" s="1630" t="s">
        <v>1082</v>
      </c>
      <c r="C643" s="1433">
        <f>VLOOKUP(B639,'CNKT '!$C$16:$Z$96,12,0)</f>
        <v>0</v>
      </c>
      <c r="D643" s="1379">
        <f>76.9*$B$2</f>
        <v>50446.400000000001</v>
      </c>
      <c r="E643" s="1377">
        <f t="shared" si="74"/>
        <v>0</v>
      </c>
      <c r="F643" s="1409"/>
      <c r="G643" s="1375" t="s">
        <v>809</v>
      </c>
      <c r="H643" s="1630" t="s">
        <v>1082</v>
      </c>
      <c r="I643" s="1433">
        <f>VLOOKUP(H639,'CNKT '!$C$16:$Z$96,12,0)</f>
        <v>0</v>
      </c>
      <c r="J643" s="1379">
        <f>76.9*$B$2</f>
        <v>50446.400000000001</v>
      </c>
      <c r="K643" s="1377">
        <f t="shared" si="75"/>
        <v>0</v>
      </c>
      <c r="L643" s="1410"/>
      <c r="M643" s="1328"/>
      <c r="N643" s="1411"/>
    </row>
    <row r="644" spans="1:14" s="31" customFormat="1" ht="17.25" customHeight="1">
      <c r="A644" s="1375" t="s">
        <v>122</v>
      </c>
      <c r="B644" s="1630" t="s">
        <v>1083</v>
      </c>
      <c r="C644" s="1433">
        <f>VLOOKUP(B639,'CNKT '!$C$16:$Z$96,8,0)</f>
        <v>0</v>
      </c>
      <c r="D644" s="1379">
        <f>IF(C640="A",6.1,IF(C640="B",5.8,IF(C640="C",5.5,IF(C640="C.",5.5,IF(C640="D",5.2)))))*$B$2</f>
        <v>3608</v>
      </c>
      <c r="E644" s="1377">
        <f t="shared" si="74"/>
        <v>0</v>
      </c>
      <c r="F644" s="1409"/>
      <c r="G644" s="1375" t="s">
        <v>122</v>
      </c>
      <c r="H644" s="1630" t="s">
        <v>1083</v>
      </c>
      <c r="I644" s="1433">
        <f>VLOOKUP(H639,'CNKT '!$C$16:$Z$96,8,0)</f>
        <v>0</v>
      </c>
      <c r="J644" s="1379">
        <f>IF(I640="A",6.1,IF(I640="B",5.8,IF(I640="C",5.5,IF(I640="C.",5.5,IF(I640="D",5.2)))))*$B$2</f>
        <v>3608</v>
      </c>
      <c r="K644" s="1377">
        <f t="shared" si="75"/>
        <v>0</v>
      </c>
      <c r="L644" s="1410"/>
      <c r="M644" s="1328"/>
      <c r="N644" s="1411"/>
    </row>
    <row r="645" spans="1:14" s="31" customFormat="1" ht="17.25" customHeight="1">
      <c r="A645" s="1375" t="s">
        <v>959</v>
      </c>
      <c r="B645" s="1630" t="s">
        <v>1084</v>
      </c>
      <c r="C645" s="1433">
        <f>VLOOKUP(B639,'CNKT '!$C$16:$Z$96,15,0)</f>
        <v>0</v>
      </c>
      <c r="D645" s="1380">
        <f>92.2*$B$2</f>
        <v>60483.200000000004</v>
      </c>
      <c r="E645" s="1377">
        <f t="shared" si="74"/>
        <v>0</v>
      </c>
      <c r="F645" s="1409"/>
      <c r="G645" s="1375" t="s">
        <v>959</v>
      </c>
      <c r="H645" s="1630" t="s">
        <v>1084</v>
      </c>
      <c r="I645" s="1433">
        <f>VLOOKUP(H639,'CNKT '!$C$16:$Z$96,15,0)</f>
        <v>0</v>
      </c>
      <c r="J645" s="1380">
        <f>92.2*$B$2</f>
        <v>60483.200000000004</v>
      </c>
      <c r="K645" s="1377">
        <f t="shared" si="75"/>
        <v>0</v>
      </c>
      <c r="L645" s="1410"/>
      <c r="M645" s="1328"/>
      <c r="N645" s="1411"/>
    </row>
    <row r="646" spans="1:14" s="31" customFormat="1" ht="17.25" customHeight="1">
      <c r="A646" s="1375" t="s">
        <v>960</v>
      </c>
      <c r="B646" s="1630" t="s">
        <v>964</v>
      </c>
      <c r="C646" s="1433">
        <f>VLOOKUP(B639,'CNKT '!$C$16:$Z$96,16,0)</f>
        <v>0</v>
      </c>
      <c r="D646" s="1379">
        <f>153.8*$B$2</f>
        <v>100892.8</v>
      </c>
      <c r="E646" s="1377">
        <f t="shared" si="74"/>
        <v>0</v>
      </c>
      <c r="F646" s="1409"/>
      <c r="G646" s="1375" t="s">
        <v>960</v>
      </c>
      <c r="H646" s="1630" t="s">
        <v>964</v>
      </c>
      <c r="I646" s="1433">
        <f>VLOOKUP(H639,'CNKT '!$C$16:$Z$96,16,0)</f>
        <v>0</v>
      </c>
      <c r="J646" s="1379">
        <f>153.8*$B$2</f>
        <v>100892.8</v>
      </c>
      <c r="K646" s="1377">
        <f t="shared" si="75"/>
        <v>0</v>
      </c>
      <c r="L646" s="1410"/>
      <c r="M646" s="1328"/>
      <c r="N646" s="1411"/>
    </row>
    <row r="647" spans="1:14" s="31" customFormat="1" ht="17.25" customHeight="1">
      <c r="A647" s="1375" t="s">
        <v>899</v>
      </c>
      <c r="B647" s="1630" t="s">
        <v>965</v>
      </c>
      <c r="C647" s="1433">
        <f>VLOOKUP(B639,'CNKT '!$C$16:$Z$96,18,0)</f>
        <v>0</v>
      </c>
      <c r="D647" s="1379">
        <v>10000</v>
      </c>
      <c r="E647" s="1377">
        <f>C647*D647</f>
        <v>0</v>
      </c>
      <c r="F647" s="1409"/>
      <c r="G647" s="1375" t="s">
        <v>899</v>
      </c>
      <c r="H647" s="1630" t="s">
        <v>965</v>
      </c>
      <c r="I647" s="1433">
        <f>VLOOKUP(H639,'CNKT '!$C$16:$Z$96,18,0)</f>
        <v>0</v>
      </c>
      <c r="J647" s="1379">
        <v>10000</v>
      </c>
      <c r="K647" s="1377">
        <f>I647*J647</f>
        <v>0</v>
      </c>
      <c r="L647" s="1410"/>
      <c r="M647" s="1328"/>
      <c r="N647" s="1411"/>
    </row>
    <row r="648" spans="1:14" s="31" customFormat="1" ht="17.25" customHeight="1">
      <c r="A648" s="1375" t="s">
        <v>899</v>
      </c>
      <c r="B648" s="1630" t="s">
        <v>965</v>
      </c>
      <c r="C648" s="1433">
        <f>VLOOKUP(B639,'CNKT '!$C$16:$Z$96,19,0)</f>
        <v>0</v>
      </c>
      <c r="D648" s="1379">
        <v>20000</v>
      </c>
      <c r="E648" s="1377">
        <f>C648*D648</f>
        <v>0</v>
      </c>
      <c r="F648" s="1409"/>
      <c r="G648" s="1375" t="s">
        <v>899</v>
      </c>
      <c r="H648" s="1630" t="s">
        <v>965</v>
      </c>
      <c r="I648" s="1433">
        <f>VLOOKUP(H639,'CNKT '!$C$16:$Z$96,19,0)</f>
        <v>0</v>
      </c>
      <c r="J648" s="1379">
        <v>20000</v>
      </c>
      <c r="K648" s="1377">
        <f>I648*J648</f>
        <v>0</v>
      </c>
      <c r="L648" s="1410"/>
      <c r="M648" s="1328"/>
      <c r="N648" s="1411"/>
    </row>
    <row r="649" spans="1:14" s="31" customFormat="1" ht="17.25" customHeight="1">
      <c r="A649" s="1375" t="s">
        <v>995</v>
      </c>
      <c r="B649" s="1630" t="s">
        <v>997</v>
      </c>
      <c r="C649" s="1433"/>
      <c r="D649" s="1379"/>
      <c r="E649" s="1377"/>
      <c r="F649" s="1409"/>
      <c r="G649" s="1375" t="s">
        <v>995</v>
      </c>
      <c r="H649" s="1630" t="s">
        <v>997</v>
      </c>
      <c r="I649" s="1433"/>
      <c r="J649" s="1379"/>
      <c r="K649" s="1377"/>
      <c r="L649" s="1410"/>
      <c r="M649" s="1328"/>
      <c r="N649" s="1411"/>
    </row>
    <row r="650" spans="1:14" s="31" customFormat="1" ht="17.25" customHeight="1">
      <c r="A650" s="1381" t="s">
        <v>123</v>
      </c>
      <c r="B650" s="1631" t="s">
        <v>1085</v>
      </c>
      <c r="C650" s="1382"/>
      <c r="D650" s="1383"/>
      <c r="E650" s="1382"/>
      <c r="F650" s="1409"/>
      <c r="G650" s="1381" t="s">
        <v>123</v>
      </c>
      <c r="H650" s="1631" t="s">
        <v>1085</v>
      </c>
      <c r="I650" s="1382"/>
      <c r="J650" s="1383"/>
      <c r="K650" s="1382"/>
      <c r="L650" s="1410"/>
      <c r="M650" s="1328"/>
      <c r="N650" s="1411"/>
    </row>
    <row r="651" spans="1:14" s="31" customFormat="1" ht="17.25" customHeight="1">
      <c r="A651" s="1384" t="s">
        <v>124</v>
      </c>
      <c r="B651" s="1632" t="s">
        <v>1086</v>
      </c>
      <c r="C651" s="1382"/>
      <c r="D651" s="1382"/>
      <c r="E651" s="1382"/>
      <c r="F651" s="1409"/>
      <c r="G651" s="1384" t="s">
        <v>124</v>
      </c>
      <c r="H651" s="1632" t="s">
        <v>1086</v>
      </c>
      <c r="I651" s="1382"/>
      <c r="J651" s="1382"/>
      <c r="K651" s="1382"/>
      <c r="L651" s="1389">
        <f>E651+K651</f>
        <v>0</v>
      </c>
      <c r="M651" s="1328"/>
      <c r="N651" s="1411"/>
    </row>
    <row r="652" spans="1:14" s="31" customFormat="1" ht="17.25" customHeight="1">
      <c r="A652" s="1384" t="s">
        <v>125</v>
      </c>
      <c r="B652" s="1633" t="s">
        <v>1087</v>
      </c>
      <c r="C652" s="1382"/>
      <c r="D652" s="1382"/>
      <c r="E652" s="1377">
        <f>SUM(E651)</f>
        <v>0</v>
      </c>
      <c r="F652" s="1409"/>
      <c r="G652" s="1384" t="s">
        <v>125</v>
      </c>
      <c r="H652" s="1633" t="s">
        <v>1087</v>
      </c>
      <c r="I652" s="1382"/>
      <c r="J652" s="1382"/>
      <c r="K652" s="1377">
        <f>SUM(K651)</f>
        <v>0</v>
      </c>
      <c r="L652" s="1410"/>
      <c r="M652" s="1385">
        <f>E652+K652</f>
        <v>0</v>
      </c>
      <c r="N652" s="1411"/>
    </row>
    <row r="653" spans="1:14" s="31" customFormat="1" ht="17.25" customHeight="1">
      <c r="A653" s="1386" t="s">
        <v>126</v>
      </c>
      <c r="B653" s="1634" t="s">
        <v>871</v>
      </c>
      <c r="C653" s="1387"/>
      <c r="D653" s="1387"/>
      <c r="E653" s="1387">
        <f>(E641+E642+E643+E644+E645+E646+E647+E648+E649)-E652</f>
        <v>0</v>
      </c>
      <c r="F653" s="1409"/>
      <c r="G653" s="1386" t="s">
        <v>126</v>
      </c>
      <c r="H653" s="1634" t="s">
        <v>871</v>
      </c>
      <c r="I653" s="1387"/>
      <c r="J653" s="1387"/>
      <c r="K653" s="1387">
        <f>(K641+K642+K643+K644+K645+K646+K647+K648+K649)-K652</f>
        <v>0</v>
      </c>
      <c r="L653" s="1389">
        <f>E653+K653</f>
        <v>0</v>
      </c>
      <c r="M653" s="1328"/>
      <c r="N653" s="1411"/>
    </row>
    <row r="654" spans="1:14" s="31" customFormat="1" ht="17.25" customHeight="1">
      <c r="A654" s="1392"/>
      <c r="B654" s="1398"/>
      <c r="C654" s="1399"/>
      <c r="D654" s="1399"/>
      <c r="E654" s="1397"/>
      <c r="F654" s="1409"/>
      <c r="G654" s="1392"/>
      <c r="H654" s="1398"/>
      <c r="I654" s="1399"/>
      <c r="J654" s="1397"/>
      <c r="K654" s="1624"/>
      <c r="L654" s="1410"/>
      <c r="M654" s="1328"/>
      <c r="N654" s="1411"/>
    </row>
    <row r="655" spans="1:14" s="31" customFormat="1" ht="17.25" customHeight="1">
      <c r="A655" s="2182" t="str">
        <f>A638</f>
        <v>LƯƠNG THÁNG 01/2025</v>
      </c>
      <c r="B655" s="2183"/>
      <c r="C655" s="2183"/>
      <c r="D655" s="2183"/>
      <c r="E655" s="1452">
        <v>77</v>
      </c>
      <c r="F655" s="1409"/>
      <c r="G655" s="2182" t="str">
        <f>A655</f>
        <v>LƯƠNG THÁNG 01/2025</v>
      </c>
      <c r="H655" s="2183"/>
      <c r="I655" s="2183"/>
      <c r="J655" s="2184"/>
      <c r="K655" s="1452">
        <v>78</v>
      </c>
      <c r="L655" s="1410"/>
      <c r="M655" s="1328"/>
      <c r="N655" s="1411"/>
    </row>
    <row r="656" spans="1:14" s="31" customFormat="1" ht="17.25" customHeight="1">
      <c r="A656" s="1391" t="s">
        <v>29</v>
      </c>
      <c r="B656" s="1626" t="str">
        <f>'CNKT '!C92</f>
        <v>T.Pu</v>
      </c>
      <c r="C656" s="1373"/>
      <c r="D656" s="1623" t="s">
        <v>806</v>
      </c>
      <c r="E656" s="1623" t="s">
        <v>32</v>
      </c>
      <c r="F656" s="1409"/>
      <c r="G656" s="1391" t="s">
        <v>29</v>
      </c>
      <c r="H656" s="1626" t="str">
        <f>'CNKT '!C93</f>
        <v>T.Ta</v>
      </c>
      <c r="I656" s="1373"/>
      <c r="J656" s="1623" t="s">
        <v>806</v>
      </c>
      <c r="K656" s="1623" t="s">
        <v>32</v>
      </c>
      <c r="L656" s="1410"/>
      <c r="M656" s="1328"/>
      <c r="N656" s="1411"/>
    </row>
    <row r="657" spans="1:14" s="31" customFormat="1" ht="17.25" customHeight="1">
      <c r="A657" s="1375" t="s">
        <v>807</v>
      </c>
      <c r="B657" s="1628" t="s">
        <v>1080</v>
      </c>
      <c r="C657" s="1376" t="str">
        <f>VLOOKUP(B656,'BTH mủ tạp'!$C$15:$AL$92,36,0)</f>
        <v>C.</v>
      </c>
      <c r="D657" s="1377"/>
      <c r="E657" s="1377"/>
      <c r="F657" s="1409"/>
      <c r="G657" s="1375" t="s">
        <v>807</v>
      </c>
      <c r="H657" s="1628" t="s">
        <v>1080</v>
      </c>
      <c r="I657" s="1376" t="str">
        <f>VLOOKUP(H656,'BTH mủ tạp'!$C$15:$AL$92,36,0)</f>
        <v>C.</v>
      </c>
      <c r="J657" s="1377"/>
      <c r="K657" s="1377"/>
      <c r="L657" s="1410"/>
      <c r="M657" s="1328"/>
      <c r="N657" s="1411"/>
    </row>
    <row r="658" spans="1:14" s="31" customFormat="1" ht="17.25" customHeight="1">
      <c r="A658" s="1375" t="s">
        <v>121</v>
      </c>
      <c r="B658" s="1629" t="s">
        <v>865</v>
      </c>
      <c r="C658" s="1378">
        <f>VLOOKUP(B656,'CNKT '!$C$16:$Z$96,3,0)</f>
        <v>0</v>
      </c>
      <c r="D658" s="1379">
        <v>25000</v>
      </c>
      <c r="E658" s="1377">
        <f>C658*D658</f>
        <v>0</v>
      </c>
      <c r="F658" s="1409"/>
      <c r="G658" s="1375" t="s">
        <v>121</v>
      </c>
      <c r="H658" s="1629" t="s">
        <v>865</v>
      </c>
      <c r="I658" s="1378">
        <f>VLOOKUP(H656,'CNKT '!$C$16:$Z$96,3,0)</f>
        <v>0</v>
      </c>
      <c r="J658" s="1379">
        <v>25000</v>
      </c>
      <c r="K658" s="1377">
        <f>I658*J658</f>
        <v>0</v>
      </c>
      <c r="L658" s="1410"/>
      <c r="M658" s="1328"/>
      <c r="N658" s="1411"/>
    </row>
    <row r="659" spans="1:14" s="31" customFormat="1" ht="17.25" customHeight="1">
      <c r="A659" s="1375" t="s">
        <v>628</v>
      </c>
      <c r="B659" s="1630" t="s">
        <v>1081</v>
      </c>
      <c r="C659" s="1433">
        <f>VLOOKUP(B656,'CNKT '!$C$16:$Z$96,11,0)</f>
        <v>0</v>
      </c>
      <c r="D659" s="1380">
        <f>46.1*$B$2</f>
        <v>30241.600000000002</v>
      </c>
      <c r="E659" s="1377">
        <f t="shared" ref="E659:E663" si="76">C659*D659</f>
        <v>0</v>
      </c>
      <c r="F659" s="1409"/>
      <c r="G659" s="1375" t="s">
        <v>628</v>
      </c>
      <c r="H659" s="1630" t="s">
        <v>1081</v>
      </c>
      <c r="I659" s="1433">
        <f>VLOOKUP(H656,'CNKT '!$C$16:$Z$96,11,0)</f>
        <v>0</v>
      </c>
      <c r="J659" s="1380">
        <f>46.1*$B$2</f>
        <v>30241.600000000002</v>
      </c>
      <c r="K659" s="1377">
        <f t="shared" ref="K659:K663" si="77">I659*J659</f>
        <v>0</v>
      </c>
      <c r="L659" s="1410"/>
      <c r="M659" s="1328"/>
      <c r="N659" s="1411"/>
    </row>
    <row r="660" spans="1:14" s="31" customFormat="1" ht="17.25" customHeight="1">
      <c r="A660" s="1375" t="s">
        <v>809</v>
      </c>
      <c r="B660" s="1630" t="s">
        <v>1082</v>
      </c>
      <c r="C660" s="1433">
        <f>VLOOKUP(B656,'CNKT '!$C$16:$Z$96,12,0)</f>
        <v>0</v>
      </c>
      <c r="D660" s="1379">
        <f>76.9*$B$2</f>
        <v>50446.400000000001</v>
      </c>
      <c r="E660" s="1377">
        <f t="shared" si="76"/>
        <v>0</v>
      </c>
      <c r="F660" s="1409"/>
      <c r="G660" s="1375" t="s">
        <v>809</v>
      </c>
      <c r="H660" s="1630" t="s">
        <v>1082</v>
      </c>
      <c r="I660" s="1433">
        <f>VLOOKUP(H656,'CNKT '!$C$16:$Z$96,12,0)</f>
        <v>0</v>
      </c>
      <c r="J660" s="1379">
        <f>76.9*$B$2</f>
        <v>50446.400000000001</v>
      </c>
      <c r="K660" s="1377">
        <f t="shared" si="77"/>
        <v>0</v>
      </c>
      <c r="L660" s="1410"/>
      <c r="M660" s="1328"/>
      <c r="N660" s="1411"/>
    </row>
    <row r="661" spans="1:14" s="31" customFormat="1" ht="17.25" customHeight="1">
      <c r="A661" s="1375" t="s">
        <v>122</v>
      </c>
      <c r="B661" s="1630" t="s">
        <v>1083</v>
      </c>
      <c r="C661" s="1433">
        <f>VLOOKUP(B656,'CNKT '!$C$16:$Z$96,8,0)</f>
        <v>0</v>
      </c>
      <c r="D661" s="1379">
        <f>IF(C657="A",6.1,IF(C657="B",5.8,IF(C657="C",5.5,IF(C657="C.",5.5,IF(C657="D",5.2)))))*$B$2</f>
        <v>3608</v>
      </c>
      <c r="E661" s="1377">
        <f t="shared" si="76"/>
        <v>0</v>
      </c>
      <c r="F661" s="1409"/>
      <c r="G661" s="1375" t="s">
        <v>122</v>
      </c>
      <c r="H661" s="1630" t="s">
        <v>1083</v>
      </c>
      <c r="I661" s="1433">
        <f>VLOOKUP(H656,'CNKT '!$C$16:$Z$96,8,0)</f>
        <v>0</v>
      </c>
      <c r="J661" s="1379">
        <f>IF(I657="A",6.1,IF(I657="B",5.8,IF(I657="C",5.5,IF(I657="C.",5.5,IF(I657="D",5.2)))))*$B$2</f>
        <v>3608</v>
      </c>
      <c r="K661" s="1377">
        <f t="shared" si="77"/>
        <v>0</v>
      </c>
      <c r="L661" s="1410"/>
      <c r="M661" s="1328"/>
      <c r="N661" s="1411"/>
    </row>
    <row r="662" spans="1:14" s="31" customFormat="1" ht="17.25" customHeight="1">
      <c r="A662" s="1375" t="s">
        <v>959</v>
      </c>
      <c r="B662" s="1630" t="s">
        <v>1084</v>
      </c>
      <c r="C662" s="1433">
        <f>VLOOKUP(B656,'CNKT '!$C$16:$Z$96,15,0)</f>
        <v>0</v>
      </c>
      <c r="D662" s="1380">
        <f>92.2*$B$2</f>
        <v>60483.200000000004</v>
      </c>
      <c r="E662" s="1377">
        <f t="shared" si="76"/>
        <v>0</v>
      </c>
      <c r="F662" s="1409"/>
      <c r="G662" s="1375" t="s">
        <v>959</v>
      </c>
      <c r="H662" s="1630" t="s">
        <v>1084</v>
      </c>
      <c r="I662" s="1433">
        <f>VLOOKUP(H656,'CNKT '!$C$16:$Z$96,15,0)</f>
        <v>0</v>
      </c>
      <c r="J662" s="1380">
        <f>92.2*$B$2</f>
        <v>60483.200000000004</v>
      </c>
      <c r="K662" s="1377">
        <f t="shared" si="77"/>
        <v>0</v>
      </c>
      <c r="L662" s="1410"/>
      <c r="M662" s="1328"/>
      <c r="N662" s="1411"/>
    </row>
    <row r="663" spans="1:14" s="31" customFormat="1" ht="17.25" customHeight="1">
      <c r="A663" s="1375" t="s">
        <v>960</v>
      </c>
      <c r="B663" s="1630" t="s">
        <v>964</v>
      </c>
      <c r="C663" s="1433">
        <f>VLOOKUP(B656,'CNKT '!$C$16:$Z$96,16,0)</f>
        <v>0</v>
      </c>
      <c r="D663" s="1379">
        <f>153.8*$B$2</f>
        <v>100892.8</v>
      </c>
      <c r="E663" s="1377">
        <f t="shared" si="76"/>
        <v>0</v>
      </c>
      <c r="F663" s="1409"/>
      <c r="G663" s="1375" t="s">
        <v>960</v>
      </c>
      <c r="H663" s="1630" t="s">
        <v>964</v>
      </c>
      <c r="I663" s="1433">
        <f>VLOOKUP(H656,'CNKT '!$C$16:$Z$96,16,0)</f>
        <v>0</v>
      </c>
      <c r="J663" s="1379">
        <f>153.8*$B$2</f>
        <v>100892.8</v>
      </c>
      <c r="K663" s="1377">
        <f t="shared" si="77"/>
        <v>0</v>
      </c>
      <c r="L663" s="1410"/>
      <c r="M663" s="1328"/>
      <c r="N663" s="1411"/>
    </row>
    <row r="664" spans="1:14" s="31" customFormat="1" ht="17.25" customHeight="1">
      <c r="A664" s="1375" t="s">
        <v>899</v>
      </c>
      <c r="B664" s="1630" t="s">
        <v>965</v>
      </c>
      <c r="C664" s="1433">
        <f>VLOOKUP(B656,'CNKT '!$C$16:$Z$96,18,0)</f>
        <v>0</v>
      </c>
      <c r="D664" s="1379">
        <v>10000</v>
      </c>
      <c r="E664" s="1377">
        <f>C664*D664</f>
        <v>0</v>
      </c>
      <c r="F664" s="1409"/>
      <c r="G664" s="1375" t="s">
        <v>899</v>
      </c>
      <c r="H664" s="1630" t="s">
        <v>965</v>
      </c>
      <c r="I664" s="1433">
        <f>VLOOKUP(H656,'CNKT '!$C$16:$Z$96,18,0)</f>
        <v>0</v>
      </c>
      <c r="J664" s="1379">
        <v>10000</v>
      </c>
      <c r="K664" s="1377">
        <f>I664*J664</f>
        <v>0</v>
      </c>
      <c r="L664" s="1410"/>
      <c r="M664" s="1328"/>
      <c r="N664" s="1411"/>
    </row>
    <row r="665" spans="1:14" s="31" customFormat="1" ht="17.25" customHeight="1">
      <c r="A665" s="1375" t="s">
        <v>899</v>
      </c>
      <c r="B665" s="1630" t="s">
        <v>965</v>
      </c>
      <c r="C665" s="1433">
        <f>VLOOKUP(B656,'CNKT '!$C$16:$Z$96,19,0)</f>
        <v>0</v>
      </c>
      <c r="D665" s="1379">
        <v>20000</v>
      </c>
      <c r="E665" s="1377">
        <f>C665*D665</f>
        <v>0</v>
      </c>
      <c r="F665" s="1409"/>
      <c r="G665" s="1375" t="s">
        <v>899</v>
      </c>
      <c r="H665" s="1630" t="s">
        <v>965</v>
      </c>
      <c r="I665" s="1433">
        <f>VLOOKUP(H656,'CNKT '!$C$16:$Z$96,19,0)</f>
        <v>0</v>
      </c>
      <c r="J665" s="1379">
        <v>20000</v>
      </c>
      <c r="K665" s="1377">
        <f>I665*J665</f>
        <v>0</v>
      </c>
      <c r="L665" s="1410"/>
      <c r="M665" s="1328"/>
      <c r="N665" s="1411"/>
    </row>
    <row r="666" spans="1:14" s="31" customFormat="1" ht="17.25" customHeight="1">
      <c r="A666" s="1375" t="s">
        <v>995</v>
      </c>
      <c r="B666" s="1630" t="s">
        <v>997</v>
      </c>
      <c r="C666" s="1433"/>
      <c r="D666" s="1379"/>
      <c r="E666" s="1377"/>
      <c r="F666" s="1409"/>
      <c r="G666" s="1375" t="s">
        <v>995</v>
      </c>
      <c r="H666" s="1630" t="s">
        <v>997</v>
      </c>
      <c r="I666" s="1433"/>
      <c r="J666" s="1379"/>
      <c r="K666" s="1377"/>
      <c r="L666" s="1410"/>
      <c r="M666" s="1328"/>
      <c r="N666" s="1411"/>
    </row>
    <row r="667" spans="1:14" s="31" customFormat="1" ht="17.25" customHeight="1">
      <c r="A667" s="1381" t="s">
        <v>123</v>
      </c>
      <c r="B667" s="1631" t="s">
        <v>1085</v>
      </c>
      <c r="C667" s="1382"/>
      <c r="D667" s="1383"/>
      <c r="E667" s="1382"/>
      <c r="F667" s="1409"/>
      <c r="G667" s="1381" t="s">
        <v>123</v>
      </c>
      <c r="H667" s="1631" t="s">
        <v>1085</v>
      </c>
      <c r="I667" s="1382"/>
      <c r="J667" s="1383"/>
      <c r="K667" s="1382"/>
      <c r="L667" s="1410"/>
      <c r="M667" s="1328"/>
      <c r="N667" s="1411"/>
    </row>
    <row r="668" spans="1:14" s="31" customFormat="1" ht="17.25" customHeight="1">
      <c r="A668" s="1384" t="s">
        <v>124</v>
      </c>
      <c r="B668" s="1632" t="s">
        <v>1086</v>
      </c>
      <c r="C668" s="1382"/>
      <c r="D668" s="1382"/>
      <c r="E668" s="1382"/>
      <c r="F668" s="1409"/>
      <c r="G668" s="1384" t="s">
        <v>124</v>
      </c>
      <c r="H668" s="1632" t="s">
        <v>1086</v>
      </c>
      <c r="I668" s="1382"/>
      <c r="J668" s="1382"/>
      <c r="K668" s="1382"/>
      <c r="L668" s="1410"/>
      <c r="M668" s="1328"/>
      <c r="N668" s="1411"/>
    </row>
    <row r="669" spans="1:14" s="31" customFormat="1" ht="17.25" customHeight="1">
      <c r="A669" s="1384" t="s">
        <v>125</v>
      </c>
      <c r="B669" s="1633" t="s">
        <v>1087</v>
      </c>
      <c r="C669" s="1382"/>
      <c r="D669" s="1382"/>
      <c r="E669" s="1377">
        <f>SUM(E668)</f>
        <v>0</v>
      </c>
      <c r="F669" s="1409"/>
      <c r="G669" s="1384" t="s">
        <v>125</v>
      </c>
      <c r="H669" s="1633" t="s">
        <v>1087</v>
      </c>
      <c r="I669" s="1382"/>
      <c r="J669" s="1382"/>
      <c r="K669" s="1377">
        <f>SUM(K668)</f>
        <v>0</v>
      </c>
      <c r="L669" s="1410"/>
      <c r="M669" s="1385">
        <f>E669+K669</f>
        <v>0</v>
      </c>
      <c r="N669" s="1411"/>
    </row>
    <row r="670" spans="1:14" s="31" customFormat="1" ht="17.25" customHeight="1">
      <c r="A670" s="1386" t="s">
        <v>126</v>
      </c>
      <c r="B670" s="1634" t="s">
        <v>871</v>
      </c>
      <c r="C670" s="1387"/>
      <c r="D670" s="1387"/>
      <c r="E670" s="1387">
        <f>(E658+E659+E660+E661+E662+E663+E664+E665+E666)-E669</f>
        <v>0</v>
      </c>
      <c r="F670" s="1409"/>
      <c r="G670" s="1386" t="s">
        <v>126</v>
      </c>
      <c r="H670" s="1634" t="s">
        <v>871</v>
      </c>
      <c r="I670" s="1387"/>
      <c r="J670" s="1387"/>
      <c r="K670" s="1387">
        <f>(K658+K659+K660+K661+K662+K663+K664+K665+K666)-K669</f>
        <v>0</v>
      </c>
      <c r="L670" s="1389">
        <f>E670+K670</f>
        <v>0</v>
      </c>
      <c r="M670" s="1328"/>
      <c r="N670" s="1411"/>
    </row>
    <row r="671" spans="1:14" s="31" customFormat="1" ht="17.25" customHeight="1">
      <c r="A671" s="1392"/>
      <c r="B671" s="1398"/>
      <c r="C671" s="1399"/>
      <c r="D671" s="1399"/>
      <c r="E671" s="1397"/>
      <c r="F671" s="1409"/>
      <c r="G671" s="1392"/>
      <c r="H671" s="1398"/>
      <c r="I671" s="1399"/>
      <c r="J671" s="1397"/>
      <c r="K671" s="1624"/>
      <c r="L671" s="1410"/>
      <c r="M671" s="1328"/>
      <c r="N671" s="1411"/>
    </row>
    <row r="672" spans="1:14" s="31" customFormat="1" ht="17.25" customHeight="1">
      <c r="A672" s="2182" t="str">
        <f>A655</f>
        <v>LƯƠNG THÁNG 01/2025</v>
      </c>
      <c r="B672" s="2183"/>
      <c r="C672" s="2183"/>
      <c r="D672" s="2183"/>
      <c r="E672" s="1452">
        <v>79</v>
      </c>
      <c r="F672" s="1409"/>
      <c r="G672" s="2182" t="str">
        <f>G655</f>
        <v>LƯƠNG THÁNG 01/2025</v>
      </c>
      <c r="H672" s="2183"/>
      <c r="I672" s="2183"/>
      <c r="J672" s="2183"/>
      <c r="K672" s="1452">
        <v>80</v>
      </c>
      <c r="L672" s="1410"/>
      <c r="M672" s="1328"/>
      <c r="N672" s="1411"/>
    </row>
    <row r="673" spans="1:15" s="31" customFormat="1" ht="17.25" customHeight="1">
      <c r="A673" s="1391" t="s">
        <v>29</v>
      </c>
      <c r="B673" s="1626" t="str">
        <f>'CNKT '!C94</f>
        <v>N.Nang</v>
      </c>
      <c r="C673" s="1373"/>
      <c r="D673" s="1623" t="s">
        <v>806</v>
      </c>
      <c r="E673" s="1623" t="s">
        <v>32</v>
      </c>
      <c r="F673" s="1409"/>
      <c r="G673" s="1391" t="s">
        <v>29</v>
      </c>
      <c r="H673" s="1626" t="str">
        <f>'CNKT '!C95</f>
        <v>T. Tan</v>
      </c>
      <c r="I673" s="1373"/>
      <c r="J673" s="1623" t="s">
        <v>806</v>
      </c>
      <c r="K673" s="1623" t="s">
        <v>32</v>
      </c>
      <c r="L673" s="1410"/>
      <c r="M673" s="1328"/>
      <c r="N673" s="1411"/>
    </row>
    <row r="674" spans="1:15" s="31" customFormat="1" ht="17.25" customHeight="1">
      <c r="A674" s="1375" t="s">
        <v>807</v>
      </c>
      <c r="B674" s="1628" t="s">
        <v>1080</v>
      </c>
      <c r="C674" s="1376" t="str">
        <f>VLOOKUP(B673,'BTH mủ tạp'!$C$15:$AL$95,36,0)</f>
        <v>C.</v>
      </c>
      <c r="D674" s="1377"/>
      <c r="E674" s="1377"/>
      <c r="F674" s="1409"/>
      <c r="G674" s="1375" t="s">
        <v>807</v>
      </c>
      <c r="H674" s="1628" t="s">
        <v>1080</v>
      </c>
      <c r="I674" s="1376" t="str">
        <f>VLOOKUP(H673,'BTH mủ tạp'!$C$15:$AL$95,36,0)</f>
        <v>C.</v>
      </c>
      <c r="J674" s="1377"/>
      <c r="K674" s="1377"/>
      <c r="L674" s="1410"/>
      <c r="M674" s="1328"/>
      <c r="N674" s="1411"/>
    </row>
    <row r="675" spans="1:15" s="31" customFormat="1" ht="17.25" customHeight="1">
      <c r="A675" s="1375" t="s">
        <v>121</v>
      </c>
      <c r="B675" s="1629" t="s">
        <v>865</v>
      </c>
      <c r="C675" s="1378">
        <f>VLOOKUP(B673,'CNKT '!$C$16:$Z$96,3,0)</f>
        <v>0</v>
      </c>
      <c r="D675" s="1379">
        <v>25000</v>
      </c>
      <c r="E675" s="1377">
        <f>C675*D675</f>
        <v>0</v>
      </c>
      <c r="F675" s="1409"/>
      <c r="G675" s="1375" t="s">
        <v>121</v>
      </c>
      <c r="H675" s="1629" t="s">
        <v>865</v>
      </c>
      <c r="I675" s="1378">
        <f>VLOOKUP(H673,'CNKT '!$C$16:$Z$96,3,0)</f>
        <v>0</v>
      </c>
      <c r="J675" s="1379">
        <v>25000</v>
      </c>
      <c r="K675" s="1377">
        <f>I675*J675</f>
        <v>0</v>
      </c>
      <c r="L675" s="1410"/>
      <c r="M675" s="1328"/>
      <c r="N675" s="1411"/>
    </row>
    <row r="676" spans="1:15" s="31" customFormat="1" ht="17.25" customHeight="1">
      <c r="A676" s="1375" t="s">
        <v>628</v>
      </c>
      <c r="B676" s="1630" t="s">
        <v>1081</v>
      </c>
      <c r="C676" s="1433">
        <f>VLOOKUP(B673,'CNKT '!$C$16:$Z$96,11,0)</f>
        <v>0</v>
      </c>
      <c r="D676" s="1380">
        <f>46.1*$B$2</f>
        <v>30241.600000000002</v>
      </c>
      <c r="E676" s="1377">
        <f t="shared" ref="E676:E680" si="78">C676*D676</f>
        <v>0</v>
      </c>
      <c r="F676" s="1409"/>
      <c r="G676" s="1375" t="s">
        <v>628</v>
      </c>
      <c r="H676" s="1630" t="s">
        <v>1081</v>
      </c>
      <c r="I676" s="1433">
        <f>VLOOKUP(H673,'CNKT '!$C$16:$Z$96,11,0)</f>
        <v>0</v>
      </c>
      <c r="J676" s="1380">
        <f>46.1*$B$2</f>
        <v>30241.600000000002</v>
      </c>
      <c r="K676" s="1377">
        <f t="shared" ref="K676:K680" si="79">I676*J676</f>
        <v>0</v>
      </c>
      <c r="L676" s="1410"/>
      <c r="M676" s="1328"/>
      <c r="N676" s="1411"/>
    </row>
    <row r="677" spans="1:15" s="31" customFormat="1" ht="17.25" customHeight="1">
      <c r="A677" s="1375" t="s">
        <v>809</v>
      </c>
      <c r="B677" s="1630" t="s">
        <v>1082</v>
      </c>
      <c r="C677" s="1433">
        <f>VLOOKUP(B673,'CNKT '!$C$16:$Z$96,12,0)</f>
        <v>0</v>
      </c>
      <c r="D677" s="1379">
        <f>76.9*$B$2</f>
        <v>50446.400000000001</v>
      </c>
      <c r="E677" s="1377">
        <f t="shared" si="78"/>
        <v>0</v>
      </c>
      <c r="F677" s="1409"/>
      <c r="G677" s="1375" t="s">
        <v>809</v>
      </c>
      <c r="H677" s="1630" t="s">
        <v>1082</v>
      </c>
      <c r="I677" s="1433">
        <f>VLOOKUP(H673,'CNKT '!$C$16:$Z$96,12,0)</f>
        <v>0</v>
      </c>
      <c r="J677" s="1379">
        <f>76.9*$B$2</f>
        <v>50446.400000000001</v>
      </c>
      <c r="K677" s="1377">
        <f t="shared" si="79"/>
        <v>0</v>
      </c>
      <c r="L677" s="1410"/>
      <c r="M677" s="1328"/>
      <c r="N677" s="1411"/>
    </row>
    <row r="678" spans="1:15" s="31" customFormat="1" ht="17.25" customHeight="1">
      <c r="A678" s="1375" t="s">
        <v>122</v>
      </c>
      <c r="B678" s="1630" t="s">
        <v>1083</v>
      </c>
      <c r="C678" s="1433">
        <f>VLOOKUP(B673,'CNKT '!$C$16:$Z$96,8,0)</f>
        <v>0</v>
      </c>
      <c r="D678" s="1379">
        <f>IF(C674="A",6.1,IF(C674="B",5.8,IF(C674="C",5.5,IF(C674="C.",5.5,IF(C674="D",5.2)))))*$B$2</f>
        <v>3608</v>
      </c>
      <c r="E678" s="1377">
        <f t="shared" si="78"/>
        <v>0</v>
      </c>
      <c r="F678" s="1409"/>
      <c r="G678" s="1375" t="s">
        <v>122</v>
      </c>
      <c r="H678" s="1630" t="s">
        <v>1083</v>
      </c>
      <c r="I678" s="1433">
        <f>VLOOKUP(H673,'CNKT '!$C$16:$Z$96,8,0)</f>
        <v>0</v>
      </c>
      <c r="J678" s="1379">
        <f>IF(I674="A",6.1,IF(I674="B",5.8,IF(I674="C",5.5,IF(I674="C.",5.5,IF(I674="D",5.2)))))*$B$2</f>
        <v>3608</v>
      </c>
      <c r="K678" s="1377">
        <f t="shared" si="79"/>
        <v>0</v>
      </c>
      <c r="L678" s="1410"/>
      <c r="M678" s="1328"/>
      <c r="N678" s="1411"/>
    </row>
    <row r="679" spans="1:15" s="31" customFormat="1" ht="17.25" customHeight="1">
      <c r="A679" s="1375" t="s">
        <v>959</v>
      </c>
      <c r="B679" s="1630" t="s">
        <v>1084</v>
      </c>
      <c r="C679" s="1433">
        <f>VLOOKUP(B673,'CNKT '!$C$16:$Z$96,15,0)</f>
        <v>0</v>
      </c>
      <c r="D679" s="1380">
        <f>92.2*$B$2</f>
        <v>60483.200000000004</v>
      </c>
      <c r="E679" s="1377">
        <f t="shared" si="78"/>
        <v>0</v>
      </c>
      <c r="F679" s="1409"/>
      <c r="G679" s="1375" t="s">
        <v>959</v>
      </c>
      <c r="H679" s="1630" t="s">
        <v>1084</v>
      </c>
      <c r="I679" s="1433">
        <f>VLOOKUP(H673,'CNKT '!$C$16:$Z$96,15,0)</f>
        <v>0</v>
      </c>
      <c r="J679" s="1380">
        <f>92.2*$B$2</f>
        <v>60483.200000000004</v>
      </c>
      <c r="K679" s="1377">
        <f t="shared" si="79"/>
        <v>0</v>
      </c>
      <c r="L679" s="1410"/>
      <c r="M679" s="1328"/>
      <c r="N679" s="1411"/>
    </row>
    <row r="680" spans="1:15" s="31" customFormat="1" ht="17.25" customHeight="1">
      <c r="A680" s="1375" t="s">
        <v>960</v>
      </c>
      <c r="B680" s="1630" t="s">
        <v>964</v>
      </c>
      <c r="C680" s="1433">
        <f>VLOOKUP(B673,'CNKT '!$C$16:$Z$96,16,0)</f>
        <v>0</v>
      </c>
      <c r="D680" s="1379">
        <f>153.8*$B$2</f>
        <v>100892.8</v>
      </c>
      <c r="E680" s="1377">
        <f t="shared" si="78"/>
        <v>0</v>
      </c>
      <c r="F680" s="1409"/>
      <c r="G680" s="1375" t="s">
        <v>960</v>
      </c>
      <c r="H680" s="1630" t="s">
        <v>964</v>
      </c>
      <c r="I680" s="1433">
        <f>VLOOKUP(H673,'CNKT '!$C$16:$Z$96,16,0)</f>
        <v>0</v>
      </c>
      <c r="J680" s="1379">
        <f>153.8*$B$2</f>
        <v>100892.8</v>
      </c>
      <c r="K680" s="1377">
        <f t="shared" si="79"/>
        <v>0</v>
      </c>
      <c r="L680" s="1410"/>
      <c r="M680" s="1328"/>
      <c r="N680" s="1411"/>
    </row>
    <row r="681" spans="1:15" s="31" customFormat="1" ht="17.25" customHeight="1">
      <c r="A681" s="1375" t="s">
        <v>899</v>
      </c>
      <c r="B681" s="1630" t="s">
        <v>965</v>
      </c>
      <c r="C681" s="1433">
        <f>VLOOKUP(B673,'CNKT '!$C$16:$Z$96,18,0)</f>
        <v>0</v>
      </c>
      <c r="D681" s="1379">
        <v>10000</v>
      </c>
      <c r="E681" s="1377">
        <f>C681*D681</f>
        <v>0</v>
      </c>
      <c r="F681" s="1409"/>
      <c r="G681" s="1375" t="s">
        <v>899</v>
      </c>
      <c r="H681" s="1630" t="s">
        <v>965</v>
      </c>
      <c r="I681" s="1433">
        <f>VLOOKUP(H673,'CNKT '!$C$16:$Z$96,18,0)</f>
        <v>0</v>
      </c>
      <c r="J681" s="1379">
        <v>10000</v>
      </c>
      <c r="K681" s="1377">
        <f>I681*J681</f>
        <v>0</v>
      </c>
      <c r="L681" s="1410"/>
      <c r="M681" s="1328"/>
      <c r="N681" s="1411"/>
    </row>
    <row r="682" spans="1:15" s="31" customFormat="1" ht="17.25" customHeight="1">
      <c r="A682" s="1375" t="s">
        <v>899</v>
      </c>
      <c r="B682" s="1630" t="s">
        <v>965</v>
      </c>
      <c r="C682" s="1433">
        <f>VLOOKUP(B673,'CNKT '!$C$16:$Z$96,19,0)</f>
        <v>0</v>
      </c>
      <c r="D682" s="1379">
        <v>20000</v>
      </c>
      <c r="E682" s="1377">
        <f>C682*D682</f>
        <v>0</v>
      </c>
      <c r="F682" s="1409"/>
      <c r="G682" s="1375" t="s">
        <v>899</v>
      </c>
      <c r="H682" s="1630" t="s">
        <v>965</v>
      </c>
      <c r="I682" s="1433">
        <f>VLOOKUP(H673,'CNKT '!$C$16:$Z$96,19,0)</f>
        <v>0</v>
      </c>
      <c r="J682" s="1379">
        <v>20000</v>
      </c>
      <c r="K682" s="1377">
        <f>I682*J682</f>
        <v>0</v>
      </c>
      <c r="L682" s="1410"/>
      <c r="M682" s="1328"/>
      <c r="N682" s="1411"/>
    </row>
    <row r="683" spans="1:15" s="31" customFormat="1" ht="17.25" customHeight="1">
      <c r="A683" s="1375" t="s">
        <v>995</v>
      </c>
      <c r="B683" s="1630" t="s">
        <v>997</v>
      </c>
      <c r="C683" s="1433"/>
      <c r="D683" s="1379"/>
      <c r="E683" s="1377"/>
      <c r="F683" s="1409"/>
      <c r="G683" s="1375" t="s">
        <v>995</v>
      </c>
      <c r="H683" s="1630" t="s">
        <v>997</v>
      </c>
      <c r="I683" s="1433"/>
      <c r="J683" s="1379"/>
      <c r="K683" s="1377"/>
      <c r="L683" s="1410"/>
      <c r="M683" s="1328"/>
      <c r="N683" s="1411"/>
    </row>
    <row r="684" spans="1:15" s="31" customFormat="1" ht="17.25" customHeight="1">
      <c r="A684" s="1381" t="s">
        <v>123</v>
      </c>
      <c r="B684" s="1631" t="s">
        <v>1085</v>
      </c>
      <c r="C684" s="1382"/>
      <c r="D684" s="1383"/>
      <c r="E684" s="1382"/>
      <c r="F684" s="1409"/>
      <c r="G684" s="1381" t="s">
        <v>123</v>
      </c>
      <c r="H684" s="1631" t="s">
        <v>1085</v>
      </c>
      <c r="I684" s="1382"/>
      <c r="J684" s="1383"/>
      <c r="K684" s="1382"/>
      <c r="L684" s="1410"/>
      <c r="M684" s="1328"/>
      <c r="N684" s="1411"/>
    </row>
    <row r="685" spans="1:15" s="31" customFormat="1" ht="17.25" customHeight="1">
      <c r="A685" s="1384" t="s">
        <v>124</v>
      </c>
      <c r="B685" s="1632" t="s">
        <v>1086</v>
      </c>
      <c r="C685" s="1382"/>
      <c r="D685" s="1382"/>
      <c r="E685" s="1382"/>
      <c r="F685" s="1409"/>
      <c r="G685" s="1384" t="s">
        <v>124</v>
      </c>
      <c r="H685" s="1632" t="s">
        <v>1086</v>
      </c>
      <c r="I685" s="1382"/>
      <c r="J685" s="1382"/>
      <c r="K685" s="1382"/>
      <c r="L685" s="1410"/>
      <c r="M685" s="1328"/>
      <c r="N685" s="1411"/>
    </row>
    <row r="686" spans="1:15" s="31" customFormat="1" ht="17.25" customHeight="1">
      <c r="A686" s="1384" t="s">
        <v>125</v>
      </c>
      <c r="B686" s="1633" t="s">
        <v>1087</v>
      </c>
      <c r="C686" s="1382"/>
      <c r="D686" s="1382"/>
      <c r="E686" s="1377">
        <f>SUM(E685)</f>
        <v>0</v>
      </c>
      <c r="F686" s="1409"/>
      <c r="G686" s="1384" t="s">
        <v>125</v>
      </c>
      <c r="H686" s="1633" t="s">
        <v>1087</v>
      </c>
      <c r="I686" s="1382"/>
      <c r="J686" s="1382"/>
      <c r="K686" s="1377">
        <f>SUM(K685)</f>
        <v>0</v>
      </c>
      <c r="L686" s="1410"/>
      <c r="M686" s="1328"/>
      <c r="N686" s="1411"/>
    </row>
    <row r="687" spans="1:15" s="31" customFormat="1" ht="17.25" customHeight="1">
      <c r="A687" s="1386" t="s">
        <v>126</v>
      </c>
      <c r="B687" s="1634" t="s">
        <v>871</v>
      </c>
      <c r="C687" s="1387"/>
      <c r="D687" s="1387"/>
      <c r="E687" s="1387">
        <f>(E675+E676+E677+E678+E679+E680+E681+E682+E683)-E686</f>
        <v>0</v>
      </c>
      <c r="F687" s="1409"/>
      <c r="G687" s="1386" t="s">
        <v>126</v>
      </c>
      <c r="H687" s="1634" t="s">
        <v>871</v>
      </c>
      <c r="I687" s="1387"/>
      <c r="J687" s="1387"/>
      <c r="K687" s="1387">
        <f>(K675+K676+K677+K678+K679+K680+K681+K682+K683)-K686</f>
        <v>0</v>
      </c>
      <c r="L687" s="1389">
        <f>E687+K687</f>
        <v>0</v>
      </c>
      <c r="M687" s="1411"/>
      <c r="N687" s="1328"/>
      <c r="O687" s="1411"/>
    </row>
    <row r="688" spans="1:15" s="31" customFormat="1" ht="15.75" customHeight="1">
      <c r="A688" s="1412"/>
      <c r="B688" s="1413"/>
      <c r="C688" s="1397"/>
      <c r="D688" s="1397"/>
      <c r="E688" s="1397"/>
      <c r="F688" s="1409"/>
      <c r="G688" s="1412"/>
      <c r="H688" s="1413"/>
      <c r="I688" s="1397"/>
      <c r="J688" s="1414"/>
      <c r="K688" s="1397"/>
      <c r="L688" s="1410"/>
      <c r="M688" s="1411"/>
      <c r="N688" s="1328"/>
      <c r="O688" s="1411"/>
    </row>
    <row r="689" spans="1:15" s="31" customFormat="1" ht="17.25" customHeight="1">
      <c r="A689" s="2182" t="str">
        <f>A672</f>
        <v>LƯƠNG THÁNG 01/2025</v>
      </c>
      <c r="B689" s="2183"/>
      <c r="C689" s="2183"/>
      <c r="D689" s="2183"/>
      <c r="E689" s="1452">
        <v>81</v>
      </c>
      <c r="F689" s="1409"/>
      <c r="G689" s="2182" t="str">
        <f>G672</f>
        <v>LƯƠNG THÁNG 01/2025</v>
      </c>
      <c r="H689" s="2183"/>
      <c r="I689" s="2183"/>
      <c r="J689" s="2183"/>
      <c r="K689" s="1452">
        <v>82</v>
      </c>
      <c r="L689" s="1410"/>
      <c r="M689" s="1411"/>
      <c r="N689" s="1328"/>
      <c r="O689" s="1411"/>
    </row>
    <row r="690" spans="1:15" s="31" customFormat="1" ht="17.25" customHeight="1">
      <c r="A690" s="1391" t="s">
        <v>29</v>
      </c>
      <c r="B690" s="1626" t="str">
        <f>'CNKT '!C96</f>
        <v>Mủ Xi Rum</v>
      </c>
      <c r="C690" s="1373"/>
      <c r="D690" s="1623" t="s">
        <v>806</v>
      </c>
      <c r="E690" s="1623" t="s">
        <v>32</v>
      </c>
      <c r="F690" s="1409"/>
      <c r="G690" s="1391" t="s">
        <v>29</v>
      </c>
      <c r="H690" s="1626" t="e">
        <f>'CNKT '!#REF!</f>
        <v>#REF!</v>
      </c>
      <c r="I690" s="1373"/>
      <c r="J690" s="1623" t="s">
        <v>806</v>
      </c>
      <c r="K690" s="1623" t="s">
        <v>32</v>
      </c>
      <c r="L690" s="1410"/>
      <c r="M690" s="1411"/>
      <c r="N690" s="1328"/>
      <c r="O690" s="1411"/>
    </row>
    <row r="691" spans="1:15" s="31" customFormat="1" ht="17.25" customHeight="1">
      <c r="A691" s="1375" t="s">
        <v>807</v>
      </c>
      <c r="B691" s="1628" t="s">
        <v>1080</v>
      </c>
      <c r="C691" s="1376" t="s">
        <v>54</v>
      </c>
      <c r="D691" s="1377"/>
      <c r="E691" s="1377"/>
      <c r="F691" s="1409"/>
      <c r="G691" s="1375" t="s">
        <v>807</v>
      </c>
      <c r="H691" s="1628" t="s">
        <v>1080</v>
      </c>
      <c r="I691" s="1376" t="e">
        <f>VLOOKUP(H690,'BTH mủ tạp'!$C$15:$AL$95,36,0)</f>
        <v>#REF!</v>
      </c>
      <c r="J691" s="1377"/>
      <c r="K691" s="1377"/>
      <c r="L691" s="1410"/>
      <c r="M691" s="1411"/>
      <c r="N691" s="1328"/>
      <c r="O691" s="1411"/>
    </row>
    <row r="692" spans="1:15" s="31" customFormat="1" ht="17.25" customHeight="1">
      <c r="A692" s="1375" t="s">
        <v>121</v>
      </c>
      <c r="B692" s="1629" t="s">
        <v>865</v>
      </c>
      <c r="C692" s="1378">
        <f>VLOOKUP(B690,'CNKT '!$C$16:$Z$96,3,0)</f>
        <v>0</v>
      </c>
      <c r="D692" s="1379">
        <v>25000</v>
      </c>
      <c r="E692" s="1377">
        <f>C692*D692</f>
        <v>0</v>
      </c>
      <c r="F692" s="1409"/>
      <c r="G692" s="1375" t="s">
        <v>121</v>
      </c>
      <c r="H692" s="1629" t="s">
        <v>865</v>
      </c>
      <c r="I692" s="1378" t="e">
        <f>VLOOKUP(H690,'CNKT '!$C$16:$Z$96,3,0)</f>
        <v>#REF!</v>
      </c>
      <c r="J692" s="1379">
        <v>25000</v>
      </c>
      <c r="K692" s="1377" t="e">
        <f>I692*J692</f>
        <v>#REF!</v>
      </c>
      <c r="L692" s="1410"/>
      <c r="M692" s="1411"/>
      <c r="N692" s="1328"/>
      <c r="O692" s="1411"/>
    </row>
    <row r="693" spans="1:15" s="31" customFormat="1" ht="17.25" customHeight="1">
      <c r="A693" s="1375" t="s">
        <v>628</v>
      </c>
      <c r="B693" s="1630" t="s">
        <v>1081</v>
      </c>
      <c r="C693" s="1433">
        <f>VLOOKUP(B690,'CNKT '!$C$16:$Z$96,11,0)</f>
        <v>0</v>
      </c>
      <c r="D693" s="1380">
        <f>46.1*$B$2</f>
        <v>30241.600000000002</v>
      </c>
      <c r="E693" s="1377">
        <f t="shared" ref="E693:E697" si="80">C693*D693</f>
        <v>0</v>
      </c>
      <c r="F693" s="1409"/>
      <c r="G693" s="1375" t="s">
        <v>628</v>
      </c>
      <c r="H693" s="1630" t="s">
        <v>1081</v>
      </c>
      <c r="I693" s="1433" t="e">
        <f>VLOOKUP(H690,'CNKT '!$C$16:$Z$96,11,0)</f>
        <v>#REF!</v>
      </c>
      <c r="J693" s="1380">
        <f>46.1*$B$2</f>
        <v>30241.600000000002</v>
      </c>
      <c r="K693" s="1377" t="e">
        <f t="shared" ref="K693:K697" si="81">I693*J693</f>
        <v>#REF!</v>
      </c>
      <c r="L693" s="1410"/>
      <c r="M693" s="1411"/>
      <c r="N693" s="1328"/>
      <c r="O693" s="1411"/>
    </row>
    <row r="694" spans="1:15" s="31" customFormat="1" ht="17.25" customHeight="1">
      <c r="A694" s="1375" t="s">
        <v>809</v>
      </c>
      <c r="B694" s="1630" t="s">
        <v>1082</v>
      </c>
      <c r="C694" s="1433">
        <f>VLOOKUP(B690,'CNKT '!$C$16:$Z$96,12,0)</f>
        <v>0</v>
      </c>
      <c r="D694" s="1379">
        <f>76.9*$B$2</f>
        <v>50446.400000000001</v>
      </c>
      <c r="E694" s="1377">
        <f t="shared" si="80"/>
        <v>0</v>
      </c>
      <c r="F694" s="1409"/>
      <c r="G694" s="1375" t="s">
        <v>809</v>
      </c>
      <c r="H694" s="1630" t="s">
        <v>1082</v>
      </c>
      <c r="I694" s="1433" t="e">
        <f>VLOOKUP(H690,'CNKT '!$C$16:$Z$96,12,0)</f>
        <v>#REF!</v>
      </c>
      <c r="J694" s="1379">
        <f>76.9*$B$2</f>
        <v>50446.400000000001</v>
      </c>
      <c r="K694" s="1377" t="e">
        <f t="shared" si="81"/>
        <v>#REF!</v>
      </c>
      <c r="L694" s="1410"/>
      <c r="M694" s="1411"/>
      <c r="N694" s="1328"/>
      <c r="O694" s="1411"/>
    </row>
    <row r="695" spans="1:15" s="31" customFormat="1" ht="17.25" customHeight="1">
      <c r="A695" s="1375" t="s">
        <v>122</v>
      </c>
      <c r="B695" s="1630" t="s">
        <v>1083</v>
      </c>
      <c r="C695" s="1433">
        <f>VLOOKUP(B690,'CNKT '!$C$16:$Z$96,8,0)</f>
        <v>0</v>
      </c>
      <c r="D695" s="1379">
        <f>IF(C691="A",6.1,IF(C691="B",5.8,IF(C691="C",5.5,IF(C691="C.",5.5,IF(C691="D",5.2)))))*$B$2</f>
        <v>4001.6</v>
      </c>
      <c r="E695" s="1377">
        <f t="shared" si="80"/>
        <v>0</v>
      </c>
      <c r="F695" s="1409"/>
      <c r="G695" s="1375" t="s">
        <v>122</v>
      </c>
      <c r="H695" s="1630" t="s">
        <v>1083</v>
      </c>
      <c r="I695" s="1433" t="e">
        <f>VLOOKUP(H690,'CNKT '!$C$16:$Z$96,8,0)</f>
        <v>#REF!</v>
      </c>
      <c r="J695" s="1379" t="e">
        <f>IF(I691="A",6.1,IF(I691="B",5.8,IF(I691="C",5.5,IF(I691="C.",5.5,IF(I691="D",5.2)))))*$B$2</f>
        <v>#REF!</v>
      </c>
      <c r="K695" s="1377" t="e">
        <f t="shared" si="81"/>
        <v>#REF!</v>
      </c>
      <c r="L695" s="1410"/>
      <c r="M695" s="1411"/>
      <c r="N695" s="1328"/>
      <c r="O695" s="1411"/>
    </row>
    <row r="696" spans="1:15" s="31" customFormat="1" ht="17.25" customHeight="1">
      <c r="A696" s="1375" t="s">
        <v>959</v>
      </c>
      <c r="B696" s="1630" t="s">
        <v>1084</v>
      </c>
      <c r="C696" s="1433">
        <f>VLOOKUP(B690,'CNKT '!$C$16:$Z$96,15,0)</f>
        <v>0</v>
      </c>
      <c r="D696" s="1380">
        <f>92.2*$B$2</f>
        <v>60483.200000000004</v>
      </c>
      <c r="E696" s="1377">
        <f t="shared" si="80"/>
        <v>0</v>
      </c>
      <c r="F696" s="1409"/>
      <c r="G696" s="1375" t="s">
        <v>959</v>
      </c>
      <c r="H696" s="1630" t="s">
        <v>1084</v>
      </c>
      <c r="I696" s="1433" t="e">
        <f>VLOOKUP(H690,'CNKT '!$C$16:$Z$96,15,0)</f>
        <v>#REF!</v>
      </c>
      <c r="J696" s="1380">
        <f>92.2*$B$2</f>
        <v>60483.200000000004</v>
      </c>
      <c r="K696" s="1377" t="e">
        <f t="shared" si="81"/>
        <v>#REF!</v>
      </c>
      <c r="L696" s="1410"/>
      <c r="M696" s="1411"/>
      <c r="N696" s="1328"/>
      <c r="O696" s="1411"/>
    </row>
    <row r="697" spans="1:15" s="31" customFormat="1" ht="17.25" customHeight="1">
      <c r="A697" s="1375" t="s">
        <v>960</v>
      </c>
      <c r="B697" s="1630" t="s">
        <v>964</v>
      </c>
      <c r="C697" s="1433">
        <f>VLOOKUP(B690,'CNKT '!$C$16:$Z$96,16,0)</f>
        <v>0</v>
      </c>
      <c r="D697" s="1379">
        <f>153.6*$B$2</f>
        <v>100761.59999999999</v>
      </c>
      <c r="E697" s="1377">
        <f t="shared" si="80"/>
        <v>0</v>
      </c>
      <c r="F697" s="1409"/>
      <c r="G697" s="1375" t="s">
        <v>960</v>
      </c>
      <c r="H697" s="1630" t="s">
        <v>964</v>
      </c>
      <c r="I697" s="1433" t="e">
        <f>VLOOKUP(H690,'CNKT '!$C$16:$Z$96,16,0)</f>
        <v>#REF!</v>
      </c>
      <c r="J697" s="1379">
        <f>153.6*$B$2</f>
        <v>100761.59999999999</v>
      </c>
      <c r="K697" s="1377" t="e">
        <f t="shared" si="81"/>
        <v>#REF!</v>
      </c>
      <c r="L697" s="1410"/>
      <c r="M697" s="1411"/>
      <c r="N697" s="1328"/>
      <c r="O697" s="1411"/>
    </row>
    <row r="698" spans="1:15" s="31" customFormat="1" ht="17.25" customHeight="1">
      <c r="A698" s="1375"/>
      <c r="B698" s="1630" t="s">
        <v>965</v>
      </c>
      <c r="C698" s="1433"/>
      <c r="D698" s="1379"/>
      <c r="E698" s="1377"/>
      <c r="F698" s="1409"/>
      <c r="G698" s="1375"/>
      <c r="H698" s="1630" t="s">
        <v>965</v>
      </c>
      <c r="I698" s="1433"/>
      <c r="J698" s="1379"/>
      <c r="K698" s="1377"/>
      <c r="L698" s="1410"/>
      <c r="M698" s="1411"/>
      <c r="N698" s="1328"/>
      <c r="O698" s="1411"/>
    </row>
    <row r="699" spans="1:15" s="31" customFormat="1" ht="17.25" customHeight="1">
      <c r="A699" s="1375"/>
      <c r="B699" s="1630" t="s">
        <v>965</v>
      </c>
      <c r="C699" s="1433"/>
      <c r="D699" s="1379"/>
      <c r="E699" s="1377"/>
      <c r="F699" s="1409"/>
      <c r="G699" s="1375"/>
      <c r="H699" s="1630" t="s">
        <v>965</v>
      </c>
      <c r="I699" s="1433"/>
      <c r="J699" s="1379"/>
      <c r="K699" s="1377"/>
      <c r="L699" s="1410"/>
      <c r="M699" s="1411"/>
      <c r="N699" s="1328"/>
      <c r="O699" s="1411"/>
    </row>
    <row r="700" spans="1:15" s="31" customFormat="1" ht="17.25" customHeight="1">
      <c r="A700" s="1375" t="s">
        <v>899</v>
      </c>
      <c r="B700" s="1630" t="s">
        <v>997</v>
      </c>
      <c r="C700" s="1433">
        <f>VLOOKUP(B690,'CNKT '!$C$16:$Z$96,18,0)</f>
        <v>0</v>
      </c>
      <c r="D700" s="1379">
        <v>10000</v>
      </c>
      <c r="E700" s="1377">
        <f>C700*D700</f>
        <v>0</v>
      </c>
      <c r="F700" s="1409"/>
      <c r="G700" s="1375" t="s">
        <v>899</v>
      </c>
      <c r="H700" s="1630" t="s">
        <v>997</v>
      </c>
      <c r="I700" s="1433" t="e">
        <f>VLOOKUP(H690,'CNKT '!$C$16:$Z$96,18,0)</f>
        <v>#REF!</v>
      </c>
      <c r="J700" s="1379">
        <v>10000</v>
      </c>
      <c r="K700" s="1377" t="e">
        <f>I700*J700</f>
        <v>#REF!</v>
      </c>
      <c r="L700" s="1410"/>
      <c r="M700" s="1411"/>
      <c r="N700" s="1328"/>
      <c r="O700" s="1411"/>
    </row>
    <row r="701" spans="1:15" s="31" customFormat="1" ht="17.25" customHeight="1">
      <c r="A701" s="1381" t="s">
        <v>123</v>
      </c>
      <c r="B701" s="1631" t="s">
        <v>1085</v>
      </c>
      <c r="C701" s="1382"/>
      <c r="D701" s="1383"/>
      <c r="E701" s="1382"/>
      <c r="F701" s="1409"/>
      <c r="G701" s="1381" t="s">
        <v>123</v>
      </c>
      <c r="H701" s="1631" t="s">
        <v>1085</v>
      </c>
      <c r="I701" s="1382"/>
      <c r="J701" s="1383"/>
      <c r="K701" s="1382"/>
      <c r="L701" s="1410"/>
      <c r="M701" s="1411"/>
      <c r="N701" s="1328"/>
      <c r="O701" s="1411"/>
    </row>
    <row r="702" spans="1:15" s="31" customFormat="1" ht="17.25" customHeight="1">
      <c r="A702" s="1384" t="s">
        <v>124</v>
      </c>
      <c r="B702" s="1632" t="s">
        <v>1086</v>
      </c>
      <c r="C702" s="1382"/>
      <c r="D702" s="1382"/>
      <c r="E702" s="1382"/>
      <c r="F702" s="1409"/>
      <c r="G702" s="1384" t="s">
        <v>124</v>
      </c>
      <c r="H702" s="1632" t="s">
        <v>1086</v>
      </c>
      <c r="I702" s="1382"/>
      <c r="J702" s="1382"/>
      <c r="K702" s="1382"/>
      <c r="L702" s="1410"/>
      <c r="M702" s="1411"/>
      <c r="N702" s="1328"/>
      <c r="O702" s="1411"/>
    </row>
    <row r="703" spans="1:15" s="31" customFormat="1" ht="17.25" customHeight="1">
      <c r="A703" s="1384" t="s">
        <v>125</v>
      </c>
      <c r="B703" s="1633" t="s">
        <v>1087</v>
      </c>
      <c r="C703" s="1382"/>
      <c r="D703" s="1382"/>
      <c r="E703" s="1377">
        <f>SUM(E702)</f>
        <v>0</v>
      </c>
      <c r="F703" s="1409"/>
      <c r="G703" s="1384" t="s">
        <v>125</v>
      </c>
      <c r="H703" s="1633" t="s">
        <v>1087</v>
      </c>
      <c r="I703" s="1382"/>
      <c r="J703" s="1382"/>
      <c r="K703" s="1377">
        <f>SUM(K702)</f>
        <v>0</v>
      </c>
      <c r="L703" s="1410"/>
      <c r="M703" s="1411"/>
      <c r="N703" s="1328"/>
      <c r="O703" s="1411"/>
    </row>
    <row r="704" spans="1:15" s="31" customFormat="1" ht="17.25" customHeight="1">
      <c r="A704" s="1386" t="s">
        <v>126</v>
      </c>
      <c r="B704" s="1634" t="s">
        <v>871</v>
      </c>
      <c r="C704" s="1387"/>
      <c r="D704" s="1387"/>
      <c r="E704" s="1387">
        <f>(E692+E693+E694+E695+E696+E697+E700)-E703</f>
        <v>0</v>
      </c>
      <c r="F704" s="1409"/>
      <c r="G704" s="1386" t="s">
        <v>126</v>
      </c>
      <c r="H704" s="1634" t="s">
        <v>871</v>
      </c>
      <c r="I704" s="1387"/>
      <c r="J704" s="1387"/>
      <c r="K704" s="1387" t="e">
        <f>(K692+K693+K694+K695+K696+K697+K700)-K703</f>
        <v>#REF!</v>
      </c>
      <c r="L704" s="1389">
        <f>E704</f>
        <v>0</v>
      </c>
      <c r="M704" s="1411"/>
      <c r="N704" s="1328"/>
      <c r="O704" s="1411"/>
    </row>
    <row r="705" spans="1:15" s="31" customFormat="1" ht="17.25" customHeight="1">
      <c r="A705" s="1412"/>
      <c r="B705" s="1413"/>
      <c r="C705" s="1397"/>
      <c r="D705" s="1397"/>
      <c r="E705" s="1397"/>
      <c r="F705" s="1409"/>
      <c r="G705" s="1412"/>
      <c r="H705" s="1413"/>
      <c r="I705" s="1397"/>
      <c r="J705" s="1397"/>
      <c r="K705" s="1397"/>
      <c r="L705" s="1410"/>
      <c r="M705" s="1411"/>
      <c r="N705" s="1328"/>
      <c r="O705" s="1411"/>
    </row>
    <row r="706" spans="1:15" s="31" customFormat="1" ht="17.25" customHeight="1">
      <c r="A706" s="2182" t="str">
        <f>A672</f>
        <v>LƯƠNG THÁNG 01/2025</v>
      </c>
      <c r="B706" s="2183"/>
      <c r="C706" s="2183"/>
      <c r="D706" s="2183"/>
      <c r="E706" s="1452">
        <v>83</v>
      </c>
      <c r="F706" s="1409"/>
      <c r="G706" s="2182" t="str">
        <f>G672</f>
        <v>LƯƠNG THÁNG 01/2025</v>
      </c>
      <c r="H706" s="2183"/>
      <c r="I706" s="2183"/>
      <c r="J706" s="2183"/>
      <c r="K706" s="2184"/>
      <c r="L706" s="1410"/>
      <c r="M706" s="1328"/>
      <c r="N706" s="1411"/>
    </row>
    <row r="707" spans="1:15" s="31" customFormat="1" ht="17.25" customHeight="1">
      <c r="A707" s="1391" t="s">
        <v>29</v>
      </c>
      <c r="B707" s="1626" t="str">
        <f>'CNKT '!C97</f>
        <v>T . Say</v>
      </c>
      <c r="C707" s="1373"/>
      <c r="D707" s="1415"/>
      <c r="E707" s="1416" t="s">
        <v>69</v>
      </c>
      <c r="F707" s="1409"/>
      <c r="G707" s="1391"/>
      <c r="H707" s="1626"/>
      <c r="I707" s="1373"/>
      <c r="J707" s="1415"/>
      <c r="K707" s="1416"/>
      <c r="L707" s="1410"/>
      <c r="M707" s="1328"/>
      <c r="N707" s="1411"/>
    </row>
    <row r="708" spans="1:15" s="31" customFormat="1" ht="17.25" customHeight="1">
      <c r="A708" s="1375" t="s">
        <v>807</v>
      </c>
      <c r="B708" s="1188" t="s">
        <v>864</v>
      </c>
      <c r="C708" s="1376" t="e">
        <f>VLOOKUP(B707,'BTH mủ tạp'!$C$15:$AL$95,36,0)</f>
        <v>#N/A</v>
      </c>
      <c r="D708" s="1377"/>
      <c r="E708" s="1377"/>
      <c r="F708" s="1409"/>
      <c r="G708" s="1375"/>
      <c r="H708" s="1188"/>
      <c r="I708" s="1376"/>
      <c r="J708" s="1377"/>
      <c r="K708" s="1377"/>
      <c r="L708" s="1410"/>
      <c r="M708" s="1328"/>
      <c r="N708" s="1411"/>
    </row>
    <row r="709" spans="1:15" s="31" customFormat="1" ht="17.25" customHeight="1">
      <c r="A709" s="1375" t="s">
        <v>121</v>
      </c>
      <c r="B709" s="1189" t="s">
        <v>865</v>
      </c>
      <c r="C709" s="1378">
        <f>VLOOKUP(B707,'CNKT '!$C$16:$Z$97,3,0)</f>
        <v>3813.57</v>
      </c>
      <c r="D709" s="1379">
        <v>25000</v>
      </c>
      <c r="E709" s="1377">
        <f>C709*D709</f>
        <v>95339250</v>
      </c>
      <c r="F709" s="1409"/>
      <c r="G709" s="1375"/>
      <c r="H709" s="1189"/>
      <c r="I709" s="1378"/>
      <c r="J709" s="1379"/>
      <c r="K709" s="1377"/>
      <c r="L709" s="1410"/>
      <c r="M709" s="1328"/>
      <c r="N709" s="1411"/>
    </row>
    <row r="710" spans="1:15" s="31" customFormat="1" ht="17.25" customHeight="1">
      <c r="A710" s="1375" t="s">
        <v>628</v>
      </c>
      <c r="B710" s="1190" t="s">
        <v>866</v>
      </c>
      <c r="C710" s="1433">
        <f>VLOOKUP(B707,'CNKT '!$C$16:$Z$97,11,0)</f>
        <v>0</v>
      </c>
      <c r="D710" s="1380">
        <f>46.1*$B$2</f>
        <v>30241.600000000002</v>
      </c>
      <c r="E710" s="1377">
        <f t="shared" ref="E710:E714" si="82">C710*D710</f>
        <v>0</v>
      </c>
      <c r="F710" s="1409"/>
      <c r="G710" s="1375"/>
      <c r="H710" s="1190"/>
      <c r="I710" s="1433"/>
      <c r="J710" s="1380"/>
      <c r="K710" s="1377"/>
      <c r="L710" s="1410"/>
      <c r="M710" s="1328"/>
      <c r="N710" s="1411"/>
    </row>
    <row r="711" spans="1:15" s="31" customFormat="1" ht="17.25" customHeight="1">
      <c r="A711" s="1375" t="s">
        <v>809</v>
      </c>
      <c r="B711" s="1190" t="s">
        <v>962</v>
      </c>
      <c r="C711" s="1433">
        <f>VLOOKUP(B707,'CNKT '!$C$16:$Z$97,12,0)</f>
        <v>0</v>
      </c>
      <c r="D711" s="1379">
        <f>76.9*$B$2</f>
        <v>50446.400000000001</v>
      </c>
      <c r="E711" s="1377">
        <f t="shared" si="82"/>
        <v>0</v>
      </c>
      <c r="F711" s="1409"/>
      <c r="G711" s="1375"/>
      <c r="H711" s="1190"/>
      <c r="I711" s="1433"/>
      <c r="J711" s="1379"/>
      <c r="K711" s="1377"/>
      <c r="L711" s="1410"/>
      <c r="M711" s="1328"/>
      <c r="N711" s="1411"/>
    </row>
    <row r="712" spans="1:15" s="31" customFormat="1" ht="17.25" customHeight="1">
      <c r="A712" s="1375" t="s">
        <v>122</v>
      </c>
      <c r="B712" s="1190" t="s">
        <v>867</v>
      </c>
      <c r="C712" s="1433">
        <f>VLOOKUP(B707,'CNKT '!$C$16:$Z$97,8,0)</f>
        <v>0</v>
      </c>
      <c r="D712" s="1379"/>
      <c r="E712" s="1377">
        <f t="shared" si="82"/>
        <v>0</v>
      </c>
      <c r="F712" s="1409"/>
      <c r="G712" s="1375"/>
      <c r="H712" s="1190"/>
      <c r="I712" s="1433"/>
      <c r="J712" s="1379"/>
      <c r="K712" s="1377"/>
      <c r="L712" s="1410"/>
      <c r="M712" s="1328"/>
      <c r="N712" s="1411"/>
    </row>
    <row r="713" spans="1:15" s="31" customFormat="1" ht="17.25" customHeight="1">
      <c r="A713" s="1375" t="s">
        <v>959</v>
      </c>
      <c r="B713" s="1190" t="s">
        <v>963</v>
      </c>
      <c r="C713" s="1433">
        <f>VLOOKUP(B707,'CNKT '!$C$16:$Z$97,15,0)</f>
        <v>0</v>
      </c>
      <c r="D713" s="1380">
        <f>92.2*$B$2</f>
        <v>60483.200000000004</v>
      </c>
      <c r="E713" s="1377">
        <f t="shared" si="82"/>
        <v>0</v>
      </c>
      <c r="F713" s="1409"/>
      <c r="G713" s="1375"/>
      <c r="H713" s="1190"/>
      <c r="I713" s="1433"/>
      <c r="J713" s="1380"/>
      <c r="K713" s="1377"/>
      <c r="L713" s="1410"/>
      <c r="M713" s="1328"/>
      <c r="N713" s="1411"/>
    </row>
    <row r="714" spans="1:15" s="31" customFormat="1" ht="17.25" customHeight="1">
      <c r="A714" s="1375" t="s">
        <v>886</v>
      </c>
      <c r="B714" s="1190" t="s">
        <v>964</v>
      </c>
      <c r="C714" s="1433">
        <f>VLOOKUP(B707,'CNKT '!$C$16:$Z$97,14,0)</f>
        <v>0</v>
      </c>
      <c r="D714" s="1379">
        <f>153.6*$B$2</f>
        <v>100761.59999999999</v>
      </c>
      <c r="E714" s="1377">
        <f t="shared" si="82"/>
        <v>0</v>
      </c>
      <c r="F714" s="1409"/>
      <c r="G714" s="1375"/>
      <c r="H714" s="1190"/>
      <c r="I714" s="1433"/>
      <c r="J714" s="1379"/>
      <c r="K714" s="1377"/>
      <c r="L714" s="1410"/>
      <c r="M714" s="1328"/>
      <c r="N714" s="1411"/>
    </row>
    <row r="715" spans="1:15" s="31" customFormat="1" ht="17.25" customHeight="1">
      <c r="A715" s="1375" t="s">
        <v>899</v>
      </c>
      <c r="B715" s="1190" t="s">
        <v>965</v>
      </c>
      <c r="C715" s="1433">
        <f>VLOOKUP(B707,'CNKT '!$C$16:$Z$98,18,0)</f>
        <v>0</v>
      </c>
      <c r="D715" s="1379">
        <v>10000</v>
      </c>
      <c r="E715" s="1377">
        <f>C715*D715</f>
        <v>0</v>
      </c>
      <c r="F715" s="1409"/>
      <c r="G715" s="1375"/>
      <c r="H715" s="1190"/>
      <c r="I715" s="1433"/>
      <c r="J715" s="1379"/>
      <c r="K715" s="1377"/>
      <c r="L715" s="1410"/>
      <c r="M715" s="1328"/>
      <c r="N715" s="1411"/>
    </row>
    <row r="716" spans="1:15" s="31" customFormat="1" ht="17.25" customHeight="1">
      <c r="A716" s="1381" t="s">
        <v>123</v>
      </c>
      <c r="B716" s="1191" t="s">
        <v>868</v>
      </c>
      <c r="C716" s="1382"/>
      <c r="D716" s="1383"/>
      <c r="E716" s="1382"/>
      <c r="F716" s="1409"/>
      <c r="G716" s="1381"/>
      <c r="H716" s="1191"/>
      <c r="I716" s="1382"/>
      <c r="J716" s="1383"/>
      <c r="K716" s="1382"/>
      <c r="L716" s="1410"/>
      <c r="M716" s="1328"/>
      <c r="N716" s="1411"/>
    </row>
    <row r="717" spans="1:15" s="31" customFormat="1" ht="17.25" customHeight="1">
      <c r="A717" s="1384" t="s">
        <v>124</v>
      </c>
      <c r="B717" s="1192" t="s">
        <v>869</v>
      </c>
      <c r="C717" s="1382"/>
      <c r="D717" s="1382"/>
      <c r="E717" s="1382"/>
      <c r="F717" s="1409"/>
      <c r="G717" s="1384"/>
      <c r="H717" s="1192"/>
      <c r="I717" s="1382"/>
      <c r="J717" s="1382"/>
      <c r="K717" s="1382"/>
      <c r="L717" s="1410"/>
      <c r="M717" s="1328"/>
      <c r="N717" s="1411"/>
    </row>
    <row r="718" spans="1:15" s="31" customFormat="1" ht="17.25" customHeight="1">
      <c r="A718" s="1384" t="s">
        <v>125</v>
      </c>
      <c r="B718" s="1193" t="s">
        <v>870</v>
      </c>
      <c r="C718" s="1382"/>
      <c r="D718" s="1382"/>
      <c r="E718" s="1377">
        <f>SUM(E717)</f>
        <v>0</v>
      </c>
      <c r="F718" s="1409"/>
      <c r="G718" s="1384"/>
      <c r="H718" s="1193"/>
      <c r="I718" s="1382"/>
      <c r="J718" s="1382"/>
      <c r="K718" s="1377"/>
      <c r="L718" s="1410"/>
      <c r="M718" s="1328"/>
      <c r="N718" s="1411"/>
    </row>
    <row r="719" spans="1:15" s="31" customFormat="1" ht="17.25" customHeight="1">
      <c r="A719" s="1386" t="s">
        <v>126</v>
      </c>
      <c r="B719" s="1248" t="s">
        <v>871</v>
      </c>
      <c r="C719" s="1387"/>
      <c r="D719" s="1387"/>
      <c r="E719" s="1387">
        <f>(E709+E710+E711+E712+E713+E714+E715)-E718</f>
        <v>95339250</v>
      </c>
      <c r="F719" s="1409"/>
      <c r="G719" s="1386"/>
      <c r="H719" s="1248"/>
      <c r="I719" s="1387"/>
      <c r="J719" s="1387"/>
      <c r="K719" s="1387"/>
      <c r="L719" s="1389">
        <f>E719+K719</f>
        <v>95339250</v>
      </c>
      <c r="M719" s="1411"/>
      <c r="N719" s="1328"/>
      <c r="O719" s="1411"/>
    </row>
    <row r="720" spans="1:15" s="31" customFormat="1" ht="17.25" customHeight="1">
      <c r="A720" s="1417"/>
      <c r="B720" s="1418"/>
      <c r="C720" s="1419"/>
      <c r="D720" s="1419"/>
      <c r="E720" s="1419"/>
      <c r="F720" s="1409"/>
      <c r="G720" s="1417"/>
      <c r="H720" s="1418"/>
      <c r="I720" s="1419"/>
      <c r="J720" s="1420"/>
      <c r="K720" s="1419"/>
      <c r="L720" s="1389"/>
      <c r="M720" s="1411"/>
      <c r="N720" s="1328"/>
      <c r="O720" s="1411"/>
    </row>
    <row r="721" spans="1:15" s="31" customFormat="1" ht="17.25" customHeight="1">
      <c r="A721" s="2182" t="str">
        <f>A706</f>
        <v>LƯƠNG THÁNG 01/2025</v>
      </c>
      <c r="B721" s="2183"/>
      <c r="C721" s="2183"/>
      <c r="D721" s="2183"/>
      <c r="E721" s="1452">
        <v>84</v>
      </c>
      <c r="F721" s="1409"/>
      <c r="G721" s="2182" t="str">
        <f>A721</f>
        <v>LƯƠNG THÁNG 01/2025</v>
      </c>
      <c r="H721" s="2183"/>
      <c r="I721" s="2183"/>
      <c r="J721" s="2183"/>
      <c r="K721" s="1452">
        <v>85</v>
      </c>
      <c r="L721" s="1389"/>
      <c r="M721" s="1411"/>
      <c r="N721" s="1328"/>
      <c r="O721" s="1411"/>
    </row>
    <row r="722" spans="1:15" s="31" customFormat="1" ht="17.25" customHeight="1">
      <c r="A722" s="1391" t="s">
        <v>29</v>
      </c>
      <c r="B722" s="1626" t="str">
        <f>'CNKT '!C98</f>
        <v>A Xít</v>
      </c>
      <c r="C722" s="1373"/>
      <c r="D722" s="1415"/>
      <c r="E722" s="1416" t="s">
        <v>69</v>
      </c>
      <c r="F722" s="1409"/>
      <c r="G722" s="1391" t="s">
        <v>29</v>
      </c>
      <c r="H722" s="1626" t="str">
        <f>'CNKT '!C99</f>
        <v>T. Tý</v>
      </c>
      <c r="I722" s="1373"/>
      <c r="J722" s="1415"/>
      <c r="K722" s="1416" t="s">
        <v>69</v>
      </c>
      <c r="L722" s="1389"/>
      <c r="M722" s="1411"/>
      <c r="N722" s="1328"/>
      <c r="O722" s="1411"/>
    </row>
    <row r="723" spans="1:15" s="31" customFormat="1" ht="17.25" customHeight="1">
      <c r="A723" s="1375" t="s">
        <v>807</v>
      </c>
      <c r="B723" s="1188" t="s">
        <v>864</v>
      </c>
      <c r="C723" s="1376"/>
      <c r="D723" s="1377"/>
      <c r="E723" s="1377"/>
      <c r="F723" s="1409"/>
      <c r="G723" s="1375" t="s">
        <v>807</v>
      </c>
      <c r="H723" s="1188" t="s">
        <v>864</v>
      </c>
      <c r="I723" s="1376"/>
      <c r="J723" s="1377"/>
      <c r="K723" s="1377"/>
      <c r="L723" s="1389"/>
      <c r="M723" s="1411"/>
      <c r="N723" s="1328"/>
      <c r="O723" s="1411"/>
    </row>
    <row r="724" spans="1:15" s="31" customFormat="1" ht="17.25" customHeight="1">
      <c r="A724" s="1375" t="s">
        <v>121</v>
      </c>
      <c r="B724" s="1189" t="s">
        <v>865</v>
      </c>
      <c r="C724" s="1378">
        <f>VLOOKUP(B722,'CNKT '!$C$16:$Z$99,3,0)</f>
        <v>0</v>
      </c>
      <c r="D724" s="1379">
        <v>25000</v>
      </c>
      <c r="E724" s="1377">
        <f>C724*D724</f>
        <v>0</v>
      </c>
      <c r="F724" s="1409"/>
      <c r="G724" s="1375" t="s">
        <v>121</v>
      </c>
      <c r="H724" s="1189" t="s">
        <v>865</v>
      </c>
      <c r="I724" s="1378">
        <f>VLOOKUP(H722,'CNKT '!$C$16:$Z$99,3,0)</f>
        <v>0</v>
      </c>
      <c r="J724" s="1379">
        <v>25000</v>
      </c>
      <c r="K724" s="1377">
        <f>I724*J724</f>
        <v>0</v>
      </c>
      <c r="L724" s="1389"/>
      <c r="M724" s="1411"/>
      <c r="N724" s="1328"/>
      <c r="O724" s="1411"/>
    </row>
    <row r="725" spans="1:15" s="31" customFormat="1" ht="17.25" customHeight="1">
      <c r="A725" s="1375" t="s">
        <v>628</v>
      </c>
      <c r="B725" s="1190" t="s">
        <v>866</v>
      </c>
      <c r="C725" s="1433">
        <f>VLOOKUP(B722,'CNKT '!$C$16:$Z$99,11,0)</f>
        <v>0</v>
      </c>
      <c r="D725" s="1380">
        <f>46.1*$B$2</f>
        <v>30241.600000000002</v>
      </c>
      <c r="E725" s="1377">
        <f t="shared" ref="E725:E729" si="83">C725*D725</f>
        <v>0</v>
      </c>
      <c r="F725" s="1409"/>
      <c r="G725" s="1375" t="s">
        <v>628</v>
      </c>
      <c r="H725" s="1190" t="s">
        <v>866</v>
      </c>
      <c r="I725" s="1433">
        <f>VLOOKUP(H722,'CNKT '!$C$16:$Z$99,11,0)</f>
        <v>0</v>
      </c>
      <c r="J725" s="1380">
        <f>46.1*$B$2</f>
        <v>30241.600000000002</v>
      </c>
      <c r="K725" s="1377">
        <f t="shared" ref="K725:K729" si="84">I725*J725</f>
        <v>0</v>
      </c>
      <c r="L725" s="1389"/>
      <c r="M725" s="1411"/>
      <c r="N725" s="1328"/>
      <c r="O725" s="1411"/>
    </row>
    <row r="726" spans="1:15" s="31" customFormat="1" ht="17.25" customHeight="1">
      <c r="A726" s="1375" t="s">
        <v>809</v>
      </c>
      <c r="B726" s="1190" t="s">
        <v>962</v>
      </c>
      <c r="C726" s="1433">
        <f>VLOOKUP(B722,'CNKT '!$C$16:$Z$99,12,0)</f>
        <v>0</v>
      </c>
      <c r="D726" s="1379">
        <f>76.9*$B$2</f>
        <v>50446.400000000001</v>
      </c>
      <c r="E726" s="1377">
        <f t="shared" si="83"/>
        <v>0</v>
      </c>
      <c r="F726" s="1409"/>
      <c r="G726" s="1375" t="s">
        <v>809</v>
      </c>
      <c r="H726" s="1190" t="s">
        <v>962</v>
      </c>
      <c r="I726" s="1433">
        <f>VLOOKUP(H722,'CNKT '!$C$16:$Z$99,12,0)</f>
        <v>0</v>
      </c>
      <c r="J726" s="1379">
        <f>76.9*$B$2</f>
        <v>50446.400000000001</v>
      </c>
      <c r="K726" s="1377">
        <f t="shared" si="84"/>
        <v>0</v>
      </c>
      <c r="L726" s="1389"/>
      <c r="M726" s="1411"/>
      <c r="N726" s="1328"/>
      <c r="O726" s="1411"/>
    </row>
    <row r="727" spans="1:15" s="31" customFormat="1" ht="17.25" customHeight="1">
      <c r="A727" s="1375" t="s">
        <v>122</v>
      </c>
      <c r="B727" s="1190" t="s">
        <v>867</v>
      </c>
      <c r="C727" s="1433">
        <f>VLOOKUP(B722,'CNKT '!$C$16:$Z$99,8,0)</f>
        <v>0</v>
      </c>
      <c r="D727" s="1379">
        <f>IF(C723="A",6.1,IF(C723="B",5.8,IF(C723="C",5.5,IF(C723="C.",5.5,IF(C723="D",5.2)))))*$B$2</f>
        <v>0</v>
      </c>
      <c r="E727" s="1377">
        <f t="shared" si="83"/>
        <v>0</v>
      </c>
      <c r="F727" s="1409"/>
      <c r="G727" s="1375" t="s">
        <v>122</v>
      </c>
      <c r="H727" s="1190" t="s">
        <v>867</v>
      </c>
      <c r="I727" s="1433">
        <f>VLOOKUP(H722,'CNKT '!$C$16:$Z$99,8,0)</f>
        <v>0</v>
      </c>
      <c r="J727" s="1379">
        <f>IF(I723="A",6.1,IF(I723="B",5.8,IF(I723="C",5.5,IF(I723="C.",5.5,IF(I723="D",5.2)))))*$B$2</f>
        <v>0</v>
      </c>
      <c r="K727" s="1377">
        <f t="shared" si="84"/>
        <v>0</v>
      </c>
      <c r="L727" s="1389"/>
      <c r="M727" s="1411"/>
      <c r="N727" s="1328"/>
      <c r="O727" s="1411"/>
    </row>
    <row r="728" spans="1:15" s="31" customFormat="1" ht="17.25" customHeight="1">
      <c r="A728" s="1375" t="s">
        <v>959</v>
      </c>
      <c r="B728" s="1190" t="s">
        <v>963</v>
      </c>
      <c r="C728" s="1433">
        <f>VLOOKUP(B722,'CNKT '!$C$16:$Z$99,15,0)</f>
        <v>0</v>
      </c>
      <c r="D728" s="1380">
        <f>92.2*$B$2</f>
        <v>60483.200000000004</v>
      </c>
      <c r="E728" s="1377">
        <f t="shared" si="83"/>
        <v>0</v>
      </c>
      <c r="F728" s="1409"/>
      <c r="G728" s="1375" t="s">
        <v>959</v>
      </c>
      <c r="H728" s="1190" t="s">
        <v>963</v>
      </c>
      <c r="I728" s="1433">
        <f>VLOOKUP(H722,'CNKT '!$C$16:$Z$99,15,0)</f>
        <v>0</v>
      </c>
      <c r="J728" s="1380">
        <f>92.2*$B$2</f>
        <v>60483.200000000004</v>
      </c>
      <c r="K728" s="1377">
        <f t="shared" si="84"/>
        <v>0</v>
      </c>
      <c r="L728" s="1389"/>
      <c r="M728" s="1411"/>
      <c r="N728" s="1328"/>
      <c r="O728" s="1411"/>
    </row>
    <row r="729" spans="1:15" s="31" customFormat="1" ht="17.25" customHeight="1">
      <c r="A729" s="1375" t="s">
        <v>886</v>
      </c>
      <c r="B729" s="1190" t="s">
        <v>964</v>
      </c>
      <c r="C729" s="1433">
        <f>VLOOKUP(B722,'CNKT '!$C$16:$Z$99,14,0)</f>
        <v>0</v>
      </c>
      <c r="D729" s="1379">
        <f>153.6*$B$2</f>
        <v>100761.59999999999</v>
      </c>
      <c r="E729" s="1377">
        <f t="shared" si="83"/>
        <v>0</v>
      </c>
      <c r="F729" s="1409"/>
      <c r="G729" s="1375" t="s">
        <v>886</v>
      </c>
      <c r="H729" s="1190" t="s">
        <v>964</v>
      </c>
      <c r="I729" s="1433">
        <f>VLOOKUP(H722,'CNKT '!$C$16:$Z$99,14,0)</f>
        <v>0</v>
      </c>
      <c r="J729" s="1379">
        <f>153.6*$B$2</f>
        <v>100761.59999999999</v>
      </c>
      <c r="K729" s="1377">
        <f t="shared" si="84"/>
        <v>0</v>
      </c>
      <c r="L729" s="1389"/>
      <c r="M729" s="1411"/>
      <c r="N729" s="1328"/>
      <c r="O729" s="1411"/>
    </row>
    <row r="730" spans="1:15" s="31" customFormat="1" ht="17.25" customHeight="1">
      <c r="A730" s="1375" t="s">
        <v>899</v>
      </c>
      <c r="B730" s="1190" t="s">
        <v>965</v>
      </c>
      <c r="C730" s="1433">
        <f>VLOOKUP(B722,'CNKT '!$C$16:$Z$99,16,0)</f>
        <v>0</v>
      </c>
      <c r="D730" s="1379">
        <v>25000</v>
      </c>
      <c r="E730" s="1377">
        <f>C730*D730</f>
        <v>0</v>
      </c>
      <c r="F730" s="1409"/>
      <c r="G730" s="1375" t="s">
        <v>899</v>
      </c>
      <c r="H730" s="1190" t="s">
        <v>965</v>
      </c>
      <c r="I730" s="1433">
        <f>VLOOKUP(H722,'CNKT '!$C$16:$Z$99,16,0)</f>
        <v>0</v>
      </c>
      <c r="J730" s="1379">
        <v>25000</v>
      </c>
      <c r="K730" s="1377">
        <f>I730*J730</f>
        <v>0</v>
      </c>
      <c r="L730" s="1389"/>
      <c r="M730" s="1411"/>
      <c r="N730" s="1328"/>
      <c r="O730" s="1411"/>
    </row>
    <row r="731" spans="1:15" s="31" customFormat="1" ht="17.25" customHeight="1">
      <c r="A731" s="1375"/>
      <c r="B731" s="1190"/>
      <c r="C731" s="1433"/>
      <c r="D731" s="1379"/>
      <c r="E731" s="1377"/>
      <c r="F731" s="1409"/>
      <c r="G731" s="1375"/>
      <c r="H731" s="1190"/>
      <c r="I731" s="1433"/>
      <c r="J731" s="1379"/>
      <c r="K731" s="1377"/>
      <c r="L731" s="1389"/>
      <c r="M731" s="1411"/>
      <c r="N731" s="1328"/>
      <c r="O731" s="1411"/>
    </row>
    <row r="732" spans="1:15" s="31" customFormat="1" ht="17.25" customHeight="1">
      <c r="A732" s="1381" t="s">
        <v>123</v>
      </c>
      <c r="B732" s="1191" t="s">
        <v>868</v>
      </c>
      <c r="C732" s="1382"/>
      <c r="D732" s="1383"/>
      <c r="E732" s="1382"/>
      <c r="F732" s="1409"/>
      <c r="G732" s="1381" t="s">
        <v>123</v>
      </c>
      <c r="H732" s="1191" t="s">
        <v>868</v>
      </c>
      <c r="I732" s="1382"/>
      <c r="J732" s="1383"/>
      <c r="K732" s="1382"/>
      <c r="L732" s="1389"/>
      <c r="M732" s="1411"/>
      <c r="N732" s="1328"/>
      <c r="O732" s="1411"/>
    </row>
    <row r="733" spans="1:15" s="31" customFormat="1" ht="17.25" customHeight="1">
      <c r="A733" s="1384" t="s">
        <v>124</v>
      </c>
      <c r="B733" s="1192" t="s">
        <v>869</v>
      </c>
      <c r="C733" s="1382"/>
      <c r="D733" s="1382"/>
      <c r="E733" s="1382"/>
      <c r="F733" s="1409"/>
      <c r="G733" s="1384" t="s">
        <v>124</v>
      </c>
      <c r="H733" s="1192" t="s">
        <v>869</v>
      </c>
      <c r="I733" s="1382"/>
      <c r="J733" s="1382"/>
      <c r="K733" s="1382"/>
      <c r="L733" s="1389"/>
      <c r="M733" s="1411"/>
      <c r="N733" s="1328"/>
      <c r="O733" s="1411"/>
    </row>
    <row r="734" spans="1:15" s="31" customFormat="1" ht="17.25" customHeight="1">
      <c r="A734" s="1384" t="s">
        <v>125</v>
      </c>
      <c r="B734" s="1193" t="s">
        <v>870</v>
      </c>
      <c r="C734" s="1382"/>
      <c r="D734" s="1382"/>
      <c r="E734" s="1377">
        <f>SUM(E733)</f>
        <v>0</v>
      </c>
      <c r="F734" s="1409"/>
      <c r="G734" s="1384" t="s">
        <v>125</v>
      </c>
      <c r="H734" s="1193" t="s">
        <v>870</v>
      </c>
      <c r="I734" s="1382"/>
      <c r="J734" s="1382"/>
      <c r="K734" s="1377">
        <f>SUM(K733)</f>
        <v>0</v>
      </c>
      <c r="L734" s="1389"/>
      <c r="M734" s="1411"/>
      <c r="N734" s="1328"/>
      <c r="O734" s="1411"/>
    </row>
    <row r="735" spans="1:15" s="31" customFormat="1" ht="17.25" customHeight="1">
      <c r="A735" s="1386" t="s">
        <v>126</v>
      </c>
      <c r="B735" s="1248" t="s">
        <v>871</v>
      </c>
      <c r="C735" s="1387"/>
      <c r="D735" s="1387"/>
      <c r="E735" s="1387">
        <f>(E724+E725+E726+E727+E728+E729+E730)-E734</f>
        <v>0</v>
      </c>
      <c r="F735" s="1409"/>
      <c r="G735" s="1386" t="s">
        <v>126</v>
      </c>
      <c r="H735" s="1248" t="s">
        <v>871</v>
      </c>
      <c r="I735" s="1387"/>
      <c r="J735" s="1387"/>
      <c r="K735" s="1387">
        <f>(K724+K725+K726+K727+K728+K729+K730)-K734</f>
        <v>0</v>
      </c>
      <c r="L735" s="1389">
        <f>E735+K735</f>
        <v>0</v>
      </c>
      <c r="M735" s="1411"/>
      <c r="N735" s="1328"/>
      <c r="O735" s="1411"/>
    </row>
    <row r="736" spans="1:15" s="31" customFormat="1" ht="17.25" customHeight="1">
      <c r="A736" s="1417"/>
      <c r="B736" s="1418"/>
      <c r="C736" s="1419"/>
      <c r="D736" s="1419"/>
      <c r="E736" s="1419"/>
      <c r="F736" s="1409"/>
      <c r="G736" s="1417"/>
      <c r="H736" s="1418"/>
      <c r="I736" s="1419"/>
      <c r="J736" s="1420"/>
      <c r="K736" s="1419"/>
      <c r="L736" s="1389"/>
      <c r="M736" s="1411"/>
      <c r="N736" s="1328"/>
      <c r="O736" s="1411"/>
    </row>
    <row r="737" spans="1:15" s="31" customFormat="1" ht="17.25" customHeight="1">
      <c r="A737" s="1417"/>
      <c r="B737" s="1418"/>
      <c r="C737" s="1419"/>
      <c r="D737" s="1419"/>
      <c r="E737" s="1419"/>
      <c r="F737" s="1409"/>
      <c r="G737" s="1417"/>
      <c r="H737" s="1418"/>
      <c r="I737" s="1419"/>
      <c r="J737" s="1420"/>
      <c r="K737" s="1419"/>
      <c r="L737" s="1389"/>
      <c r="M737" s="1328"/>
      <c r="N737" s="1411"/>
    </row>
    <row r="738" spans="1:15" s="31" customFormat="1" ht="17.25" customHeight="1">
      <c r="A738" s="2185" t="s">
        <v>175</v>
      </c>
      <c r="B738" s="2185"/>
      <c r="C738" s="2185"/>
      <c r="D738" s="2185"/>
      <c r="E738" s="2185"/>
      <c r="F738" s="2185"/>
      <c r="G738" s="2185"/>
      <c r="H738" s="2185"/>
      <c r="I738" s="2185"/>
      <c r="J738" s="2186"/>
      <c r="K738" s="1624"/>
      <c r="L738" s="1372"/>
      <c r="M738" s="1411">
        <f>SUM(L12:L735)</f>
        <v>95339250</v>
      </c>
      <c r="N738" s="1328">
        <v>475097563</v>
      </c>
      <c r="O738" s="1411">
        <f>N738-M738</f>
        <v>379758313</v>
      </c>
    </row>
    <row r="739" spans="1:15" s="31" customFormat="1" ht="17.25" customHeight="1">
      <c r="A739" s="2187"/>
      <c r="B739" s="2187"/>
      <c r="C739" s="2187"/>
      <c r="D739" s="2187"/>
      <c r="E739" s="2187"/>
      <c r="F739" s="1409"/>
      <c r="G739" s="2187"/>
      <c r="H739" s="2187"/>
      <c r="I739" s="2187"/>
      <c r="J739" s="2187"/>
      <c r="K739" s="1624"/>
      <c r="L739" s="1372"/>
      <c r="M739" s="1421"/>
    </row>
    <row r="740" spans="1:15" s="31" customFormat="1" ht="17.25" customHeight="1">
      <c r="A740" s="2182" t="str">
        <f>A706</f>
        <v>LƯƠNG THÁNG 01/2025</v>
      </c>
      <c r="B740" s="2183"/>
      <c r="C740" s="2183"/>
      <c r="D740" s="2183"/>
      <c r="E740" s="1452">
        <v>1</v>
      </c>
      <c r="F740" s="1436"/>
      <c r="G740" s="2188" t="str">
        <f>A740</f>
        <v>LƯƠNG THÁNG 01/2025</v>
      </c>
      <c r="H740" s="2188"/>
      <c r="I740" s="2188"/>
      <c r="J740" s="2188"/>
      <c r="K740" s="1452">
        <v>2</v>
      </c>
      <c r="L740" s="1372"/>
      <c r="M740" s="1421"/>
    </row>
    <row r="741" spans="1:15" s="31" customFormat="1" ht="17.25" customHeight="1">
      <c r="A741" s="1391" t="s">
        <v>29</v>
      </c>
      <c r="B741" s="1626" t="str">
        <f>'CNKT '!C101</f>
        <v>T. Lê</v>
      </c>
      <c r="C741" s="1376"/>
      <c r="D741" s="1626" t="s">
        <v>806</v>
      </c>
      <c r="E741" s="1626" t="s">
        <v>32</v>
      </c>
      <c r="F741" s="1436"/>
      <c r="G741" s="1391" t="s">
        <v>29</v>
      </c>
      <c r="H741" s="1626" t="str">
        <f>'CNKT '!C102</f>
        <v xml:space="preserve">Nang On Teng </v>
      </c>
      <c r="I741" s="1376"/>
      <c r="J741" s="1626" t="s">
        <v>806</v>
      </c>
      <c r="K741" s="1626" t="s">
        <v>32</v>
      </c>
      <c r="L741" s="1372"/>
      <c r="M741" s="1421"/>
    </row>
    <row r="742" spans="1:15" s="31" customFormat="1" ht="17.25" customHeight="1">
      <c r="A742" s="1375" t="s">
        <v>807</v>
      </c>
      <c r="B742" s="1628" t="s">
        <v>1080</v>
      </c>
      <c r="C742" s="1376" t="str">
        <f>VLOOKUP(B741,'BTH mủ tạp'!$C$97:$AL$175,36,0)</f>
        <v>A</v>
      </c>
      <c r="D742" s="1377"/>
      <c r="E742" s="1377"/>
      <c r="F742" s="1436"/>
      <c r="G742" s="1375" t="s">
        <v>807</v>
      </c>
      <c r="H742" s="1628" t="s">
        <v>1080</v>
      </c>
      <c r="I742" s="1376" t="str">
        <f>VLOOKUP(H741,'BTH mủ tạp'!$C$97:$AL$175,36,0)</f>
        <v>A</v>
      </c>
      <c r="J742" s="1377"/>
      <c r="K742" s="1377"/>
      <c r="L742" s="1372"/>
    </row>
    <row r="743" spans="1:15" s="31" customFormat="1" ht="17.25" customHeight="1">
      <c r="A743" s="1375" t="s">
        <v>121</v>
      </c>
      <c r="B743" s="1629" t="s">
        <v>865</v>
      </c>
      <c r="C743" s="1378">
        <f>VLOOKUP(B741,'CNKT '!$C$101:$Z$182,3,0)</f>
        <v>0</v>
      </c>
      <c r="D743" s="1379">
        <v>25000</v>
      </c>
      <c r="E743" s="1377">
        <f t="shared" ref="E743:E748" si="85">C743*D743</f>
        <v>0</v>
      </c>
      <c r="F743" s="1436"/>
      <c r="G743" s="1375" t="s">
        <v>121</v>
      </c>
      <c r="H743" s="1629" t="s">
        <v>865</v>
      </c>
      <c r="I743" s="1378">
        <f>VLOOKUP(H741,'CNKT '!$C$101:$Z$182,3,0)</f>
        <v>0</v>
      </c>
      <c r="J743" s="1379">
        <v>25000</v>
      </c>
      <c r="K743" s="1377">
        <f t="shared" ref="K743:K748" si="86">I743*J743</f>
        <v>0</v>
      </c>
      <c r="L743" s="1372"/>
    </row>
    <row r="744" spans="1:15" s="31" customFormat="1" ht="17.25" customHeight="1">
      <c r="A744" s="1375" t="s">
        <v>628</v>
      </c>
      <c r="B744" s="1630" t="s">
        <v>1081</v>
      </c>
      <c r="C744" s="1433">
        <f>VLOOKUP(B741,'CNKT '!$C$101:$Z$182,11,0)</f>
        <v>0</v>
      </c>
      <c r="D744" s="1380">
        <f>46.1*$B$2</f>
        <v>30241.600000000002</v>
      </c>
      <c r="E744" s="1377">
        <f t="shared" si="85"/>
        <v>0</v>
      </c>
      <c r="F744" s="1436"/>
      <c r="G744" s="1375" t="s">
        <v>628</v>
      </c>
      <c r="H744" s="1630" t="s">
        <v>1081</v>
      </c>
      <c r="I744" s="1433">
        <f>VLOOKUP(H741,'CNKT '!$C$101:$Z$182,11,0)</f>
        <v>0</v>
      </c>
      <c r="J744" s="1380">
        <f>46.1*$B$2</f>
        <v>30241.600000000002</v>
      </c>
      <c r="K744" s="1377">
        <f t="shared" si="86"/>
        <v>0</v>
      </c>
      <c r="L744" s="1372"/>
    </row>
    <row r="745" spans="1:15" s="31" customFormat="1" ht="17.25" customHeight="1">
      <c r="A745" s="1375" t="s">
        <v>809</v>
      </c>
      <c r="B745" s="1630" t="s">
        <v>1082</v>
      </c>
      <c r="C745" s="1433">
        <f>VLOOKUP(B741,'CNKT '!$C$101:$Z$182,12,0)</f>
        <v>0</v>
      </c>
      <c r="D745" s="1379">
        <f>76.9*$B$2</f>
        <v>50446.400000000001</v>
      </c>
      <c r="E745" s="1377">
        <f t="shared" si="85"/>
        <v>0</v>
      </c>
      <c r="F745" s="1436"/>
      <c r="G745" s="1375" t="s">
        <v>809</v>
      </c>
      <c r="H745" s="1630" t="s">
        <v>1082</v>
      </c>
      <c r="I745" s="1433">
        <f>VLOOKUP(H741,'CNKT '!$C$101:$Z$182,12,0)</f>
        <v>0</v>
      </c>
      <c r="J745" s="1379">
        <f>76.9*$B$2</f>
        <v>50446.400000000001</v>
      </c>
      <c r="K745" s="1377">
        <f t="shared" si="86"/>
        <v>0</v>
      </c>
      <c r="L745" s="1372"/>
    </row>
    <row r="746" spans="1:15" s="31" customFormat="1" ht="17.25" customHeight="1">
      <c r="A746" s="1375" t="s">
        <v>122</v>
      </c>
      <c r="B746" s="1630" t="s">
        <v>1083</v>
      </c>
      <c r="C746" s="1433">
        <f>VLOOKUP(B741,'CNKT '!$C$101:$Z$182,8,0)</f>
        <v>0</v>
      </c>
      <c r="D746" s="1379">
        <f>IF(C742="A",6.1,IF(C742="B",5.8,IF(C742="C",5.5,IF(C742="C.",5.5,IF(C742="D",5.2)))))*$B$2</f>
        <v>4001.6</v>
      </c>
      <c r="E746" s="1377">
        <f t="shared" si="85"/>
        <v>0</v>
      </c>
      <c r="F746" s="1436"/>
      <c r="G746" s="1375" t="s">
        <v>122</v>
      </c>
      <c r="H746" s="1630" t="s">
        <v>1083</v>
      </c>
      <c r="I746" s="1433">
        <f>VLOOKUP(H741,'CNKT '!$C$101:$Z$182,8,0)</f>
        <v>0</v>
      </c>
      <c r="J746" s="1379">
        <f>IF(I742="A",6.1,IF(I742="B",5.8,IF(I742="C",5.5,IF(I742="C.",5.5,IF(I742="D",5.2)))))*$B$2</f>
        <v>4001.6</v>
      </c>
      <c r="K746" s="1377">
        <f t="shared" si="86"/>
        <v>0</v>
      </c>
      <c r="L746" s="1372"/>
    </row>
    <row r="747" spans="1:15" s="31" customFormat="1" ht="17.25" customHeight="1">
      <c r="A747" s="1375" t="s">
        <v>959</v>
      </c>
      <c r="B747" s="1630" t="s">
        <v>1084</v>
      </c>
      <c r="C747" s="1433">
        <f>VLOOKUP(B741,'CNKT '!$C$101:$Z$182,15,0)</f>
        <v>0</v>
      </c>
      <c r="D747" s="1380">
        <f>92.2*$B$2</f>
        <v>60483.200000000004</v>
      </c>
      <c r="E747" s="1377">
        <f t="shared" si="85"/>
        <v>0</v>
      </c>
      <c r="F747" s="1436"/>
      <c r="G747" s="1375" t="s">
        <v>959</v>
      </c>
      <c r="H747" s="1630" t="s">
        <v>1084</v>
      </c>
      <c r="I747" s="1433">
        <f>VLOOKUP(H741,'CNKT '!$C$101:$Z$182,15,0)</f>
        <v>0</v>
      </c>
      <c r="J747" s="1380">
        <f>92.2*$B$2</f>
        <v>60483.200000000004</v>
      </c>
      <c r="K747" s="1377">
        <f t="shared" si="86"/>
        <v>0</v>
      </c>
      <c r="L747" s="1372"/>
    </row>
    <row r="748" spans="1:15" s="31" customFormat="1" ht="17.25" customHeight="1">
      <c r="A748" s="1375" t="s">
        <v>960</v>
      </c>
      <c r="B748" s="1630" t="s">
        <v>964</v>
      </c>
      <c r="C748" s="1433">
        <f>VLOOKUP(B741,'CNKT '!$C$101:$Z$182,16,0)</f>
        <v>0</v>
      </c>
      <c r="D748" s="1379">
        <f>153.8*$B$2</f>
        <v>100892.8</v>
      </c>
      <c r="E748" s="1377">
        <f t="shared" si="85"/>
        <v>0</v>
      </c>
      <c r="F748" s="1436"/>
      <c r="G748" s="1375" t="s">
        <v>960</v>
      </c>
      <c r="H748" s="1630" t="s">
        <v>964</v>
      </c>
      <c r="I748" s="1433">
        <f>VLOOKUP(H741,'CNKT '!$C$101:$Z$182,16,0)</f>
        <v>0</v>
      </c>
      <c r="J748" s="1379">
        <f>153.8*$B$2</f>
        <v>100892.8</v>
      </c>
      <c r="K748" s="1377">
        <f t="shared" si="86"/>
        <v>0</v>
      </c>
      <c r="L748" s="1372"/>
    </row>
    <row r="749" spans="1:15" s="31" customFormat="1" ht="17.25" customHeight="1">
      <c r="A749" s="1375" t="s">
        <v>899</v>
      </c>
      <c r="B749" s="1630" t="s">
        <v>965</v>
      </c>
      <c r="C749" s="1433">
        <f>VLOOKUP(B741,'CNKT '!$C$101:$Z$188,18,0)</f>
        <v>0</v>
      </c>
      <c r="D749" s="1379">
        <v>10000</v>
      </c>
      <c r="E749" s="1377">
        <f>C749*D749</f>
        <v>0</v>
      </c>
      <c r="F749" s="1436"/>
      <c r="G749" s="1375" t="s">
        <v>899</v>
      </c>
      <c r="H749" s="1630" t="s">
        <v>965</v>
      </c>
      <c r="I749" s="1433">
        <f>VLOOKUP(H741,'CNKT '!$C$101:$Z$188,18,0)</f>
        <v>0</v>
      </c>
      <c r="J749" s="1379">
        <v>10000</v>
      </c>
      <c r="K749" s="1377">
        <f>I749*J749</f>
        <v>0</v>
      </c>
      <c r="L749" s="1372"/>
    </row>
    <row r="750" spans="1:15" s="31" customFormat="1" ht="17.25" customHeight="1">
      <c r="A750" s="1375" t="s">
        <v>899</v>
      </c>
      <c r="B750" s="1630" t="s">
        <v>965</v>
      </c>
      <c r="C750" s="1433">
        <f>VLOOKUP(B741,'CNKT '!$C$101:$Z$188,19,0)</f>
        <v>0</v>
      </c>
      <c r="D750" s="1379">
        <v>20000</v>
      </c>
      <c r="E750" s="1377">
        <f>C750*D750</f>
        <v>0</v>
      </c>
      <c r="F750" s="1436"/>
      <c r="G750" s="1375" t="s">
        <v>899</v>
      </c>
      <c r="H750" s="1630" t="s">
        <v>965</v>
      </c>
      <c r="I750" s="1433">
        <f>VLOOKUP(H741,'CNKT '!$C$101:$Z$188,19,0)</f>
        <v>0</v>
      </c>
      <c r="J750" s="1379">
        <v>20000</v>
      </c>
      <c r="K750" s="1377">
        <f>I750*J750</f>
        <v>0</v>
      </c>
      <c r="L750" s="1372"/>
    </row>
    <row r="751" spans="1:15" s="31" customFormat="1" ht="17.25" customHeight="1">
      <c r="A751" s="1375" t="s">
        <v>995</v>
      </c>
      <c r="B751" s="1630" t="s">
        <v>997</v>
      </c>
      <c r="C751" s="1433"/>
      <c r="D751" s="1379"/>
      <c r="E751" s="1377"/>
      <c r="F751" s="1436"/>
      <c r="G751" s="1375" t="s">
        <v>995</v>
      </c>
      <c r="H751" s="1630" t="s">
        <v>997</v>
      </c>
      <c r="I751" s="1433"/>
      <c r="J751" s="1379"/>
      <c r="K751" s="1377"/>
      <c r="L751" s="1372"/>
    </row>
    <row r="752" spans="1:15" s="31" customFormat="1" ht="17.25" customHeight="1">
      <c r="A752" s="1381" t="s">
        <v>123</v>
      </c>
      <c r="B752" s="1631" t="s">
        <v>1085</v>
      </c>
      <c r="C752" s="1382"/>
      <c r="D752" s="1383"/>
      <c r="E752" s="1382"/>
      <c r="F752" s="1436"/>
      <c r="G752" s="1381" t="s">
        <v>123</v>
      </c>
      <c r="H752" s="1631" t="s">
        <v>1085</v>
      </c>
      <c r="I752" s="1382"/>
      <c r="J752" s="1383"/>
      <c r="K752" s="1382"/>
      <c r="L752" s="1372"/>
    </row>
    <row r="753" spans="1:16" s="31" customFormat="1" ht="17.25" customHeight="1">
      <c r="A753" s="1384" t="s">
        <v>124</v>
      </c>
      <c r="B753" s="1632" t="s">
        <v>1086</v>
      </c>
      <c r="C753" s="1382"/>
      <c r="D753" s="1382"/>
      <c r="E753" s="1382"/>
      <c r="F753" s="1436"/>
      <c r="G753" s="1384" t="s">
        <v>124</v>
      </c>
      <c r="H753" s="1632" t="s">
        <v>1086</v>
      </c>
      <c r="I753" s="1382"/>
      <c r="J753" s="1382"/>
      <c r="K753" s="1382"/>
      <c r="L753" s="1372"/>
    </row>
    <row r="754" spans="1:16" s="31" customFormat="1" ht="17.25" customHeight="1">
      <c r="A754" s="1384" t="s">
        <v>125</v>
      </c>
      <c r="B754" s="1633" t="s">
        <v>1087</v>
      </c>
      <c r="C754" s="1382"/>
      <c r="D754" s="1382"/>
      <c r="E754" s="1377">
        <f>SUM(E753)</f>
        <v>0</v>
      </c>
      <c r="F754" s="1423"/>
      <c r="G754" s="1384" t="s">
        <v>125</v>
      </c>
      <c r="H754" s="1633" t="s">
        <v>1087</v>
      </c>
      <c r="I754" s="1382"/>
      <c r="J754" s="1382"/>
      <c r="K754" s="1377">
        <f>SUM(K753)</f>
        <v>0</v>
      </c>
      <c r="L754" s="1372"/>
    </row>
    <row r="755" spans="1:16" s="31" customFormat="1" ht="17.25" customHeight="1">
      <c r="A755" s="1386" t="s">
        <v>126</v>
      </c>
      <c r="B755" s="1634" t="s">
        <v>871</v>
      </c>
      <c r="C755" s="1387"/>
      <c r="D755" s="1387"/>
      <c r="E755" s="1387">
        <f>(E743+E744+E745+E746+E747+E748+E749+E750+E751)-E754</f>
        <v>0</v>
      </c>
      <c r="F755" s="1436"/>
      <c r="G755" s="1386" t="s">
        <v>126</v>
      </c>
      <c r="H755" s="1634" t="s">
        <v>871</v>
      </c>
      <c r="I755" s="1387"/>
      <c r="J755" s="1387"/>
      <c r="K755" s="1387">
        <f>(K743+K744+K745+K746+K747+K748+K749+K750+K751)-K754</f>
        <v>0</v>
      </c>
      <c r="L755" s="1389">
        <f>E755+K755</f>
        <v>0</v>
      </c>
    </row>
    <row r="756" spans="1:16" s="1430" customFormat="1" ht="17.25" customHeight="1">
      <c r="A756" s="1424"/>
      <c r="B756" s="1425"/>
      <c r="C756" s="1426"/>
      <c r="D756" s="1426"/>
      <c r="E756" s="1426"/>
      <c r="F756" s="1427"/>
      <c r="G756" s="1622"/>
      <c r="H756" s="1622"/>
      <c r="I756" s="1622"/>
      <c r="J756" s="1622"/>
      <c r="K756" s="1428"/>
      <c r="L756" s="1429"/>
    </row>
    <row r="757" spans="1:16" s="1402" customFormat="1" ht="17.25" customHeight="1">
      <c r="A757" s="2183" t="str">
        <f>A740</f>
        <v>LƯƠNG THÁNG 01/2025</v>
      </c>
      <c r="B757" s="2183"/>
      <c r="C757" s="2183"/>
      <c r="D757" s="2183"/>
      <c r="E757" s="1452">
        <v>3</v>
      </c>
      <c r="F757" s="1427"/>
      <c r="G757" s="2183" t="str">
        <f>A757</f>
        <v>LƯƠNG THÁNG 01/2025</v>
      </c>
      <c r="H757" s="2183"/>
      <c r="I757" s="2183"/>
      <c r="J757" s="2183"/>
      <c r="K757" s="1452">
        <v>4</v>
      </c>
      <c r="L757" s="1431"/>
    </row>
    <row r="758" spans="1:16" s="31" customFormat="1" ht="17.25" customHeight="1">
      <c r="A758" s="1391" t="s">
        <v>29</v>
      </c>
      <c r="B758" s="1626" t="str">
        <f>'CNKT '!C103</f>
        <v>T. Đôn Ma</v>
      </c>
      <c r="C758" s="1376"/>
      <c r="D758" s="1626" t="s">
        <v>806</v>
      </c>
      <c r="E758" s="1626" t="s">
        <v>32</v>
      </c>
      <c r="F758" s="1436"/>
      <c r="G758" s="1391" t="s">
        <v>29</v>
      </c>
      <c r="H758" s="1626" t="str">
        <f>'CNKT '!C104</f>
        <v>T Nôn</v>
      </c>
      <c r="I758" s="1376"/>
      <c r="J758" s="1626" t="s">
        <v>806</v>
      </c>
      <c r="K758" s="1626" t="s">
        <v>32</v>
      </c>
      <c r="L758" s="1372"/>
    </row>
    <row r="759" spans="1:16" s="31" customFormat="1" ht="17.25" customHeight="1">
      <c r="A759" s="1375" t="s">
        <v>807</v>
      </c>
      <c r="B759" s="1628" t="s">
        <v>1080</v>
      </c>
      <c r="C759" s="1376" t="str">
        <f>VLOOKUP(B758,'BTH mủ tạp'!$C$97:$AL$175,36,0)</f>
        <v>A</v>
      </c>
      <c r="D759" s="1377"/>
      <c r="E759" s="1377"/>
      <c r="F759" s="1436"/>
      <c r="G759" s="1375" t="s">
        <v>807</v>
      </c>
      <c r="H759" s="1628" t="s">
        <v>1080</v>
      </c>
      <c r="I759" s="1376" t="str">
        <f>VLOOKUP(H758,'BTH mủ tạp'!$C$97:$AL$175,36,0)</f>
        <v>A</v>
      </c>
      <c r="J759" s="1377"/>
      <c r="K759" s="1377"/>
      <c r="L759" s="1372"/>
    </row>
    <row r="760" spans="1:16" s="31" customFormat="1" ht="17.25" customHeight="1">
      <c r="A760" s="1375" t="s">
        <v>121</v>
      </c>
      <c r="B760" s="1629" t="s">
        <v>865</v>
      </c>
      <c r="C760" s="1378">
        <f>VLOOKUP(B758,'CNKT '!$C$101:$Z$182,3,0)</f>
        <v>0</v>
      </c>
      <c r="D760" s="1379">
        <v>25000</v>
      </c>
      <c r="E760" s="1377">
        <f t="shared" ref="E760:E765" si="87">C760*D760</f>
        <v>0</v>
      </c>
      <c r="F760" s="1436"/>
      <c r="G760" s="1375" t="s">
        <v>121</v>
      </c>
      <c r="H760" s="1629" t="s">
        <v>865</v>
      </c>
      <c r="I760" s="1378">
        <f>VLOOKUP(H758,'CNKT '!$C$101:$Z$182,3,0)</f>
        <v>0</v>
      </c>
      <c r="J760" s="1379">
        <v>25000</v>
      </c>
      <c r="K760" s="1377">
        <f t="shared" ref="K760:K765" si="88">I760*J760</f>
        <v>0</v>
      </c>
      <c r="L760" s="1372"/>
    </row>
    <row r="761" spans="1:16" s="31" customFormat="1" ht="17.25" customHeight="1">
      <c r="A761" s="1375" t="s">
        <v>628</v>
      </c>
      <c r="B761" s="1630" t="s">
        <v>1081</v>
      </c>
      <c r="C761" s="1433">
        <f>VLOOKUP(B758,'CNKT '!$C$101:$Z$182,11,0)</f>
        <v>0</v>
      </c>
      <c r="D761" s="1380">
        <f>46.1*$B$2</f>
        <v>30241.600000000002</v>
      </c>
      <c r="E761" s="1377">
        <f t="shared" si="87"/>
        <v>0</v>
      </c>
      <c r="F761" s="1436"/>
      <c r="G761" s="1375" t="s">
        <v>628</v>
      </c>
      <c r="H761" s="1630" t="s">
        <v>1081</v>
      </c>
      <c r="I761" s="1433">
        <f>VLOOKUP(H758,'CNKT '!$C$101:$Z$182,11,0)</f>
        <v>0</v>
      </c>
      <c r="J761" s="1380">
        <f>46.1*$B$2</f>
        <v>30241.600000000002</v>
      </c>
      <c r="K761" s="1377">
        <f t="shared" si="88"/>
        <v>0</v>
      </c>
      <c r="L761" s="1372"/>
    </row>
    <row r="762" spans="1:16" s="31" customFormat="1" ht="17.25" customHeight="1">
      <c r="A762" s="1375" t="s">
        <v>809</v>
      </c>
      <c r="B762" s="1630" t="s">
        <v>1082</v>
      </c>
      <c r="C762" s="1433">
        <f>VLOOKUP(B758,'CNKT '!$C$101:$Z$182,12,0)</f>
        <v>0</v>
      </c>
      <c r="D762" s="1379">
        <f>76.9*$B$2</f>
        <v>50446.400000000001</v>
      </c>
      <c r="E762" s="1377">
        <f t="shared" si="87"/>
        <v>0</v>
      </c>
      <c r="F762" s="1436"/>
      <c r="G762" s="1375" t="s">
        <v>809</v>
      </c>
      <c r="H762" s="1630" t="s">
        <v>1082</v>
      </c>
      <c r="I762" s="1433">
        <f>VLOOKUP(H758,'CNKT '!$C$101:$Z$182,12,0)</f>
        <v>0</v>
      </c>
      <c r="J762" s="1379">
        <f>76.9*$B$2</f>
        <v>50446.400000000001</v>
      </c>
      <c r="K762" s="1377">
        <f t="shared" si="88"/>
        <v>0</v>
      </c>
      <c r="L762" s="1372"/>
    </row>
    <row r="763" spans="1:16" s="31" customFormat="1" ht="17.25" customHeight="1">
      <c r="A763" s="1375" t="s">
        <v>122</v>
      </c>
      <c r="B763" s="1630" t="s">
        <v>1083</v>
      </c>
      <c r="C763" s="1433">
        <f>VLOOKUP(B758,'CNKT '!$C$101:$Z$182,8,0)</f>
        <v>0</v>
      </c>
      <c r="D763" s="1379">
        <f>IF(C759="A",6.1,IF(C759="B",5.8,IF(C759="C",5.5,IF(C759="C.",5.5,IF(C759="D",5.2)))))*$B$2</f>
        <v>4001.6</v>
      </c>
      <c r="E763" s="1377">
        <f t="shared" si="87"/>
        <v>0</v>
      </c>
      <c r="F763" s="1436"/>
      <c r="G763" s="1375" t="s">
        <v>122</v>
      </c>
      <c r="H763" s="1630" t="s">
        <v>1083</v>
      </c>
      <c r="I763" s="1433">
        <f>VLOOKUP(H758,'CNKT '!$C$101:$Z$182,8,0)</f>
        <v>0</v>
      </c>
      <c r="J763" s="1379">
        <f>IF(I759="A",6.1,IF(I759="B",5.8,IF(I759="C",5.5,IF(I759="C.",5.5,IF(I759="D",5.2)))))*$B$2</f>
        <v>4001.6</v>
      </c>
      <c r="K763" s="1377">
        <f t="shared" si="88"/>
        <v>0</v>
      </c>
      <c r="L763" s="1372"/>
    </row>
    <row r="764" spans="1:16" s="31" customFormat="1" ht="17.25" customHeight="1">
      <c r="A764" s="1375" t="s">
        <v>959</v>
      </c>
      <c r="B764" s="1630" t="s">
        <v>1084</v>
      </c>
      <c r="C764" s="1433">
        <f>VLOOKUP(B758,'CNKT '!$C$101:$Z$182,15,0)</f>
        <v>0</v>
      </c>
      <c r="D764" s="1380">
        <f>92.2*$B$2</f>
        <v>60483.200000000004</v>
      </c>
      <c r="E764" s="1377">
        <f t="shared" si="87"/>
        <v>0</v>
      </c>
      <c r="F764" s="1436"/>
      <c r="G764" s="1375" t="s">
        <v>959</v>
      </c>
      <c r="H764" s="1630" t="s">
        <v>1084</v>
      </c>
      <c r="I764" s="1433">
        <f>VLOOKUP(H758,'CNKT '!$C$101:$Z$182,15,0)</f>
        <v>0</v>
      </c>
      <c r="J764" s="1380">
        <f>92.2*$B$2</f>
        <v>60483.200000000004</v>
      </c>
      <c r="K764" s="1377">
        <f t="shared" si="88"/>
        <v>0</v>
      </c>
      <c r="L764" s="1372"/>
      <c r="P764" s="31">
        <v>2000000</v>
      </c>
    </row>
    <row r="765" spans="1:16" s="31" customFormat="1" ht="17.25" customHeight="1">
      <c r="A765" s="1375" t="s">
        <v>960</v>
      </c>
      <c r="B765" s="1630" t="s">
        <v>964</v>
      </c>
      <c r="C765" s="1433">
        <f>VLOOKUP(B758,'CNKT '!$C$101:$Z$182,16,0)</f>
        <v>0</v>
      </c>
      <c r="D765" s="1379">
        <f>153.8*$B$2</f>
        <v>100892.8</v>
      </c>
      <c r="E765" s="1377">
        <f t="shared" si="87"/>
        <v>0</v>
      </c>
      <c r="F765" s="1436"/>
      <c r="G765" s="1375" t="s">
        <v>960</v>
      </c>
      <c r="H765" s="1630" t="s">
        <v>964</v>
      </c>
      <c r="I765" s="1433">
        <f>VLOOKUP(H758,'CNKT '!$C$101:$Z$182,16,0)</f>
        <v>0</v>
      </c>
      <c r="J765" s="1379">
        <f>153.8*$B$2</f>
        <v>100892.8</v>
      </c>
      <c r="K765" s="1377">
        <f t="shared" si="88"/>
        <v>0</v>
      </c>
      <c r="L765" s="1372"/>
      <c r="P765" s="31">
        <v>2000000</v>
      </c>
    </row>
    <row r="766" spans="1:16" s="31" customFormat="1" ht="17.25" customHeight="1">
      <c r="A766" s="1375" t="s">
        <v>899</v>
      </c>
      <c r="B766" s="1630" t="s">
        <v>965</v>
      </c>
      <c r="C766" s="1433">
        <f>VLOOKUP(B758,'CNKT '!$C$101:$Z$188,18,0)</f>
        <v>0</v>
      </c>
      <c r="D766" s="1379">
        <v>10000</v>
      </c>
      <c r="E766" s="1377">
        <f>C766*D766</f>
        <v>0</v>
      </c>
      <c r="F766" s="1436"/>
      <c r="G766" s="1375" t="s">
        <v>899</v>
      </c>
      <c r="H766" s="1630" t="s">
        <v>965</v>
      </c>
      <c r="I766" s="1433">
        <f>VLOOKUP(H758,'CNKT '!$C$101:$Z$188,18,0)</f>
        <v>0</v>
      </c>
      <c r="J766" s="1379">
        <v>10000</v>
      </c>
      <c r="K766" s="1377">
        <f>I766*J766</f>
        <v>0</v>
      </c>
      <c r="L766" s="1372"/>
      <c r="P766" s="31">
        <v>2000000</v>
      </c>
    </row>
    <row r="767" spans="1:16" s="31" customFormat="1" ht="17.25" customHeight="1">
      <c r="A767" s="1375" t="s">
        <v>899</v>
      </c>
      <c r="B767" s="1630" t="s">
        <v>965</v>
      </c>
      <c r="C767" s="1433">
        <f>VLOOKUP(B758,'CNKT '!$C$101:$Z$188,19,0)</f>
        <v>0</v>
      </c>
      <c r="D767" s="1379">
        <v>20000</v>
      </c>
      <c r="E767" s="1377">
        <f>C767*D767</f>
        <v>0</v>
      </c>
      <c r="F767" s="1436"/>
      <c r="G767" s="1375" t="s">
        <v>899</v>
      </c>
      <c r="H767" s="1630" t="s">
        <v>965</v>
      </c>
      <c r="I767" s="1433">
        <f>VLOOKUP(H758,'CNKT '!$C$101:$Z$188,19,0)</f>
        <v>0</v>
      </c>
      <c r="J767" s="1379">
        <v>20000</v>
      </c>
      <c r="K767" s="1377">
        <f>I767*J767</f>
        <v>0</v>
      </c>
      <c r="L767" s="1372"/>
    </row>
    <row r="768" spans="1:16" s="31" customFormat="1" ht="17.25" customHeight="1">
      <c r="A768" s="1375" t="s">
        <v>995</v>
      </c>
      <c r="B768" s="1630" t="s">
        <v>997</v>
      </c>
      <c r="C768" s="1433"/>
      <c r="D768" s="1379"/>
      <c r="E768" s="1377"/>
      <c r="F768" s="1436"/>
      <c r="G768" s="1375" t="s">
        <v>995</v>
      </c>
      <c r="H768" s="1630" t="s">
        <v>997</v>
      </c>
      <c r="I768" s="1433"/>
      <c r="J768" s="1379"/>
      <c r="K768" s="1377"/>
      <c r="L768" s="1372"/>
      <c r="P768" s="31">
        <v>1000000</v>
      </c>
    </row>
    <row r="769" spans="1:12" s="31" customFormat="1" ht="17.25" customHeight="1">
      <c r="A769" s="1381" t="s">
        <v>123</v>
      </c>
      <c r="B769" s="1631" t="s">
        <v>1085</v>
      </c>
      <c r="C769" s="1382"/>
      <c r="D769" s="1383"/>
      <c r="E769" s="1382"/>
      <c r="F769" s="1436"/>
      <c r="G769" s="1381" t="s">
        <v>123</v>
      </c>
      <c r="H769" s="1631" t="s">
        <v>1085</v>
      </c>
      <c r="I769" s="1382"/>
      <c r="J769" s="1383"/>
      <c r="K769" s="1382"/>
      <c r="L769" s="1372"/>
    </row>
    <row r="770" spans="1:12" s="31" customFormat="1" ht="17.25" customHeight="1">
      <c r="A770" s="1384" t="s">
        <v>124</v>
      </c>
      <c r="B770" s="1632" t="s">
        <v>1086</v>
      </c>
      <c r="C770" s="1382"/>
      <c r="D770" s="1382"/>
      <c r="E770" s="1382"/>
      <c r="F770" s="1436"/>
      <c r="G770" s="1384" t="s">
        <v>124</v>
      </c>
      <c r="H770" s="1632" t="s">
        <v>1086</v>
      </c>
      <c r="I770" s="1382"/>
      <c r="J770" s="1382"/>
      <c r="K770" s="1382"/>
      <c r="L770" s="1372"/>
    </row>
    <row r="771" spans="1:12" s="31" customFormat="1" ht="17.25" customHeight="1">
      <c r="A771" s="1384" t="s">
        <v>125</v>
      </c>
      <c r="B771" s="1633" t="s">
        <v>1087</v>
      </c>
      <c r="C771" s="1382"/>
      <c r="D771" s="1382"/>
      <c r="E771" s="1377">
        <f>SUM(E770)</f>
        <v>0</v>
      </c>
      <c r="F771" s="1433"/>
      <c r="G771" s="1384" t="s">
        <v>125</v>
      </c>
      <c r="H771" s="1633" t="s">
        <v>1087</v>
      </c>
      <c r="I771" s="1382"/>
      <c r="J771" s="1382"/>
      <c r="K771" s="1377">
        <f>SUM(K770)</f>
        <v>0</v>
      </c>
      <c r="L771" s="1372"/>
    </row>
    <row r="772" spans="1:12" s="31" customFormat="1" ht="17.25" customHeight="1">
      <c r="A772" s="1386" t="s">
        <v>126</v>
      </c>
      <c r="B772" s="1634" t="s">
        <v>871</v>
      </c>
      <c r="C772" s="1387"/>
      <c r="D772" s="1387"/>
      <c r="E772" s="1387">
        <f>(E760+E761+E762+E763+E764+E765+E766+E767+E768)-E771</f>
        <v>0</v>
      </c>
      <c r="F772" s="1433"/>
      <c r="G772" s="1386" t="s">
        <v>126</v>
      </c>
      <c r="H772" s="1634" t="s">
        <v>871</v>
      </c>
      <c r="I772" s="1387"/>
      <c r="J772" s="1387"/>
      <c r="K772" s="1387">
        <f>(K760+K761+K762+K763+K764+K765+K766+K767+K768)-K771</f>
        <v>0</v>
      </c>
      <c r="L772" s="1389">
        <f>E772+K772</f>
        <v>0</v>
      </c>
    </row>
    <row r="773" spans="1:12" s="31" customFormat="1" ht="48" customHeight="1">
      <c r="A773" s="1424"/>
      <c r="B773" s="1425"/>
      <c r="C773" s="1426"/>
      <c r="D773" s="1426"/>
      <c r="E773" s="1426"/>
      <c r="F773" s="1427"/>
      <c r="G773" s="1622"/>
      <c r="H773" s="1622"/>
      <c r="I773" s="1622"/>
      <c r="J773" s="1622"/>
      <c r="K773" s="1428"/>
      <c r="L773" s="1372"/>
    </row>
    <row r="774" spans="1:12" s="31" customFormat="1" ht="17.25" customHeight="1">
      <c r="A774" s="2183" t="str">
        <f>A757</f>
        <v>LƯƠNG THÁNG 01/2025</v>
      </c>
      <c r="B774" s="2183"/>
      <c r="C774" s="2183"/>
      <c r="D774" s="2183"/>
      <c r="E774" s="1452">
        <v>5</v>
      </c>
      <c r="F774" s="1427"/>
      <c r="G774" s="2183" t="str">
        <f>A774</f>
        <v>LƯƠNG THÁNG 01/2025</v>
      </c>
      <c r="H774" s="2183"/>
      <c r="I774" s="2183"/>
      <c r="J774" s="2183"/>
      <c r="K774" s="1452">
        <v>6</v>
      </c>
      <c r="L774" s="1372"/>
    </row>
    <row r="775" spans="1:12" s="31" customFormat="1" ht="17.25" customHeight="1">
      <c r="A775" s="1391" t="s">
        <v>29</v>
      </c>
      <c r="B775" s="1626" t="str">
        <f>'CNKT '!C105</f>
        <v>N. Khăm..</v>
      </c>
      <c r="C775" s="1376"/>
      <c r="D775" s="1626" t="s">
        <v>806</v>
      </c>
      <c r="E775" s="1626" t="s">
        <v>32</v>
      </c>
      <c r="F775" s="1436"/>
      <c r="G775" s="1391" t="s">
        <v>29</v>
      </c>
      <c r="H775" s="1626" t="str">
        <f>'CNKT '!C106</f>
        <v>Nang La Ty</v>
      </c>
      <c r="I775" s="1376"/>
      <c r="J775" s="1626" t="s">
        <v>806</v>
      </c>
      <c r="K775" s="1626" t="s">
        <v>32</v>
      </c>
      <c r="L775" s="1372"/>
    </row>
    <row r="776" spans="1:12" s="31" customFormat="1" ht="17.25" customHeight="1">
      <c r="A776" s="1375" t="s">
        <v>807</v>
      </c>
      <c r="B776" s="1628" t="s">
        <v>1080</v>
      </c>
      <c r="C776" s="1376" t="str">
        <f>VLOOKUP(B775,'BTH mủ tạp'!$C$97:$AL$175,36,0)</f>
        <v>A</v>
      </c>
      <c r="D776" s="1377"/>
      <c r="E776" s="1377"/>
      <c r="F776" s="1436"/>
      <c r="G776" s="1375" t="s">
        <v>807</v>
      </c>
      <c r="H776" s="1628" t="s">
        <v>1080</v>
      </c>
      <c r="I776" s="1376" t="str">
        <f>VLOOKUP(H775,'BTH mủ tạp'!$C$97:$AL$175,36,0)</f>
        <v>A</v>
      </c>
      <c r="J776" s="1377"/>
      <c r="K776" s="1377"/>
      <c r="L776" s="1372"/>
    </row>
    <row r="777" spans="1:12" s="31" customFormat="1" ht="17.25" customHeight="1">
      <c r="A777" s="1375" t="s">
        <v>121</v>
      </c>
      <c r="B777" s="1629" t="s">
        <v>865</v>
      </c>
      <c r="C777" s="1378">
        <f>VLOOKUP(B775,'CNKT '!$C$101:$Z$182,3,0)</f>
        <v>0</v>
      </c>
      <c r="D777" s="1379">
        <v>25000</v>
      </c>
      <c r="E777" s="1377">
        <f t="shared" ref="E777:E782" si="89">C777*D777</f>
        <v>0</v>
      </c>
      <c r="F777" s="1436"/>
      <c r="G777" s="1375" t="s">
        <v>121</v>
      </c>
      <c r="H777" s="1629" t="s">
        <v>865</v>
      </c>
      <c r="I777" s="1378">
        <f>VLOOKUP(H775,'CNKT '!$C$101:$Z$182,3,0)</f>
        <v>0</v>
      </c>
      <c r="J777" s="1379">
        <v>25000</v>
      </c>
      <c r="K777" s="1377">
        <f t="shared" ref="K777:K782" si="90">I777*J777</f>
        <v>0</v>
      </c>
      <c r="L777" s="1372"/>
    </row>
    <row r="778" spans="1:12" s="31" customFormat="1" ht="17.25" customHeight="1">
      <c r="A778" s="1375" t="s">
        <v>628</v>
      </c>
      <c r="B778" s="1630" t="s">
        <v>1081</v>
      </c>
      <c r="C778" s="1433">
        <f>VLOOKUP(B775,'CNKT '!$C$101:$Z$182,11,0)</f>
        <v>0</v>
      </c>
      <c r="D778" s="1380">
        <f>46.1*$B$2</f>
        <v>30241.600000000002</v>
      </c>
      <c r="E778" s="1377">
        <f t="shared" si="89"/>
        <v>0</v>
      </c>
      <c r="F778" s="1436"/>
      <c r="G778" s="1375" t="s">
        <v>628</v>
      </c>
      <c r="H778" s="1630" t="s">
        <v>1081</v>
      </c>
      <c r="I778" s="1433">
        <f>VLOOKUP(H775,'CNKT '!$C$101:$Z$182,11,0)</f>
        <v>0</v>
      </c>
      <c r="J778" s="1380">
        <f>46.1*$B$2</f>
        <v>30241.600000000002</v>
      </c>
      <c r="K778" s="1377">
        <f t="shared" si="90"/>
        <v>0</v>
      </c>
      <c r="L778" s="1372"/>
    </row>
    <row r="779" spans="1:12" s="31" customFormat="1" ht="17.25" customHeight="1">
      <c r="A779" s="1375" t="s">
        <v>809</v>
      </c>
      <c r="B779" s="1630" t="s">
        <v>1082</v>
      </c>
      <c r="C779" s="1433">
        <f>VLOOKUP(B775,'CNKT '!$C$101:$Z$182,12,0)</f>
        <v>0</v>
      </c>
      <c r="D779" s="1379">
        <f>76.9*$B$2</f>
        <v>50446.400000000001</v>
      </c>
      <c r="E779" s="1377">
        <f t="shared" si="89"/>
        <v>0</v>
      </c>
      <c r="F779" s="1436"/>
      <c r="G779" s="1375" t="s">
        <v>809</v>
      </c>
      <c r="H779" s="1630" t="s">
        <v>1082</v>
      </c>
      <c r="I779" s="1433">
        <f>VLOOKUP(H775,'CNKT '!$C$101:$Z$182,12,0)</f>
        <v>0</v>
      </c>
      <c r="J779" s="1379">
        <f>76.9*$B$2</f>
        <v>50446.400000000001</v>
      </c>
      <c r="K779" s="1377">
        <f t="shared" si="90"/>
        <v>0</v>
      </c>
      <c r="L779" s="1372"/>
    </row>
    <row r="780" spans="1:12" s="31" customFormat="1" ht="17.25" customHeight="1">
      <c r="A780" s="1375" t="s">
        <v>122</v>
      </c>
      <c r="B780" s="1630" t="s">
        <v>1083</v>
      </c>
      <c r="C780" s="1433">
        <f>VLOOKUP(B775,'CNKT '!$C$101:$Z$182,8,0)</f>
        <v>0</v>
      </c>
      <c r="D780" s="1379">
        <f>IF(C776="A",6.1,IF(C776="B",5.8,IF(C776="C",5.5,IF(C776="C.",5.5,IF(C776="D",5.2)))))*$B$2</f>
        <v>4001.6</v>
      </c>
      <c r="E780" s="1377">
        <f t="shared" si="89"/>
        <v>0</v>
      </c>
      <c r="F780" s="1436"/>
      <c r="G780" s="1375" t="s">
        <v>122</v>
      </c>
      <c r="H780" s="1630" t="s">
        <v>1083</v>
      </c>
      <c r="I780" s="1433">
        <f>VLOOKUP(H775,'CNKT '!$C$101:$Z$182,8,0)</f>
        <v>0</v>
      </c>
      <c r="J780" s="1379">
        <f>IF(I776="A",6.1,IF(I776="B",5.8,IF(I776="C",5.5,IF(I776="C.",5.5,IF(I776="D",5.2)))))*$B$2</f>
        <v>4001.6</v>
      </c>
      <c r="K780" s="1377">
        <f t="shared" si="90"/>
        <v>0</v>
      </c>
      <c r="L780" s="1372"/>
    </row>
    <row r="781" spans="1:12" s="31" customFormat="1" ht="17.25" customHeight="1">
      <c r="A781" s="1375" t="s">
        <v>959</v>
      </c>
      <c r="B781" s="1630" t="s">
        <v>1084</v>
      </c>
      <c r="C781" s="1433">
        <f>VLOOKUP(B775,'CNKT '!$C$101:$Z$182,15,0)</f>
        <v>0</v>
      </c>
      <c r="D781" s="1380">
        <f>92.2*$B$2</f>
        <v>60483.200000000004</v>
      </c>
      <c r="E781" s="1377">
        <f t="shared" si="89"/>
        <v>0</v>
      </c>
      <c r="F781" s="1436"/>
      <c r="G781" s="1375" t="s">
        <v>959</v>
      </c>
      <c r="H781" s="1630" t="s">
        <v>1084</v>
      </c>
      <c r="I781" s="1433">
        <f>VLOOKUP(H775,'CNKT '!$C$101:$Z$182,15,0)</f>
        <v>0</v>
      </c>
      <c r="J781" s="1380">
        <f>92.2*$B$2</f>
        <v>60483.200000000004</v>
      </c>
      <c r="K781" s="1377">
        <f t="shared" si="90"/>
        <v>0</v>
      </c>
      <c r="L781" s="1372"/>
    </row>
    <row r="782" spans="1:12" s="31" customFormat="1" ht="17.25" customHeight="1">
      <c r="A782" s="1375" t="s">
        <v>960</v>
      </c>
      <c r="B782" s="1630" t="s">
        <v>964</v>
      </c>
      <c r="C782" s="1433">
        <f>VLOOKUP(B775,'CNKT '!$C$101:$Z$182,16,0)</f>
        <v>0</v>
      </c>
      <c r="D782" s="1379">
        <f>153.8*$B$2</f>
        <v>100892.8</v>
      </c>
      <c r="E782" s="1377">
        <f t="shared" si="89"/>
        <v>0</v>
      </c>
      <c r="F782" s="1436"/>
      <c r="G782" s="1375" t="s">
        <v>960</v>
      </c>
      <c r="H782" s="1630" t="s">
        <v>964</v>
      </c>
      <c r="I782" s="1433">
        <f>VLOOKUP(H775,'CNKT '!$C$101:$Z$182,16,0)</f>
        <v>0</v>
      </c>
      <c r="J782" s="1379">
        <f>153.8*$B$2</f>
        <v>100892.8</v>
      </c>
      <c r="K782" s="1377">
        <f t="shared" si="90"/>
        <v>0</v>
      </c>
      <c r="L782" s="1372"/>
    </row>
    <row r="783" spans="1:12" s="31" customFormat="1" ht="17.25" customHeight="1">
      <c r="A783" s="1375" t="s">
        <v>899</v>
      </c>
      <c r="B783" s="1630" t="s">
        <v>965</v>
      </c>
      <c r="C783" s="1433">
        <f>VLOOKUP(B775,'CNKT '!$C$101:$Z$188,18,0)</f>
        <v>0</v>
      </c>
      <c r="D783" s="1379">
        <v>10000</v>
      </c>
      <c r="E783" s="1377">
        <f>C783*D783</f>
        <v>0</v>
      </c>
      <c r="F783" s="1436"/>
      <c r="G783" s="1375" t="s">
        <v>899</v>
      </c>
      <c r="H783" s="1630" t="s">
        <v>965</v>
      </c>
      <c r="I783" s="1433">
        <f>VLOOKUP(H775,'CNKT '!$C$101:$Z$188,18,0)</f>
        <v>0</v>
      </c>
      <c r="J783" s="1379">
        <v>10000</v>
      </c>
      <c r="K783" s="1377">
        <f>I783*J783</f>
        <v>0</v>
      </c>
      <c r="L783" s="1372"/>
    </row>
    <row r="784" spans="1:12" s="31" customFormat="1" ht="17.25" customHeight="1">
      <c r="A784" s="1375" t="s">
        <v>899</v>
      </c>
      <c r="B784" s="1630" t="s">
        <v>965</v>
      </c>
      <c r="C784" s="1433">
        <f>VLOOKUP(B775,'CNKT '!$C$101:$Z$188,19,0)</f>
        <v>0</v>
      </c>
      <c r="D784" s="1379">
        <v>20000</v>
      </c>
      <c r="E784" s="1377">
        <f>C784*D784</f>
        <v>0</v>
      </c>
      <c r="F784" s="1436"/>
      <c r="G784" s="1375" t="s">
        <v>899</v>
      </c>
      <c r="H784" s="1630" t="s">
        <v>965</v>
      </c>
      <c r="I784" s="1433">
        <f>VLOOKUP(H775,'CNKT '!$C$101:$Z$188,19,0)</f>
        <v>0</v>
      </c>
      <c r="J784" s="1379">
        <v>20000</v>
      </c>
      <c r="K784" s="1377">
        <f>I784*J784</f>
        <v>0</v>
      </c>
      <c r="L784" s="1372"/>
    </row>
    <row r="785" spans="1:12" s="31" customFormat="1" ht="17.25" customHeight="1">
      <c r="A785" s="1375" t="s">
        <v>995</v>
      </c>
      <c r="B785" s="1630" t="s">
        <v>997</v>
      </c>
      <c r="C785" s="1433"/>
      <c r="D785" s="1379"/>
      <c r="E785" s="1377"/>
      <c r="F785" s="1436"/>
      <c r="G785" s="1375" t="s">
        <v>995</v>
      </c>
      <c r="H785" s="1630" t="s">
        <v>997</v>
      </c>
      <c r="I785" s="1433"/>
      <c r="J785" s="1379"/>
      <c r="K785" s="1377"/>
      <c r="L785" s="1372"/>
    </row>
    <row r="786" spans="1:12" s="31" customFormat="1" ht="17.25" customHeight="1">
      <c r="A786" s="1381" t="s">
        <v>123</v>
      </c>
      <c r="B786" s="1631" t="s">
        <v>1085</v>
      </c>
      <c r="C786" s="1382"/>
      <c r="D786" s="1383"/>
      <c r="E786" s="1382"/>
      <c r="F786" s="1436"/>
      <c r="G786" s="1381" t="s">
        <v>123</v>
      </c>
      <c r="H786" s="1631" t="s">
        <v>1085</v>
      </c>
      <c r="I786" s="1382"/>
      <c r="J786" s="1383"/>
      <c r="K786" s="1382"/>
      <c r="L786" s="1372"/>
    </row>
    <row r="787" spans="1:12" s="31" customFormat="1" ht="17.25" customHeight="1">
      <c r="A787" s="1384" t="s">
        <v>124</v>
      </c>
      <c r="B787" s="1632" t="s">
        <v>1086</v>
      </c>
      <c r="C787" s="1382"/>
      <c r="D787" s="1382"/>
      <c r="E787" s="1382"/>
      <c r="F787" s="1436"/>
      <c r="G787" s="1384" t="s">
        <v>124</v>
      </c>
      <c r="H787" s="1632" t="s">
        <v>1086</v>
      </c>
      <c r="I787" s="1382"/>
      <c r="J787" s="1382"/>
      <c r="K787" s="1382"/>
      <c r="L787" s="1372"/>
    </row>
    <row r="788" spans="1:12" s="31" customFormat="1" ht="17.25" customHeight="1">
      <c r="A788" s="1384" t="s">
        <v>125</v>
      </c>
      <c r="B788" s="1633" t="s">
        <v>1087</v>
      </c>
      <c r="C788" s="1382"/>
      <c r="D788" s="1382"/>
      <c r="E788" s="1377">
        <f>SUM(E787)</f>
        <v>0</v>
      </c>
      <c r="F788" s="1433"/>
      <c r="G788" s="1384" t="s">
        <v>125</v>
      </c>
      <c r="H788" s="1633" t="s">
        <v>1087</v>
      </c>
      <c r="I788" s="1382"/>
      <c r="J788" s="1382"/>
      <c r="K788" s="1377">
        <f>SUM(K787)</f>
        <v>0</v>
      </c>
      <c r="L788" s="1372"/>
    </row>
    <row r="789" spans="1:12" s="31" customFormat="1" ht="17.25" customHeight="1">
      <c r="A789" s="1386" t="s">
        <v>126</v>
      </c>
      <c r="B789" s="1634" t="s">
        <v>871</v>
      </c>
      <c r="C789" s="1387"/>
      <c r="D789" s="1387"/>
      <c r="E789" s="1387">
        <f>(E777+E778+E779+E780+E781+E782+E783+E784+E785)-E788</f>
        <v>0</v>
      </c>
      <c r="F789" s="1433"/>
      <c r="G789" s="1386" t="s">
        <v>126</v>
      </c>
      <c r="H789" s="1634" t="s">
        <v>871</v>
      </c>
      <c r="I789" s="1387"/>
      <c r="J789" s="1387"/>
      <c r="K789" s="1387">
        <f>(K777+K778+K779+K780+K781+K782+K783+K784+K785)-K788</f>
        <v>0</v>
      </c>
      <c r="L789" s="1389">
        <f>E789+K789</f>
        <v>0</v>
      </c>
    </row>
    <row r="790" spans="1:12" s="31" customFormat="1" ht="207.75" customHeight="1">
      <c r="A790" s="1424"/>
      <c r="B790" s="1425"/>
      <c r="C790" s="1426"/>
      <c r="D790" s="1426"/>
      <c r="E790" s="1426"/>
      <c r="F790" s="1427"/>
      <c r="G790" s="1622"/>
      <c r="H790" s="1622"/>
      <c r="I790" s="1622"/>
      <c r="J790" s="1622"/>
      <c r="K790" s="1428"/>
      <c r="L790" s="1372"/>
    </row>
    <row r="791" spans="1:12" s="31" customFormat="1" ht="17.25" customHeight="1">
      <c r="A791" s="2183" t="str">
        <f>A774</f>
        <v>LƯƠNG THÁNG 01/2025</v>
      </c>
      <c r="B791" s="2183"/>
      <c r="C791" s="2183"/>
      <c r="D791" s="2183"/>
      <c r="E791" s="1452">
        <v>7</v>
      </c>
      <c r="F791" s="1427"/>
      <c r="G791" s="2183" t="str">
        <f>A791</f>
        <v>LƯƠNG THÁNG 01/2025</v>
      </c>
      <c r="H791" s="2183"/>
      <c r="I791" s="2183"/>
      <c r="J791" s="2183"/>
      <c r="K791" s="1452">
        <v>8</v>
      </c>
      <c r="L791" s="1372"/>
    </row>
    <row r="792" spans="1:12" s="31" customFormat="1" ht="17.25" customHeight="1">
      <c r="A792" s="1391" t="s">
        <v>29</v>
      </c>
      <c r="B792" s="1626" t="str">
        <f>'CNKT '!C107</f>
        <v>N.T.T Trang (1)</v>
      </c>
      <c r="C792" s="1376"/>
      <c r="D792" s="1626" t="s">
        <v>806</v>
      </c>
      <c r="E792" s="1626" t="s">
        <v>32</v>
      </c>
      <c r="F792" s="1436"/>
      <c r="G792" s="1391" t="s">
        <v>29</v>
      </c>
      <c r="H792" s="1626" t="str">
        <f>'CNKT '!C108</f>
        <v>T. Ni On</v>
      </c>
      <c r="I792" s="1376"/>
      <c r="J792" s="1626" t="s">
        <v>806</v>
      </c>
      <c r="K792" s="1626" t="s">
        <v>32</v>
      </c>
      <c r="L792" s="1372"/>
    </row>
    <row r="793" spans="1:12" s="31" customFormat="1" ht="17.25" customHeight="1">
      <c r="A793" s="1375" t="s">
        <v>807</v>
      </c>
      <c r="B793" s="1628" t="s">
        <v>1080</v>
      </c>
      <c r="C793" s="1376" t="str">
        <f>VLOOKUP(B792,'BTH mủ tạp'!$C$97:$AL$175,36,0)</f>
        <v>A</v>
      </c>
      <c r="D793" s="1377"/>
      <c r="E793" s="1377"/>
      <c r="F793" s="1436"/>
      <c r="G793" s="1375" t="s">
        <v>807</v>
      </c>
      <c r="H793" s="1628" t="s">
        <v>1080</v>
      </c>
      <c r="I793" s="1376" t="str">
        <f>VLOOKUP(H792,'BTH mủ tạp'!$C$97:$AL$175,36,0)</f>
        <v>B</v>
      </c>
      <c r="J793" s="1377"/>
      <c r="K793" s="1377"/>
      <c r="L793" s="1372"/>
    </row>
    <row r="794" spans="1:12" s="31" customFormat="1" ht="17.25" customHeight="1">
      <c r="A794" s="1375" t="s">
        <v>121</v>
      </c>
      <c r="B794" s="1629" t="s">
        <v>865</v>
      </c>
      <c r="C794" s="1378">
        <f>VLOOKUP(B792,'CNKT '!$C$101:$Z$182,3,0)</f>
        <v>0</v>
      </c>
      <c r="D794" s="1379">
        <v>25000</v>
      </c>
      <c r="E794" s="1377">
        <f t="shared" ref="E794:E799" si="91">C794*D794</f>
        <v>0</v>
      </c>
      <c r="F794" s="1436"/>
      <c r="G794" s="1375" t="s">
        <v>121</v>
      </c>
      <c r="H794" s="1629" t="s">
        <v>865</v>
      </c>
      <c r="I794" s="1378">
        <f>VLOOKUP(H792,'CNKT '!$C$101:$Z$182,3,0)</f>
        <v>0</v>
      </c>
      <c r="J794" s="1379">
        <v>25000</v>
      </c>
      <c r="K794" s="1377">
        <f t="shared" ref="K794:K799" si="92">I794*J794</f>
        <v>0</v>
      </c>
      <c r="L794" s="1372"/>
    </row>
    <row r="795" spans="1:12" s="31" customFormat="1" ht="17.25" customHeight="1">
      <c r="A795" s="1375" t="s">
        <v>628</v>
      </c>
      <c r="B795" s="1630" t="s">
        <v>1081</v>
      </c>
      <c r="C795" s="1433">
        <f>VLOOKUP(B792,'CNKT '!$C$101:$Z$182,11,0)</f>
        <v>0</v>
      </c>
      <c r="D795" s="1380">
        <f>46.1*$B$2</f>
        <v>30241.600000000002</v>
      </c>
      <c r="E795" s="1377">
        <f t="shared" si="91"/>
        <v>0</v>
      </c>
      <c r="F795" s="1436"/>
      <c r="G795" s="1375" t="s">
        <v>628</v>
      </c>
      <c r="H795" s="1630" t="s">
        <v>1081</v>
      </c>
      <c r="I795" s="1433">
        <f>VLOOKUP(H792,'CNKT '!$C$101:$Z$182,11,0)</f>
        <v>0</v>
      </c>
      <c r="J795" s="1380">
        <f>46.1*$B$2</f>
        <v>30241.600000000002</v>
      </c>
      <c r="K795" s="1377">
        <f t="shared" si="92"/>
        <v>0</v>
      </c>
      <c r="L795" s="1372"/>
    </row>
    <row r="796" spans="1:12" s="31" customFormat="1" ht="17.25" customHeight="1">
      <c r="A796" s="1375" t="s">
        <v>809</v>
      </c>
      <c r="B796" s="1630" t="s">
        <v>1082</v>
      </c>
      <c r="C796" s="1433">
        <f>VLOOKUP(B792,'CNKT '!$C$101:$Z$182,12,0)</f>
        <v>0</v>
      </c>
      <c r="D796" s="1379">
        <f>76.9*$B$2</f>
        <v>50446.400000000001</v>
      </c>
      <c r="E796" s="1377">
        <f t="shared" si="91"/>
        <v>0</v>
      </c>
      <c r="F796" s="1436"/>
      <c r="G796" s="1375" t="s">
        <v>809</v>
      </c>
      <c r="H796" s="1630" t="s">
        <v>1082</v>
      </c>
      <c r="I796" s="1433">
        <f>VLOOKUP(H792,'CNKT '!$C$101:$Z$182,12,0)</f>
        <v>0</v>
      </c>
      <c r="J796" s="1379">
        <f>76.9*$B$2</f>
        <v>50446.400000000001</v>
      </c>
      <c r="K796" s="1377">
        <f t="shared" si="92"/>
        <v>0</v>
      </c>
      <c r="L796" s="1372"/>
    </row>
    <row r="797" spans="1:12" s="31" customFormat="1" ht="17.25" customHeight="1">
      <c r="A797" s="1375" t="s">
        <v>122</v>
      </c>
      <c r="B797" s="1630" t="s">
        <v>1083</v>
      </c>
      <c r="C797" s="1433">
        <f>VLOOKUP(B792,'CNKT '!$C$101:$Z$182,8,0)</f>
        <v>0</v>
      </c>
      <c r="D797" s="1379">
        <f>IF(C793="A",6.1,IF(C793="B",5.8,IF(C793="C",5.5,IF(C793="C.",5.5,IF(C793="D",5.2)))))*$B$2</f>
        <v>4001.6</v>
      </c>
      <c r="E797" s="1377">
        <f t="shared" si="91"/>
        <v>0</v>
      </c>
      <c r="F797" s="1436"/>
      <c r="G797" s="1375" t="s">
        <v>122</v>
      </c>
      <c r="H797" s="1630" t="s">
        <v>1083</v>
      </c>
      <c r="I797" s="1433">
        <f>VLOOKUP(H792,'CNKT '!$C$101:$Z$182,8,0)</f>
        <v>0</v>
      </c>
      <c r="J797" s="1379">
        <f>IF(I793="A",6.1,IF(I793="B",5.8,IF(I793="C",5.5,IF(I793="C.",5.5,IF(I793="D",5.2)))))*$B$2</f>
        <v>3804.7999999999997</v>
      </c>
      <c r="K797" s="1377">
        <f t="shared" si="92"/>
        <v>0</v>
      </c>
      <c r="L797" s="1372"/>
    </row>
    <row r="798" spans="1:12" s="31" customFormat="1" ht="17.25" customHeight="1">
      <c r="A798" s="1375" t="s">
        <v>959</v>
      </c>
      <c r="B798" s="1630" t="s">
        <v>1084</v>
      </c>
      <c r="C798" s="1433">
        <f>VLOOKUP(B792,'CNKT '!$C$101:$Z$182,15,0)</f>
        <v>0</v>
      </c>
      <c r="D798" s="1380">
        <f>92.2*$B$2</f>
        <v>60483.200000000004</v>
      </c>
      <c r="E798" s="1377">
        <f t="shared" si="91"/>
        <v>0</v>
      </c>
      <c r="F798" s="1436"/>
      <c r="G798" s="1375" t="s">
        <v>959</v>
      </c>
      <c r="H798" s="1630" t="s">
        <v>1084</v>
      </c>
      <c r="I798" s="1433">
        <f>VLOOKUP(H792,'CNKT '!$C$101:$Z$182,15,0)</f>
        <v>0</v>
      </c>
      <c r="J798" s="1380">
        <f>92.2*$B$2</f>
        <v>60483.200000000004</v>
      </c>
      <c r="K798" s="1377">
        <f t="shared" si="92"/>
        <v>0</v>
      </c>
      <c r="L798" s="1372"/>
    </row>
    <row r="799" spans="1:12" s="31" customFormat="1" ht="17.25" customHeight="1">
      <c r="A799" s="1375" t="s">
        <v>960</v>
      </c>
      <c r="B799" s="1630" t="s">
        <v>964</v>
      </c>
      <c r="C799" s="1433">
        <f>VLOOKUP(B792,'CNKT '!$C$101:$Z$182,16,0)</f>
        <v>0</v>
      </c>
      <c r="D799" s="1379">
        <f>153.8*$B$2</f>
        <v>100892.8</v>
      </c>
      <c r="E799" s="1377">
        <f t="shared" si="91"/>
        <v>0</v>
      </c>
      <c r="F799" s="1436"/>
      <c r="G799" s="1375" t="s">
        <v>960</v>
      </c>
      <c r="H799" s="1630" t="s">
        <v>964</v>
      </c>
      <c r="I799" s="1433">
        <f>VLOOKUP(H792,'CNKT '!$C$101:$Z$182,16,0)</f>
        <v>0</v>
      </c>
      <c r="J799" s="1379">
        <f>153.8*$B$2</f>
        <v>100892.8</v>
      </c>
      <c r="K799" s="1377">
        <f t="shared" si="92"/>
        <v>0</v>
      </c>
      <c r="L799" s="1372"/>
    </row>
    <row r="800" spans="1:12" s="31" customFormat="1" ht="17.25" customHeight="1">
      <c r="A800" s="1375" t="s">
        <v>899</v>
      </c>
      <c r="B800" s="1630" t="s">
        <v>965</v>
      </c>
      <c r="C800" s="1433">
        <f>VLOOKUP(B792,'CNKT '!$C$101:$Z$188,18,0)</f>
        <v>0</v>
      </c>
      <c r="D800" s="1379">
        <v>10000</v>
      </c>
      <c r="E800" s="1377">
        <f>C800*D800</f>
        <v>0</v>
      </c>
      <c r="F800" s="1436"/>
      <c r="G800" s="1375" t="s">
        <v>899</v>
      </c>
      <c r="H800" s="1630" t="s">
        <v>965</v>
      </c>
      <c r="I800" s="1433">
        <f>VLOOKUP(H792,'CNKT '!$C$101:$Z$188,18,0)</f>
        <v>0</v>
      </c>
      <c r="J800" s="1379">
        <v>10000</v>
      </c>
      <c r="K800" s="1377">
        <f>I800*J800</f>
        <v>0</v>
      </c>
      <c r="L800" s="1372"/>
    </row>
    <row r="801" spans="1:12" s="31" customFormat="1" ht="17.25" customHeight="1">
      <c r="A801" s="1375" t="s">
        <v>899</v>
      </c>
      <c r="B801" s="1630" t="s">
        <v>965</v>
      </c>
      <c r="C801" s="1433">
        <f>VLOOKUP(B792,'CNKT '!$C$101:$Z$188,19,0)</f>
        <v>0</v>
      </c>
      <c r="D801" s="1379">
        <v>20000</v>
      </c>
      <c r="E801" s="1377">
        <f>C801*D801</f>
        <v>0</v>
      </c>
      <c r="F801" s="1436"/>
      <c r="G801" s="1375" t="s">
        <v>899</v>
      </c>
      <c r="H801" s="1630" t="s">
        <v>965</v>
      </c>
      <c r="I801" s="1433">
        <f>VLOOKUP(H792,'CNKT '!$C$101:$Z$188,19,0)</f>
        <v>0</v>
      </c>
      <c r="J801" s="1379">
        <v>20000</v>
      </c>
      <c r="K801" s="1377">
        <f>I801*J801</f>
        <v>0</v>
      </c>
      <c r="L801" s="1372"/>
    </row>
    <row r="802" spans="1:12" s="31" customFormat="1" ht="17.25" customHeight="1">
      <c r="A802" s="1375" t="s">
        <v>995</v>
      </c>
      <c r="B802" s="1630" t="s">
        <v>997</v>
      </c>
      <c r="C802" s="1433"/>
      <c r="D802" s="1379"/>
      <c r="E802" s="1377"/>
      <c r="F802" s="1436"/>
      <c r="G802" s="1375" t="s">
        <v>995</v>
      </c>
      <c r="H802" s="1630" t="s">
        <v>997</v>
      </c>
      <c r="I802" s="1433"/>
      <c r="J802" s="1379"/>
      <c r="K802" s="1377"/>
      <c r="L802" s="1372"/>
    </row>
    <row r="803" spans="1:12" s="31" customFormat="1" ht="17.25" customHeight="1">
      <c r="A803" s="1381" t="s">
        <v>123</v>
      </c>
      <c r="B803" s="1631" t="s">
        <v>1085</v>
      </c>
      <c r="C803" s="1382"/>
      <c r="D803" s="1383"/>
      <c r="E803" s="1382"/>
      <c r="F803" s="1436"/>
      <c r="G803" s="1381" t="s">
        <v>123</v>
      </c>
      <c r="H803" s="1631" t="s">
        <v>1085</v>
      </c>
      <c r="I803" s="1382"/>
      <c r="J803" s="1383"/>
      <c r="K803" s="1382"/>
      <c r="L803" s="1372"/>
    </row>
    <row r="804" spans="1:12" s="31" customFormat="1" ht="17.25" customHeight="1">
      <c r="A804" s="1384" t="s">
        <v>124</v>
      </c>
      <c r="B804" s="1632" t="s">
        <v>1086</v>
      </c>
      <c r="C804" s="1382"/>
      <c r="D804" s="1382"/>
      <c r="E804" s="1382"/>
      <c r="F804" s="1436"/>
      <c r="G804" s="1384" t="s">
        <v>124</v>
      </c>
      <c r="H804" s="1632" t="s">
        <v>1086</v>
      </c>
      <c r="I804" s="1382"/>
      <c r="J804" s="1382"/>
      <c r="K804" s="1382"/>
      <c r="L804" s="1372"/>
    </row>
    <row r="805" spans="1:12" s="31" customFormat="1" ht="17.25" customHeight="1">
      <c r="A805" s="1384" t="s">
        <v>125</v>
      </c>
      <c r="B805" s="1633" t="s">
        <v>1087</v>
      </c>
      <c r="C805" s="1382"/>
      <c r="D805" s="1382"/>
      <c r="E805" s="1377">
        <f>SUM(E804)</f>
        <v>0</v>
      </c>
      <c r="F805" s="1626"/>
      <c r="G805" s="1384" t="s">
        <v>125</v>
      </c>
      <c r="H805" s="1633" t="s">
        <v>1087</v>
      </c>
      <c r="I805" s="1382"/>
      <c r="J805" s="1382"/>
      <c r="K805" s="1377">
        <f>SUM(K804)</f>
        <v>0</v>
      </c>
      <c r="L805" s="1372"/>
    </row>
    <row r="806" spans="1:12" s="31" customFormat="1" ht="17.25" customHeight="1">
      <c r="A806" s="1386" t="s">
        <v>126</v>
      </c>
      <c r="B806" s="1634" t="s">
        <v>871</v>
      </c>
      <c r="C806" s="1387"/>
      <c r="D806" s="1387"/>
      <c r="E806" s="1387">
        <f>(E794+E795+E796+E797+E798+E799+E800+E801+E802)-E805</f>
        <v>0</v>
      </c>
      <c r="F806" s="1626"/>
      <c r="G806" s="1386" t="s">
        <v>126</v>
      </c>
      <c r="H806" s="1634" t="s">
        <v>871</v>
      </c>
      <c r="I806" s="1387"/>
      <c r="J806" s="1387"/>
      <c r="K806" s="1387">
        <f>(K794+K795+K796+K797+K798+K799+K800+K801+K802)-K805</f>
        <v>0</v>
      </c>
      <c r="L806" s="1389">
        <f>E806+K806</f>
        <v>0</v>
      </c>
    </row>
    <row r="807" spans="1:12" s="31" customFormat="1" ht="17.25" customHeight="1">
      <c r="A807" s="1424"/>
      <c r="B807" s="1425"/>
      <c r="C807" s="1426"/>
      <c r="D807" s="1426"/>
      <c r="E807" s="1426"/>
      <c r="F807" s="1427"/>
      <c r="G807" s="1622"/>
      <c r="H807" s="1622"/>
      <c r="I807" s="1622"/>
      <c r="J807" s="1622"/>
      <c r="K807" s="1428"/>
      <c r="L807" s="1372"/>
    </row>
    <row r="808" spans="1:12" s="31" customFormat="1" ht="17.25" customHeight="1">
      <c r="A808" s="2183" t="str">
        <f>A791</f>
        <v>LƯƠNG THÁNG 01/2025</v>
      </c>
      <c r="B808" s="2183"/>
      <c r="C808" s="2183"/>
      <c r="D808" s="2183"/>
      <c r="E808" s="1449">
        <f>VLOOKUP(B809,'CNKT '!$C$101:$AD$188,26,0)</f>
        <v>0</v>
      </c>
      <c r="F808" s="1427"/>
      <c r="G808" s="1449" t="str">
        <f>A808</f>
        <v>LƯƠNG THÁNG 01/2025</v>
      </c>
      <c r="H808" s="1449"/>
      <c r="I808" s="1449"/>
      <c r="J808" s="1449"/>
      <c r="K808" s="1449">
        <f>VLOOKUP(H809,'CNKT '!$C$101:$AD$188,26,0)</f>
        <v>0</v>
      </c>
      <c r="L808" s="1372"/>
    </row>
    <row r="809" spans="1:12" s="31" customFormat="1" ht="17.25" customHeight="1">
      <c r="A809" s="1391" t="s">
        <v>29</v>
      </c>
      <c r="B809" s="1626" t="str">
        <f>'CNKT '!C109</f>
        <v>Thảo Lẹ</v>
      </c>
      <c r="C809" s="1376"/>
      <c r="D809" s="1626" t="s">
        <v>806</v>
      </c>
      <c r="E809" s="1626" t="s">
        <v>32</v>
      </c>
      <c r="F809" s="1436"/>
      <c r="G809" s="1391" t="s">
        <v>29</v>
      </c>
      <c r="H809" s="1626" t="str">
        <f>'CNKT '!C110</f>
        <v>T. Nả</v>
      </c>
      <c r="I809" s="1376"/>
      <c r="J809" s="1626" t="s">
        <v>806</v>
      </c>
      <c r="K809" s="1626" t="s">
        <v>32</v>
      </c>
      <c r="L809" s="1372"/>
    </row>
    <row r="810" spans="1:12" s="31" customFormat="1" ht="17.25" customHeight="1">
      <c r="A810" s="1375" t="s">
        <v>807</v>
      </c>
      <c r="B810" s="1628" t="s">
        <v>1080</v>
      </c>
      <c r="C810" s="1376" t="str">
        <f>VLOOKUP(B809,'BTH mủ tạp'!$C$97:$AL$175,36,0)</f>
        <v>A</v>
      </c>
      <c r="D810" s="1377"/>
      <c r="E810" s="1377"/>
      <c r="F810" s="1436"/>
      <c r="G810" s="1375" t="s">
        <v>807</v>
      </c>
      <c r="H810" s="1628" t="s">
        <v>1080</v>
      </c>
      <c r="I810" s="1376" t="str">
        <f>VLOOKUP(H809,'BTH mủ tạp'!$C$97:$AL$175,36,0)</f>
        <v>B</v>
      </c>
      <c r="J810" s="1377"/>
      <c r="K810" s="1377"/>
      <c r="L810" s="1372"/>
    </row>
    <row r="811" spans="1:12" s="31" customFormat="1" ht="17.25" customHeight="1">
      <c r="A811" s="1375" t="s">
        <v>121</v>
      </c>
      <c r="B811" s="1629" t="s">
        <v>865</v>
      </c>
      <c r="C811" s="1378">
        <f>VLOOKUP(B809,'CNKT '!$C$101:$Z$182,3,0)</f>
        <v>0</v>
      </c>
      <c r="D811" s="1379">
        <v>25000</v>
      </c>
      <c r="E811" s="1377">
        <f t="shared" ref="E811:E816" si="93">C811*D811</f>
        <v>0</v>
      </c>
      <c r="F811" s="1436"/>
      <c r="G811" s="1375" t="s">
        <v>121</v>
      </c>
      <c r="H811" s="1629" t="s">
        <v>865</v>
      </c>
      <c r="I811" s="1378">
        <f>VLOOKUP(H809,'CNKT '!$C$101:$Z$182,3,0)</f>
        <v>0</v>
      </c>
      <c r="J811" s="1379">
        <v>25000</v>
      </c>
      <c r="K811" s="1377">
        <f t="shared" ref="K811:K816" si="94">I811*J811</f>
        <v>0</v>
      </c>
      <c r="L811" s="1372"/>
    </row>
    <row r="812" spans="1:12" s="31" customFormat="1" ht="17.25" customHeight="1">
      <c r="A812" s="1375" t="s">
        <v>628</v>
      </c>
      <c r="B812" s="1630" t="s">
        <v>1081</v>
      </c>
      <c r="C812" s="1433">
        <f>VLOOKUP(B809,'CNKT '!$C$101:$Z$182,11,0)</f>
        <v>0</v>
      </c>
      <c r="D812" s="1380">
        <f>46.1*$B$2</f>
        <v>30241.600000000002</v>
      </c>
      <c r="E812" s="1377">
        <f t="shared" si="93"/>
        <v>0</v>
      </c>
      <c r="F812" s="1436"/>
      <c r="G812" s="1375" t="s">
        <v>628</v>
      </c>
      <c r="H812" s="1630" t="s">
        <v>1081</v>
      </c>
      <c r="I812" s="1433">
        <f>VLOOKUP(H809,'CNKT '!$C$101:$Z$182,11,0)</f>
        <v>0</v>
      </c>
      <c r="J812" s="1380">
        <f>46.1*$B$2</f>
        <v>30241.600000000002</v>
      </c>
      <c r="K812" s="1377">
        <f t="shared" si="94"/>
        <v>0</v>
      </c>
      <c r="L812" s="1372"/>
    </row>
    <row r="813" spans="1:12" s="31" customFormat="1" ht="17.25" customHeight="1">
      <c r="A813" s="1375" t="s">
        <v>809</v>
      </c>
      <c r="B813" s="1630" t="s">
        <v>1082</v>
      </c>
      <c r="C813" s="1433">
        <f>VLOOKUP(B809,'CNKT '!$C$101:$Z$182,12,0)</f>
        <v>0</v>
      </c>
      <c r="D813" s="1379">
        <f>76.9*$B$2</f>
        <v>50446.400000000001</v>
      </c>
      <c r="E813" s="1377">
        <f t="shared" si="93"/>
        <v>0</v>
      </c>
      <c r="F813" s="1436"/>
      <c r="G813" s="1375" t="s">
        <v>809</v>
      </c>
      <c r="H813" s="1630" t="s">
        <v>1082</v>
      </c>
      <c r="I813" s="1433">
        <f>VLOOKUP(H809,'CNKT '!$C$101:$Z$182,12,0)</f>
        <v>0</v>
      </c>
      <c r="J813" s="1379">
        <f>76.9*$B$2</f>
        <v>50446.400000000001</v>
      </c>
      <c r="K813" s="1377">
        <f t="shared" si="94"/>
        <v>0</v>
      </c>
      <c r="L813" s="1372"/>
    </row>
    <row r="814" spans="1:12" s="31" customFormat="1" ht="17.25" customHeight="1">
      <c r="A814" s="1375" t="s">
        <v>122</v>
      </c>
      <c r="B814" s="1630" t="s">
        <v>1083</v>
      </c>
      <c r="C814" s="1433">
        <f>VLOOKUP(B809,'CNKT '!$C$101:$Z$182,8,0)</f>
        <v>0</v>
      </c>
      <c r="D814" s="1379">
        <f>IF(C810="A",6.1,IF(C810="B",5.8,IF(C810="C",5.5,IF(C810="C.",5.5,IF(C810="D",5.2)))))*$B$2</f>
        <v>4001.6</v>
      </c>
      <c r="E814" s="1377">
        <f t="shared" si="93"/>
        <v>0</v>
      </c>
      <c r="F814" s="1436"/>
      <c r="G814" s="1375" t="s">
        <v>122</v>
      </c>
      <c r="H814" s="1630" t="s">
        <v>1083</v>
      </c>
      <c r="I814" s="1433">
        <f>VLOOKUP(H809,'CNKT '!$C$101:$Z$182,8,0)</f>
        <v>0</v>
      </c>
      <c r="J814" s="1379">
        <f>IF(I810="A",6.1,IF(I810="B",5.8,IF(I810="C",5.5,IF(I810="C.",5.5,IF(I810="D",5.2)))))*$B$2</f>
        <v>3804.7999999999997</v>
      </c>
      <c r="K814" s="1377">
        <f t="shared" si="94"/>
        <v>0</v>
      </c>
      <c r="L814" s="1372"/>
    </row>
    <row r="815" spans="1:12" s="31" customFormat="1" ht="17.25" customHeight="1">
      <c r="A815" s="1375" t="s">
        <v>959</v>
      </c>
      <c r="B815" s="1630" t="s">
        <v>1084</v>
      </c>
      <c r="C815" s="1433">
        <f>VLOOKUP(B809,'CNKT '!$C$101:$Z$182,15,0)</f>
        <v>0</v>
      </c>
      <c r="D815" s="1380">
        <f>92.2*$B$2</f>
        <v>60483.200000000004</v>
      </c>
      <c r="E815" s="1377">
        <f t="shared" si="93"/>
        <v>0</v>
      </c>
      <c r="F815" s="1436"/>
      <c r="G815" s="1375" t="s">
        <v>959</v>
      </c>
      <c r="H815" s="1630" t="s">
        <v>1084</v>
      </c>
      <c r="I815" s="1433">
        <f>VLOOKUP(H809,'CNKT '!$C$101:$Z$182,15,0)</f>
        <v>0</v>
      </c>
      <c r="J815" s="1380">
        <f>92.2*$B$2</f>
        <v>60483.200000000004</v>
      </c>
      <c r="K815" s="1377">
        <f t="shared" si="94"/>
        <v>0</v>
      </c>
      <c r="L815" s="1372"/>
    </row>
    <row r="816" spans="1:12" s="31" customFormat="1" ht="17.25" customHeight="1">
      <c r="A816" s="1375" t="s">
        <v>960</v>
      </c>
      <c r="B816" s="1630" t="s">
        <v>964</v>
      </c>
      <c r="C816" s="1433">
        <f>VLOOKUP(B809,'CNKT '!$C$101:$Z$182,16,0)</f>
        <v>0</v>
      </c>
      <c r="D816" s="1379">
        <f>153.8*$B$2</f>
        <v>100892.8</v>
      </c>
      <c r="E816" s="1377">
        <f t="shared" si="93"/>
        <v>0</v>
      </c>
      <c r="F816" s="1436"/>
      <c r="G816" s="1375" t="s">
        <v>960</v>
      </c>
      <c r="H816" s="1630" t="s">
        <v>964</v>
      </c>
      <c r="I816" s="1433">
        <f>VLOOKUP(H809,'CNKT '!$C$101:$Z$182,16,0)</f>
        <v>0</v>
      </c>
      <c r="J816" s="1379">
        <f>153.8*$B$2</f>
        <v>100892.8</v>
      </c>
      <c r="K816" s="1377">
        <f t="shared" si="94"/>
        <v>0</v>
      </c>
      <c r="L816" s="1372"/>
    </row>
    <row r="817" spans="1:12" s="31" customFormat="1" ht="17.25" customHeight="1">
      <c r="A817" s="1375" t="s">
        <v>899</v>
      </c>
      <c r="B817" s="1630" t="s">
        <v>965</v>
      </c>
      <c r="C817" s="1433">
        <f>VLOOKUP(B809,'CNKT '!$C$101:$Z$188,18,0)</f>
        <v>0</v>
      </c>
      <c r="D817" s="1379">
        <v>10000</v>
      </c>
      <c r="E817" s="1377">
        <f>C817*D817</f>
        <v>0</v>
      </c>
      <c r="F817" s="1436"/>
      <c r="G817" s="1375" t="s">
        <v>899</v>
      </c>
      <c r="H817" s="1630" t="s">
        <v>965</v>
      </c>
      <c r="I817" s="1433">
        <f>VLOOKUP(H809,'CNKT '!$C$101:$Z$188,18,0)</f>
        <v>0</v>
      </c>
      <c r="J817" s="1379">
        <v>10000</v>
      </c>
      <c r="K817" s="1377">
        <f>I817*J817</f>
        <v>0</v>
      </c>
      <c r="L817" s="1372"/>
    </row>
    <row r="818" spans="1:12" s="31" customFormat="1" ht="17.25" customHeight="1">
      <c r="A818" s="1375" t="s">
        <v>899</v>
      </c>
      <c r="B818" s="1630" t="s">
        <v>965</v>
      </c>
      <c r="C818" s="1433">
        <f>VLOOKUP(B809,'CNKT '!$C$101:$Z$188,19,0)</f>
        <v>0</v>
      </c>
      <c r="D818" s="1379">
        <v>20000</v>
      </c>
      <c r="E818" s="1377">
        <f>C818*D818</f>
        <v>0</v>
      </c>
      <c r="F818" s="1436"/>
      <c r="G818" s="1375" t="s">
        <v>899</v>
      </c>
      <c r="H818" s="1630" t="s">
        <v>965</v>
      </c>
      <c r="I818" s="1433">
        <f>VLOOKUP(H809,'CNKT '!$C$101:$Z$188,19,0)</f>
        <v>0</v>
      </c>
      <c r="J818" s="1379">
        <v>20000</v>
      </c>
      <c r="K818" s="1377">
        <f>I818*J818</f>
        <v>0</v>
      </c>
      <c r="L818" s="1372"/>
    </row>
    <row r="819" spans="1:12" s="31" customFormat="1" ht="17.25" customHeight="1">
      <c r="A819" s="1375" t="s">
        <v>995</v>
      </c>
      <c r="B819" s="1630" t="s">
        <v>997</v>
      </c>
      <c r="C819" s="1433"/>
      <c r="D819" s="1379"/>
      <c r="E819" s="1377"/>
      <c r="F819" s="1436"/>
      <c r="G819" s="1375" t="s">
        <v>995</v>
      </c>
      <c r="H819" s="1630" t="s">
        <v>997</v>
      </c>
      <c r="I819" s="1433"/>
      <c r="J819" s="1379"/>
      <c r="K819" s="1377"/>
      <c r="L819" s="1372"/>
    </row>
    <row r="820" spans="1:12" s="31" customFormat="1" ht="17.25" customHeight="1">
      <c r="A820" s="1381" t="s">
        <v>123</v>
      </c>
      <c r="B820" s="1631" t="s">
        <v>1085</v>
      </c>
      <c r="C820" s="1382"/>
      <c r="D820" s="1383"/>
      <c r="E820" s="1382"/>
      <c r="F820" s="1436"/>
      <c r="G820" s="1381" t="s">
        <v>123</v>
      </c>
      <c r="H820" s="1631" t="s">
        <v>1085</v>
      </c>
      <c r="I820" s="1382"/>
      <c r="J820" s="1383"/>
      <c r="K820" s="1382"/>
      <c r="L820" s="1372"/>
    </row>
    <row r="821" spans="1:12" s="31" customFormat="1" ht="17.25" customHeight="1">
      <c r="A821" s="1384" t="s">
        <v>124</v>
      </c>
      <c r="B821" s="1632" t="s">
        <v>1086</v>
      </c>
      <c r="C821" s="1382"/>
      <c r="D821" s="1382"/>
      <c r="E821" s="1382"/>
      <c r="F821" s="1436"/>
      <c r="G821" s="1384" t="s">
        <v>124</v>
      </c>
      <c r="H821" s="1632" t="s">
        <v>1086</v>
      </c>
      <c r="I821" s="1382"/>
      <c r="J821" s="1382"/>
      <c r="K821" s="1382"/>
      <c r="L821" s="1372"/>
    </row>
    <row r="822" spans="1:12" s="31" customFormat="1" ht="17.25" customHeight="1">
      <c r="A822" s="1384" t="s">
        <v>125</v>
      </c>
      <c r="B822" s="1633" t="s">
        <v>1087</v>
      </c>
      <c r="C822" s="1382"/>
      <c r="D822" s="1382"/>
      <c r="E822" s="1377">
        <f>SUM(E821)</f>
        <v>0</v>
      </c>
      <c r="F822" s="1436"/>
      <c r="G822" s="1384" t="s">
        <v>125</v>
      </c>
      <c r="H822" s="1633" t="s">
        <v>1087</v>
      </c>
      <c r="I822" s="1382"/>
      <c r="J822" s="1382"/>
      <c r="K822" s="1377">
        <f>SUM(K821)</f>
        <v>0</v>
      </c>
      <c r="L822" s="1389">
        <f>K822+E822</f>
        <v>0</v>
      </c>
    </row>
    <row r="823" spans="1:12" s="31" customFormat="1" ht="17.25" customHeight="1">
      <c r="A823" s="1386" t="s">
        <v>126</v>
      </c>
      <c r="B823" s="1634" t="s">
        <v>871</v>
      </c>
      <c r="C823" s="1387"/>
      <c r="D823" s="1387"/>
      <c r="E823" s="1387">
        <f>(E811+E812+E813+E814+E815+E816+E817+E818+E819)-E822</f>
        <v>0</v>
      </c>
      <c r="F823" s="1427"/>
      <c r="G823" s="1386" t="s">
        <v>126</v>
      </c>
      <c r="H823" s="1634" t="s">
        <v>871</v>
      </c>
      <c r="I823" s="1387"/>
      <c r="J823" s="1387"/>
      <c r="K823" s="1387">
        <f>(K811+K812+K813+K814+K815+K816+K817+K818+K819)-K822</f>
        <v>0</v>
      </c>
      <c r="L823" s="1389">
        <f>E823+K823</f>
        <v>0</v>
      </c>
    </row>
    <row r="824" spans="1:12" s="31" customFormat="1" ht="17.25" customHeight="1">
      <c r="A824" s="1449" t="str">
        <f>A808</f>
        <v>LƯƠNG THÁNG 01/2025</v>
      </c>
      <c r="B824" s="1449"/>
      <c r="C824" s="1449"/>
      <c r="D824" s="1449"/>
      <c r="E824" s="1449">
        <f>VLOOKUP(B825,'CNKT '!$C$101:$AD$188,26,0)</f>
        <v>0</v>
      </c>
      <c r="F824" s="1427"/>
      <c r="G824" s="1449" t="str">
        <f>A824</f>
        <v>LƯƠNG THÁNG 01/2025</v>
      </c>
      <c r="H824" s="1449"/>
      <c r="I824" s="1449"/>
      <c r="J824" s="1449"/>
      <c r="K824" s="1449">
        <f>VLOOKUP(H825,'CNKT '!$C$101:$AD$188,26,0)</f>
        <v>0</v>
      </c>
      <c r="L824" s="1372"/>
    </row>
    <row r="825" spans="1:12" s="31" customFormat="1" ht="17.25" customHeight="1">
      <c r="A825" s="1391" t="s">
        <v>29</v>
      </c>
      <c r="B825" s="1626" t="str">
        <f>'CNKT '!C111</f>
        <v>N. Sa Văn</v>
      </c>
      <c r="C825" s="1376"/>
      <c r="D825" s="1626" t="s">
        <v>806</v>
      </c>
      <c r="E825" s="1626" t="s">
        <v>32</v>
      </c>
      <c r="F825" s="1436"/>
      <c r="G825" s="1391" t="s">
        <v>29</v>
      </c>
      <c r="H825" s="1626" t="str">
        <f>'CNKT '!C112</f>
        <v>N. Chăn</v>
      </c>
      <c r="I825" s="1376"/>
      <c r="J825" s="1626" t="s">
        <v>806</v>
      </c>
      <c r="K825" s="1626" t="s">
        <v>32</v>
      </c>
      <c r="L825" s="1372"/>
    </row>
    <row r="826" spans="1:12" s="31" customFormat="1" ht="17.25" customHeight="1">
      <c r="A826" s="1375" t="s">
        <v>807</v>
      </c>
      <c r="B826" s="1628" t="s">
        <v>1080</v>
      </c>
      <c r="C826" s="1376" t="str">
        <f>VLOOKUP(B825,'BTH mủ tạp'!$C$97:$AL$175,36,0)</f>
        <v>A</v>
      </c>
      <c r="D826" s="1377"/>
      <c r="E826" s="1377"/>
      <c r="F826" s="1436"/>
      <c r="G826" s="1375" t="s">
        <v>807</v>
      </c>
      <c r="H826" s="1628" t="s">
        <v>1080</v>
      </c>
      <c r="I826" s="1376" t="str">
        <f>VLOOKUP(H825,'BTH mủ tạp'!$C$97:$AL$175,36,0)</f>
        <v>B</v>
      </c>
      <c r="J826" s="1377"/>
      <c r="K826" s="1377"/>
      <c r="L826" s="1372"/>
    </row>
    <row r="827" spans="1:12" s="31" customFormat="1" ht="17.25" customHeight="1">
      <c r="A827" s="1375" t="s">
        <v>121</v>
      </c>
      <c r="B827" s="1629" t="s">
        <v>865</v>
      </c>
      <c r="C827" s="1378">
        <f>VLOOKUP(B825,'CNKT '!$C$101:$Z$182,3,0)</f>
        <v>0</v>
      </c>
      <c r="D827" s="1379">
        <v>25000</v>
      </c>
      <c r="E827" s="1377">
        <f t="shared" ref="E827:E832" si="95">C827*D827</f>
        <v>0</v>
      </c>
      <c r="F827" s="1436"/>
      <c r="G827" s="1375" t="s">
        <v>121</v>
      </c>
      <c r="H827" s="1629" t="s">
        <v>865</v>
      </c>
      <c r="I827" s="1378">
        <f>VLOOKUP(H825,'CNKT '!$C$101:$Z$182,3,0)</f>
        <v>0</v>
      </c>
      <c r="J827" s="1379">
        <v>25000</v>
      </c>
      <c r="K827" s="1377">
        <f t="shared" ref="K827:K832" si="96">I827*J827</f>
        <v>0</v>
      </c>
      <c r="L827" s="1372"/>
    </row>
    <row r="828" spans="1:12" s="31" customFormat="1" ht="17.25" customHeight="1">
      <c r="A828" s="1375" t="s">
        <v>628</v>
      </c>
      <c r="B828" s="1630" t="s">
        <v>1081</v>
      </c>
      <c r="C828" s="1433">
        <f>VLOOKUP(B825,'CNKT '!$C$101:$Z$182,11,0)</f>
        <v>0</v>
      </c>
      <c r="D828" s="1380">
        <f>46.1*$B$2</f>
        <v>30241.600000000002</v>
      </c>
      <c r="E828" s="1377">
        <f t="shared" si="95"/>
        <v>0</v>
      </c>
      <c r="F828" s="1436"/>
      <c r="G828" s="1375" t="s">
        <v>628</v>
      </c>
      <c r="H828" s="1630" t="s">
        <v>1081</v>
      </c>
      <c r="I828" s="1433">
        <f>VLOOKUP(H825,'CNKT '!$C$101:$Z$182,11,0)</f>
        <v>0</v>
      </c>
      <c r="J828" s="1380">
        <f>46.1*$B$2</f>
        <v>30241.600000000002</v>
      </c>
      <c r="K828" s="1377">
        <f t="shared" si="96"/>
        <v>0</v>
      </c>
      <c r="L828" s="1372"/>
    </row>
    <row r="829" spans="1:12" s="31" customFormat="1" ht="17.25" customHeight="1">
      <c r="A829" s="1375" t="s">
        <v>809</v>
      </c>
      <c r="B829" s="1630" t="s">
        <v>1082</v>
      </c>
      <c r="C829" s="1433">
        <f>VLOOKUP(B825,'CNKT '!$C$101:$Z$182,12,0)</f>
        <v>0</v>
      </c>
      <c r="D829" s="1379">
        <f>76.9*$B$2</f>
        <v>50446.400000000001</v>
      </c>
      <c r="E829" s="1377">
        <f t="shared" si="95"/>
        <v>0</v>
      </c>
      <c r="F829" s="1436"/>
      <c r="G829" s="1375" t="s">
        <v>809</v>
      </c>
      <c r="H829" s="1630" t="s">
        <v>1082</v>
      </c>
      <c r="I829" s="1433">
        <f>VLOOKUP(H825,'CNKT '!$C$101:$Z$182,12,0)</f>
        <v>0</v>
      </c>
      <c r="J829" s="1379">
        <f>76.9*$B$2</f>
        <v>50446.400000000001</v>
      </c>
      <c r="K829" s="1377">
        <f t="shared" si="96"/>
        <v>0</v>
      </c>
      <c r="L829" s="1372"/>
    </row>
    <row r="830" spans="1:12" s="31" customFormat="1" ht="17.25" customHeight="1">
      <c r="A830" s="1375" t="s">
        <v>122</v>
      </c>
      <c r="B830" s="1630" t="s">
        <v>1083</v>
      </c>
      <c r="C830" s="1433">
        <f>VLOOKUP(B825,'CNKT '!$C$101:$Z$182,8,0)</f>
        <v>0</v>
      </c>
      <c r="D830" s="1379">
        <f>IF(C826="A",6.1,IF(C826="B",5.8,IF(C826="C",5.5,IF(C826="C.",5.5,IF(C826="D",5.2)))))*$B$2</f>
        <v>4001.6</v>
      </c>
      <c r="E830" s="1377">
        <f t="shared" si="95"/>
        <v>0</v>
      </c>
      <c r="F830" s="1436"/>
      <c r="G830" s="1375" t="s">
        <v>122</v>
      </c>
      <c r="H830" s="1630" t="s">
        <v>1083</v>
      </c>
      <c r="I830" s="1433">
        <f>VLOOKUP(H825,'CNKT '!$C$101:$Z$182,8,0)</f>
        <v>0</v>
      </c>
      <c r="J830" s="1379">
        <f>IF(I826="A",6.1,IF(I826="B",5.8,IF(I826="C",5.5,IF(I826="C.",5.5,IF(I826="D",5.2)))))*$B$2</f>
        <v>3804.7999999999997</v>
      </c>
      <c r="K830" s="1377">
        <f t="shared" si="96"/>
        <v>0</v>
      </c>
      <c r="L830" s="1372"/>
    </row>
    <row r="831" spans="1:12" s="31" customFormat="1" ht="17.25" customHeight="1">
      <c r="A831" s="1375" t="s">
        <v>959</v>
      </c>
      <c r="B831" s="1630" t="s">
        <v>1084</v>
      </c>
      <c r="C831" s="1433">
        <f>VLOOKUP(B825,'CNKT '!$C$101:$Z$182,15,0)</f>
        <v>0</v>
      </c>
      <c r="D831" s="1380">
        <f>92.2*$B$2</f>
        <v>60483.200000000004</v>
      </c>
      <c r="E831" s="1377">
        <f t="shared" si="95"/>
        <v>0</v>
      </c>
      <c r="F831" s="1436"/>
      <c r="G831" s="1375" t="s">
        <v>959</v>
      </c>
      <c r="H831" s="1630" t="s">
        <v>1084</v>
      </c>
      <c r="I831" s="1433">
        <f>VLOOKUP(H825,'CNKT '!$C$101:$Z$182,15,0)</f>
        <v>0</v>
      </c>
      <c r="J831" s="1380">
        <f>92.2*$B$2</f>
        <v>60483.200000000004</v>
      </c>
      <c r="K831" s="1377">
        <f t="shared" si="96"/>
        <v>0</v>
      </c>
      <c r="L831" s="1372"/>
    </row>
    <row r="832" spans="1:12" s="31" customFormat="1" ht="17.25" customHeight="1">
      <c r="A832" s="1375" t="s">
        <v>960</v>
      </c>
      <c r="B832" s="1630" t="s">
        <v>964</v>
      </c>
      <c r="C832" s="1433">
        <f>VLOOKUP(B825,'CNKT '!$C$101:$Z$182,16,0)</f>
        <v>0</v>
      </c>
      <c r="D832" s="1379">
        <f>153.8*$B$2</f>
        <v>100892.8</v>
      </c>
      <c r="E832" s="1377">
        <f t="shared" si="95"/>
        <v>0</v>
      </c>
      <c r="F832" s="1436"/>
      <c r="G832" s="1375" t="s">
        <v>960</v>
      </c>
      <c r="H832" s="1630" t="s">
        <v>964</v>
      </c>
      <c r="I832" s="1433">
        <f>VLOOKUP(H825,'CNKT '!$C$101:$Z$182,16,0)</f>
        <v>0</v>
      </c>
      <c r="J832" s="1379">
        <f>153.8*$B$2</f>
        <v>100892.8</v>
      </c>
      <c r="K832" s="1377">
        <f t="shared" si="96"/>
        <v>0</v>
      </c>
      <c r="L832" s="1372"/>
    </row>
    <row r="833" spans="1:12" s="31" customFormat="1" ht="17.25" customHeight="1">
      <c r="A833" s="1375" t="s">
        <v>899</v>
      </c>
      <c r="B833" s="1630" t="s">
        <v>965</v>
      </c>
      <c r="C833" s="1433">
        <f>VLOOKUP(B825,'CNKT '!$C$101:$Z$188,18,0)</f>
        <v>0</v>
      </c>
      <c r="D833" s="1379">
        <v>10000</v>
      </c>
      <c r="E833" s="1377">
        <f>C833*D833</f>
        <v>0</v>
      </c>
      <c r="F833" s="1436"/>
      <c r="G833" s="1375" t="s">
        <v>899</v>
      </c>
      <c r="H833" s="1630" t="s">
        <v>965</v>
      </c>
      <c r="I833" s="1433">
        <f>VLOOKUP(H825,'CNKT '!$C$101:$Z$188,18,0)</f>
        <v>0</v>
      </c>
      <c r="J833" s="1379">
        <v>10000</v>
      </c>
      <c r="K833" s="1377">
        <f>I833*J833</f>
        <v>0</v>
      </c>
      <c r="L833" s="1372"/>
    </row>
    <row r="834" spans="1:12" s="31" customFormat="1" ht="17.25" customHeight="1">
      <c r="A834" s="1375" t="s">
        <v>899</v>
      </c>
      <c r="B834" s="1630" t="s">
        <v>965</v>
      </c>
      <c r="C834" s="1433">
        <f>VLOOKUP(B825,'CNKT '!$C$101:$Z$188,19,0)</f>
        <v>0</v>
      </c>
      <c r="D834" s="1379">
        <v>20000</v>
      </c>
      <c r="E834" s="1377">
        <f>C834*D834</f>
        <v>0</v>
      </c>
      <c r="F834" s="1436"/>
      <c r="G834" s="1375" t="s">
        <v>899</v>
      </c>
      <c r="H834" s="1630" t="s">
        <v>965</v>
      </c>
      <c r="I834" s="1433">
        <f>VLOOKUP(H825,'CNKT '!$C$101:$Z$188,19,0)</f>
        <v>0</v>
      </c>
      <c r="J834" s="1379">
        <v>20000</v>
      </c>
      <c r="K834" s="1377">
        <f>I834*J834</f>
        <v>0</v>
      </c>
      <c r="L834" s="1372"/>
    </row>
    <row r="835" spans="1:12" s="31" customFormat="1" ht="17.25" customHeight="1">
      <c r="A835" s="1375" t="s">
        <v>995</v>
      </c>
      <c r="B835" s="1630" t="s">
        <v>997</v>
      </c>
      <c r="C835" s="1433"/>
      <c r="D835" s="1379"/>
      <c r="E835" s="1377"/>
      <c r="F835" s="1436"/>
      <c r="G835" s="1375" t="s">
        <v>995</v>
      </c>
      <c r="H835" s="1630" t="s">
        <v>997</v>
      </c>
      <c r="I835" s="1433"/>
      <c r="J835" s="1379"/>
      <c r="K835" s="1377"/>
      <c r="L835" s="1372"/>
    </row>
    <row r="836" spans="1:12" s="31" customFormat="1" ht="17.25" customHeight="1">
      <c r="A836" s="1381" t="s">
        <v>123</v>
      </c>
      <c r="B836" s="1631" t="s">
        <v>1085</v>
      </c>
      <c r="C836" s="1382"/>
      <c r="D836" s="1383"/>
      <c r="E836" s="1382"/>
      <c r="F836" s="1436"/>
      <c r="G836" s="1381" t="s">
        <v>123</v>
      </c>
      <c r="H836" s="1631" t="s">
        <v>1085</v>
      </c>
      <c r="I836" s="1382"/>
      <c r="J836" s="1383"/>
      <c r="K836" s="1382"/>
      <c r="L836" s="1372"/>
    </row>
    <row r="837" spans="1:12" s="31" customFormat="1" ht="17.25" customHeight="1">
      <c r="A837" s="1384" t="s">
        <v>124</v>
      </c>
      <c r="B837" s="1632" t="s">
        <v>1086</v>
      </c>
      <c r="C837" s="1382"/>
      <c r="D837" s="1382"/>
      <c r="E837" s="1382"/>
      <c r="F837" s="1436"/>
      <c r="G837" s="1384" t="s">
        <v>124</v>
      </c>
      <c r="H837" s="1632" t="s">
        <v>1086</v>
      </c>
      <c r="I837" s="1382"/>
      <c r="J837" s="1382"/>
      <c r="K837" s="1382"/>
      <c r="L837" s="1372"/>
    </row>
    <row r="838" spans="1:12" s="31" customFormat="1" ht="17.25" customHeight="1">
      <c r="A838" s="1384" t="s">
        <v>125</v>
      </c>
      <c r="B838" s="1633" t="s">
        <v>1087</v>
      </c>
      <c r="C838" s="1382"/>
      <c r="D838" s="1382"/>
      <c r="E838" s="1377">
        <f>SUM(E837)</f>
        <v>0</v>
      </c>
      <c r="F838" s="1626"/>
      <c r="G838" s="1384" t="s">
        <v>125</v>
      </c>
      <c r="H838" s="1633" t="s">
        <v>1087</v>
      </c>
      <c r="I838" s="1382"/>
      <c r="J838" s="1382"/>
      <c r="K838" s="1377">
        <f>SUM(K837)</f>
        <v>0</v>
      </c>
      <c r="L838" s="1372"/>
    </row>
    <row r="839" spans="1:12" s="31" customFormat="1" ht="17.25" customHeight="1">
      <c r="A839" s="1386" t="s">
        <v>126</v>
      </c>
      <c r="B839" s="1634" t="s">
        <v>871</v>
      </c>
      <c r="C839" s="1387"/>
      <c r="D839" s="1387"/>
      <c r="E839" s="1387">
        <f>(E827+E828+E829+E830+E831+E832+E833+E834+E835)-E838</f>
        <v>0</v>
      </c>
      <c r="F839" s="1436"/>
      <c r="G839" s="1386" t="s">
        <v>126</v>
      </c>
      <c r="H839" s="1634" t="s">
        <v>871</v>
      </c>
      <c r="I839" s="1387"/>
      <c r="J839" s="1387"/>
      <c r="K839" s="1387">
        <f>(K827+K828+K829+K830+K831+K832+K833+K834+K835)-K838</f>
        <v>0</v>
      </c>
      <c r="L839" s="1389">
        <f>E839+K839</f>
        <v>0</v>
      </c>
    </row>
    <row r="840" spans="1:12" s="31" customFormat="1" ht="17.25" customHeight="1">
      <c r="A840" s="1424"/>
      <c r="B840" s="1425"/>
      <c r="C840" s="1426"/>
      <c r="D840" s="1426"/>
      <c r="E840" s="1426"/>
      <c r="F840" s="1427"/>
      <c r="G840" s="1622"/>
      <c r="H840" s="1622"/>
      <c r="I840" s="1622"/>
      <c r="J840" s="1622"/>
      <c r="K840" s="1428"/>
      <c r="L840" s="1372"/>
    </row>
    <row r="841" spans="1:12" s="31" customFormat="1" ht="17.25" customHeight="1">
      <c r="A841" s="1449" t="str">
        <f>A824</f>
        <v>LƯƠNG THÁNG 01/2025</v>
      </c>
      <c r="B841" s="1449"/>
      <c r="C841" s="1449"/>
      <c r="D841" s="1449"/>
      <c r="E841" s="1449">
        <f>VLOOKUP(B842,'CNKT '!$C$101:$AD$188,26,0)</f>
        <v>0</v>
      </c>
      <c r="F841" s="1427"/>
      <c r="G841" s="1449" t="str">
        <f>A841</f>
        <v>LƯƠNG THÁNG 01/2025</v>
      </c>
      <c r="H841" s="1449"/>
      <c r="I841" s="1449"/>
      <c r="J841" s="1449"/>
      <c r="K841" s="1449">
        <f>VLOOKUP(H842,'CNKT '!$C$101:$AD$188,26,0)</f>
        <v>0</v>
      </c>
      <c r="L841" s="1372"/>
    </row>
    <row r="842" spans="1:12" s="31" customFormat="1" ht="17.25" customHeight="1">
      <c r="A842" s="1391" t="s">
        <v>29</v>
      </c>
      <c r="B842" s="1626" t="str">
        <f>'CNKT '!C113</f>
        <v>T Núc</v>
      </c>
      <c r="C842" s="1376"/>
      <c r="D842" s="1626" t="s">
        <v>806</v>
      </c>
      <c r="E842" s="1626" t="s">
        <v>32</v>
      </c>
      <c r="F842" s="1436"/>
      <c r="G842" s="1391" t="s">
        <v>29</v>
      </c>
      <c r="H842" s="1626" t="str">
        <f>'CNKT '!C114</f>
        <v>T. Cô</v>
      </c>
      <c r="I842" s="1376"/>
      <c r="J842" s="1626" t="s">
        <v>806</v>
      </c>
      <c r="K842" s="1626" t="s">
        <v>32</v>
      </c>
      <c r="L842" s="1372"/>
    </row>
    <row r="843" spans="1:12" s="31" customFormat="1" ht="17.25" customHeight="1">
      <c r="A843" s="1375" t="s">
        <v>807</v>
      </c>
      <c r="B843" s="1628" t="s">
        <v>1080</v>
      </c>
      <c r="C843" s="1376" t="str">
        <f>VLOOKUP(B842,'BTH mủ tạp'!$C$97:$AL$175,36,0)</f>
        <v>B</v>
      </c>
      <c r="D843" s="1377"/>
      <c r="E843" s="1377"/>
      <c r="F843" s="1436"/>
      <c r="G843" s="1375" t="s">
        <v>807</v>
      </c>
      <c r="H843" s="1628" t="s">
        <v>1080</v>
      </c>
      <c r="I843" s="1376" t="str">
        <f>VLOOKUP(H842,'BTH mủ tạp'!$C$97:$AL$175,36,0)</f>
        <v>A</v>
      </c>
      <c r="J843" s="1377"/>
      <c r="K843" s="1377"/>
      <c r="L843" s="1372"/>
    </row>
    <row r="844" spans="1:12" s="31" customFormat="1" ht="17.25" customHeight="1">
      <c r="A844" s="1375" t="s">
        <v>121</v>
      </c>
      <c r="B844" s="1629" t="s">
        <v>865</v>
      </c>
      <c r="C844" s="1378">
        <f>VLOOKUP(B842,'CNKT '!$C$101:$Z$182,3,0)</f>
        <v>0</v>
      </c>
      <c r="D844" s="1379">
        <v>25000</v>
      </c>
      <c r="E844" s="1377">
        <f t="shared" ref="E844:E849" si="97">C844*D844</f>
        <v>0</v>
      </c>
      <c r="F844" s="1436"/>
      <c r="G844" s="1375" t="s">
        <v>121</v>
      </c>
      <c r="H844" s="1629" t="s">
        <v>865</v>
      </c>
      <c r="I844" s="1378">
        <f>VLOOKUP(H842,'CNKT '!$C$101:$Z$182,3,0)</f>
        <v>0</v>
      </c>
      <c r="J844" s="1379">
        <v>25000</v>
      </c>
      <c r="K844" s="1377">
        <f t="shared" ref="K844:K849" si="98">I844*J844</f>
        <v>0</v>
      </c>
      <c r="L844" s="1372"/>
    </row>
    <row r="845" spans="1:12" s="31" customFormat="1" ht="17.25" customHeight="1">
      <c r="A845" s="1375" t="s">
        <v>628</v>
      </c>
      <c r="B845" s="1630" t="s">
        <v>1081</v>
      </c>
      <c r="C845" s="1433">
        <f>VLOOKUP(B842,'CNKT '!$C$101:$Z$182,11,0)</f>
        <v>0</v>
      </c>
      <c r="D845" s="1380">
        <f>46.1*$B$2</f>
        <v>30241.600000000002</v>
      </c>
      <c r="E845" s="1377">
        <f t="shared" si="97"/>
        <v>0</v>
      </c>
      <c r="F845" s="1436"/>
      <c r="G845" s="1375" t="s">
        <v>628</v>
      </c>
      <c r="H845" s="1630" t="s">
        <v>1081</v>
      </c>
      <c r="I845" s="1433">
        <f>VLOOKUP(H842,'CNKT '!$C$101:$Z$182,11,0)</f>
        <v>0</v>
      </c>
      <c r="J845" s="1380">
        <f>46.1*$B$2</f>
        <v>30241.600000000002</v>
      </c>
      <c r="K845" s="1377">
        <f t="shared" si="98"/>
        <v>0</v>
      </c>
      <c r="L845" s="1372"/>
    </row>
    <row r="846" spans="1:12" s="31" customFormat="1" ht="17.25" customHeight="1">
      <c r="A846" s="1375" t="s">
        <v>809</v>
      </c>
      <c r="B846" s="1630" t="s">
        <v>1082</v>
      </c>
      <c r="C846" s="1433">
        <f>VLOOKUP(B842,'CNKT '!$C$101:$Z$182,12,0)</f>
        <v>0</v>
      </c>
      <c r="D846" s="1379">
        <f>76.9*$B$2</f>
        <v>50446.400000000001</v>
      </c>
      <c r="E846" s="1377">
        <f t="shared" si="97"/>
        <v>0</v>
      </c>
      <c r="F846" s="1436"/>
      <c r="G846" s="1375" t="s">
        <v>809</v>
      </c>
      <c r="H846" s="1630" t="s">
        <v>1082</v>
      </c>
      <c r="I846" s="1433">
        <f>VLOOKUP(H842,'CNKT '!$C$101:$Z$182,12,0)</f>
        <v>0</v>
      </c>
      <c r="J846" s="1379">
        <f>76.9*$B$2</f>
        <v>50446.400000000001</v>
      </c>
      <c r="K846" s="1377">
        <f t="shared" si="98"/>
        <v>0</v>
      </c>
      <c r="L846" s="1372"/>
    </row>
    <row r="847" spans="1:12" s="31" customFormat="1" ht="17.25" customHeight="1">
      <c r="A847" s="1375" t="s">
        <v>122</v>
      </c>
      <c r="B847" s="1630" t="s">
        <v>1083</v>
      </c>
      <c r="C847" s="1433">
        <f>VLOOKUP(B842,'CNKT '!$C$101:$Z$182,8,0)</f>
        <v>0</v>
      </c>
      <c r="D847" s="1379">
        <f>IF(C843="A",6.1,IF(C843="B",5.8,IF(C843="C",5.5,IF(C843="C.",5.5,IF(C843="D",5.2)))))*$B$2</f>
        <v>3804.7999999999997</v>
      </c>
      <c r="E847" s="1377">
        <f t="shared" si="97"/>
        <v>0</v>
      </c>
      <c r="F847" s="1436"/>
      <c r="G847" s="1375" t="s">
        <v>122</v>
      </c>
      <c r="H847" s="1630" t="s">
        <v>1083</v>
      </c>
      <c r="I847" s="1433">
        <f>VLOOKUP(H842,'CNKT '!$C$101:$Z$182,8,0)</f>
        <v>0</v>
      </c>
      <c r="J847" s="1379">
        <f>IF(I843="A",6.1,IF(I843="B",5.8,IF(I843="C",5.5,IF(I843="C.",5.5,IF(I843="D",5.2)))))*$B$2</f>
        <v>4001.6</v>
      </c>
      <c r="K847" s="1377">
        <f t="shared" si="98"/>
        <v>0</v>
      </c>
      <c r="L847" s="1372"/>
    </row>
    <row r="848" spans="1:12" s="31" customFormat="1" ht="17.25" customHeight="1">
      <c r="A848" s="1375" t="s">
        <v>959</v>
      </c>
      <c r="B848" s="1630" t="s">
        <v>1084</v>
      </c>
      <c r="C848" s="1433">
        <f>VLOOKUP(B842,'CNKT '!$C$101:$Z$182,15,0)</f>
        <v>0</v>
      </c>
      <c r="D848" s="1380">
        <f>92.2*$B$2</f>
        <v>60483.200000000004</v>
      </c>
      <c r="E848" s="1377">
        <f t="shared" si="97"/>
        <v>0</v>
      </c>
      <c r="F848" s="1436"/>
      <c r="G848" s="1375" t="s">
        <v>959</v>
      </c>
      <c r="H848" s="1630" t="s">
        <v>1084</v>
      </c>
      <c r="I848" s="1433">
        <f>VLOOKUP(H842,'CNKT '!$C$101:$Z$182,15,0)</f>
        <v>0</v>
      </c>
      <c r="J848" s="1380">
        <f>92.2*$B$2</f>
        <v>60483.200000000004</v>
      </c>
      <c r="K848" s="1377">
        <f t="shared" si="98"/>
        <v>0</v>
      </c>
      <c r="L848" s="1372"/>
    </row>
    <row r="849" spans="1:12" s="31" customFormat="1" ht="17.25" customHeight="1">
      <c r="A849" s="1375" t="s">
        <v>960</v>
      </c>
      <c r="B849" s="1630" t="s">
        <v>964</v>
      </c>
      <c r="C849" s="1433">
        <f>VLOOKUP(B842,'CNKT '!$C$101:$Z$182,16,0)</f>
        <v>0</v>
      </c>
      <c r="D849" s="1379">
        <f>153.8*$B$2</f>
        <v>100892.8</v>
      </c>
      <c r="E849" s="1377">
        <f t="shared" si="97"/>
        <v>0</v>
      </c>
      <c r="F849" s="1436"/>
      <c r="G849" s="1375" t="s">
        <v>960</v>
      </c>
      <c r="H849" s="1630" t="s">
        <v>964</v>
      </c>
      <c r="I849" s="1433">
        <f>VLOOKUP(H842,'CNKT '!$C$101:$Z$182,16,0)</f>
        <v>0</v>
      </c>
      <c r="J849" s="1379">
        <f>153.8*$B$2</f>
        <v>100892.8</v>
      </c>
      <c r="K849" s="1377">
        <f t="shared" si="98"/>
        <v>0</v>
      </c>
      <c r="L849" s="1372"/>
    </row>
    <row r="850" spans="1:12" s="31" customFormat="1" ht="17.25" customHeight="1">
      <c r="A850" s="1375" t="s">
        <v>899</v>
      </c>
      <c r="B850" s="1630" t="s">
        <v>965</v>
      </c>
      <c r="C850" s="1433">
        <f>VLOOKUP(B842,'CNKT '!$C$101:$Z$188,18,0)</f>
        <v>0</v>
      </c>
      <c r="D850" s="1379">
        <v>10000</v>
      </c>
      <c r="E850" s="1377">
        <f>C850*D850</f>
        <v>0</v>
      </c>
      <c r="F850" s="1436"/>
      <c r="G850" s="1375" t="s">
        <v>899</v>
      </c>
      <c r="H850" s="1630" t="s">
        <v>965</v>
      </c>
      <c r="I850" s="1433">
        <f>VLOOKUP(H842,'CNKT '!$C$101:$Z$188,18,0)</f>
        <v>0</v>
      </c>
      <c r="J850" s="1379">
        <v>10000</v>
      </c>
      <c r="K850" s="1377">
        <f>I850*J850</f>
        <v>0</v>
      </c>
      <c r="L850" s="1372"/>
    </row>
    <row r="851" spans="1:12" s="31" customFormat="1" ht="17.25" customHeight="1">
      <c r="A851" s="1375" t="s">
        <v>899</v>
      </c>
      <c r="B851" s="1630" t="s">
        <v>965</v>
      </c>
      <c r="C851" s="1433">
        <f>VLOOKUP(B842,'CNKT '!$C$101:$Z$188,19,0)</f>
        <v>0</v>
      </c>
      <c r="D851" s="1379">
        <v>20000</v>
      </c>
      <c r="E851" s="1377">
        <f>C851*D851</f>
        <v>0</v>
      </c>
      <c r="F851" s="1436"/>
      <c r="G851" s="1375" t="s">
        <v>899</v>
      </c>
      <c r="H851" s="1630" t="s">
        <v>965</v>
      </c>
      <c r="I851" s="1433">
        <f>VLOOKUP(H842,'CNKT '!$C$101:$Z$188,19,0)</f>
        <v>0</v>
      </c>
      <c r="J851" s="1379">
        <v>20000</v>
      </c>
      <c r="K851" s="1377">
        <f>I851*J851</f>
        <v>0</v>
      </c>
      <c r="L851" s="1372"/>
    </row>
    <row r="852" spans="1:12" s="31" customFormat="1" ht="17.25" customHeight="1">
      <c r="A852" s="1375" t="s">
        <v>995</v>
      </c>
      <c r="B852" s="1630" t="s">
        <v>997</v>
      </c>
      <c r="C852" s="1433"/>
      <c r="D852" s="1379"/>
      <c r="E852" s="1377"/>
      <c r="F852" s="1436"/>
      <c r="G852" s="1375" t="s">
        <v>995</v>
      </c>
      <c r="H852" s="1630" t="s">
        <v>997</v>
      </c>
      <c r="I852" s="1433"/>
      <c r="J852" s="1379"/>
      <c r="K852" s="1377"/>
      <c r="L852" s="1372"/>
    </row>
    <row r="853" spans="1:12" s="31" customFormat="1" ht="17.25" customHeight="1">
      <c r="A853" s="1381" t="s">
        <v>123</v>
      </c>
      <c r="B853" s="1631" t="s">
        <v>1085</v>
      </c>
      <c r="C853" s="1382"/>
      <c r="D853" s="1383"/>
      <c r="E853" s="1382"/>
      <c r="F853" s="1436"/>
      <c r="G853" s="1381" t="s">
        <v>123</v>
      </c>
      <c r="H853" s="1631" t="s">
        <v>1085</v>
      </c>
      <c r="I853" s="1382"/>
      <c r="J853" s="1383"/>
      <c r="K853" s="1382"/>
      <c r="L853" s="1372"/>
    </row>
    <row r="854" spans="1:12" s="31" customFormat="1" ht="17.25" customHeight="1">
      <c r="A854" s="1384" t="s">
        <v>124</v>
      </c>
      <c r="B854" s="1632" t="s">
        <v>1086</v>
      </c>
      <c r="C854" s="1382"/>
      <c r="D854" s="1382"/>
      <c r="E854" s="1382"/>
      <c r="F854" s="1436"/>
      <c r="G854" s="1384" t="s">
        <v>124</v>
      </c>
      <c r="H854" s="1632" t="s">
        <v>1086</v>
      </c>
      <c r="I854" s="1382"/>
      <c r="J854" s="1382"/>
      <c r="K854" s="1382"/>
      <c r="L854" s="1372"/>
    </row>
    <row r="855" spans="1:12" s="31" customFormat="1" ht="17.25" customHeight="1">
      <c r="A855" s="1384" t="s">
        <v>125</v>
      </c>
      <c r="B855" s="1633" t="s">
        <v>1087</v>
      </c>
      <c r="C855" s="1382"/>
      <c r="D855" s="1382"/>
      <c r="E855" s="1377">
        <f>SUM(E854)</f>
        <v>0</v>
      </c>
      <c r="F855" s="1432"/>
      <c r="G855" s="1384" t="s">
        <v>125</v>
      </c>
      <c r="H855" s="1633" t="s">
        <v>1087</v>
      </c>
      <c r="I855" s="1382"/>
      <c r="J855" s="1382"/>
      <c r="K855" s="1377">
        <f>SUM(K854)</f>
        <v>0</v>
      </c>
      <c r="L855" s="1372"/>
    </row>
    <row r="856" spans="1:12" s="31" customFormat="1" ht="17.25" customHeight="1">
      <c r="A856" s="1386" t="s">
        <v>126</v>
      </c>
      <c r="B856" s="1634" t="s">
        <v>871</v>
      </c>
      <c r="C856" s="1387"/>
      <c r="D856" s="1387"/>
      <c r="E856" s="1387">
        <f>(E844+E845+E846+E847+E848+E849+E850+E851+E852)-E855</f>
        <v>0</v>
      </c>
      <c r="F856" s="1432"/>
      <c r="G856" s="1386" t="s">
        <v>126</v>
      </c>
      <c r="H856" s="1634" t="s">
        <v>871</v>
      </c>
      <c r="I856" s="1387"/>
      <c r="J856" s="1387"/>
      <c r="K856" s="1387">
        <f>(K844+K845+K846+K847+K848+K849+K850+K851+K852)-K855</f>
        <v>0</v>
      </c>
      <c r="L856" s="1389">
        <f>E856+K856</f>
        <v>0</v>
      </c>
    </row>
    <row r="857" spans="1:12" s="31" customFormat="1" ht="17.25" customHeight="1">
      <c r="A857" s="1424"/>
      <c r="B857" s="1425"/>
      <c r="C857" s="1426"/>
      <c r="D857" s="1426"/>
      <c r="E857" s="1426"/>
      <c r="F857" s="1427"/>
      <c r="G857" s="1622"/>
      <c r="H857" s="1622"/>
      <c r="I857" s="1622"/>
      <c r="J857" s="1622"/>
      <c r="K857" s="1428"/>
      <c r="L857" s="1372"/>
    </row>
    <row r="858" spans="1:12" s="31" customFormat="1" ht="17.25" customHeight="1">
      <c r="A858" s="2183" t="str">
        <f>A841</f>
        <v>LƯƠNG THÁNG 01/2025</v>
      </c>
      <c r="B858" s="2183"/>
      <c r="C858" s="1449"/>
      <c r="D858" s="1449"/>
      <c r="E858" s="1449">
        <f>VLOOKUP(B859,'CNKT '!$C$101:$AD$188,26,0)</f>
        <v>0</v>
      </c>
      <c r="F858" s="1427"/>
      <c r="G858" s="2183" t="str">
        <f>A858</f>
        <v>LƯƠNG THÁNG 01/2025</v>
      </c>
      <c r="H858" s="2183"/>
      <c r="I858" s="1449"/>
      <c r="J858" s="1449"/>
      <c r="K858" s="1449">
        <f>VLOOKUP(H859,'CNKT '!$C$101:$AD$188,26,0)</f>
        <v>0</v>
      </c>
      <c r="L858" s="1372"/>
    </row>
    <row r="859" spans="1:12" s="31" customFormat="1" ht="17.25" customHeight="1">
      <c r="A859" s="1391" t="s">
        <v>29</v>
      </c>
      <c r="B859" s="1626" t="str">
        <f>'CNKT '!C115</f>
        <v>N. Khoăn Ta</v>
      </c>
      <c r="C859" s="1376"/>
      <c r="D859" s="1626" t="s">
        <v>806</v>
      </c>
      <c r="E859" s="1626" t="s">
        <v>32</v>
      </c>
      <c r="F859" s="1436"/>
      <c r="G859" s="1391" t="s">
        <v>29</v>
      </c>
      <c r="H859" s="1626" t="str">
        <f>'CNKT '!C116</f>
        <v>T . Tom</v>
      </c>
      <c r="I859" s="1376"/>
      <c r="J859" s="1626" t="s">
        <v>806</v>
      </c>
      <c r="K859" s="1626" t="s">
        <v>32</v>
      </c>
      <c r="L859" s="1372"/>
    </row>
    <row r="860" spans="1:12" s="31" customFormat="1" ht="17.25" customHeight="1">
      <c r="A860" s="1375" t="s">
        <v>807</v>
      </c>
      <c r="B860" s="1628" t="s">
        <v>1080</v>
      </c>
      <c r="C860" s="1376" t="str">
        <f>VLOOKUP(B859,'BTH mủ tạp'!$C$97:$AL$175,36,0)</f>
        <v>B</v>
      </c>
      <c r="D860" s="1377"/>
      <c r="E860" s="1377"/>
      <c r="F860" s="1436"/>
      <c r="G860" s="1375" t="s">
        <v>807</v>
      </c>
      <c r="H860" s="1628" t="s">
        <v>1080</v>
      </c>
      <c r="I860" s="1376" t="str">
        <f>VLOOKUP(H859,'BTH mủ tạp'!$C$97:$AL$175,36,0)</f>
        <v>A</v>
      </c>
      <c r="J860" s="1377"/>
      <c r="K860" s="1377"/>
      <c r="L860" s="1372"/>
    </row>
    <row r="861" spans="1:12" s="31" customFormat="1" ht="17.25" customHeight="1">
      <c r="A861" s="1375" t="s">
        <v>121</v>
      </c>
      <c r="B861" s="1629" t="s">
        <v>865</v>
      </c>
      <c r="C861" s="1378">
        <f>VLOOKUP(B859,'CNKT '!$C$101:$Z$182,3,0)</f>
        <v>0</v>
      </c>
      <c r="D861" s="1379">
        <v>25000</v>
      </c>
      <c r="E861" s="1377">
        <f t="shared" ref="E861:E866" si="99">C861*D861</f>
        <v>0</v>
      </c>
      <c r="F861" s="1436"/>
      <c r="G861" s="1375" t="s">
        <v>121</v>
      </c>
      <c r="H861" s="1629" t="s">
        <v>865</v>
      </c>
      <c r="I861" s="1378">
        <f>VLOOKUP(H859,'CNKT '!$C$101:$Z$182,3,0)</f>
        <v>0</v>
      </c>
      <c r="J861" s="1379">
        <v>25000</v>
      </c>
      <c r="K861" s="1377">
        <f t="shared" ref="K861:K866" si="100">I861*J861</f>
        <v>0</v>
      </c>
      <c r="L861" s="1372"/>
    </row>
    <row r="862" spans="1:12" s="31" customFormat="1" ht="17.25" customHeight="1">
      <c r="A862" s="1375" t="s">
        <v>628</v>
      </c>
      <c r="B862" s="1630" t="s">
        <v>1081</v>
      </c>
      <c r="C862" s="1433">
        <f>VLOOKUP(B859,'CNKT '!$C$101:$Z$182,11,0)</f>
        <v>0</v>
      </c>
      <c r="D862" s="1380">
        <f>46.1*$B$2</f>
        <v>30241.600000000002</v>
      </c>
      <c r="E862" s="1377">
        <f t="shared" si="99"/>
        <v>0</v>
      </c>
      <c r="F862" s="1436"/>
      <c r="G862" s="1375" t="s">
        <v>628</v>
      </c>
      <c r="H862" s="1630" t="s">
        <v>1081</v>
      </c>
      <c r="I862" s="1433">
        <f>VLOOKUP(H859,'CNKT '!$C$101:$Z$182,11,0)</f>
        <v>0</v>
      </c>
      <c r="J862" s="1380">
        <f>46.1*$B$2</f>
        <v>30241.600000000002</v>
      </c>
      <c r="K862" s="1377">
        <f t="shared" si="100"/>
        <v>0</v>
      </c>
      <c r="L862" s="1372"/>
    </row>
    <row r="863" spans="1:12" s="31" customFormat="1" ht="17.25" customHeight="1">
      <c r="A863" s="1375" t="s">
        <v>809</v>
      </c>
      <c r="B863" s="1630" t="s">
        <v>1082</v>
      </c>
      <c r="C863" s="1433">
        <f>VLOOKUP(B859,'CNKT '!$C$101:$Z$182,12,0)</f>
        <v>0</v>
      </c>
      <c r="D863" s="1379">
        <f>76.9*$B$2</f>
        <v>50446.400000000001</v>
      </c>
      <c r="E863" s="1377">
        <f t="shared" si="99"/>
        <v>0</v>
      </c>
      <c r="F863" s="1436"/>
      <c r="G863" s="1375" t="s">
        <v>809</v>
      </c>
      <c r="H863" s="1630" t="s">
        <v>1082</v>
      </c>
      <c r="I863" s="1433">
        <f>VLOOKUP(H859,'CNKT '!$C$101:$Z$182,12,0)</f>
        <v>0</v>
      </c>
      <c r="J863" s="1379">
        <f>76.9*$B$2</f>
        <v>50446.400000000001</v>
      </c>
      <c r="K863" s="1377">
        <f t="shared" si="100"/>
        <v>0</v>
      </c>
      <c r="L863" s="1372"/>
    </row>
    <row r="864" spans="1:12" s="31" customFormat="1" ht="17.25" customHeight="1">
      <c r="A864" s="1375" t="s">
        <v>122</v>
      </c>
      <c r="B864" s="1630" t="s">
        <v>1083</v>
      </c>
      <c r="C864" s="1433">
        <f>VLOOKUP(B859,'CNKT '!$C$101:$Z$182,8,0)</f>
        <v>0</v>
      </c>
      <c r="D864" s="1379">
        <f>IF(C860="A",6.1,IF(C860="B",5.8,IF(C860="C",5.5,IF(C860="C.",5.5,IF(C860="D",5.2)))))*$B$2</f>
        <v>3804.7999999999997</v>
      </c>
      <c r="E864" s="1377">
        <f t="shared" si="99"/>
        <v>0</v>
      </c>
      <c r="F864" s="1436"/>
      <c r="G864" s="1375" t="s">
        <v>122</v>
      </c>
      <c r="H864" s="1630" t="s">
        <v>1083</v>
      </c>
      <c r="I864" s="1433">
        <f>VLOOKUP(H859,'CNKT '!$C$101:$Z$182,8,0)</f>
        <v>0</v>
      </c>
      <c r="J864" s="1379">
        <f>IF(I860="A",6.1,IF(I860="B",5.8,IF(I860="C",5.5,IF(I860="C.",5.5,IF(I860="D",5.2)))))*$B$2</f>
        <v>4001.6</v>
      </c>
      <c r="K864" s="1377">
        <f t="shared" si="100"/>
        <v>0</v>
      </c>
      <c r="L864" s="1372"/>
    </row>
    <row r="865" spans="1:12" s="31" customFormat="1" ht="17.25" customHeight="1">
      <c r="A865" s="1375" t="s">
        <v>959</v>
      </c>
      <c r="B865" s="1630" t="s">
        <v>1084</v>
      </c>
      <c r="C865" s="1433">
        <f>VLOOKUP(B859,'CNKT '!$C$101:$Z$182,15,0)</f>
        <v>0</v>
      </c>
      <c r="D865" s="1380">
        <f>92.2*$B$2</f>
        <v>60483.200000000004</v>
      </c>
      <c r="E865" s="1377">
        <f t="shared" si="99"/>
        <v>0</v>
      </c>
      <c r="F865" s="1436"/>
      <c r="G865" s="1375" t="s">
        <v>959</v>
      </c>
      <c r="H865" s="1630" t="s">
        <v>1084</v>
      </c>
      <c r="I865" s="1433">
        <f>VLOOKUP(H859,'CNKT '!$C$101:$Z$182,15,0)</f>
        <v>0</v>
      </c>
      <c r="J865" s="1380">
        <f>92.2*$B$2</f>
        <v>60483.200000000004</v>
      </c>
      <c r="K865" s="1377">
        <f t="shared" si="100"/>
        <v>0</v>
      </c>
      <c r="L865" s="1372"/>
    </row>
    <row r="866" spans="1:12" s="31" customFormat="1" ht="17.25" customHeight="1">
      <c r="A866" s="1375" t="s">
        <v>960</v>
      </c>
      <c r="B866" s="1630" t="s">
        <v>964</v>
      </c>
      <c r="C866" s="1433">
        <f>VLOOKUP(B859,'CNKT '!$C$101:$Z$182,16,0)</f>
        <v>0</v>
      </c>
      <c r="D866" s="1379">
        <f>153.8*$B$2</f>
        <v>100892.8</v>
      </c>
      <c r="E866" s="1377">
        <f t="shared" si="99"/>
        <v>0</v>
      </c>
      <c r="F866" s="1436"/>
      <c r="G866" s="1375" t="s">
        <v>960</v>
      </c>
      <c r="H866" s="1630" t="s">
        <v>964</v>
      </c>
      <c r="I866" s="1433">
        <f>VLOOKUP(H859,'CNKT '!$C$101:$Z$182,16,0)</f>
        <v>0</v>
      </c>
      <c r="J866" s="1379">
        <f>153.8*$B$2</f>
        <v>100892.8</v>
      </c>
      <c r="K866" s="1377">
        <f t="shared" si="100"/>
        <v>0</v>
      </c>
      <c r="L866" s="1372"/>
    </row>
    <row r="867" spans="1:12" s="31" customFormat="1" ht="17.25" customHeight="1">
      <c r="A867" s="1375" t="s">
        <v>899</v>
      </c>
      <c r="B867" s="1630" t="s">
        <v>965</v>
      </c>
      <c r="C867" s="1433">
        <f>VLOOKUP(B859,'CNKT '!$C$101:$Z$188,18,0)</f>
        <v>0</v>
      </c>
      <c r="D867" s="1379">
        <v>10000</v>
      </c>
      <c r="E867" s="1377">
        <f>C867*D867</f>
        <v>0</v>
      </c>
      <c r="F867" s="1436"/>
      <c r="G867" s="1375" t="s">
        <v>899</v>
      </c>
      <c r="H867" s="1630" t="s">
        <v>965</v>
      </c>
      <c r="I867" s="1433">
        <f>VLOOKUP(H859,'CNKT '!$C$101:$Z$188,18,0)</f>
        <v>0</v>
      </c>
      <c r="J867" s="1379">
        <v>10000</v>
      </c>
      <c r="K867" s="1377">
        <f>I867*J867</f>
        <v>0</v>
      </c>
      <c r="L867" s="1372"/>
    </row>
    <row r="868" spans="1:12" s="31" customFormat="1" ht="17.25" customHeight="1">
      <c r="A868" s="1375" t="s">
        <v>899</v>
      </c>
      <c r="B868" s="1630" t="s">
        <v>965</v>
      </c>
      <c r="C868" s="1433">
        <f>VLOOKUP(B859,'CNKT '!$C$101:$Z$188,19,0)</f>
        <v>0</v>
      </c>
      <c r="D868" s="1379">
        <v>20000</v>
      </c>
      <c r="E868" s="1377">
        <f>C868*D868</f>
        <v>0</v>
      </c>
      <c r="F868" s="1436"/>
      <c r="G868" s="1375" t="s">
        <v>899</v>
      </c>
      <c r="H868" s="1630" t="s">
        <v>965</v>
      </c>
      <c r="I868" s="1433">
        <f>VLOOKUP(H859,'CNKT '!$C$101:$Z$188,19,0)</f>
        <v>0</v>
      </c>
      <c r="J868" s="1379">
        <v>20000</v>
      </c>
      <c r="K868" s="1377">
        <f>I868*J868</f>
        <v>0</v>
      </c>
      <c r="L868" s="1372"/>
    </row>
    <row r="869" spans="1:12" s="31" customFormat="1" ht="17.25" customHeight="1">
      <c r="A869" s="1375" t="s">
        <v>995</v>
      </c>
      <c r="B869" s="1630" t="s">
        <v>997</v>
      </c>
      <c r="C869" s="1433"/>
      <c r="D869" s="1379"/>
      <c r="E869" s="1377"/>
      <c r="F869" s="1436"/>
      <c r="G869" s="1375" t="s">
        <v>995</v>
      </c>
      <c r="H869" s="1630" t="s">
        <v>997</v>
      </c>
      <c r="I869" s="1433"/>
      <c r="J869" s="1379"/>
      <c r="K869" s="1377"/>
      <c r="L869" s="1372"/>
    </row>
    <row r="870" spans="1:12" s="31" customFormat="1" ht="17.25" customHeight="1">
      <c r="A870" s="1381" t="s">
        <v>123</v>
      </c>
      <c r="B870" s="1631" t="s">
        <v>1085</v>
      </c>
      <c r="C870" s="1382"/>
      <c r="D870" s="1383"/>
      <c r="E870" s="1382"/>
      <c r="F870" s="1436"/>
      <c r="G870" s="1381" t="s">
        <v>123</v>
      </c>
      <c r="H870" s="1631" t="s">
        <v>1085</v>
      </c>
      <c r="I870" s="1382"/>
      <c r="J870" s="1383"/>
      <c r="K870" s="1382"/>
      <c r="L870" s="1372"/>
    </row>
    <row r="871" spans="1:12" s="31" customFormat="1" ht="17.25" customHeight="1">
      <c r="A871" s="1384" t="s">
        <v>124</v>
      </c>
      <c r="B871" s="1632" t="s">
        <v>1086</v>
      </c>
      <c r="C871" s="1382"/>
      <c r="D871" s="1382"/>
      <c r="E871" s="1382"/>
      <c r="F871" s="1436"/>
      <c r="G871" s="1384" t="s">
        <v>124</v>
      </c>
      <c r="H871" s="1632" t="s">
        <v>1086</v>
      </c>
      <c r="I871" s="1382"/>
      <c r="J871" s="1382"/>
      <c r="K871" s="1382"/>
      <c r="L871" s="1372"/>
    </row>
    <row r="872" spans="1:12" s="31" customFormat="1" ht="17.25" customHeight="1">
      <c r="A872" s="1384" t="s">
        <v>125</v>
      </c>
      <c r="B872" s="1633" t="s">
        <v>1087</v>
      </c>
      <c r="C872" s="1382"/>
      <c r="D872" s="1382"/>
      <c r="E872" s="1377">
        <f>SUM(E871)</f>
        <v>0</v>
      </c>
      <c r="F872" s="1423"/>
      <c r="G872" s="1384" t="s">
        <v>125</v>
      </c>
      <c r="H872" s="1633" t="s">
        <v>1087</v>
      </c>
      <c r="I872" s="1382"/>
      <c r="J872" s="1382"/>
      <c r="K872" s="1377">
        <f>SUM(K871)</f>
        <v>0</v>
      </c>
      <c r="L872" s="1372"/>
    </row>
    <row r="873" spans="1:12" s="31" customFormat="1" ht="17.25" customHeight="1">
      <c r="A873" s="1386" t="s">
        <v>126</v>
      </c>
      <c r="B873" s="1634" t="s">
        <v>871</v>
      </c>
      <c r="C873" s="1387"/>
      <c r="D873" s="1387"/>
      <c r="E873" s="1387">
        <f>(E861+E862+E863+E864+E865+E866+E867+E868+E869)-E872</f>
        <v>0</v>
      </c>
      <c r="F873" s="1423"/>
      <c r="G873" s="1386" t="s">
        <v>126</v>
      </c>
      <c r="H873" s="1634" t="s">
        <v>871</v>
      </c>
      <c r="I873" s="1387"/>
      <c r="J873" s="1387"/>
      <c r="K873" s="1387">
        <f>(K861+K862+K863+K864+K865+K866+K867+K868+K869)-K872</f>
        <v>0</v>
      </c>
      <c r="L873" s="1389">
        <f>E873+K873</f>
        <v>0</v>
      </c>
    </row>
    <row r="874" spans="1:12" s="31" customFormat="1" ht="17.25" customHeight="1">
      <c r="A874" s="1424"/>
      <c r="B874" s="1425"/>
      <c r="C874" s="1426"/>
      <c r="D874" s="1426"/>
      <c r="E874" s="1426"/>
      <c r="F874" s="1427"/>
      <c r="G874" s="1622"/>
      <c r="H874" s="1622"/>
      <c r="I874" s="1622"/>
      <c r="J874" s="1622"/>
      <c r="K874" s="1428"/>
      <c r="L874" s="1372"/>
    </row>
    <row r="875" spans="1:12" s="31" customFormat="1" ht="17.25" customHeight="1">
      <c r="A875" s="2183" t="str">
        <f>A858</f>
        <v>LƯƠNG THÁNG 01/2025</v>
      </c>
      <c r="B875" s="2183"/>
      <c r="C875" s="1449"/>
      <c r="D875" s="1449"/>
      <c r="E875" s="1449">
        <f>VLOOKUP(B876,'CNKT '!$C$101:$AD$188,26,0)</f>
        <v>0</v>
      </c>
      <c r="F875" s="1427"/>
      <c r="G875" s="2183" t="str">
        <f>A875</f>
        <v>LƯƠNG THÁNG 01/2025</v>
      </c>
      <c r="H875" s="2183"/>
      <c r="I875" s="1449"/>
      <c r="J875" s="1449"/>
      <c r="K875" s="1449">
        <f>VLOOKUP(H876,'CNKT '!$C$101:$AD$188,26,0)</f>
        <v>0</v>
      </c>
      <c r="L875" s="1372"/>
    </row>
    <row r="876" spans="1:12" s="31" customFormat="1" ht="17.25" customHeight="1">
      <c r="A876" s="1391" t="s">
        <v>29</v>
      </c>
      <c r="B876" s="1626" t="str">
        <f>'CNKT '!C117</f>
        <v>T. Son Sa May</v>
      </c>
      <c r="C876" s="1376"/>
      <c r="D876" s="1626" t="s">
        <v>806</v>
      </c>
      <c r="E876" s="1626" t="s">
        <v>32</v>
      </c>
      <c r="F876" s="1436"/>
      <c r="G876" s="1391" t="s">
        <v>29</v>
      </c>
      <c r="H876" s="1626" t="str">
        <f>'CNKT '!C118</f>
        <v>N. Túc</v>
      </c>
      <c r="I876" s="1376"/>
      <c r="J876" s="1626" t="s">
        <v>806</v>
      </c>
      <c r="K876" s="1626" t="s">
        <v>32</v>
      </c>
      <c r="L876" s="1372"/>
    </row>
    <row r="877" spans="1:12" s="31" customFormat="1" ht="17.25" customHeight="1">
      <c r="A877" s="1375" t="s">
        <v>807</v>
      </c>
      <c r="B877" s="1628" t="s">
        <v>1080</v>
      </c>
      <c r="C877" s="1376" t="str">
        <f>VLOOKUP(B876,'BTH mủ tạp'!$C$97:$AL$175,36,0)</f>
        <v>A</v>
      </c>
      <c r="D877" s="1377"/>
      <c r="E877" s="1377"/>
      <c r="F877" s="1436"/>
      <c r="G877" s="1375" t="s">
        <v>807</v>
      </c>
      <c r="H877" s="1628" t="s">
        <v>1080</v>
      </c>
      <c r="I877" s="1376" t="str">
        <f>VLOOKUP(H876,'BTH mủ tạp'!$C$97:$AL$175,36,0)</f>
        <v>A</v>
      </c>
      <c r="J877" s="1377"/>
      <c r="K877" s="1377"/>
      <c r="L877" s="1372"/>
    </row>
    <row r="878" spans="1:12" s="31" customFormat="1" ht="17.25" customHeight="1">
      <c r="A878" s="1375" t="s">
        <v>121</v>
      </c>
      <c r="B878" s="1629" t="s">
        <v>865</v>
      </c>
      <c r="C878" s="1378">
        <f>VLOOKUP(B876,'CNKT '!$C$101:$Z$182,3,0)</f>
        <v>0</v>
      </c>
      <c r="D878" s="1379">
        <v>25000</v>
      </c>
      <c r="E878" s="1377">
        <f t="shared" ref="E878:E883" si="101">C878*D878</f>
        <v>0</v>
      </c>
      <c r="F878" s="1436"/>
      <c r="G878" s="1375" t="s">
        <v>121</v>
      </c>
      <c r="H878" s="1629" t="s">
        <v>865</v>
      </c>
      <c r="I878" s="1378">
        <f>VLOOKUP(H876,'CNKT '!$C$101:$Z$182,3,0)</f>
        <v>0</v>
      </c>
      <c r="J878" s="1379">
        <v>25000</v>
      </c>
      <c r="K878" s="1377">
        <f t="shared" ref="K878:K883" si="102">I878*J878</f>
        <v>0</v>
      </c>
      <c r="L878" s="1372"/>
    </row>
    <row r="879" spans="1:12" s="31" customFormat="1" ht="17.25" customHeight="1">
      <c r="A879" s="1375" t="s">
        <v>628</v>
      </c>
      <c r="B879" s="1630" t="s">
        <v>1081</v>
      </c>
      <c r="C879" s="1433">
        <f>VLOOKUP(B876,'CNKT '!$C$101:$Z$182,11,0)</f>
        <v>0</v>
      </c>
      <c r="D879" s="1380">
        <f>46.1*$B$2</f>
        <v>30241.600000000002</v>
      </c>
      <c r="E879" s="1377">
        <f t="shared" si="101"/>
        <v>0</v>
      </c>
      <c r="F879" s="1436"/>
      <c r="G879" s="1375" t="s">
        <v>628</v>
      </c>
      <c r="H879" s="1630" t="s">
        <v>1081</v>
      </c>
      <c r="I879" s="1433">
        <f>VLOOKUP(H876,'CNKT '!$C$101:$Z$182,11,0)</f>
        <v>0</v>
      </c>
      <c r="J879" s="1380">
        <f>46.1*$B$2</f>
        <v>30241.600000000002</v>
      </c>
      <c r="K879" s="1377">
        <f t="shared" si="102"/>
        <v>0</v>
      </c>
      <c r="L879" s="1372"/>
    </row>
    <row r="880" spans="1:12" s="31" customFormat="1" ht="17.25" customHeight="1">
      <c r="A880" s="1375" t="s">
        <v>809</v>
      </c>
      <c r="B880" s="1630" t="s">
        <v>1082</v>
      </c>
      <c r="C880" s="1433">
        <f>VLOOKUP(B876,'CNKT '!$C$101:$Z$182,12,0)</f>
        <v>0</v>
      </c>
      <c r="D880" s="1379">
        <f>76.9*$B$2</f>
        <v>50446.400000000001</v>
      </c>
      <c r="E880" s="1377">
        <f t="shared" si="101"/>
        <v>0</v>
      </c>
      <c r="F880" s="1436"/>
      <c r="G880" s="1375" t="s">
        <v>809</v>
      </c>
      <c r="H880" s="1630" t="s">
        <v>1082</v>
      </c>
      <c r="I880" s="1433">
        <f>VLOOKUP(H876,'CNKT '!$C$101:$Z$182,12,0)</f>
        <v>0</v>
      </c>
      <c r="J880" s="1379">
        <f>76.9*$B$2</f>
        <v>50446.400000000001</v>
      </c>
      <c r="K880" s="1377">
        <f t="shared" si="102"/>
        <v>0</v>
      </c>
      <c r="L880" s="1372"/>
    </row>
    <row r="881" spans="1:12" s="31" customFormat="1" ht="17.25" customHeight="1">
      <c r="A881" s="1375" t="s">
        <v>122</v>
      </c>
      <c r="B881" s="1630" t="s">
        <v>1083</v>
      </c>
      <c r="C881" s="1433">
        <f>VLOOKUP(B876,'CNKT '!$C$101:$Z$182,8,0)</f>
        <v>0</v>
      </c>
      <c r="D881" s="1379">
        <f>IF(C877="A",6.1,IF(C877="B",5.8,IF(C877="C",5.5,IF(C877="C.",5.5,IF(C877="D",5.2)))))*$B$2</f>
        <v>4001.6</v>
      </c>
      <c r="E881" s="1377">
        <f t="shared" si="101"/>
        <v>0</v>
      </c>
      <c r="F881" s="1436"/>
      <c r="G881" s="1375" t="s">
        <v>122</v>
      </c>
      <c r="H881" s="1630" t="s">
        <v>1083</v>
      </c>
      <c r="I881" s="1433">
        <f>VLOOKUP(H876,'CNKT '!$C$101:$Z$182,8,0)</f>
        <v>0</v>
      </c>
      <c r="J881" s="1379">
        <f>IF(I877="A",6.1,IF(I877="B",5.8,IF(I877="C",5.5,IF(I877="C.",5.5,IF(I877="D",5.2)))))*$B$2</f>
        <v>4001.6</v>
      </c>
      <c r="K881" s="1377">
        <f t="shared" si="102"/>
        <v>0</v>
      </c>
      <c r="L881" s="1372"/>
    </row>
    <row r="882" spans="1:12" s="31" customFormat="1" ht="17.25" customHeight="1">
      <c r="A882" s="1375" t="s">
        <v>959</v>
      </c>
      <c r="B882" s="1630" t="s">
        <v>1084</v>
      </c>
      <c r="C882" s="1433">
        <f>VLOOKUP(B876,'CNKT '!$C$101:$Z$182,15,0)</f>
        <v>0</v>
      </c>
      <c r="D882" s="1380">
        <f>92.2*$B$2</f>
        <v>60483.200000000004</v>
      </c>
      <c r="E882" s="1377">
        <f t="shared" si="101"/>
        <v>0</v>
      </c>
      <c r="F882" s="1436"/>
      <c r="G882" s="1375" t="s">
        <v>959</v>
      </c>
      <c r="H882" s="1630" t="s">
        <v>1084</v>
      </c>
      <c r="I882" s="1433">
        <f>VLOOKUP(H876,'CNKT '!$C$101:$Z$182,15,0)</f>
        <v>0</v>
      </c>
      <c r="J882" s="1380">
        <f>92.2*$B$2</f>
        <v>60483.200000000004</v>
      </c>
      <c r="K882" s="1377">
        <f t="shared" si="102"/>
        <v>0</v>
      </c>
      <c r="L882" s="1372"/>
    </row>
    <row r="883" spans="1:12" s="31" customFormat="1" ht="17.25" customHeight="1">
      <c r="A883" s="1375" t="s">
        <v>960</v>
      </c>
      <c r="B883" s="1630" t="s">
        <v>964</v>
      </c>
      <c r="C883" s="1433">
        <f>VLOOKUP(B876,'CNKT '!$C$101:$Z$182,16,0)</f>
        <v>0</v>
      </c>
      <c r="D883" s="1379">
        <f>153.8*$B$2</f>
        <v>100892.8</v>
      </c>
      <c r="E883" s="1377">
        <f t="shared" si="101"/>
        <v>0</v>
      </c>
      <c r="F883" s="1436"/>
      <c r="G883" s="1375" t="s">
        <v>960</v>
      </c>
      <c r="H883" s="1630" t="s">
        <v>964</v>
      </c>
      <c r="I883" s="1433">
        <f>VLOOKUP(H876,'CNKT '!$C$101:$Z$182,16,0)</f>
        <v>0</v>
      </c>
      <c r="J883" s="1379">
        <f>153.8*$B$2</f>
        <v>100892.8</v>
      </c>
      <c r="K883" s="1377">
        <f t="shared" si="102"/>
        <v>0</v>
      </c>
      <c r="L883" s="1372"/>
    </row>
    <row r="884" spans="1:12" s="31" customFormat="1" ht="17.25" customHeight="1">
      <c r="A884" s="1375" t="s">
        <v>899</v>
      </c>
      <c r="B884" s="1630" t="s">
        <v>965</v>
      </c>
      <c r="C884" s="1433">
        <f>VLOOKUP(B876,'CNKT '!$C$101:$Z$188,18,0)</f>
        <v>0</v>
      </c>
      <c r="D884" s="1379">
        <v>10000</v>
      </c>
      <c r="E884" s="1377">
        <f>C884*D884</f>
        <v>0</v>
      </c>
      <c r="F884" s="1436"/>
      <c r="G884" s="1375" t="s">
        <v>899</v>
      </c>
      <c r="H884" s="1630" t="s">
        <v>965</v>
      </c>
      <c r="I884" s="1433">
        <f>VLOOKUP(H876,'CNKT '!$C$101:$Z$188,18,0)</f>
        <v>0</v>
      </c>
      <c r="J884" s="1379">
        <v>10000</v>
      </c>
      <c r="K884" s="1377">
        <f>I884*J884</f>
        <v>0</v>
      </c>
      <c r="L884" s="1372"/>
    </row>
    <row r="885" spans="1:12" s="31" customFormat="1" ht="17.25" customHeight="1">
      <c r="A885" s="1375" t="s">
        <v>899</v>
      </c>
      <c r="B885" s="1630" t="s">
        <v>965</v>
      </c>
      <c r="C885" s="1433">
        <f>VLOOKUP(B876,'CNKT '!$C$101:$Z$188,19,0)</f>
        <v>0</v>
      </c>
      <c r="D885" s="1379">
        <v>20000</v>
      </c>
      <c r="E885" s="1377">
        <f>C885*D885</f>
        <v>0</v>
      </c>
      <c r="F885" s="1436"/>
      <c r="G885" s="1375" t="s">
        <v>899</v>
      </c>
      <c r="H885" s="1630" t="s">
        <v>965</v>
      </c>
      <c r="I885" s="1433">
        <f>VLOOKUP(H876,'CNKT '!$C$101:$Z$188,19,0)</f>
        <v>0</v>
      </c>
      <c r="J885" s="1379">
        <v>20000</v>
      </c>
      <c r="K885" s="1377">
        <f>I885*J885</f>
        <v>0</v>
      </c>
      <c r="L885" s="1372"/>
    </row>
    <row r="886" spans="1:12" s="31" customFormat="1" ht="17.25" customHeight="1">
      <c r="A886" s="1375" t="s">
        <v>995</v>
      </c>
      <c r="B886" s="1630" t="s">
        <v>997</v>
      </c>
      <c r="C886" s="1433"/>
      <c r="D886" s="1379"/>
      <c r="E886" s="1377"/>
      <c r="F886" s="1436"/>
      <c r="G886" s="1375" t="s">
        <v>995</v>
      </c>
      <c r="H886" s="1630" t="s">
        <v>997</v>
      </c>
      <c r="I886" s="1433"/>
      <c r="J886" s="1379"/>
      <c r="K886" s="1377"/>
      <c r="L886" s="1372"/>
    </row>
    <row r="887" spans="1:12" s="31" customFormat="1" ht="17.25" customHeight="1">
      <c r="A887" s="1381" t="s">
        <v>123</v>
      </c>
      <c r="B887" s="1631" t="s">
        <v>1085</v>
      </c>
      <c r="C887" s="1382"/>
      <c r="D887" s="1383"/>
      <c r="E887" s="1382"/>
      <c r="F887" s="1436"/>
      <c r="G887" s="1381" t="s">
        <v>123</v>
      </c>
      <c r="H887" s="1631" t="s">
        <v>1085</v>
      </c>
      <c r="I887" s="1382"/>
      <c r="J887" s="1383"/>
      <c r="K887" s="1382"/>
      <c r="L887" s="1372"/>
    </row>
    <row r="888" spans="1:12" s="31" customFormat="1" ht="17.25" customHeight="1">
      <c r="A888" s="1384" t="s">
        <v>124</v>
      </c>
      <c r="B888" s="1632" t="s">
        <v>1086</v>
      </c>
      <c r="C888" s="1382"/>
      <c r="D888" s="1382"/>
      <c r="E888" s="1382"/>
      <c r="F888" s="1436"/>
      <c r="G888" s="1384" t="s">
        <v>124</v>
      </c>
      <c r="H888" s="1632" t="s">
        <v>1086</v>
      </c>
      <c r="I888" s="1382"/>
      <c r="J888" s="1382"/>
      <c r="K888" s="1382"/>
      <c r="L888" s="1372"/>
    </row>
    <row r="889" spans="1:12" s="31" customFormat="1" ht="17.25" customHeight="1">
      <c r="A889" s="1384" t="s">
        <v>125</v>
      </c>
      <c r="B889" s="1633" t="s">
        <v>1087</v>
      </c>
      <c r="C889" s="1382"/>
      <c r="D889" s="1382"/>
      <c r="E889" s="1377">
        <f>SUM(E888)</f>
        <v>0</v>
      </c>
      <c r="F889" s="1433"/>
      <c r="G889" s="1384" t="s">
        <v>125</v>
      </c>
      <c r="H889" s="1633" t="s">
        <v>1087</v>
      </c>
      <c r="I889" s="1382"/>
      <c r="J889" s="1382"/>
      <c r="K889" s="1377">
        <f>SUM(K888)</f>
        <v>0</v>
      </c>
      <c r="L889" s="1372"/>
    </row>
    <row r="890" spans="1:12" s="31" customFormat="1" ht="17.25" customHeight="1">
      <c r="A890" s="1386" t="s">
        <v>126</v>
      </c>
      <c r="B890" s="1634" t="s">
        <v>871</v>
      </c>
      <c r="C890" s="1387"/>
      <c r="D890" s="1387"/>
      <c r="E890" s="1387">
        <f>(E878+E879+E880+E881+E882+E883+E884+E885+E886)-E889</f>
        <v>0</v>
      </c>
      <c r="F890" s="1433"/>
      <c r="G890" s="1386" t="s">
        <v>126</v>
      </c>
      <c r="H890" s="1634" t="s">
        <v>871</v>
      </c>
      <c r="I890" s="1387"/>
      <c r="J890" s="1387"/>
      <c r="K890" s="1387">
        <f>(K878+K879+K880+K881+K882+K883+K884+K885+K886)-K889</f>
        <v>0</v>
      </c>
      <c r="L890" s="1389">
        <f>E890+K890</f>
        <v>0</v>
      </c>
    </row>
    <row r="891" spans="1:12" s="31" customFormat="1" ht="6.75" customHeight="1">
      <c r="A891" s="1424"/>
      <c r="B891" s="1425"/>
      <c r="C891" s="1426"/>
      <c r="D891" s="1426"/>
      <c r="E891" s="1426"/>
      <c r="F891" s="1427"/>
      <c r="G891" s="1622"/>
      <c r="H891" s="1622"/>
      <c r="I891" s="1622"/>
      <c r="J891" s="1622"/>
      <c r="K891" s="1428"/>
      <c r="L891" s="1372"/>
    </row>
    <row r="892" spans="1:12" s="31" customFormat="1" ht="17.25" customHeight="1">
      <c r="A892" s="2183" t="str">
        <f>A875</f>
        <v>LƯƠNG THÁNG 01/2025</v>
      </c>
      <c r="B892" s="2183"/>
      <c r="C892" s="1449"/>
      <c r="D892" s="1449"/>
      <c r="E892" s="1449">
        <f>VLOOKUP(B893,'CNKT '!$C$101:$AD$188,26,0)</f>
        <v>0</v>
      </c>
      <c r="F892" s="1427"/>
      <c r="G892" s="2183" t="str">
        <f>A892</f>
        <v>LƯƠNG THÁNG 01/2025</v>
      </c>
      <c r="H892" s="2183"/>
      <c r="I892" s="1449"/>
      <c r="J892" s="1449"/>
      <c r="K892" s="1449">
        <f>VLOOKUP(H893,'CNKT '!$C$101:$AD$188,26,0)</f>
        <v>0</v>
      </c>
      <c r="L892" s="1372"/>
    </row>
    <row r="893" spans="1:12" s="31" customFormat="1" ht="17.25" customHeight="1">
      <c r="A893" s="1391" t="s">
        <v>29</v>
      </c>
      <c r="B893" s="1626" t="str">
        <f>'CNKT '!C119</f>
        <v>T. Say</v>
      </c>
      <c r="C893" s="1376"/>
      <c r="D893" s="1626" t="s">
        <v>806</v>
      </c>
      <c r="E893" s="1626" t="s">
        <v>32</v>
      </c>
      <c r="F893" s="1436"/>
      <c r="G893" s="1391" t="s">
        <v>29</v>
      </c>
      <c r="H893" s="1626" t="str">
        <f>'CNKT '!C120</f>
        <v>T. Pha Đi</v>
      </c>
      <c r="I893" s="1376"/>
      <c r="J893" s="1626" t="s">
        <v>806</v>
      </c>
      <c r="K893" s="1626" t="s">
        <v>32</v>
      </c>
      <c r="L893" s="1372"/>
    </row>
    <row r="894" spans="1:12" s="31" customFormat="1" ht="17.25" customHeight="1">
      <c r="A894" s="1375" t="s">
        <v>807</v>
      </c>
      <c r="B894" s="1628" t="s">
        <v>1080</v>
      </c>
      <c r="C894" s="1376" t="str">
        <f>VLOOKUP(B893,'BTH mủ tạp'!$C$97:$AL$175,36,0)</f>
        <v>B</v>
      </c>
      <c r="D894" s="1377"/>
      <c r="E894" s="1377"/>
      <c r="F894" s="1436"/>
      <c r="G894" s="1375" t="s">
        <v>807</v>
      </c>
      <c r="H894" s="1628" t="s">
        <v>1080</v>
      </c>
      <c r="I894" s="1376" t="str">
        <f>VLOOKUP(H893,'BTH mủ tạp'!$C$97:$AL$175,36,0)</f>
        <v>A</v>
      </c>
      <c r="J894" s="1377"/>
      <c r="K894" s="1377"/>
      <c r="L894" s="1372"/>
    </row>
    <row r="895" spans="1:12" s="31" customFormat="1" ht="17.25" customHeight="1">
      <c r="A895" s="1375" t="s">
        <v>121</v>
      </c>
      <c r="B895" s="1629" t="s">
        <v>865</v>
      </c>
      <c r="C895" s="1378">
        <f>VLOOKUP(B893,'CNKT '!$C$101:$Z$182,3,0)</f>
        <v>0</v>
      </c>
      <c r="D895" s="1379">
        <v>25000</v>
      </c>
      <c r="E895" s="1377">
        <f t="shared" ref="E895:E900" si="103">C895*D895</f>
        <v>0</v>
      </c>
      <c r="F895" s="1436"/>
      <c r="G895" s="1375" t="s">
        <v>121</v>
      </c>
      <c r="H895" s="1629" t="s">
        <v>865</v>
      </c>
      <c r="I895" s="1378">
        <f>VLOOKUP(H893,'CNKT '!$C$101:$Z$182,3,0)</f>
        <v>0</v>
      </c>
      <c r="J895" s="1379">
        <v>25000</v>
      </c>
      <c r="K895" s="1377">
        <f t="shared" ref="K895:K900" si="104">I895*J895</f>
        <v>0</v>
      </c>
      <c r="L895" s="1372"/>
    </row>
    <row r="896" spans="1:12" s="31" customFormat="1" ht="17.25" customHeight="1">
      <c r="A896" s="1375" t="s">
        <v>628</v>
      </c>
      <c r="B896" s="1630" t="s">
        <v>1081</v>
      </c>
      <c r="C896" s="1433">
        <f>VLOOKUP(B893,'CNKT '!$C$101:$Z$182,11,0)</f>
        <v>0</v>
      </c>
      <c r="D896" s="1380">
        <f>46.1*$B$2</f>
        <v>30241.600000000002</v>
      </c>
      <c r="E896" s="1377">
        <f t="shared" si="103"/>
        <v>0</v>
      </c>
      <c r="F896" s="1436"/>
      <c r="G896" s="1375" t="s">
        <v>628</v>
      </c>
      <c r="H896" s="1630" t="s">
        <v>1081</v>
      </c>
      <c r="I896" s="1433">
        <f>VLOOKUP(H893,'CNKT '!$C$101:$Z$182,11,0)</f>
        <v>0</v>
      </c>
      <c r="J896" s="1380">
        <f>46.1*$B$2</f>
        <v>30241.600000000002</v>
      </c>
      <c r="K896" s="1377">
        <f t="shared" si="104"/>
        <v>0</v>
      </c>
      <c r="L896" s="1372"/>
    </row>
    <row r="897" spans="1:12" s="31" customFormat="1" ht="17.25" customHeight="1">
      <c r="A897" s="1375" t="s">
        <v>809</v>
      </c>
      <c r="B897" s="1630" t="s">
        <v>1082</v>
      </c>
      <c r="C897" s="1433">
        <f>VLOOKUP(B893,'CNKT '!$C$101:$Z$182,12,0)</f>
        <v>0</v>
      </c>
      <c r="D897" s="1379">
        <f>76.9*$B$2</f>
        <v>50446.400000000001</v>
      </c>
      <c r="E897" s="1377">
        <f t="shared" si="103"/>
        <v>0</v>
      </c>
      <c r="F897" s="1436"/>
      <c r="G897" s="1375" t="s">
        <v>809</v>
      </c>
      <c r="H897" s="1630" t="s">
        <v>1082</v>
      </c>
      <c r="I897" s="1433">
        <f>VLOOKUP(H893,'CNKT '!$C$101:$Z$182,12,0)</f>
        <v>0</v>
      </c>
      <c r="J897" s="1379">
        <f>76.9*$B$2</f>
        <v>50446.400000000001</v>
      </c>
      <c r="K897" s="1377">
        <f t="shared" si="104"/>
        <v>0</v>
      </c>
      <c r="L897" s="1372"/>
    </row>
    <row r="898" spans="1:12" s="31" customFormat="1" ht="17.25" customHeight="1">
      <c r="A898" s="1375" t="s">
        <v>122</v>
      </c>
      <c r="B898" s="1630" t="s">
        <v>1083</v>
      </c>
      <c r="C898" s="1433">
        <f>VLOOKUP(B893,'CNKT '!$C$101:$Z$182,8,0)</f>
        <v>0</v>
      </c>
      <c r="D898" s="1379">
        <f>IF(C894="A",6.1,IF(C894="B",5.8,IF(C894="C",5.5,IF(C894="C.",5.5,IF(C894="D",5.2)))))*$B$2</f>
        <v>3804.7999999999997</v>
      </c>
      <c r="E898" s="1377">
        <f t="shared" si="103"/>
        <v>0</v>
      </c>
      <c r="F898" s="1436"/>
      <c r="G898" s="1375" t="s">
        <v>122</v>
      </c>
      <c r="H898" s="1630" t="s">
        <v>1083</v>
      </c>
      <c r="I898" s="1433">
        <f>VLOOKUP(H893,'CNKT '!$C$101:$Z$182,8,0)</f>
        <v>0</v>
      </c>
      <c r="J898" s="1379">
        <f>IF(I894="A",6.1,IF(I894="B",5.8,IF(I894="C",5.5,IF(I894="C.",5.5,IF(I894="D",5.2)))))*$B$2</f>
        <v>4001.6</v>
      </c>
      <c r="K898" s="1377">
        <f t="shared" si="104"/>
        <v>0</v>
      </c>
      <c r="L898" s="1372"/>
    </row>
    <row r="899" spans="1:12" s="31" customFormat="1" ht="17.25" customHeight="1">
      <c r="A899" s="1375" t="s">
        <v>959</v>
      </c>
      <c r="B899" s="1630" t="s">
        <v>1084</v>
      </c>
      <c r="C899" s="1433">
        <f>VLOOKUP(B893,'CNKT '!$C$101:$Z$182,15,0)</f>
        <v>0</v>
      </c>
      <c r="D899" s="1380">
        <f>92.2*$B$2</f>
        <v>60483.200000000004</v>
      </c>
      <c r="E899" s="1377">
        <f t="shared" si="103"/>
        <v>0</v>
      </c>
      <c r="F899" s="1436"/>
      <c r="G899" s="1375" t="s">
        <v>959</v>
      </c>
      <c r="H899" s="1630" t="s">
        <v>1084</v>
      </c>
      <c r="I899" s="1433">
        <f>VLOOKUP(H893,'CNKT '!$C$101:$Z$182,15,0)</f>
        <v>0</v>
      </c>
      <c r="J899" s="1380">
        <f>92.2*$B$2</f>
        <v>60483.200000000004</v>
      </c>
      <c r="K899" s="1377">
        <f t="shared" si="104"/>
        <v>0</v>
      </c>
      <c r="L899" s="1372"/>
    </row>
    <row r="900" spans="1:12" s="31" customFormat="1" ht="17.25" customHeight="1">
      <c r="A900" s="1375" t="s">
        <v>960</v>
      </c>
      <c r="B900" s="1630" t="s">
        <v>964</v>
      </c>
      <c r="C900" s="1433">
        <f>VLOOKUP(B893,'CNKT '!$C$101:$Z$182,16,0)</f>
        <v>0</v>
      </c>
      <c r="D900" s="1379">
        <f>153.8*$B$2</f>
        <v>100892.8</v>
      </c>
      <c r="E900" s="1377">
        <f t="shared" si="103"/>
        <v>0</v>
      </c>
      <c r="F900" s="1436"/>
      <c r="G900" s="1375" t="s">
        <v>960</v>
      </c>
      <c r="H900" s="1630" t="s">
        <v>964</v>
      </c>
      <c r="I900" s="1433">
        <f>VLOOKUP(H893,'CNKT '!$C$101:$Z$182,16,0)</f>
        <v>0</v>
      </c>
      <c r="J900" s="1379">
        <f>153.8*$B$2</f>
        <v>100892.8</v>
      </c>
      <c r="K900" s="1377">
        <f t="shared" si="104"/>
        <v>0</v>
      </c>
      <c r="L900" s="1372"/>
    </row>
    <row r="901" spans="1:12" s="31" customFormat="1" ht="17.25" customHeight="1">
      <c r="A901" s="1375" t="s">
        <v>899</v>
      </c>
      <c r="B901" s="1630" t="s">
        <v>965</v>
      </c>
      <c r="C901" s="1433">
        <f>VLOOKUP(B893,'CNKT '!$C$101:$Z$188,18,0)</f>
        <v>0</v>
      </c>
      <c r="D901" s="1379">
        <v>10000</v>
      </c>
      <c r="E901" s="1377">
        <f>C901*D901</f>
        <v>0</v>
      </c>
      <c r="F901" s="1436"/>
      <c r="G901" s="1375" t="s">
        <v>899</v>
      </c>
      <c r="H901" s="1630" t="s">
        <v>965</v>
      </c>
      <c r="I901" s="1433">
        <f>VLOOKUP(H893,'CNKT '!$C$101:$Z$188,18,0)</f>
        <v>0</v>
      </c>
      <c r="J901" s="1379">
        <v>10000</v>
      </c>
      <c r="K901" s="1377">
        <f>I901*J901</f>
        <v>0</v>
      </c>
      <c r="L901" s="1372"/>
    </row>
    <row r="902" spans="1:12" s="31" customFormat="1" ht="17.25" customHeight="1">
      <c r="A902" s="1375" t="s">
        <v>899</v>
      </c>
      <c r="B902" s="1630" t="s">
        <v>965</v>
      </c>
      <c r="C902" s="1433">
        <f>VLOOKUP(B893,'CNKT '!$C$101:$Z$188,19,0)</f>
        <v>0</v>
      </c>
      <c r="D902" s="1379">
        <v>20000</v>
      </c>
      <c r="E902" s="1377">
        <f>C902*D902</f>
        <v>0</v>
      </c>
      <c r="F902" s="1436"/>
      <c r="G902" s="1375" t="s">
        <v>899</v>
      </c>
      <c r="H902" s="1630" t="s">
        <v>965</v>
      </c>
      <c r="I902" s="1433">
        <f>VLOOKUP(H893,'CNKT '!$C$101:$Z$188,19,0)</f>
        <v>0</v>
      </c>
      <c r="J902" s="1379">
        <v>20000</v>
      </c>
      <c r="K902" s="1377">
        <f>I902*J902</f>
        <v>0</v>
      </c>
      <c r="L902" s="1372"/>
    </row>
    <row r="903" spans="1:12" s="31" customFormat="1" ht="17.25" customHeight="1">
      <c r="A903" s="1375" t="s">
        <v>995</v>
      </c>
      <c r="B903" s="1630" t="s">
        <v>997</v>
      </c>
      <c r="C903" s="1433"/>
      <c r="D903" s="1379"/>
      <c r="E903" s="1377"/>
      <c r="F903" s="1436"/>
      <c r="G903" s="1375" t="s">
        <v>995</v>
      </c>
      <c r="H903" s="1630" t="s">
        <v>997</v>
      </c>
      <c r="I903" s="1433"/>
      <c r="J903" s="1379"/>
      <c r="K903" s="1377"/>
      <c r="L903" s="1372"/>
    </row>
    <row r="904" spans="1:12" s="31" customFormat="1" ht="17.25" customHeight="1">
      <c r="A904" s="1381" t="s">
        <v>123</v>
      </c>
      <c r="B904" s="1631" t="s">
        <v>1085</v>
      </c>
      <c r="C904" s="1382"/>
      <c r="D904" s="1383"/>
      <c r="E904" s="1382"/>
      <c r="F904" s="1436"/>
      <c r="G904" s="1381" t="s">
        <v>123</v>
      </c>
      <c r="H904" s="1631" t="s">
        <v>1085</v>
      </c>
      <c r="I904" s="1382"/>
      <c r="J904" s="1383"/>
      <c r="K904" s="1382"/>
      <c r="L904" s="1372"/>
    </row>
    <row r="905" spans="1:12" s="31" customFormat="1" ht="17.25" customHeight="1">
      <c r="A905" s="1384" t="s">
        <v>124</v>
      </c>
      <c r="B905" s="1632" t="s">
        <v>1086</v>
      </c>
      <c r="C905" s="1382"/>
      <c r="D905" s="1382"/>
      <c r="E905" s="1382"/>
      <c r="F905" s="1436"/>
      <c r="G905" s="1384" t="s">
        <v>124</v>
      </c>
      <c r="H905" s="1632" t="s">
        <v>1086</v>
      </c>
      <c r="I905" s="1382"/>
      <c r="J905" s="1382"/>
      <c r="K905" s="1382"/>
      <c r="L905" s="1372"/>
    </row>
    <row r="906" spans="1:12" s="31" customFormat="1" ht="17.25" customHeight="1">
      <c r="A906" s="1384" t="s">
        <v>125</v>
      </c>
      <c r="B906" s="1633" t="s">
        <v>1087</v>
      </c>
      <c r="C906" s="1382"/>
      <c r="D906" s="1382"/>
      <c r="E906" s="1377">
        <f>SUM(E905)</f>
        <v>0</v>
      </c>
      <c r="F906" s="1432"/>
      <c r="G906" s="1384" t="s">
        <v>125</v>
      </c>
      <c r="H906" s="1633" t="s">
        <v>1087</v>
      </c>
      <c r="I906" s="1382"/>
      <c r="J906" s="1382"/>
      <c r="K906" s="1377">
        <f>SUM(K905)</f>
        <v>0</v>
      </c>
      <c r="L906" s="1372"/>
    </row>
    <row r="907" spans="1:12" s="31" customFormat="1" ht="17.25" customHeight="1">
      <c r="A907" s="1386" t="s">
        <v>126</v>
      </c>
      <c r="B907" s="1634" t="s">
        <v>871</v>
      </c>
      <c r="C907" s="1387"/>
      <c r="D907" s="1387"/>
      <c r="E907" s="1387">
        <f>(E895+E896+E897+E898+E899+E900+E901+E902+E903)-E906</f>
        <v>0</v>
      </c>
      <c r="F907" s="1432"/>
      <c r="G907" s="1386" t="s">
        <v>126</v>
      </c>
      <c r="H907" s="1634" t="s">
        <v>871</v>
      </c>
      <c r="I907" s="1387"/>
      <c r="J907" s="1387"/>
      <c r="K907" s="1387">
        <f>(K895+K896+K897+K898+K899+K900+K901+K902+K903)-K906</f>
        <v>0</v>
      </c>
      <c r="L907" s="1389">
        <f>K907+E907</f>
        <v>0</v>
      </c>
    </row>
    <row r="908" spans="1:12" s="31" customFormat="1" ht="9" customHeight="1">
      <c r="A908" s="1424"/>
      <c r="B908" s="1425"/>
      <c r="C908" s="1426"/>
      <c r="D908" s="1426"/>
      <c r="E908" s="1426"/>
      <c r="F908" s="1427"/>
      <c r="G908" s="1622"/>
      <c r="H908" s="1622"/>
      <c r="I908" s="1622"/>
      <c r="J908" s="1622"/>
      <c r="K908" s="1428"/>
      <c r="L908" s="1372"/>
    </row>
    <row r="909" spans="1:12" s="31" customFormat="1" ht="17.25" customHeight="1">
      <c r="A909" s="1449" t="str">
        <f>A892</f>
        <v>LƯƠNG THÁNG 01/2025</v>
      </c>
      <c r="B909" s="1449"/>
      <c r="C909" s="1449"/>
      <c r="D909" s="1449"/>
      <c r="E909" s="1449">
        <f>VLOOKUP(B910,'CNKT '!$C$101:$AD$188,26,0)</f>
        <v>0</v>
      </c>
      <c r="F909" s="1427"/>
      <c r="G909" s="1449" t="str">
        <f>A909</f>
        <v>LƯƠNG THÁNG 01/2025</v>
      </c>
      <c r="H909" s="1449"/>
      <c r="I909" s="1449"/>
      <c r="J909" s="1449"/>
      <c r="K909" s="1449">
        <f>VLOOKUP(H910,'CNKT '!$C$101:$AD$188,26,0)</f>
        <v>0</v>
      </c>
      <c r="L909" s="1372"/>
    </row>
    <row r="910" spans="1:12" s="31" customFormat="1" ht="17.25" customHeight="1">
      <c r="A910" s="1391" t="s">
        <v>29</v>
      </c>
      <c r="B910" s="1626" t="str">
        <f>'CNKT '!C121</f>
        <v>T. Un</v>
      </c>
      <c r="C910" s="1376"/>
      <c r="D910" s="1626" t="s">
        <v>806</v>
      </c>
      <c r="E910" s="1626" t="s">
        <v>32</v>
      </c>
      <c r="F910" s="1436"/>
      <c r="G910" s="1391" t="s">
        <v>29</v>
      </c>
      <c r="H910" s="1626" t="str">
        <f>'CNKT '!C122</f>
        <v>T. Ôn</v>
      </c>
      <c r="I910" s="1376"/>
      <c r="J910" s="1626" t="s">
        <v>806</v>
      </c>
      <c r="K910" s="1626" t="s">
        <v>32</v>
      </c>
      <c r="L910" s="1372"/>
    </row>
    <row r="911" spans="1:12" s="31" customFormat="1" ht="17.25" customHeight="1">
      <c r="A911" s="1375" t="s">
        <v>807</v>
      </c>
      <c r="B911" s="1628" t="s">
        <v>1080</v>
      </c>
      <c r="C911" s="1376" t="str">
        <f>VLOOKUP(B910,'BTH mủ tạp'!$C$97:$AL$175,36,0)</f>
        <v>B</v>
      </c>
      <c r="D911" s="1377"/>
      <c r="E911" s="1377"/>
      <c r="F911" s="1436"/>
      <c r="G911" s="1375" t="s">
        <v>807</v>
      </c>
      <c r="H911" s="1628" t="s">
        <v>1080</v>
      </c>
      <c r="I911" s="1376" t="str">
        <f>VLOOKUP(H910,'BTH mủ tạp'!$C$97:$AL$175,36,0)</f>
        <v>A</v>
      </c>
      <c r="J911" s="1377"/>
      <c r="K911" s="1377"/>
      <c r="L911" s="1372"/>
    </row>
    <row r="912" spans="1:12" s="31" customFormat="1" ht="17.25" customHeight="1">
      <c r="A912" s="1375" t="s">
        <v>121</v>
      </c>
      <c r="B912" s="1629" t="s">
        <v>865</v>
      </c>
      <c r="C912" s="1378">
        <f>VLOOKUP(B910,'CNKT '!$C$101:$Z$182,3,0)</f>
        <v>0</v>
      </c>
      <c r="D912" s="1379">
        <v>25000</v>
      </c>
      <c r="E912" s="1377">
        <f t="shared" ref="E912:E917" si="105">C912*D912</f>
        <v>0</v>
      </c>
      <c r="F912" s="1436"/>
      <c r="G912" s="1375" t="s">
        <v>121</v>
      </c>
      <c r="H912" s="1629" t="s">
        <v>865</v>
      </c>
      <c r="I912" s="1378">
        <f>VLOOKUP(H910,'CNKT '!$C$101:$Z$182,3,0)</f>
        <v>0</v>
      </c>
      <c r="J912" s="1379">
        <v>25000</v>
      </c>
      <c r="K912" s="1377">
        <f t="shared" ref="K912:K917" si="106">I912*J912</f>
        <v>0</v>
      </c>
      <c r="L912" s="1372"/>
    </row>
    <row r="913" spans="1:12" s="31" customFormat="1" ht="17.25" customHeight="1">
      <c r="A913" s="1375" t="s">
        <v>628</v>
      </c>
      <c r="B913" s="1630" t="s">
        <v>1081</v>
      </c>
      <c r="C913" s="1433">
        <f>VLOOKUP(B910,'CNKT '!$C$101:$Z$182,11,0)</f>
        <v>0</v>
      </c>
      <c r="D913" s="1380">
        <f>46.1*$B$2</f>
        <v>30241.600000000002</v>
      </c>
      <c r="E913" s="1377">
        <f t="shared" si="105"/>
        <v>0</v>
      </c>
      <c r="F913" s="1436"/>
      <c r="G913" s="1375" t="s">
        <v>628</v>
      </c>
      <c r="H913" s="1630" t="s">
        <v>1081</v>
      </c>
      <c r="I913" s="1433">
        <f>VLOOKUP(H910,'CNKT '!$C$101:$Z$182,11,0)</f>
        <v>0</v>
      </c>
      <c r="J913" s="1380">
        <f>46.1*$B$2</f>
        <v>30241.600000000002</v>
      </c>
      <c r="K913" s="1377">
        <f t="shared" si="106"/>
        <v>0</v>
      </c>
      <c r="L913" s="1372"/>
    </row>
    <row r="914" spans="1:12" s="31" customFormat="1" ht="17.25" customHeight="1">
      <c r="A914" s="1375" t="s">
        <v>809</v>
      </c>
      <c r="B914" s="1630" t="s">
        <v>1082</v>
      </c>
      <c r="C914" s="1433">
        <f>VLOOKUP(B910,'CNKT '!$C$101:$Z$182,12,0)</f>
        <v>0</v>
      </c>
      <c r="D914" s="1379">
        <f>76.9*$B$2</f>
        <v>50446.400000000001</v>
      </c>
      <c r="E914" s="1377">
        <f t="shared" si="105"/>
        <v>0</v>
      </c>
      <c r="F914" s="1436"/>
      <c r="G914" s="1375" t="s">
        <v>809</v>
      </c>
      <c r="H914" s="1630" t="s">
        <v>1082</v>
      </c>
      <c r="I914" s="1433">
        <f>VLOOKUP(H910,'CNKT '!$C$101:$Z$182,12,0)</f>
        <v>0</v>
      </c>
      <c r="J914" s="1379">
        <f>76.9*$B$2</f>
        <v>50446.400000000001</v>
      </c>
      <c r="K914" s="1377">
        <f t="shared" si="106"/>
        <v>0</v>
      </c>
      <c r="L914" s="1372"/>
    </row>
    <row r="915" spans="1:12" s="31" customFormat="1" ht="17.25" customHeight="1">
      <c r="A915" s="1375" t="s">
        <v>122</v>
      </c>
      <c r="B915" s="1630" t="s">
        <v>1083</v>
      </c>
      <c r="C915" s="1433">
        <f>VLOOKUP(B910,'CNKT '!$C$101:$Z$182,8,0)</f>
        <v>0</v>
      </c>
      <c r="D915" s="1379">
        <f>IF(C911="A",6.1,IF(C911="B",5.8,IF(C911="C",5.5,IF(C911="C.",5.5,IF(C911="D",5.2)))))*$B$2</f>
        <v>3804.7999999999997</v>
      </c>
      <c r="E915" s="1377">
        <f t="shared" si="105"/>
        <v>0</v>
      </c>
      <c r="F915" s="1436"/>
      <c r="G915" s="1375" t="s">
        <v>122</v>
      </c>
      <c r="H915" s="1630" t="s">
        <v>1083</v>
      </c>
      <c r="I915" s="1433">
        <f>VLOOKUP(H910,'CNKT '!$C$101:$Z$182,8,0)</f>
        <v>0</v>
      </c>
      <c r="J915" s="1379">
        <f>IF(I911="A",6.1,IF(I911="B",5.8,IF(I911="C",5.5,IF(I911="C.",5.5,IF(I911="D",5.2)))))*$B$2</f>
        <v>4001.6</v>
      </c>
      <c r="K915" s="1377">
        <f t="shared" si="106"/>
        <v>0</v>
      </c>
      <c r="L915" s="1372"/>
    </row>
    <row r="916" spans="1:12" s="31" customFormat="1" ht="17.25" customHeight="1">
      <c r="A916" s="1375" t="s">
        <v>959</v>
      </c>
      <c r="B916" s="1630" t="s">
        <v>1084</v>
      </c>
      <c r="C916" s="1433">
        <f>VLOOKUP(B910,'CNKT '!$C$101:$Z$182,15,0)</f>
        <v>0</v>
      </c>
      <c r="D916" s="1380">
        <f>92.2*$B$2</f>
        <v>60483.200000000004</v>
      </c>
      <c r="E916" s="1377">
        <f t="shared" si="105"/>
        <v>0</v>
      </c>
      <c r="F916" s="1436"/>
      <c r="G916" s="1375" t="s">
        <v>959</v>
      </c>
      <c r="H916" s="1630" t="s">
        <v>1084</v>
      </c>
      <c r="I916" s="1433">
        <f>VLOOKUP(H910,'CNKT '!$C$101:$Z$182,15,0)</f>
        <v>0</v>
      </c>
      <c r="J916" s="1380">
        <f>92.2*$B$2</f>
        <v>60483.200000000004</v>
      </c>
      <c r="K916" s="1377">
        <f t="shared" si="106"/>
        <v>0</v>
      </c>
      <c r="L916" s="1372"/>
    </row>
    <row r="917" spans="1:12" s="31" customFormat="1" ht="17.25" customHeight="1">
      <c r="A917" s="1375" t="s">
        <v>960</v>
      </c>
      <c r="B917" s="1630" t="s">
        <v>964</v>
      </c>
      <c r="C917" s="1433">
        <f>VLOOKUP(B910,'CNKT '!$C$101:$Z$182,16,0)</f>
        <v>0</v>
      </c>
      <c r="D917" s="1379">
        <f>153.8*$B$2</f>
        <v>100892.8</v>
      </c>
      <c r="E917" s="1377">
        <f t="shared" si="105"/>
        <v>0</v>
      </c>
      <c r="F917" s="1436"/>
      <c r="G917" s="1375" t="s">
        <v>960</v>
      </c>
      <c r="H917" s="1630" t="s">
        <v>964</v>
      </c>
      <c r="I917" s="1433">
        <f>VLOOKUP(H910,'CNKT '!$C$101:$Z$182,16,0)</f>
        <v>0</v>
      </c>
      <c r="J917" s="1379">
        <f>153.8*$B$2</f>
        <v>100892.8</v>
      </c>
      <c r="K917" s="1377">
        <f t="shared" si="106"/>
        <v>0</v>
      </c>
      <c r="L917" s="1372"/>
    </row>
    <row r="918" spans="1:12" s="31" customFormat="1" ht="17.25" customHeight="1">
      <c r="A918" s="1375" t="s">
        <v>899</v>
      </c>
      <c r="B918" s="1630" t="s">
        <v>965</v>
      </c>
      <c r="C918" s="1433">
        <f>VLOOKUP(B910,'CNKT '!$C$101:$Z$188,18,0)</f>
        <v>0</v>
      </c>
      <c r="D918" s="1379">
        <v>10000</v>
      </c>
      <c r="E918" s="1377">
        <f>C918*D918</f>
        <v>0</v>
      </c>
      <c r="F918" s="1436"/>
      <c r="G918" s="1375" t="s">
        <v>899</v>
      </c>
      <c r="H918" s="1630" t="s">
        <v>965</v>
      </c>
      <c r="I918" s="1433">
        <f>VLOOKUP(H910,'CNKT '!$C$101:$Z$188,18,0)</f>
        <v>0</v>
      </c>
      <c r="J918" s="1379">
        <v>10000</v>
      </c>
      <c r="K918" s="1377">
        <f>I918*J918</f>
        <v>0</v>
      </c>
      <c r="L918" s="1372"/>
    </row>
    <row r="919" spans="1:12" s="31" customFormat="1" ht="17.25" customHeight="1">
      <c r="A919" s="1375" t="s">
        <v>899</v>
      </c>
      <c r="B919" s="1630" t="s">
        <v>965</v>
      </c>
      <c r="C919" s="1433">
        <f>VLOOKUP(B910,'CNKT '!$C$101:$Z$188,19,0)</f>
        <v>0</v>
      </c>
      <c r="D919" s="1379">
        <v>20000</v>
      </c>
      <c r="E919" s="1377">
        <f>C919*D919</f>
        <v>0</v>
      </c>
      <c r="F919" s="1436"/>
      <c r="G919" s="1375" t="s">
        <v>899</v>
      </c>
      <c r="H919" s="1630" t="s">
        <v>965</v>
      </c>
      <c r="I919" s="1433">
        <f>VLOOKUP(H910,'CNKT '!$C$101:$Z$188,19,0)</f>
        <v>0</v>
      </c>
      <c r="J919" s="1379">
        <v>20000</v>
      </c>
      <c r="K919" s="1377">
        <f>I919*J919</f>
        <v>0</v>
      </c>
      <c r="L919" s="1372"/>
    </row>
    <row r="920" spans="1:12" s="31" customFormat="1" ht="17.25" customHeight="1">
      <c r="A920" s="1375" t="s">
        <v>995</v>
      </c>
      <c r="B920" s="1630" t="s">
        <v>997</v>
      </c>
      <c r="C920" s="1433"/>
      <c r="D920" s="1379"/>
      <c r="E920" s="1377"/>
      <c r="F920" s="1436"/>
      <c r="G920" s="1375" t="s">
        <v>995</v>
      </c>
      <c r="H920" s="1630" t="s">
        <v>997</v>
      </c>
      <c r="I920" s="1433"/>
      <c r="J920" s="1379"/>
      <c r="K920" s="1377"/>
      <c r="L920" s="1372"/>
    </row>
    <row r="921" spans="1:12" s="31" customFormat="1" ht="17.25" customHeight="1">
      <c r="A921" s="1381" t="s">
        <v>123</v>
      </c>
      <c r="B921" s="1631" t="s">
        <v>1085</v>
      </c>
      <c r="C921" s="1382"/>
      <c r="D921" s="1383"/>
      <c r="E921" s="1382"/>
      <c r="F921" s="1436"/>
      <c r="G921" s="1381" t="s">
        <v>123</v>
      </c>
      <c r="H921" s="1631" t="s">
        <v>1085</v>
      </c>
      <c r="I921" s="1382"/>
      <c r="J921" s="1383"/>
      <c r="K921" s="1382"/>
      <c r="L921" s="1372"/>
    </row>
    <row r="922" spans="1:12" s="31" customFormat="1" ht="17.25" customHeight="1">
      <c r="A922" s="1384" t="s">
        <v>124</v>
      </c>
      <c r="B922" s="1632" t="s">
        <v>1086</v>
      </c>
      <c r="C922" s="1382"/>
      <c r="D922" s="1382"/>
      <c r="E922" s="1382"/>
      <c r="F922" s="1436"/>
      <c r="G922" s="1384" t="s">
        <v>124</v>
      </c>
      <c r="H922" s="1632" t="s">
        <v>1086</v>
      </c>
      <c r="I922" s="1382"/>
      <c r="J922" s="1382"/>
      <c r="K922" s="1382"/>
      <c r="L922" s="1372"/>
    </row>
    <row r="923" spans="1:12" s="31" customFormat="1" ht="17.25" customHeight="1">
      <c r="A923" s="1384" t="s">
        <v>125</v>
      </c>
      <c r="B923" s="1633" t="s">
        <v>1087</v>
      </c>
      <c r="C923" s="1382"/>
      <c r="D923" s="1382"/>
      <c r="E923" s="1377">
        <f>SUM(E922)</f>
        <v>0</v>
      </c>
      <c r="F923" s="1423"/>
      <c r="G923" s="1384" t="s">
        <v>125</v>
      </c>
      <c r="H923" s="1633" t="s">
        <v>1087</v>
      </c>
      <c r="I923" s="1382"/>
      <c r="J923" s="1382"/>
      <c r="K923" s="1377">
        <f>SUM(K922)</f>
        <v>0</v>
      </c>
      <c r="L923" s="1372"/>
    </row>
    <row r="924" spans="1:12" s="31" customFormat="1" ht="17.25" customHeight="1">
      <c r="A924" s="1386" t="s">
        <v>126</v>
      </c>
      <c r="B924" s="1634" t="s">
        <v>871</v>
      </c>
      <c r="C924" s="1387"/>
      <c r="D924" s="1387"/>
      <c r="E924" s="1387">
        <f>(E912+E913+E914+E915+E916+E917+E918+E919+E920)-E923</f>
        <v>0</v>
      </c>
      <c r="F924" s="1423"/>
      <c r="G924" s="1386" t="s">
        <v>126</v>
      </c>
      <c r="H924" s="1634" t="s">
        <v>871</v>
      </c>
      <c r="I924" s="1387"/>
      <c r="J924" s="1387"/>
      <c r="K924" s="1387">
        <f>(K912+K913+K914+K915+K916+K917+K918+K919+K920)-K923</f>
        <v>0</v>
      </c>
      <c r="L924" s="1389">
        <f>E924+K924</f>
        <v>0</v>
      </c>
    </row>
    <row r="925" spans="1:12" s="31" customFormat="1" ht="17.25" customHeight="1">
      <c r="A925" s="1424"/>
      <c r="B925" s="1425"/>
      <c r="C925" s="1426"/>
      <c r="D925" s="1426"/>
      <c r="E925" s="1426"/>
      <c r="F925" s="1427"/>
      <c r="G925" s="1622"/>
      <c r="H925" s="1622"/>
      <c r="I925" s="1622"/>
      <c r="J925" s="1622"/>
      <c r="K925" s="1428"/>
      <c r="L925" s="1372"/>
    </row>
    <row r="926" spans="1:12" s="31" customFormat="1" ht="17.25" customHeight="1">
      <c r="A926" s="1449" t="str">
        <f>A909</f>
        <v>LƯƠNG THÁNG 01/2025</v>
      </c>
      <c r="B926" s="1449"/>
      <c r="C926" s="1449"/>
      <c r="D926" s="1449"/>
      <c r="E926" s="1449">
        <f>VLOOKUP(B927,'CNKT '!$C$101:$AD$188,26,0)</f>
        <v>0</v>
      </c>
      <c r="F926" s="1427"/>
      <c r="G926" s="1449" t="str">
        <f>A926</f>
        <v>LƯƠNG THÁNG 01/2025</v>
      </c>
      <c r="H926" s="1449"/>
      <c r="I926" s="1449"/>
      <c r="J926" s="1449"/>
      <c r="K926" s="1449">
        <f>VLOOKUP(H927,'CNKT '!$C$101:$AD$188,26,0)</f>
        <v>0</v>
      </c>
      <c r="L926" s="1372"/>
    </row>
    <row r="927" spans="1:12" s="31" customFormat="1" ht="17.25" customHeight="1">
      <c r="A927" s="1391" t="s">
        <v>29</v>
      </c>
      <c r="B927" s="1626" t="str">
        <f>'CNKT '!C123</f>
        <v>N. Không</v>
      </c>
      <c r="C927" s="1376"/>
      <c r="D927" s="1626" t="s">
        <v>806</v>
      </c>
      <c r="E927" s="1626" t="s">
        <v>32</v>
      </c>
      <c r="F927" s="1436"/>
      <c r="G927" s="1391" t="s">
        <v>29</v>
      </c>
      <c r="H927" s="1626" t="str">
        <f>'CNKT '!C124</f>
        <v>Văn Đi</v>
      </c>
      <c r="I927" s="1376"/>
      <c r="J927" s="1626" t="s">
        <v>806</v>
      </c>
      <c r="K927" s="1626" t="s">
        <v>32</v>
      </c>
      <c r="L927" s="1372"/>
    </row>
    <row r="928" spans="1:12" s="31" customFormat="1" ht="17.25" customHeight="1">
      <c r="A928" s="1375" t="s">
        <v>807</v>
      </c>
      <c r="B928" s="1628" t="s">
        <v>1080</v>
      </c>
      <c r="C928" s="1376" t="str">
        <f>VLOOKUP(B927,'BTH mủ tạp'!$C$97:$AL$175,36,0)</f>
        <v>B</v>
      </c>
      <c r="D928" s="1377"/>
      <c r="E928" s="1377"/>
      <c r="F928" s="1436"/>
      <c r="G928" s="1375" t="s">
        <v>807</v>
      </c>
      <c r="H928" s="1628" t="s">
        <v>1080</v>
      </c>
      <c r="I928" s="1376" t="str">
        <f>VLOOKUP(H927,'BTH mủ tạp'!$C$97:$AL$175,36,0)</f>
        <v>B</v>
      </c>
      <c r="J928" s="1377"/>
      <c r="K928" s="1377"/>
      <c r="L928" s="1372"/>
    </row>
    <row r="929" spans="1:12" s="31" customFormat="1" ht="17.25" customHeight="1">
      <c r="A929" s="1375" t="s">
        <v>121</v>
      </c>
      <c r="B929" s="1629" t="s">
        <v>865</v>
      </c>
      <c r="C929" s="1378">
        <f>VLOOKUP(B927,'CNKT '!$C$101:$Z$182,3,0)</f>
        <v>0</v>
      </c>
      <c r="D929" s="1379">
        <v>25000</v>
      </c>
      <c r="E929" s="1377">
        <f t="shared" ref="E929:E934" si="107">C929*D929</f>
        <v>0</v>
      </c>
      <c r="F929" s="1436"/>
      <c r="G929" s="1375" t="s">
        <v>121</v>
      </c>
      <c r="H929" s="1629" t="s">
        <v>865</v>
      </c>
      <c r="I929" s="1378">
        <f>VLOOKUP(H927,'CNKT '!$C$101:$Z$182,3,0)</f>
        <v>0</v>
      </c>
      <c r="J929" s="1379">
        <v>25000</v>
      </c>
      <c r="K929" s="1377">
        <f t="shared" ref="K929:K934" si="108">I929*J929</f>
        <v>0</v>
      </c>
      <c r="L929" s="1372"/>
    </row>
    <row r="930" spans="1:12" s="31" customFormat="1" ht="17.25" customHeight="1">
      <c r="A930" s="1375" t="s">
        <v>628</v>
      </c>
      <c r="B930" s="1630" t="s">
        <v>1081</v>
      </c>
      <c r="C930" s="1433">
        <f>VLOOKUP(B927,'CNKT '!$C$101:$Z$182,11,0)</f>
        <v>0</v>
      </c>
      <c r="D930" s="1380">
        <f>46.1*$B$2</f>
        <v>30241.600000000002</v>
      </c>
      <c r="E930" s="1377">
        <f t="shared" si="107"/>
        <v>0</v>
      </c>
      <c r="F930" s="1436"/>
      <c r="G930" s="1375" t="s">
        <v>628</v>
      </c>
      <c r="H930" s="1630" t="s">
        <v>1081</v>
      </c>
      <c r="I930" s="1433">
        <f>VLOOKUP(H927,'CNKT '!$C$101:$Z$182,11,0)</f>
        <v>0</v>
      </c>
      <c r="J930" s="1380">
        <f>46.1*$B$2</f>
        <v>30241.600000000002</v>
      </c>
      <c r="K930" s="1377">
        <f t="shared" si="108"/>
        <v>0</v>
      </c>
      <c r="L930" s="1372"/>
    </row>
    <row r="931" spans="1:12" s="31" customFormat="1" ht="17.25" customHeight="1">
      <c r="A931" s="1375" t="s">
        <v>809</v>
      </c>
      <c r="B931" s="1630" t="s">
        <v>1082</v>
      </c>
      <c r="C931" s="1433">
        <f>VLOOKUP(B927,'CNKT '!$C$101:$Z$182,12,0)</f>
        <v>0</v>
      </c>
      <c r="D931" s="1379">
        <f>76.9*$B$2</f>
        <v>50446.400000000001</v>
      </c>
      <c r="E931" s="1377">
        <f t="shared" si="107"/>
        <v>0</v>
      </c>
      <c r="F931" s="1436"/>
      <c r="G931" s="1375" t="s">
        <v>809</v>
      </c>
      <c r="H931" s="1630" t="s">
        <v>1082</v>
      </c>
      <c r="I931" s="1433">
        <f>VLOOKUP(H927,'CNKT '!$C$101:$Z$182,12,0)</f>
        <v>0</v>
      </c>
      <c r="J931" s="1379">
        <f>76.9*$B$2</f>
        <v>50446.400000000001</v>
      </c>
      <c r="K931" s="1377">
        <f t="shared" si="108"/>
        <v>0</v>
      </c>
      <c r="L931" s="1372"/>
    </row>
    <row r="932" spans="1:12" s="31" customFormat="1" ht="17.25" customHeight="1">
      <c r="A932" s="1375" t="s">
        <v>122</v>
      </c>
      <c r="B932" s="1630" t="s">
        <v>1083</v>
      </c>
      <c r="C932" s="1433">
        <f>VLOOKUP(B927,'CNKT '!$C$101:$Z$182,8,0)</f>
        <v>0</v>
      </c>
      <c r="D932" s="1379">
        <f>IF(C928="A",6.1,IF(C928="B",5.8,IF(C928="C",5.5,IF(C928="C.",5.5,IF(C928="D",5.2)))))*$B$2</f>
        <v>3804.7999999999997</v>
      </c>
      <c r="E932" s="1377">
        <f t="shared" si="107"/>
        <v>0</v>
      </c>
      <c r="F932" s="1436"/>
      <c r="G932" s="1375" t="s">
        <v>122</v>
      </c>
      <c r="H932" s="1630" t="s">
        <v>1083</v>
      </c>
      <c r="I932" s="1433">
        <f>VLOOKUP(H927,'CNKT '!$C$101:$Z$182,8,0)</f>
        <v>0</v>
      </c>
      <c r="J932" s="1379">
        <f>IF(I928="A",6.1,IF(I928="B",5.8,IF(I928="C",5.5,IF(I928="C.",5.5,IF(I928="D",5.2)))))*$B$2</f>
        <v>3804.7999999999997</v>
      </c>
      <c r="K932" s="1377">
        <f t="shared" si="108"/>
        <v>0</v>
      </c>
      <c r="L932" s="1372"/>
    </row>
    <row r="933" spans="1:12" s="31" customFormat="1" ht="17.25" customHeight="1">
      <c r="A933" s="1375" t="s">
        <v>959</v>
      </c>
      <c r="B933" s="1630" t="s">
        <v>1084</v>
      </c>
      <c r="C933" s="1433">
        <f>VLOOKUP(B927,'CNKT '!$C$101:$Z$182,15,0)</f>
        <v>0</v>
      </c>
      <c r="D933" s="1380">
        <f>92.2*$B$2</f>
        <v>60483.200000000004</v>
      </c>
      <c r="E933" s="1377">
        <f t="shared" si="107"/>
        <v>0</v>
      </c>
      <c r="F933" s="1436"/>
      <c r="G933" s="1375" t="s">
        <v>959</v>
      </c>
      <c r="H933" s="1630" t="s">
        <v>1084</v>
      </c>
      <c r="I933" s="1433">
        <f>VLOOKUP(H927,'CNKT '!$C$101:$Z$182,15,0)</f>
        <v>0</v>
      </c>
      <c r="J933" s="1380">
        <f>92.2*$B$2</f>
        <v>60483.200000000004</v>
      </c>
      <c r="K933" s="1377">
        <f t="shared" si="108"/>
        <v>0</v>
      </c>
      <c r="L933" s="1372"/>
    </row>
    <row r="934" spans="1:12" s="31" customFormat="1" ht="17.25" customHeight="1">
      <c r="A934" s="1375" t="s">
        <v>960</v>
      </c>
      <c r="B934" s="1630" t="s">
        <v>964</v>
      </c>
      <c r="C934" s="1433">
        <f>VLOOKUP(B927,'CNKT '!$C$101:$Z$182,16,0)</f>
        <v>0</v>
      </c>
      <c r="D934" s="1379">
        <f>153.8*$B$2</f>
        <v>100892.8</v>
      </c>
      <c r="E934" s="1377">
        <f t="shared" si="107"/>
        <v>0</v>
      </c>
      <c r="F934" s="1436"/>
      <c r="G934" s="1375" t="s">
        <v>960</v>
      </c>
      <c r="H934" s="1630" t="s">
        <v>964</v>
      </c>
      <c r="I934" s="1433">
        <f>VLOOKUP(H927,'CNKT '!$C$101:$Z$182,16,0)</f>
        <v>0</v>
      </c>
      <c r="J934" s="1379">
        <f>153.8*$B$2</f>
        <v>100892.8</v>
      </c>
      <c r="K934" s="1377">
        <f t="shared" si="108"/>
        <v>0</v>
      </c>
      <c r="L934" s="1372"/>
    </row>
    <row r="935" spans="1:12" s="31" customFormat="1" ht="17.25" customHeight="1">
      <c r="A935" s="1375" t="s">
        <v>899</v>
      </c>
      <c r="B935" s="1630" t="s">
        <v>965</v>
      </c>
      <c r="C935" s="1433">
        <f>VLOOKUP(B927,'CNKT '!$C$101:$Z$188,18,0)</f>
        <v>0</v>
      </c>
      <c r="D935" s="1379">
        <v>10000</v>
      </c>
      <c r="E935" s="1377">
        <f>C935*D935</f>
        <v>0</v>
      </c>
      <c r="F935" s="1436"/>
      <c r="G935" s="1375" t="s">
        <v>899</v>
      </c>
      <c r="H935" s="1630" t="s">
        <v>965</v>
      </c>
      <c r="I935" s="1433">
        <f>VLOOKUP(H927,'CNKT '!$C$101:$Z$188,18,0)</f>
        <v>0</v>
      </c>
      <c r="J935" s="1379">
        <v>10000</v>
      </c>
      <c r="K935" s="1377">
        <f>I935*J935</f>
        <v>0</v>
      </c>
      <c r="L935" s="1372"/>
    </row>
    <row r="936" spans="1:12" s="31" customFormat="1" ht="17.25" customHeight="1">
      <c r="A936" s="1375" t="s">
        <v>899</v>
      </c>
      <c r="B936" s="1630" t="s">
        <v>965</v>
      </c>
      <c r="C936" s="1433">
        <f>VLOOKUP(B927,'CNKT '!$C$101:$Z$188,19,0)</f>
        <v>0</v>
      </c>
      <c r="D936" s="1379">
        <v>20000</v>
      </c>
      <c r="E936" s="1377">
        <f>C936*D936</f>
        <v>0</v>
      </c>
      <c r="F936" s="1436"/>
      <c r="G936" s="1375" t="s">
        <v>899</v>
      </c>
      <c r="H936" s="1630" t="s">
        <v>965</v>
      </c>
      <c r="I936" s="1433">
        <f>VLOOKUP(H927,'CNKT '!$C$101:$Z$188,19,0)</f>
        <v>0</v>
      </c>
      <c r="J936" s="1379">
        <v>20000</v>
      </c>
      <c r="K936" s="1377">
        <f>I936*J936</f>
        <v>0</v>
      </c>
      <c r="L936" s="1372"/>
    </row>
    <row r="937" spans="1:12" s="31" customFormat="1" ht="17.25" customHeight="1">
      <c r="A937" s="1375" t="s">
        <v>995</v>
      </c>
      <c r="B937" s="1630" t="s">
        <v>997</v>
      </c>
      <c r="C937" s="1433"/>
      <c r="D937" s="1379"/>
      <c r="E937" s="1377"/>
      <c r="F937" s="1436"/>
      <c r="G937" s="1375" t="s">
        <v>995</v>
      </c>
      <c r="H937" s="1630" t="s">
        <v>997</v>
      </c>
      <c r="I937" s="1433"/>
      <c r="J937" s="1379"/>
      <c r="K937" s="1377"/>
      <c r="L937" s="1372"/>
    </row>
    <row r="938" spans="1:12" s="31" customFormat="1" ht="17.25" customHeight="1">
      <c r="A938" s="1381" t="s">
        <v>123</v>
      </c>
      <c r="B938" s="1631" t="s">
        <v>1085</v>
      </c>
      <c r="C938" s="1382"/>
      <c r="D938" s="1383"/>
      <c r="E938" s="1382"/>
      <c r="F938" s="1436"/>
      <c r="G938" s="1381" t="s">
        <v>123</v>
      </c>
      <c r="H938" s="1631" t="s">
        <v>1085</v>
      </c>
      <c r="I938" s="1382"/>
      <c r="J938" s="1383"/>
      <c r="K938" s="1382"/>
      <c r="L938" s="1372"/>
    </row>
    <row r="939" spans="1:12" s="31" customFormat="1" ht="17.25" customHeight="1">
      <c r="A939" s="1384" t="s">
        <v>124</v>
      </c>
      <c r="B939" s="1632" t="s">
        <v>1086</v>
      </c>
      <c r="C939" s="1382"/>
      <c r="D939" s="1382"/>
      <c r="E939" s="1382"/>
      <c r="F939" s="1436"/>
      <c r="G939" s="1384" t="s">
        <v>124</v>
      </c>
      <c r="H939" s="1632" t="s">
        <v>1086</v>
      </c>
      <c r="I939" s="1382"/>
      <c r="J939" s="1382"/>
      <c r="K939" s="1382"/>
      <c r="L939" s="1372"/>
    </row>
    <row r="940" spans="1:12" s="31" customFormat="1" ht="17.25" customHeight="1">
      <c r="A940" s="1384" t="s">
        <v>125</v>
      </c>
      <c r="B940" s="1633" t="s">
        <v>1087</v>
      </c>
      <c r="C940" s="1382"/>
      <c r="D940" s="1382"/>
      <c r="E940" s="1377">
        <f>SUM(E939)</f>
        <v>0</v>
      </c>
      <c r="F940" s="1433"/>
      <c r="G940" s="1384" t="s">
        <v>125</v>
      </c>
      <c r="H940" s="1633" t="s">
        <v>1087</v>
      </c>
      <c r="I940" s="1382"/>
      <c r="J940" s="1382"/>
      <c r="K940" s="1377">
        <f>SUM(K939)</f>
        <v>0</v>
      </c>
      <c r="L940" s="1372"/>
    </row>
    <row r="941" spans="1:12" s="31" customFormat="1" ht="17.25" customHeight="1">
      <c r="A941" s="1386" t="s">
        <v>126</v>
      </c>
      <c r="B941" s="1634" t="s">
        <v>871</v>
      </c>
      <c r="C941" s="1387"/>
      <c r="D941" s="1387"/>
      <c r="E941" s="1387">
        <f>(E929+E930+E931+E932+E933+E934+E935+E936+E937)-E940</f>
        <v>0</v>
      </c>
      <c r="F941" s="1433"/>
      <c r="G941" s="1386" t="s">
        <v>126</v>
      </c>
      <c r="H941" s="1634" t="s">
        <v>871</v>
      </c>
      <c r="I941" s="1387"/>
      <c r="J941" s="1387"/>
      <c r="K941" s="1387">
        <f>(K929+K930+K931+K932+K933+K934+K935+K936+K937)-K940</f>
        <v>0</v>
      </c>
      <c r="L941" s="1389">
        <f>E941+K941</f>
        <v>0</v>
      </c>
    </row>
    <row r="942" spans="1:12" s="31" customFormat="1" ht="6.75" customHeight="1">
      <c r="A942" s="1424"/>
      <c r="B942" s="1425"/>
      <c r="C942" s="1426"/>
      <c r="D942" s="1426"/>
      <c r="E942" s="1426"/>
      <c r="F942" s="1427"/>
      <c r="G942" s="1622"/>
      <c r="H942" s="1622"/>
      <c r="I942" s="1622"/>
      <c r="J942" s="1622"/>
      <c r="K942" s="1428"/>
      <c r="L942" s="1372"/>
    </row>
    <row r="943" spans="1:12" s="31" customFormat="1" ht="17.25" customHeight="1">
      <c r="A943" s="1449" t="str">
        <f>A926</f>
        <v>LƯƠNG THÁNG 01/2025</v>
      </c>
      <c r="B943" s="1449"/>
      <c r="C943" s="1449"/>
      <c r="D943" s="1449"/>
      <c r="E943" s="1449">
        <f>VLOOKUP(B944,'CNKT '!$C$101:$AD$188,26,0)</f>
        <v>0</v>
      </c>
      <c r="F943" s="1427"/>
      <c r="G943" s="1449" t="str">
        <f>A943</f>
        <v>LƯƠNG THÁNG 01/2025</v>
      </c>
      <c r="H943" s="1449"/>
      <c r="I943" s="1449"/>
      <c r="J943" s="1449"/>
      <c r="K943" s="1449">
        <f>VLOOKUP(H944,'CNKT '!$C$101:$AD$188,26,0)</f>
        <v>0</v>
      </c>
      <c r="L943" s="1372"/>
    </row>
    <row r="944" spans="1:12" s="31" customFormat="1" ht="17.25" customHeight="1">
      <c r="A944" s="1391" t="s">
        <v>29</v>
      </c>
      <c r="B944" s="1626" t="str">
        <f>'CNKT '!C125</f>
        <v>T. U Đôm</v>
      </c>
      <c r="C944" s="1376"/>
      <c r="D944" s="1626" t="s">
        <v>806</v>
      </c>
      <c r="E944" s="1626" t="s">
        <v>32</v>
      </c>
      <c r="F944" s="1436"/>
      <c r="G944" s="1391" t="s">
        <v>29</v>
      </c>
      <c r="H944" s="1626" t="str">
        <f>'CNKT '!C126</f>
        <v>N. Lăm Thong</v>
      </c>
      <c r="I944" s="1376"/>
      <c r="J944" s="1626" t="s">
        <v>806</v>
      </c>
      <c r="K944" s="1626" t="s">
        <v>32</v>
      </c>
      <c r="L944" s="1372"/>
    </row>
    <row r="945" spans="1:12" s="31" customFormat="1" ht="17.25" customHeight="1">
      <c r="A945" s="1375" t="s">
        <v>807</v>
      </c>
      <c r="B945" s="1628" t="s">
        <v>1080</v>
      </c>
      <c r="C945" s="1376" t="str">
        <f>VLOOKUP(B944,'BTH mủ tạp'!$C$97:$AL$175,36,0)</f>
        <v>A</v>
      </c>
      <c r="D945" s="1377"/>
      <c r="E945" s="1377"/>
      <c r="F945" s="1436"/>
      <c r="G945" s="1375" t="s">
        <v>807</v>
      </c>
      <c r="H945" s="1628" t="s">
        <v>1080</v>
      </c>
      <c r="I945" s="1376" t="str">
        <f>VLOOKUP(H944,'BTH mủ tạp'!$C$97:$AL$175,36,0)</f>
        <v>A</v>
      </c>
      <c r="J945" s="1377"/>
      <c r="K945" s="1377"/>
      <c r="L945" s="1372"/>
    </row>
    <row r="946" spans="1:12" s="31" customFormat="1" ht="17.25" customHeight="1">
      <c r="A946" s="1375" t="s">
        <v>121</v>
      </c>
      <c r="B946" s="1629" t="s">
        <v>865</v>
      </c>
      <c r="C946" s="1378">
        <f>VLOOKUP(B944,'CNKT '!$C$101:$Z$182,3,0)</f>
        <v>0</v>
      </c>
      <c r="D946" s="1379">
        <v>25000</v>
      </c>
      <c r="E946" s="1377">
        <f t="shared" ref="E946:E951" si="109">C946*D946</f>
        <v>0</v>
      </c>
      <c r="F946" s="1436"/>
      <c r="G946" s="1375" t="s">
        <v>121</v>
      </c>
      <c r="H946" s="1629" t="s">
        <v>865</v>
      </c>
      <c r="I946" s="1378">
        <f>VLOOKUP(H944,'CNKT '!$C$101:$Z$182,3,0)</f>
        <v>0</v>
      </c>
      <c r="J946" s="1379">
        <v>25000</v>
      </c>
      <c r="K946" s="1377">
        <f t="shared" ref="K946:K951" si="110">I946*J946</f>
        <v>0</v>
      </c>
      <c r="L946" s="1372"/>
    </row>
    <row r="947" spans="1:12" s="31" customFormat="1" ht="17.25" customHeight="1">
      <c r="A947" s="1375" t="s">
        <v>628</v>
      </c>
      <c r="B947" s="1630" t="s">
        <v>1081</v>
      </c>
      <c r="C947" s="1433">
        <f>VLOOKUP(B944,'CNKT '!$C$101:$Z$182,11,0)</f>
        <v>0</v>
      </c>
      <c r="D947" s="1380">
        <f>46.1*$B$2</f>
        <v>30241.600000000002</v>
      </c>
      <c r="E947" s="1377">
        <f t="shared" si="109"/>
        <v>0</v>
      </c>
      <c r="F947" s="1436"/>
      <c r="G947" s="1375" t="s">
        <v>628</v>
      </c>
      <c r="H947" s="1630" t="s">
        <v>1081</v>
      </c>
      <c r="I947" s="1433">
        <f>VLOOKUP(H944,'CNKT '!$C$101:$Z$182,11,0)</f>
        <v>0</v>
      </c>
      <c r="J947" s="1380">
        <f>46.1*$B$2</f>
        <v>30241.600000000002</v>
      </c>
      <c r="K947" s="1377">
        <f t="shared" si="110"/>
        <v>0</v>
      </c>
      <c r="L947" s="1372"/>
    </row>
    <row r="948" spans="1:12" s="31" customFormat="1" ht="17.25" customHeight="1">
      <c r="A948" s="1375" t="s">
        <v>809</v>
      </c>
      <c r="B948" s="1630" t="s">
        <v>1082</v>
      </c>
      <c r="C948" s="1433">
        <f>VLOOKUP(B944,'CNKT '!$C$101:$Z$182,12,0)</f>
        <v>0</v>
      </c>
      <c r="D948" s="1379">
        <f>76.9*$B$2</f>
        <v>50446.400000000001</v>
      </c>
      <c r="E948" s="1377">
        <f t="shared" si="109"/>
        <v>0</v>
      </c>
      <c r="F948" s="1436"/>
      <c r="G948" s="1375" t="s">
        <v>809</v>
      </c>
      <c r="H948" s="1630" t="s">
        <v>1082</v>
      </c>
      <c r="I948" s="1433">
        <f>VLOOKUP(H944,'CNKT '!$C$101:$Z$182,12,0)</f>
        <v>0</v>
      </c>
      <c r="J948" s="1379">
        <f>76.9*$B$2</f>
        <v>50446.400000000001</v>
      </c>
      <c r="K948" s="1377">
        <f t="shared" si="110"/>
        <v>0</v>
      </c>
      <c r="L948" s="1372"/>
    </row>
    <row r="949" spans="1:12" s="31" customFormat="1" ht="17.25" customHeight="1">
      <c r="A949" s="1375" t="s">
        <v>122</v>
      </c>
      <c r="B949" s="1630" t="s">
        <v>1083</v>
      </c>
      <c r="C949" s="1433">
        <f>VLOOKUP(B944,'CNKT '!$C$101:$Z$182,8,0)</f>
        <v>0</v>
      </c>
      <c r="D949" s="1379">
        <f>IF(C945="A",6.1,IF(C945="B",5.8,IF(C945="C",5.5,IF(C945="C.",5.5,IF(C945="D",5.2)))))*$B$2</f>
        <v>4001.6</v>
      </c>
      <c r="E949" s="1377">
        <f t="shared" si="109"/>
        <v>0</v>
      </c>
      <c r="F949" s="1436"/>
      <c r="G949" s="1375" t="s">
        <v>122</v>
      </c>
      <c r="H949" s="1630" t="s">
        <v>1083</v>
      </c>
      <c r="I949" s="1433">
        <f>VLOOKUP(H944,'CNKT '!$C$101:$Z$182,8,0)</f>
        <v>0</v>
      </c>
      <c r="J949" s="1379">
        <f>IF(I945="A",6.1,IF(I945="B",5.8,IF(I945="C",5.5,IF(I945="C.",5.5,IF(I945="D",5.2)))))*$B$2</f>
        <v>4001.6</v>
      </c>
      <c r="K949" s="1377">
        <f t="shared" si="110"/>
        <v>0</v>
      </c>
      <c r="L949" s="1372"/>
    </row>
    <row r="950" spans="1:12" s="31" customFormat="1" ht="17.25" customHeight="1">
      <c r="A950" s="1375" t="s">
        <v>959</v>
      </c>
      <c r="B950" s="1630" t="s">
        <v>1084</v>
      </c>
      <c r="C950" s="1433">
        <f>VLOOKUP(B944,'CNKT '!$C$101:$Z$182,15,0)</f>
        <v>0</v>
      </c>
      <c r="D950" s="1380">
        <f>92.2*$B$2</f>
        <v>60483.200000000004</v>
      </c>
      <c r="E950" s="1377">
        <f t="shared" si="109"/>
        <v>0</v>
      </c>
      <c r="F950" s="1436"/>
      <c r="G950" s="1375" t="s">
        <v>959</v>
      </c>
      <c r="H950" s="1630" t="s">
        <v>1084</v>
      </c>
      <c r="I950" s="1433">
        <f>VLOOKUP(H944,'CNKT '!$C$101:$Z$182,15,0)</f>
        <v>0</v>
      </c>
      <c r="J950" s="1380">
        <f>92.2*$B$2</f>
        <v>60483.200000000004</v>
      </c>
      <c r="K950" s="1377">
        <f t="shared" si="110"/>
        <v>0</v>
      </c>
      <c r="L950" s="1372"/>
    </row>
    <row r="951" spans="1:12" s="31" customFormat="1" ht="17.25" customHeight="1">
      <c r="A951" s="1375" t="s">
        <v>960</v>
      </c>
      <c r="B951" s="1630" t="s">
        <v>964</v>
      </c>
      <c r="C951" s="1433">
        <f>VLOOKUP(B944,'CNKT '!$C$101:$Z$182,16,0)</f>
        <v>0</v>
      </c>
      <c r="D951" s="1379">
        <f>153.8*$B$2</f>
        <v>100892.8</v>
      </c>
      <c r="E951" s="1377">
        <f t="shared" si="109"/>
        <v>0</v>
      </c>
      <c r="F951" s="1436"/>
      <c r="G951" s="1375" t="s">
        <v>960</v>
      </c>
      <c r="H951" s="1630" t="s">
        <v>964</v>
      </c>
      <c r="I951" s="1433">
        <f>VLOOKUP(H944,'CNKT '!$C$101:$Z$182,16,0)</f>
        <v>0</v>
      </c>
      <c r="J951" s="1379">
        <f>153.8*$B$2</f>
        <v>100892.8</v>
      </c>
      <c r="K951" s="1377">
        <f t="shared" si="110"/>
        <v>0</v>
      </c>
      <c r="L951" s="1372"/>
    </row>
    <row r="952" spans="1:12" s="31" customFormat="1" ht="17.25" customHeight="1">
      <c r="A952" s="1375" t="s">
        <v>899</v>
      </c>
      <c r="B952" s="1630" t="s">
        <v>965</v>
      </c>
      <c r="C952" s="1433">
        <f>VLOOKUP(B944,'CNKT '!$C$101:$Z$188,18,0)</f>
        <v>0</v>
      </c>
      <c r="D952" s="1379">
        <v>10000</v>
      </c>
      <c r="E952" s="1377">
        <f>C952*D952</f>
        <v>0</v>
      </c>
      <c r="F952" s="1436"/>
      <c r="G952" s="1375" t="s">
        <v>899</v>
      </c>
      <c r="H952" s="1630" t="s">
        <v>965</v>
      </c>
      <c r="I952" s="1433">
        <f>VLOOKUP(H944,'CNKT '!$C$101:$Z$188,18,0)</f>
        <v>0</v>
      </c>
      <c r="J952" s="1379">
        <v>10000</v>
      </c>
      <c r="K952" s="1377">
        <f>I952*J952</f>
        <v>0</v>
      </c>
      <c r="L952" s="1372"/>
    </row>
    <row r="953" spans="1:12" s="31" customFormat="1" ht="17.25" customHeight="1">
      <c r="A953" s="1375" t="s">
        <v>899</v>
      </c>
      <c r="B953" s="1630" t="s">
        <v>965</v>
      </c>
      <c r="C953" s="1433">
        <f>VLOOKUP(B944,'CNKT '!$C$101:$Z$188,19,0)</f>
        <v>0</v>
      </c>
      <c r="D953" s="1379">
        <v>20000</v>
      </c>
      <c r="E953" s="1377">
        <f>C953*D953</f>
        <v>0</v>
      </c>
      <c r="F953" s="1436"/>
      <c r="G953" s="1375" t="s">
        <v>899</v>
      </c>
      <c r="H953" s="1630" t="s">
        <v>965</v>
      </c>
      <c r="I953" s="1433">
        <f>VLOOKUP(H944,'CNKT '!$C$101:$Z$188,19,0)</f>
        <v>0</v>
      </c>
      <c r="J953" s="1379">
        <v>20000</v>
      </c>
      <c r="K953" s="1377">
        <f>I953*J953</f>
        <v>0</v>
      </c>
      <c r="L953" s="1372"/>
    </row>
    <row r="954" spans="1:12" s="31" customFormat="1" ht="17.25" customHeight="1">
      <c r="A954" s="1375" t="s">
        <v>995</v>
      </c>
      <c r="B954" s="1630" t="s">
        <v>997</v>
      </c>
      <c r="C954" s="1433"/>
      <c r="D954" s="1379"/>
      <c r="E954" s="1377"/>
      <c r="F954" s="1436"/>
      <c r="G954" s="1375" t="s">
        <v>995</v>
      </c>
      <c r="H954" s="1630" t="s">
        <v>997</v>
      </c>
      <c r="I954" s="1433"/>
      <c r="J954" s="1379"/>
      <c r="K954" s="1377"/>
      <c r="L954" s="1372"/>
    </row>
    <row r="955" spans="1:12" s="31" customFormat="1" ht="17.25" customHeight="1">
      <c r="A955" s="1381" t="s">
        <v>123</v>
      </c>
      <c r="B955" s="1631" t="s">
        <v>1085</v>
      </c>
      <c r="C955" s="1382"/>
      <c r="D955" s="1383"/>
      <c r="E955" s="1382"/>
      <c r="F955" s="1436"/>
      <c r="G955" s="1381" t="s">
        <v>123</v>
      </c>
      <c r="H955" s="1631" t="s">
        <v>1085</v>
      </c>
      <c r="I955" s="1382"/>
      <c r="J955" s="1383"/>
      <c r="K955" s="1382"/>
      <c r="L955" s="1372"/>
    </row>
    <row r="956" spans="1:12" s="31" customFormat="1" ht="17.25" customHeight="1">
      <c r="A956" s="1384" t="s">
        <v>124</v>
      </c>
      <c r="B956" s="1632" t="s">
        <v>1086</v>
      </c>
      <c r="C956" s="1382"/>
      <c r="D956" s="1382"/>
      <c r="E956" s="1382"/>
      <c r="F956" s="1436"/>
      <c r="G956" s="1384" t="s">
        <v>124</v>
      </c>
      <c r="H956" s="1632" t="s">
        <v>1086</v>
      </c>
      <c r="I956" s="1382"/>
      <c r="J956" s="1382"/>
      <c r="K956" s="1382"/>
      <c r="L956" s="1372"/>
    </row>
    <row r="957" spans="1:12" s="31" customFormat="1" ht="17.25" customHeight="1">
      <c r="A957" s="1384" t="s">
        <v>125</v>
      </c>
      <c r="B957" s="1633" t="s">
        <v>1087</v>
      </c>
      <c r="C957" s="1382"/>
      <c r="D957" s="1382"/>
      <c r="E957" s="1377">
        <f>SUM(E956)</f>
        <v>0</v>
      </c>
      <c r="F957" s="1432"/>
      <c r="G957" s="1384" t="s">
        <v>125</v>
      </c>
      <c r="H957" s="1633" t="s">
        <v>1087</v>
      </c>
      <c r="I957" s="1382"/>
      <c r="J957" s="1382"/>
      <c r="K957" s="1377">
        <f>SUM(K956)</f>
        <v>0</v>
      </c>
      <c r="L957" s="1372"/>
    </row>
    <row r="958" spans="1:12" s="31" customFormat="1" ht="17.25" customHeight="1">
      <c r="A958" s="1386" t="s">
        <v>126</v>
      </c>
      <c r="B958" s="1634" t="s">
        <v>871</v>
      </c>
      <c r="C958" s="1387"/>
      <c r="D958" s="1387"/>
      <c r="E958" s="1387">
        <f>(E946+E947+E948+E949+E950+E951+E952+E953+E954)-E957</f>
        <v>0</v>
      </c>
      <c r="F958" s="1432"/>
      <c r="G958" s="1386" t="s">
        <v>126</v>
      </c>
      <c r="H958" s="1634" t="s">
        <v>871</v>
      </c>
      <c r="I958" s="1387"/>
      <c r="J958" s="1387"/>
      <c r="K958" s="1387">
        <f>(K946+K947+K948+K949+K950+K951+K952+K953+K954)-K957</f>
        <v>0</v>
      </c>
      <c r="L958" s="1389">
        <f>E958+K958</f>
        <v>0</v>
      </c>
    </row>
    <row r="959" spans="1:12" s="31" customFormat="1" ht="17.25" customHeight="1">
      <c r="A959" s="1424"/>
      <c r="B959" s="1425"/>
      <c r="C959" s="1426"/>
      <c r="D959" s="1426"/>
      <c r="E959" s="1426"/>
      <c r="F959" s="1427"/>
      <c r="G959" s="1622"/>
      <c r="H959" s="1622"/>
      <c r="I959" s="1622"/>
      <c r="J959" s="1622"/>
      <c r="K959" s="1428"/>
      <c r="L959" s="1372"/>
    </row>
    <row r="960" spans="1:12" s="31" customFormat="1" ht="17.25" customHeight="1">
      <c r="A960" s="1449" t="str">
        <f>A943</f>
        <v>LƯƠNG THÁNG 01/2025</v>
      </c>
      <c r="B960" s="1449"/>
      <c r="C960" s="1449"/>
      <c r="D960" s="1449"/>
      <c r="E960" s="1449">
        <f>VLOOKUP(B961,'CNKT '!$C$101:$AD$188,26,0)</f>
        <v>0</v>
      </c>
      <c r="F960" s="1427"/>
      <c r="G960" s="1449" t="str">
        <f>A960</f>
        <v>LƯƠNG THÁNG 01/2025</v>
      </c>
      <c r="H960" s="1449"/>
      <c r="I960" s="1449"/>
      <c r="J960" s="1449"/>
      <c r="K960" s="1449">
        <f>VLOOKUP(H961,'CNKT '!$C$101:$AD$188,26,0)</f>
        <v>0</v>
      </c>
      <c r="L960" s="1372"/>
    </row>
    <row r="961" spans="1:12" s="31" customFormat="1" ht="17.25" customHeight="1">
      <c r="A961" s="1391" t="s">
        <v>29</v>
      </c>
      <c r="B961" s="1626" t="str">
        <f>'CNKT '!C127</f>
        <v>N. Seng</v>
      </c>
      <c r="C961" s="1376"/>
      <c r="D961" s="1626" t="s">
        <v>806</v>
      </c>
      <c r="E961" s="1626" t="s">
        <v>32</v>
      </c>
      <c r="F961" s="1436"/>
      <c r="G961" s="1391" t="s">
        <v>29</v>
      </c>
      <c r="H961" s="1626" t="str">
        <f>'CNKT '!C128</f>
        <v>T Đeng</v>
      </c>
      <c r="I961" s="1376"/>
      <c r="J961" s="1626" t="s">
        <v>806</v>
      </c>
      <c r="K961" s="1626" t="s">
        <v>32</v>
      </c>
      <c r="L961" s="1372"/>
    </row>
    <row r="962" spans="1:12" s="31" customFormat="1" ht="17.25" customHeight="1">
      <c r="A962" s="1375" t="s">
        <v>807</v>
      </c>
      <c r="B962" s="1628" t="s">
        <v>1080</v>
      </c>
      <c r="C962" s="1376" t="str">
        <f>VLOOKUP(B961,'BTH mủ tạp'!$C$97:$AL$175,36,0)</f>
        <v>B</v>
      </c>
      <c r="D962" s="1377"/>
      <c r="E962" s="1377"/>
      <c r="F962" s="1436"/>
      <c r="G962" s="1375" t="s">
        <v>807</v>
      </c>
      <c r="H962" s="1628" t="s">
        <v>1080</v>
      </c>
      <c r="I962" s="1376" t="str">
        <f>VLOOKUP(H961,'BTH mủ tạp'!$C$97:$AL$175,36,0)</f>
        <v>A</v>
      </c>
      <c r="J962" s="1377"/>
      <c r="K962" s="1377"/>
      <c r="L962" s="1372"/>
    </row>
    <row r="963" spans="1:12" s="31" customFormat="1" ht="17.25" customHeight="1">
      <c r="A963" s="1375" t="s">
        <v>121</v>
      </c>
      <c r="B963" s="1629" t="s">
        <v>865</v>
      </c>
      <c r="C963" s="1378">
        <f>VLOOKUP(B961,'CNKT '!$C$101:$Z$182,3,0)</f>
        <v>0</v>
      </c>
      <c r="D963" s="1379">
        <v>25000</v>
      </c>
      <c r="E963" s="1377">
        <f t="shared" ref="E963:E968" si="111">C963*D963</f>
        <v>0</v>
      </c>
      <c r="F963" s="1436"/>
      <c r="G963" s="1375" t="s">
        <v>121</v>
      </c>
      <c r="H963" s="1629" t="s">
        <v>865</v>
      </c>
      <c r="I963" s="1378">
        <f>VLOOKUP(H961,'CNKT '!$C$101:$Z$182,3,0)</f>
        <v>0</v>
      </c>
      <c r="J963" s="1379">
        <v>25000</v>
      </c>
      <c r="K963" s="1377">
        <f t="shared" ref="K963:K968" si="112">I963*J963</f>
        <v>0</v>
      </c>
      <c r="L963" s="1372"/>
    </row>
    <row r="964" spans="1:12" s="31" customFormat="1" ht="17.25" customHeight="1">
      <c r="A964" s="1375" t="s">
        <v>628</v>
      </c>
      <c r="B964" s="1630" t="s">
        <v>1081</v>
      </c>
      <c r="C964" s="1433">
        <f>VLOOKUP(B961,'CNKT '!$C$101:$Z$182,11,0)</f>
        <v>0</v>
      </c>
      <c r="D964" s="1380">
        <f>46.1*$B$2</f>
        <v>30241.600000000002</v>
      </c>
      <c r="E964" s="1377">
        <f t="shared" si="111"/>
        <v>0</v>
      </c>
      <c r="F964" s="1436"/>
      <c r="G964" s="1375" t="s">
        <v>628</v>
      </c>
      <c r="H964" s="1630" t="s">
        <v>1081</v>
      </c>
      <c r="I964" s="1433">
        <f>VLOOKUP(H961,'CNKT '!$C$101:$Z$182,11,0)</f>
        <v>0</v>
      </c>
      <c r="J964" s="1380">
        <f>46.1*$B$2</f>
        <v>30241.600000000002</v>
      </c>
      <c r="K964" s="1377">
        <f t="shared" si="112"/>
        <v>0</v>
      </c>
      <c r="L964" s="1372"/>
    </row>
    <row r="965" spans="1:12" s="31" customFormat="1" ht="17.25" customHeight="1">
      <c r="A965" s="1375" t="s">
        <v>809</v>
      </c>
      <c r="B965" s="1630" t="s">
        <v>1082</v>
      </c>
      <c r="C965" s="1433">
        <f>VLOOKUP(B961,'CNKT '!$C$101:$Z$182,12,0)</f>
        <v>0</v>
      </c>
      <c r="D965" s="1379">
        <f>76.9*$B$2</f>
        <v>50446.400000000001</v>
      </c>
      <c r="E965" s="1377">
        <f t="shared" si="111"/>
        <v>0</v>
      </c>
      <c r="F965" s="1436"/>
      <c r="G965" s="1375" t="s">
        <v>809</v>
      </c>
      <c r="H965" s="1630" t="s">
        <v>1082</v>
      </c>
      <c r="I965" s="1433">
        <f>VLOOKUP(H961,'CNKT '!$C$101:$Z$182,12,0)</f>
        <v>0</v>
      </c>
      <c r="J965" s="1379">
        <f>76.9*$B$2</f>
        <v>50446.400000000001</v>
      </c>
      <c r="K965" s="1377">
        <f t="shared" si="112"/>
        <v>0</v>
      </c>
      <c r="L965" s="1372"/>
    </row>
    <row r="966" spans="1:12" s="31" customFormat="1" ht="17.25" customHeight="1">
      <c r="A966" s="1375" t="s">
        <v>122</v>
      </c>
      <c r="B966" s="1630" t="s">
        <v>1083</v>
      </c>
      <c r="C966" s="1433">
        <f>VLOOKUP(B961,'CNKT '!$C$101:$Z$182,8,0)</f>
        <v>0</v>
      </c>
      <c r="D966" s="1379">
        <f>IF(C962="A",6.1,IF(C962="B",5.8,IF(C962="C",5.5,IF(C962="C.",5.5,IF(C962="D",5.2)))))*$B$2</f>
        <v>3804.7999999999997</v>
      </c>
      <c r="E966" s="1377">
        <f t="shared" si="111"/>
        <v>0</v>
      </c>
      <c r="F966" s="1436"/>
      <c r="G966" s="1375" t="s">
        <v>122</v>
      </c>
      <c r="H966" s="1630" t="s">
        <v>1083</v>
      </c>
      <c r="I966" s="1433">
        <f>VLOOKUP(H961,'CNKT '!$C$101:$Z$182,8,0)</f>
        <v>0</v>
      </c>
      <c r="J966" s="1379">
        <f>IF(I962="A",6.1,IF(I962="B",5.8,IF(I962="C",5.5,IF(I962="C.",5.5,IF(I962="D",5.2)))))*$B$2</f>
        <v>4001.6</v>
      </c>
      <c r="K966" s="1377">
        <f t="shared" si="112"/>
        <v>0</v>
      </c>
      <c r="L966" s="1372"/>
    </row>
    <row r="967" spans="1:12" s="31" customFormat="1" ht="17.25" customHeight="1">
      <c r="A967" s="1375" t="s">
        <v>959</v>
      </c>
      <c r="B967" s="1630" t="s">
        <v>1084</v>
      </c>
      <c r="C967" s="1433">
        <f>VLOOKUP(B961,'CNKT '!$C$101:$Z$182,15,0)</f>
        <v>0</v>
      </c>
      <c r="D967" s="1380">
        <f>92.2*$B$2</f>
        <v>60483.200000000004</v>
      </c>
      <c r="E967" s="1377">
        <f t="shared" si="111"/>
        <v>0</v>
      </c>
      <c r="F967" s="1436"/>
      <c r="G967" s="1375" t="s">
        <v>959</v>
      </c>
      <c r="H967" s="1630" t="s">
        <v>1084</v>
      </c>
      <c r="I967" s="1433">
        <f>VLOOKUP(H961,'CNKT '!$C$101:$Z$182,15,0)</f>
        <v>0</v>
      </c>
      <c r="J967" s="1380">
        <f>92.2*$B$2</f>
        <v>60483.200000000004</v>
      </c>
      <c r="K967" s="1377">
        <f t="shared" si="112"/>
        <v>0</v>
      </c>
      <c r="L967" s="1372"/>
    </row>
    <row r="968" spans="1:12" s="31" customFormat="1" ht="17.25" customHeight="1">
      <c r="A968" s="1375" t="s">
        <v>960</v>
      </c>
      <c r="B968" s="1630" t="s">
        <v>964</v>
      </c>
      <c r="C968" s="1433">
        <f>VLOOKUP(B961,'CNKT '!$C$101:$Z$182,16,0)</f>
        <v>0</v>
      </c>
      <c r="D968" s="1379">
        <f>153.8*$B$2</f>
        <v>100892.8</v>
      </c>
      <c r="E968" s="1377">
        <f t="shared" si="111"/>
        <v>0</v>
      </c>
      <c r="F968" s="1436"/>
      <c r="G968" s="1375" t="s">
        <v>960</v>
      </c>
      <c r="H968" s="1630" t="s">
        <v>964</v>
      </c>
      <c r="I968" s="1433">
        <f>VLOOKUP(H961,'CNKT '!$C$101:$Z$182,16,0)</f>
        <v>0</v>
      </c>
      <c r="J968" s="1379">
        <f>153.8*$B$2</f>
        <v>100892.8</v>
      </c>
      <c r="K968" s="1377">
        <f t="shared" si="112"/>
        <v>0</v>
      </c>
      <c r="L968" s="1372"/>
    </row>
    <row r="969" spans="1:12" s="31" customFormat="1" ht="17.25" customHeight="1">
      <c r="A969" s="1375" t="s">
        <v>899</v>
      </c>
      <c r="B969" s="1630" t="s">
        <v>965</v>
      </c>
      <c r="C969" s="1433">
        <f>VLOOKUP(B961,'CNKT '!$C$101:$Z$188,18,0)</f>
        <v>0</v>
      </c>
      <c r="D969" s="1379">
        <v>10000</v>
      </c>
      <c r="E969" s="1377">
        <f>C969*D969</f>
        <v>0</v>
      </c>
      <c r="F969" s="1436"/>
      <c r="G969" s="1375" t="s">
        <v>899</v>
      </c>
      <c r="H969" s="1630" t="s">
        <v>965</v>
      </c>
      <c r="I969" s="1433">
        <f>VLOOKUP(H961,'CNKT '!$C$101:$Z$188,18,0)</f>
        <v>0</v>
      </c>
      <c r="J969" s="1379">
        <v>10000</v>
      </c>
      <c r="K969" s="1377">
        <f>I969*J969</f>
        <v>0</v>
      </c>
      <c r="L969" s="1372"/>
    </row>
    <row r="970" spans="1:12" s="31" customFormat="1" ht="17.25" customHeight="1">
      <c r="A970" s="1375" t="s">
        <v>899</v>
      </c>
      <c r="B970" s="1630" t="s">
        <v>965</v>
      </c>
      <c r="C970" s="1433">
        <f>VLOOKUP(B961,'CNKT '!$C$101:$Z$188,19,0)</f>
        <v>0</v>
      </c>
      <c r="D970" s="1379">
        <v>20000</v>
      </c>
      <c r="E970" s="1377">
        <f>C970*D970</f>
        <v>0</v>
      </c>
      <c r="F970" s="1436"/>
      <c r="G970" s="1375" t="s">
        <v>899</v>
      </c>
      <c r="H970" s="1630" t="s">
        <v>965</v>
      </c>
      <c r="I970" s="1433">
        <f>VLOOKUP(H961,'CNKT '!$C$101:$Z$188,19,0)</f>
        <v>0</v>
      </c>
      <c r="J970" s="1379">
        <v>20000</v>
      </c>
      <c r="K970" s="1377">
        <f>I970*J970</f>
        <v>0</v>
      </c>
      <c r="L970" s="1372"/>
    </row>
    <row r="971" spans="1:12" s="31" customFormat="1" ht="17.25" customHeight="1">
      <c r="A971" s="1375" t="s">
        <v>995</v>
      </c>
      <c r="B971" s="1630" t="s">
        <v>997</v>
      </c>
      <c r="C971" s="1433"/>
      <c r="D971" s="1379"/>
      <c r="E971" s="1377"/>
      <c r="F971" s="1436"/>
      <c r="G971" s="1375" t="s">
        <v>995</v>
      </c>
      <c r="H971" s="1630" t="s">
        <v>997</v>
      </c>
      <c r="I971" s="1433"/>
      <c r="J971" s="1379"/>
      <c r="K971" s="1377"/>
      <c r="L971" s="1372"/>
    </row>
    <row r="972" spans="1:12" s="31" customFormat="1" ht="17.25" customHeight="1">
      <c r="A972" s="1381" t="s">
        <v>123</v>
      </c>
      <c r="B972" s="1631" t="s">
        <v>1085</v>
      </c>
      <c r="C972" s="1382"/>
      <c r="D972" s="1383"/>
      <c r="E972" s="1382"/>
      <c r="F972" s="1436"/>
      <c r="G972" s="1381" t="s">
        <v>123</v>
      </c>
      <c r="H972" s="1631" t="s">
        <v>1085</v>
      </c>
      <c r="I972" s="1382"/>
      <c r="J972" s="1383"/>
      <c r="K972" s="1382"/>
      <c r="L972" s="1372"/>
    </row>
    <row r="973" spans="1:12" s="31" customFormat="1" ht="17.25" customHeight="1">
      <c r="A973" s="1384" t="s">
        <v>124</v>
      </c>
      <c r="B973" s="1632" t="s">
        <v>1086</v>
      </c>
      <c r="C973" s="1382"/>
      <c r="D973" s="1382"/>
      <c r="E973" s="1382"/>
      <c r="F973" s="1436"/>
      <c r="G973" s="1384" t="s">
        <v>124</v>
      </c>
      <c r="H973" s="1632" t="s">
        <v>1086</v>
      </c>
      <c r="I973" s="1382"/>
      <c r="J973" s="1382"/>
      <c r="K973" s="1382"/>
      <c r="L973" s="1372"/>
    </row>
    <row r="974" spans="1:12" s="31" customFormat="1" ht="17.25" customHeight="1">
      <c r="A974" s="1384" t="s">
        <v>125</v>
      </c>
      <c r="B974" s="1633" t="s">
        <v>1087</v>
      </c>
      <c r="C974" s="1382"/>
      <c r="D974" s="1382"/>
      <c r="E974" s="1377">
        <f>SUM(E973)</f>
        <v>0</v>
      </c>
      <c r="F974" s="1423"/>
      <c r="G974" s="1384" t="s">
        <v>125</v>
      </c>
      <c r="H974" s="1633" t="s">
        <v>1087</v>
      </c>
      <c r="I974" s="1382"/>
      <c r="J974" s="1382"/>
      <c r="K974" s="1377">
        <f>SUM(K973)</f>
        <v>0</v>
      </c>
      <c r="L974" s="1372"/>
    </row>
    <row r="975" spans="1:12" s="31" customFormat="1" ht="17.25" customHeight="1">
      <c r="A975" s="1386" t="s">
        <v>126</v>
      </c>
      <c r="B975" s="1634" t="s">
        <v>871</v>
      </c>
      <c r="C975" s="1387"/>
      <c r="D975" s="1387"/>
      <c r="E975" s="1387">
        <f>(E963+E964+E965+E966+E967+E968+E969+E970+E971)-E974</f>
        <v>0</v>
      </c>
      <c r="F975" s="1423"/>
      <c r="G975" s="1386" t="s">
        <v>126</v>
      </c>
      <c r="H975" s="1634" t="s">
        <v>871</v>
      </c>
      <c r="I975" s="1387"/>
      <c r="J975" s="1387"/>
      <c r="K975" s="1387">
        <f>(K963+K964+K965+K966+K967+K968+K969+K970+K971)-K974</f>
        <v>0</v>
      </c>
      <c r="L975" s="1389">
        <f>E975+K975</f>
        <v>0</v>
      </c>
    </row>
    <row r="976" spans="1:12" s="31" customFormat="1" ht="17.25" customHeight="1">
      <c r="A976" s="2183"/>
      <c r="B976" s="2183"/>
      <c r="C976" s="2183"/>
      <c r="D976" s="2183"/>
      <c r="E976" s="2183"/>
      <c r="F976" s="1427"/>
      <c r="G976" s="2183"/>
      <c r="H976" s="2183"/>
      <c r="I976" s="2183"/>
      <c r="J976" s="2183"/>
      <c r="K976" s="1428"/>
      <c r="L976" s="1372"/>
    </row>
    <row r="977" spans="1:13" s="31" customFormat="1" ht="17.25" customHeight="1">
      <c r="A977" s="1449" t="str">
        <f>A960</f>
        <v>LƯƠNG THÁNG 01/2025</v>
      </c>
      <c r="B977" s="1449"/>
      <c r="C977" s="1449"/>
      <c r="D977" s="1449"/>
      <c r="E977" s="1449">
        <f>VLOOKUP(B978,'CNKT '!$C$101:$AD$188,26,0)</f>
        <v>0</v>
      </c>
      <c r="F977" s="1427"/>
      <c r="G977" s="1449" t="str">
        <f>A977</f>
        <v>LƯƠNG THÁNG 01/2025</v>
      </c>
      <c r="H977" s="1449"/>
      <c r="I977" s="1449"/>
      <c r="J977" s="1449"/>
      <c r="K977" s="1449">
        <f>VLOOKUP(H978,'CNKT '!$C$101:$AD$188,26,0)</f>
        <v>0</v>
      </c>
      <c r="L977" s="1372"/>
    </row>
    <row r="978" spans="1:13" s="31" customFormat="1" ht="17.25" customHeight="1">
      <c r="A978" s="1391" t="s">
        <v>29</v>
      </c>
      <c r="B978" s="1626" t="str">
        <f>'CNKT '!C129</f>
        <v>T . Keo</v>
      </c>
      <c r="C978" s="1376"/>
      <c r="D978" s="1626" t="s">
        <v>806</v>
      </c>
      <c r="E978" s="1626" t="s">
        <v>32</v>
      </c>
      <c r="F978" s="1436"/>
      <c r="G978" s="1391" t="s">
        <v>29</v>
      </c>
      <c r="H978" s="1626" t="str">
        <f>'CNKT '!C130</f>
        <v>Văn Na Nọi</v>
      </c>
      <c r="I978" s="1376"/>
      <c r="J978" s="1626" t="s">
        <v>806</v>
      </c>
      <c r="K978" s="1626" t="s">
        <v>32</v>
      </c>
      <c r="L978" s="1372"/>
    </row>
    <row r="979" spans="1:13" s="31" customFormat="1" ht="17.25" customHeight="1">
      <c r="A979" s="1375" t="s">
        <v>807</v>
      </c>
      <c r="B979" s="1628" t="s">
        <v>1080</v>
      </c>
      <c r="C979" s="1376" t="str">
        <f>VLOOKUP(B978,'BTH mủ tạp'!$C$97:$AL$175,36,0)</f>
        <v>B</v>
      </c>
      <c r="D979" s="1377"/>
      <c r="E979" s="1377"/>
      <c r="F979" s="1436"/>
      <c r="G979" s="1375" t="s">
        <v>807</v>
      </c>
      <c r="H979" s="1628" t="s">
        <v>1080</v>
      </c>
      <c r="I979" s="1376" t="str">
        <f>VLOOKUP(H978,'BTH mủ tạp'!$C$97:$AL$175,36,0)</f>
        <v>B</v>
      </c>
      <c r="J979" s="1377"/>
      <c r="K979" s="1377"/>
      <c r="L979" s="1372"/>
    </row>
    <row r="980" spans="1:13" s="31" customFormat="1" ht="17.25" customHeight="1">
      <c r="A980" s="1375" t="s">
        <v>121</v>
      </c>
      <c r="B980" s="1629" t="s">
        <v>865</v>
      </c>
      <c r="C980" s="1378">
        <f>VLOOKUP(B978,'CNKT '!$C$101:$Z$182,3,0)</f>
        <v>0</v>
      </c>
      <c r="D980" s="1379">
        <v>25000</v>
      </c>
      <c r="E980" s="1377">
        <f t="shared" ref="E980:E985" si="113">C980*D980</f>
        <v>0</v>
      </c>
      <c r="F980" s="1436"/>
      <c r="G980" s="1375" t="s">
        <v>121</v>
      </c>
      <c r="H980" s="1629" t="s">
        <v>865</v>
      </c>
      <c r="I980" s="1378">
        <f>VLOOKUP(H978,'CNKT '!$C$101:$Z$182,3,0)</f>
        <v>0</v>
      </c>
      <c r="J980" s="1379">
        <v>25000</v>
      </c>
      <c r="K980" s="1377">
        <f t="shared" ref="K980:K985" si="114">I980*J980</f>
        <v>0</v>
      </c>
      <c r="L980" s="1372"/>
    </row>
    <row r="981" spans="1:13" s="31" customFormat="1" ht="17.25" customHeight="1">
      <c r="A981" s="1375" t="s">
        <v>628</v>
      </c>
      <c r="B981" s="1630" t="s">
        <v>1081</v>
      </c>
      <c r="C981" s="1433">
        <f>VLOOKUP(B978,'CNKT '!$C$101:$Z$182,11,0)</f>
        <v>0</v>
      </c>
      <c r="D981" s="1380">
        <f>46.1*$B$2</f>
        <v>30241.600000000002</v>
      </c>
      <c r="E981" s="1377">
        <f t="shared" si="113"/>
        <v>0</v>
      </c>
      <c r="F981" s="1436"/>
      <c r="G981" s="1375" t="s">
        <v>628</v>
      </c>
      <c r="H981" s="1630" t="s">
        <v>1081</v>
      </c>
      <c r="I981" s="1433">
        <f>VLOOKUP(H978,'CNKT '!$C$101:$Z$182,11,0)</f>
        <v>0</v>
      </c>
      <c r="J981" s="1380">
        <f>46.1*$B$2</f>
        <v>30241.600000000002</v>
      </c>
      <c r="K981" s="1377">
        <f t="shared" si="114"/>
        <v>0</v>
      </c>
      <c r="L981" s="1372"/>
    </row>
    <row r="982" spans="1:13" s="31" customFormat="1" ht="17.25" customHeight="1">
      <c r="A982" s="1375" t="s">
        <v>809</v>
      </c>
      <c r="B982" s="1630" t="s">
        <v>1082</v>
      </c>
      <c r="C982" s="1433">
        <f>VLOOKUP(B978,'CNKT '!$C$101:$Z$182,12,0)</f>
        <v>0</v>
      </c>
      <c r="D982" s="1379">
        <f>76.9*$B$2</f>
        <v>50446.400000000001</v>
      </c>
      <c r="E982" s="1377">
        <f t="shared" si="113"/>
        <v>0</v>
      </c>
      <c r="F982" s="1436"/>
      <c r="G982" s="1375" t="s">
        <v>809</v>
      </c>
      <c r="H982" s="1630" t="s">
        <v>1082</v>
      </c>
      <c r="I982" s="1433">
        <f>VLOOKUP(H978,'CNKT '!$C$101:$Z$182,12,0)</f>
        <v>0</v>
      </c>
      <c r="J982" s="1379">
        <f>76.9*$B$2</f>
        <v>50446.400000000001</v>
      </c>
      <c r="K982" s="1377">
        <f t="shared" si="114"/>
        <v>0</v>
      </c>
      <c r="L982" s="1372"/>
    </row>
    <row r="983" spans="1:13" s="31" customFormat="1" ht="17.25" customHeight="1">
      <c r="A983" s="1375" t="s">
        <v>122</v>
      </c>
      <c r="B983" s="1630" t="s">
        <v>1083</v>
      </c>
      <c r="C983" s="1433">
        <f>VLOOKUP(B978,'CNKT '!$C$101:$Z$182,8,0)</f>
        <v>0</v>
      </c>
      <c r="D983" s="1379">
        <f>IF(C979="A",6.1,IF(C979="B",5.8,IF(C979="C",5.5,IF(C979="C.",5.5,IF(C979="D",5.2)))))*$B$2</f>
        <v>3804.7999999999997</v>
      </c>
      <c r="E983" s="1377">
        <f t="shared" si="113"/>
        <v>0</v>
      </c>
      <c r="F983" s="1436"/>
      <c r="G983" s="1375" t="s">
        <v>122</v>
      </c>
      <c r="H983" s="1630" t="s">
        <v>1083</v>
      </c>
      <c r="I983" s="1433">
        <f>VLOOKUP(H978,'CNKT '!$C$101:$Z$182,8,0)</f>
        <v>0</v>
      </c>
      <c r="J983" s="1379">
        <f>IF(I979="A",6.1,IF(I979="B",5.8,IF(I979="C",5.5,IF(I979="C.",5.5,IF(I979="D",5.2)))))*$B$2</f>
        <v>3804.7999999999997</v>
      </c>
      <c r="K983" s="1377">
        <f t="shared" si="114"/>
        <v>0</v>
      </c>
      <c r="L983" s="1372"/>
    </row>
    <row r="984" spans="1:13" s="31" customFormat="1" ht="17.25" customHeight="1">
      <c r="A984" s="1375" t="s">
        <v>959</v>
      </c>
      <c r="B984" s="1630" t="s">
        <v>1084</v>
      </c>
      <c r="C984" s="1433">
        <f>VLOOKUP(B978,'CNKT '!$C$101:$Z$182,15,0)</f>
        <v>0</v>
      </c>
      <c r="D984" s="1380">
        <f>92.2*$B$2</f>
        <v>60483.200000000004</v>
      </c>
      <c r="E984" s="1377">
        <f t="shared" si="113"/>
        <v>0</v>
      </c>
      <c r="F984" s="1436"/>
      <c r="G984" s="1375" t="s">
        <v>959</v>
      </c>
      <c r="H984" s="1630" t="s">
        <v>1084</v>
      </c>
      <c r="I984" s="1433">
        <f>VLOOKUP(H978,'CNKT '!$C$101:$Z$182,15,0)</f>
        <v>0</v>
      </c>
      <c r="J984" s="1380">
        <f>92.2*$B$2</f>
        <v>60483.200000000004</v>
      </c>
      <c r="K984" s="1377">
        <f t="shared" si="114"/>
        <v>0</v>
      </c>
      <c r="L984" s="1372"/>
    </row>
    <row r="985" spans="1:13" s="31" customFormat="1" ht="17.25" customHeight="1">
      <c r="A985" s="1375" t="s">
        <v>960</v>
      </c>
      <c r="B985" s="1630" t="s">
        <v>964</v>
      </c>
      <c r="C985" s="1433">
        <f>VLOOKUP(B978,'CNKT '!$C$101:$Z$182,16,0)</f>
        <v>0</v>
      </c>
      <c r="D985" s="1379">
        <f>153.8*$B$2</f>
        <v>100892.8</v>
      </c>
      <c r="E985" s="1377">
        <f t="shared" si="113"/>
        <v>0</v>
      </c>
      <c r="F985" s="1436"/>
      <c r="G985" s="1375" t="s">
        <v>960</v>
      </c>
      <c r="H985" s="1630" t="s">
        <v>964</v>
      </c>
      <c r="I985" s="1433">
        <f>VLOOKUP(H978,'CNKT '!$C$101:$Z$182,16,0)</f>
        <v>0</v>
      </c>
      <c r="J985" s="1379">
        <f>153.8*$B$2</f>
        <v>100892.8</v>
      </c>
      <c r="K985" s="1377">
        <f t="shared" si="114"/>
        <v>0</v>
      </c>
      <c r="L985" s="1372"/>
    </row>
    <row r="986" spans="1:13" s="31" customFormat="1" ht="17.25" customHeight="1">
      <c r="A986" s="1375" t="s">
        <v>899</v>
      </c>
      <c r="B986" s="1630" t="s">
        <v>965</v>
      </c>
      <c r="C986" s="1433">
        <f>VLOOKUP(B978,'CNKT '!$C$101:$Z$188,18,0)</f>
        <v>0</v>
      </c>
      <c r="D986" s="1379">
        <v>10000</v>
      </c>
      <c r="E986" s="1377">
        <f>C986*D986</f>
        <v>0</v>
      </c>
      <c r="F986" s="1436"/>
      <c r="G986" s="1375" t="s">
        <v>899</v>
      </c>
      <c r="H986" s="1630" t="s">
        <v>965</v>
      </c>
      <c r="I986" s="1433">
        <f>VLOOKUP(H978,'CNKT '!$C$101:$Z$188,18,0)</f>
        <v>0</v>
      </c>
      <c r="J986" s="1379">
        <v>10000</v>
      </c>
      <c r="K986" s="1377">
        <f>I986*J986</f>
        <v>0</v>
      </c>
      <c r="L986" s="1372"/>
    </row>
    <row r="987" spans="1:13" s="31" customFormat="1" ht="17.25" customHeight="1">
      <c r="A987" s="1375" t="s">
        <v>899</v>
      </c>
      <c r="B987" s="1630" t="s">
        <v>965</v>
      </c>
      <c r="C987" s="1433">
        <f>VLOOKUP(B978,'CNKT '!$C$101:$Z$188,19,0)</f>
        <v>0</v>
      </c>
      <c r="D987" s="1379">
        <v>20000</v>
      </c>
      <c r="E987" s="1377">
        <f>C987*D987</f>
        <v>0</v>
      </c>
      <c r="F987" s="1436"/>
      <c r="G987" s="1375" t="s">
        <v>899</v>
      </c>
      <c r="H987" s="1630" t="s">
        <v>965</v>
      </c>
      <c r="I987" s="1433">
        <f>VLOOKUP(H978,'CNKT '!$C$101:$Z$188,19,0)</f>
        <v>0</v>
      </c>
      <c r="J987" s="1379">
        <v>20000</v>
      </c>
      <c r="K987" s="1377">
        <f>I987*J987</f>
        <v>0</v>
      </c>
      <c r="L987" s="1372"/>
    </row>
    <row r="988" spans="1:13" s="31" customFormat="1" ht="17.25" customHeight="1">
      <c r="A988" s="1375" t="s">
        <v>995</v>
      </c>
      <c r="B988" s="1630" t="s">
        <v>997</v>
      </c>
      <c r="C988" s="1433"/>
      <c r="D988" s="1379"/>
      <c r="E988" s="1377"/>
      <c r="F988" s="1436"/>
      <c r="G988" s="1375" t="s">
        <v>995</v>
      </c>
      <c r="H988" s="1630" t="s">
        <v>997</v>
      </c>
      <c r="I988" s="1433"/>
      <c r="J988" s="1379"/>
      <c r="K988" s="1377"/>
      <c r="L988" s="1372"/>
    </row>
    <row r="989" spans="1:13" s="31" customFormat="1" ht="17.25" customHeight="1">
      <c r="A989" s="1381" t="s">
        <v>123</v>
      </c>
      <c r="B989" s="1631" t="s">
        <v>1085</v>
      </c>
      <c r="C989" s="1382"/>
      <c r="D989" s="1383"/>
      <c r="E989" s="1382"/>
      <c r="F989" s="1436"/>
      <c r="G989" s="1381" t="s">
        <v>123</v>
      </c>
      <c r="H989" s="1631" t="s">
        <v>1085</v>
      </c>
      <c r="I989" s="1382"/>
      <c r="J989" s="1383"/>
      <c r="K989" s="1382"/>
      <c r="L989" s="1372"/>
    </row>
    <row r="990" spans="1:13" s="31" customFormat="1" ht="17.25" customHeight="1">
      <c r="A990" s="1384" t="s">
        <v>124</v>
      </c>
      <c r="B990" s="1632" t="s">
        <v>1086</v>
      </c>
      <c r="C990" s="1382"/>
      <c r="D990" s="1382"/>
      <c r="E990" s="1382"/>
      <c r="F990" s="1436"/>
      <c r="G990" s="1384" t="s">
        <v>124</v>
      </c>
      <c r="H990" s="1632" t="s">
        <v>1086</v>
      </c>
      <c r="I990" s="1382"/>
      <c r="J990" s="1382"/>
      <c r="K990" s="1382"/>
      <c r="L990" s="1372"/>
      <c r="M990" s="1385"/>
    </row>
    <row r="991" spans="1:13" s="31" customFormat="1" ht="17.25" customHeight="1">
      <c r="A991" s="1384" t="s">
        <v>125</v>
      </c>
      <c r="B991" s="1633" t="s">
        <v>1087</v>
      </c>
      <c r="C991" s="1382"/>
      <c r="D991" s="1382"/>
      <c r="E991" s="1377">
        <f>SUM(E990)</f>
        <v>0</v>
      </c>
      <c r="F991" s="1433"/>
      <c r="G991" s="1384" t="s">
        <v>125</v>
      </c>
      <c r="H991" s="1633" t="s">
        <v>1087</v>
      </c>
      <c r="I991" s="1382"/>
      <c r="J991" s="1382"/>
      <c r="K991" s="1377">
        <f>SUM(K990)</f>
        <v>0</v>
      </c>
      <c r="L991" s="1372"/>
      <c r="M991" s="1385">
        <f>E991+K991</f>
        <v>0</v>
      </c>
    </row>
    <row r="992" spans="1:13" s="31" customFormat="1" ht="17.25" customHeight="1">
      <c r="A992" s="1386" t="s">
        <v>126</v>
      </c>
      <c r="B992" s="1634" t="s">
        <v>871</v>
      </c>
      <c r="C992" s="1387"/>
      <c r="D992" s="1387"/>
      <c r="E992" s="1387">
        <f>(E980+E981+E982+E983+E984+E985+E986+E987+E988)-E991</f>
        <v>0</v>
      </c>
      <c r="F992" s="1433"/>
      <c r="G992" s="1386" t="s">
        <v>126</v>
      </c>
      <c r="H992" s="1634" t="s">
        <v>871</v>
      </c>
      <c r="I992" s="1387"/>
      <c r="J992" s="1387"/>
      <c r="K992" s="1387">
        <f>(K980+K981+K982+K983+K984+K985+K986+K987+K988)-K991</f>
        <v>0</v>
      </c>
      <c r="L992" s="1389">
        <f>E992+K992</f>
        <v>0</v>
      </c>
    </row>
    <row r="993" spans="1:12" s="31" customFormat="1" ht="17.25" customHeight="1">
      <c r="A993" s="2183"/>
      <c r="B993" s="2183"/>
      <c r="C993" s="2183"/>
      <c r="D993" s="2183"/>
      <c r="E993" s="2183"/>
      <c r="F993" s="1427"/>
      <c r="G993" s="2183"/>
      <c r="H993" s="2183"/>
      <c r="I993" s="2183"/>
      <c r="J993" s="2183"/>
      <c r="K993" s="1428"/>
      <c r="L993" s="1372"/>
    </row>
    <row r="994" spans="1:12" s="31" customFormat="1" ht="17.25" customHeight="1">
      <c r="A994" s="1449" t="str">
        <f>A977</f>
        <v>LƯƠNG THÁNG 01/2025</v>
      </c>
      <c r="B994" s="1449"/>
      <c r="C994" s="1449"/>
      <c r="D994" s="1449"/>
      <c r="E994" s="1449">
        <f>VLOOKUP(B995,'CNKT '!$C$101:$AD$188,26,0)</f>
        <v>0</v>
      </c>
      <c r="F994" s="1427"/>
      <c r="G994" s="1449" t="str">
        <f>A994</f>
        <v>LƯƠNG THÁNG 01/2025</v>
      </c>
      <c r="H994" s="1449"/>
      <c r="I994" s="1449"/>
      <c r="J994" s="1449"/>
      <c r="K994" s="1449">
        <f>VLOOKUP(H995,'CNKT '!$C$101:$AD$188,26,0)</f>
        <v>0</v>
      </c>
      <c r="L994" s="1372"/>
    </row>
    <row r="995" spans="1:12" s="31" customFormat="1" ht="17.25" customHeight="1">
      <c r="A995" s="1391" t="s">
        <v>29</v>
      </c>
      <c r="B995" s="1626" t="str">
        <f>'CNKT '!C131</f>
        <v>T. Ta</v>
      </c>
      <c r="C995" s="1376"/>
      <c r="D995" s="1626" t="s">
        <v>806</v>
      </c>
      <c r="E995" s="1626" t="s">
        <v>32</v>
      </c>
      <c r="F995" s="1436"/>
      <c r="G995" s="1391" t="s">
        <v>29</v>
      </c>
      <c r="H995" s="1626" t="str">
        <f>'CNKT '!C132</f>
        <v>Phon Xa Văn</v>
      </c>
      <c r="I995" s="1376"/>
      <c r="J995" s="1626" t="s">
        <v>806</v>
      </c>
      <c r="K995" s="1626" t="s">
        <v>32</v>
      </c>
      <c r="L995" s="1372"/>
    </row>
    <row r="996" spans="1:12" s="31" customFormat="1" ht="17.25" customHeight="1">
      <c r="A996" s="1375" t="s">
        <v>807</v>
      </c>
      <c r="B996" s="1628" t="s">
        <v>1080</v>
      </c>
      <c r="C996" s="1376" t="str">
        <f>VLOOKUP(B995,'BTH mủ tạp'!$C$97:$AL$175,36,0)</f>
        <v>A</v>
      </c>
      <c r="D996" s="1377"/>
      <c r="E996" s="1377"/>
      <c r="F996" s="1436"/>
      <c r="G996" s="1375" t="s">
        <v>807</v>
      </c>
      <c r="H996" s="1628" t="s">
        <v>1080</v>
      </c>
      <c r="I996" s="1376" t="str">
        <f>VLOOKUP(H995,'BTH mủ tạp'!$C$97:$AL$175,36,0)</f>
        <v>B</v>
      </c>
      <c r="J996" s="1377"/>
      <c r="K996" s="1377"/>
      <c r="L996" s="1372"/>
    </row>
    <row r="997" spans="1:12" s="31" customFormat="1" ht="17.25" customHeight="1">
      <c r="A997" s="1375" t="s">
        <v>121</v>
      </c>
      <c r="B997" s="1629" t="s">
        <v>865</v>
      </c>
      <c r="C997" s="1378">
        <f>VLOOKUP(B995,'CNKT '!$C$101:$Z$182,3,0)</f>
        <v>0</v>
      </c>
      <c r="D997" s="1379">
        <v>25000</v>
      </c>
      <c r="E997" s="1377">
        <f t="shared" ref="E997:E1002" si="115">C997*D997</f>
        <v>0</v>
      </c>
      <c r="F997" s="1436"/>
      <c r="G997" s="1375" t="s">
        <v>121</v>
      </c>
      <c r="H997" s="1629" t="s">
        <v>865</v>
      </c>
      <c r="I997" s="1378">
        <f>VLOOKUP(H995,'CNKT '!$C$101:$Z$182,3,0)</f>
        <v>0</v>
      </c>
      <c r="J997" s="1379">
        <v>25000</v>
      </c>
      <c r="K997" s="1377">
        <f t="shared" ref="K997:K1002" si="116">I997*J997</f>
        <v>0</v>
      </c>
      <c r="L997" s="1372"/>
    </row>
    <row r="998" spans="1:12" s="31" customFormat="1" ht="17.25" customHeight="1">
      <c r="A998" s="1375" t="s">
        <v>628</v>
      </c>
      <c r="B998" s="1630" t="s">
        <v>1081</v>
      </c>
      <c r="C998" s="1433">
        <f>VLOOKUP(B995,'CNKT '!$C$101:$Z$182,11,0)</f>
        <v>0</v>
      </c>
      <c r="D998" s="1380">
        <f>46.1*$B$2</f>
        <v>30241.600000000002</v>
      </c>
      <c r="E998" s="1377">
        <f t="shared" si="115"/>
        <v>0</v>
      </c>
      <c r="F998" s="1436"/>
      <c r="G998" s="1375" t="s">
        <v>628</v>
      </c>
      <c r="H998" s="1630" t="s">
        <v>1081</v>
      </c>
      <c r="I998" s="1433">
        <f>VLOOKUP(H995,'CNKT '!$C$101:$Z$182,11,0)</f>
        <v>0</v>
      </c>
      <c r="J998" s="1380">
        <f>46.1*$B$2</f>
        <v>30241.600000000002</v>
      </c>
      <c r="K998" s="1377">
        <f t="shared" si="116"/>
        <v>0</v>
      </c>
      <c r="L998" s="1372"/>
    </row>
    <row r="999" spans="1:12" s="31" customFormat="1" ht="17.25" customHeight="1">
      <c r="A999" s="1375" t="s">
        <v>809</v>
      </c>
      <c r="B999" s="1630" t="s">
        <v>1082</v>
      </c>
      <c r="C999" s="1433">
        <f>VLOOKUP(B995,'CNKT '!$C$101:$Z$182,12,0)</f>
        <v>0</v>
      </c>
      <c r="D999" s="1379">
        <f>76.9*$B$2</f>
        <v>50446.400000000001</v>
      </c>
      <c r="E999" s="1377">
        <f t="shared" si="115"/>
        <v>0</v>
      </c>
      <c r="F999" s="1436"/>
      <c r="G999" s="1375" t="s">
        <v>809</v>
      </c>
      <c r="H999" s="1630" t="s">
        <v>1082</v>
      </c>
      <c r="I999" s="1433">
        <f>VLOOKUP(H995,'CNKT '!$C$101:$Z$182,12,0)</f>
        <v>0</v>
      </c>
      <c r="J999" s="1379">
        <f>76.9*$B$2</f>
        <v>50446.400000000001</v>
      </c>
      <c r="K999" s="1377">
        <f t="shared" si="116"/>
        <v>0</v>
      </c>
      <c r="L999" s="1372"/>
    </row>
    <row r="1000" spans="1:12" s="31" customFormat="1" ht="17.25" customHeight="1">
      <c r="A1000" s="1375" t="s">
        <v>122</v>
      </c>
      <c r="B1000" s="1630" t="s">
        <v>1083</v>
      </c>
      <c r="C1000" s="1433">
        <f>VLOOKUP(B995,'CNKT '!$C$101:$Z$182,8,0)</f>
        <v>0</v>
      </c>
      <c r="D1000" s="1379">
        <f>IF(C996="A",6.1,IF(C996="B",5.8,IF(C996="C",5.5,IF(C996="C.",5.5,IF(C996="D",5.2)))))*$B$2</f>
        <v>4001.6</v>
      </c>
      <c r="E1000" s="1377">
        <f t="shared" si="115"/>
        <v>0</v>
      </c>
      <c r="F1000" s="1436"/>
      <c r="G1000" s="1375" t="s">
        <v>122</v>
      </c>
      <c r="H1000" s="1630" t="s">
        <v>1083</v>
      </c>
      <c r="I1000" s="1433">
        <f>VLOOKUP(H995,'CNKT '!$C$101:$Z$182,8,0)</f>
        <v>0</v>
      </c>
      <c r="J1000" s="1379">
        <f>IF(I996="A",6.1,IF(I996="B",5.8,IF(I996="C",5.5,IF(I996="C.",5.5,IF(I996="D",5.2)))))*$B$2</f>
        <v>3804.7999999999997</v>
      </c>
      <c r="K1000" s="1377">
        <f t="shared" si="116"/>
        <v>0</v>
      </c>
      <c r="L1000" s="1372"/>
    </row>
    <row r="1001" spans="1:12" s="31" customFormat="1" ht="17.25" customHeight="1">
      <c r="A1001" s="1375" t="s">
        <v>959</v>
      </c>
      <c r="B1001" s="1630" t="s">
        <v>1084</v>
      </c>
      <c r="C1001" s="1433">
        <f>VLOOKUP(B995,'CNKT '!$C$101:$Z$182,15,0)</f>
        <v>0</v>
      </c>
      <c r="D1001" s="1380">
        <f>92.2*$B$2</f>
        <v>60483.200000000004</v>
      </c>
      <c r="E1001" s="1377">
        <f t="shared" si="115"/>
        <v>0</v>
      </c>
      <c r="F1001" s="1436"/>
      <c r="G1001" s="1375" t="s">
        <v>959</v>
      </c>
      <c r="H1001" s="1630" t="s">
        <v>1084</v>
      </c>
      <c r="I1001" s="1433">
        <f>VLOOKUP(H995,'CNKT '!$C$101:$Z$182,15,0)</f>
        <v>0</v>
      </c>
      <c r="J1001" s="1380">
        <f>92.2*$B$2</f>
        <v>60483.200000000004</v>
      </c>
      <c r="K1001" s="1377">
        <f t="shared" si="116"/>
        <v>0</v>
      </c>
      <c r="L1001" s="1372"/>
    </row>
    <row r="1002" spans="1:12" s="31" customFormat="1" ht="17.25" customHeight="1">
      <c r="A1002" s="1375" t="s">
        <v>960</v>
      </c>
      <c r="B1002" s="1630" t="s">
        <v>964</v>
      </c>
      <c r="C1002" s="1433">
        <f>VLOOKUP(B995,'CNKT '!$C$101:$Z$182,16,0)</f>
        <v>0</v>
      </c>
      <c r="D1002" s="1379">
        <f>153.8*$B$2</f>
        <v>100892.8</v>
      </c>
      <c r="E1002" s="1377">
        <f t="shared" si="115"/>
        <v>0</v>
      </c>
      <c r="F1002" s="1436"/>
      <c r="G1002" s="1375" t="s">
        <v>960</v>
      </c>
      <c r="H1002" s="1630" t="s">
        <v>964</v>
      </c>
      <c r="I1002" s="1433">
        <f>VLOOKUP(H995,'CNKT '!$C$101:$Z$182,16,0)</f>
        <v>0</v>
      </c>
      <c r="J1002" s="1379">
        <f>153.8*$B$2</f>
        <v>100892.8</v>
      </c>
      <c r="K1002" s="1377">
        <f t="shared" si="116"/>
        <v>0</v>
      </c>
      <c r="L1002" s="1372"/>
    </row>
    <row r="1003" spans="1:12" s="31" customFormat="1" ht="17.25" customHeight="1">
      <c r="A1003" s="1375" t="s">
        <v>899</v>
      </c>
      <c r="B1003" s="1630" t="s">
        <v>965</v>
      </c>
      <c r="C1003" s="1433">
        <f>VLOOKUP(B995,'CNKT '!$C$101:$Z$188,18,0)</f>
        <v>0</v>
      </c>
      <c r="D1003" s="1379">
        <v>10000</v>
      </c>
      <c r="E1003" s="1377">
        <f>C1003*D1003</f>
        <v>0</v>
      </c>
      <c r="F1003" s="1436"/>
      <c r="G1003" s="1375" t="s">
        <v>899</v>
      </c>
      <c r="H1003" s="1630" t="s">
        <v>965</v>
      </c>
      <c r="I1003" s="1433">
        <f>VLOOKUP(H995,'CNKT '!$C$101:$Z$188,18,0)</f>
        <v>0</v>
      </c>
      <c r="J1003" s="1379">
        <v>10000</v>
      </c>
      <c r="K1003" s="1377">
        <f>I1003*J1003</f>
        <v>0</v>
      </c>
      <c r="L1003" s="1372"/>
    </row>
    <row r="1004" spans="1:12" s="31" customFormat="1" ht="17.25" customHeight="1">
      <c r="A1004" s="1375" t="s">
        <v>899</v>
      </c>
      <c r="B1004" s="1630" t="s">
        <v>965</v>
      </c>
      <c r="C1004" s="1433">
        <f>VLOOKUP(B995,'CNKT '!$C$101:$Z$188,19,0)</f>
        <v>0</v>
      </c>
      <c r="D1004" s="1379">
        <v>20000</v>
      </c>
      <c r="E1004" s="1377">
        <f>C1004*D1004</f>
        <v>0</v>
      </c>
      <c r="F1004" s="1436"/>
      <c r="G1004" s="1375" t="s">
        <v>899</v>
      </c>
      <c r="H1004" s="1630" t="s">
        <v>965</v>
      </c>
      <c r="I1004" s="1433">
        <f>VLOOKUP(H995,'CNKT '!$C$101:$Z$188,19,0)</f>
        <v>0</v>
      </c>
      <c r="J1004" s="1379">
        <v>20000</v>
      </c>
      <c r="K1004" s="1377">
        <f>I1004*J1004</f>
        <v>0</v>
      </c>
      <c r="L1004" s="1372"/>
    </row>
    <row r="1005" spans="1:12" s="31" customFormat="1" ht="17.25" customHeight="1">
      <c r="A1005" s="1375" t="s">
        <v>995</v>
      </c>
      <c r="B1005" s="1630" t="s">
        <v>997</v>
      </c>
      <c r="C1005" s="1433"/>
      <c r="D1005" s="1379"/>
      <c r="E1005" s="1377"/>
      <c r="F1005" s="1436"/>
      <c r="G1005" s="1375" t="s">
        <v>995</v>
      </c>
      <c r="H1005" s="1630" t="s">
        <v>997</v>
      </c>
      <c r="I1005" s="1433"/>
      <c r="J1005" s="1379"/>
      <c r="K1005" s="1377"/>
      <c r="L1005" s="1372"/>
    </row>
    <row r="1006" spans="1:12" s="31" customFormat="1" ht="17.25" customHeight="1">
      <c r="A1006" s="1381" t="s">
        <v>123</v>
      </c>
      <c r="B1006" s="1631" t="s">
        <v>1085</v>
      </c>
      <c r="C1006" s="1382"/>
      <c r="D1006" s="1383"/>
      <c r="E1006" s="1382"/>
      <c r="F1006" s="1436"/>
      <c r="G1006" s="1381" t="s">
        <v>123</v>
      </c>
      <c r="H1006" s="1631" t="s">
        <v>1085</v>
      </c>
      <c r="I1006" s="1382"/>
      <c r="J1006" s="1383"/>
      <c r="K1006" s="1382"/>
      <c r="L1006" s="1372"/>
    </row>
    <row r="1007" spans="1:12" s="31" customFormat="1" ht="17.25" customHeight="1">
      <c r="A1007" s="1384" t="s">
        <v>124</v>
      </c>
      <c r="B1007" s="1632" t="s">
        <v>1086</v>
      </c>
      <c r="C1007" s="1382"/>
      <c r="D1007" s="1382"/>
      <c r="E1007" s="1382"/>
      <c r="F1007" s="1436"/>
      <c r="G1007" s="1384" t="s">
        <v>124</v>
      </c>
      <c r="H1007" s="1632" t="s">
        <v>1086</v>
      </c>
      <c r="I1007" s="1382"/>
      <c r="J1007" s="1382"/>
      <c r="K1007" s="1382"/>
      <c r="L1007" s="1372"/>
    </row>
    <row r="1008" spans="1:12" s="31" customFormat="1" ht="17.25" customHeight="1">
      <c r="A1008" s="1384" t="s">
        <v>125</v>
      </c>
      <c r="B1008" s="1633" t="s">
        <v>1087</v>
      </c>
      <c r="C1008" s="1382"/>
      <c r="D1008" s="1382"/>
      <c r="E1008" s="1377">
        <f>SUM(E1007)</f>
        <v>0</v>
      </c>
      <c r="F1008" s="1432"/>
      <c r="G1008" s="1384" t="s">
        <v>125</v>
      </c>
      <c r="H1008" s="1633" t="s">
        <v>1087</v>
      </c>
      <c r="I1008" s="1382"/>
      <c r="J1008" s="1382"/>
      <c r="K1008" s="1377">
        <f>SUM(K1007)</f>
        <v>0</v>
      </c>
      <c r="L1008" s="1372"/>
    </row>
    <row r="1009" spans="1:12" s="31" customFormat="1" ht="17.25" customHeight="1">
      <c r="A1009" s="1386" t="s">
        <v>126</v>
      </c>
      <c r="B1009" s="1634" t="s">
        <v>871</v>
      </c>
      <c r="C1009" s="1387"/>
      <c r="D1009" s="1387"/>
      <c r="E1009" s="1387">
        <f>(E997+E998+E999+E1000+E1001+E1002+E1003+E1004+E1005)-E1008</f>
        <v>0</v>
      </c>
      <c r="F1009" s="1432"/>
      <c r="G1009" s="1386" t="s">
        <v>126</v>
      </c>
      <c r="H1009" s="1634" t="s">
        <v>871</v>
      </c>
      <c r="I1009" s="1387"/>
      <c r="J1009" s="1387"/>
      <c r="K1009" s="1387">
        <f>(K997+K998+K999+K1000+K1001+K1002+K1003+K1004+K1005)-K1008</f>
        <v>0</v>
      </c>
      <c r="L1009" s="1389">
        <f>E1009+K1009</f>
        <v>0</v>
      </c>
    </row>
    <row r="1010" spans="1:12" s="31" customFormat="1" ht="17.25" customHeight="1">
      <c r="A1010" s="2183"/>
      <c r="B1010" s="2183"/>
      <c r="C1010" s="2183"/>
      <c r="D1010" s="2183"/>
      <c r="E1010" s="2183"/>
      <c r="F1010" s="1427"/>
      <c r="G1010" s="2183"/>
      <c r="H1010" s="2183"/>
      <c r="I1010" s="2183"/>
      <c r="J1010" s="2183"/>
      <c r="K1010" s="1428"/>
      <c r="L1010" s="1372"/>
    </row>
    <row r="1011" spans="1:12" s="31" customFormat="1" ht="17.25" customHeight="1">
      <c r="A1011" s="1449" t="str">
        <f>A994</f>
        <v>LƯƠNG THÁNG 01/2025</v>
      </c>
      <c r="B1011" s="1449"/>
      <c r="C1011" s="1449"/>
      <c r="D1011" s="1449"/>
      <c r="E1011" s="1449">
        <f>VLOOKUP(B1012,'CNKT '!$C$101:$AD$188,26,0)</f>
        <v>0</v>
      </c>
      <c r="F1011" s="1427"/>
      <c r="G1011" s="1449" t="str">
        <f>A1011</f>
        <v>LƯƠNG THÁNG 01/2025</v>
      </c>
      <c r="H1011" s="1449"/>
      <c r="I1011" s="1449"/>
      <c r="J1011" s="1449"/>
      <c r="K1011" s="1449">
        <f>VLOOKUP(H1012,'CNKT '!$C$101:$AD$188,26,0)</f>
        <v>0</v>
      </c>
      <c r="L1011" s="1372"/>
    </row>
    <row r="1012" spans="1:12" s="31" customFormat="1" ht="17.25" customHeight="1">
      <c r="A1012" s="1391" t="s">
        <v>29</v>
      </c>
      <c r="B1012" s="1626" t="str">
        <f>'CNKT '!C133</f>
        <v>T. Nọi</v>
      </c>
      <c r="C1012" s="1376"/>
      <c r="D1012" s="1626" t="s">
        <v>806</v>
      </c>
      <c r="E1012" s="1626" t="s">
        <v>32</v>
      </c>
      <c r="F1012" s="1436"/>
      <c r="G1012" s="1391" t="s">
        <v>29</v>
      </c>
      <c r="H1012" s="1626" t="str">
        <f>'CNKT '!C134</f>
        <v>N. Nôn</v>
      </c>
      <c r="I1012" s="1376"/>
      <c r="J1012" s="1626" t="s">
        <v>806</v>
      </c>
      <c r="K1012" s="1626" t="s">
        <v>32</v>
      </c>
      <c r="L1012" s="1372"/>
    </row>
    <row r="1013" spans="1:12" s="31" customFormat="1" ht="17.25" customHeight="1">
      <c r="A1013" s="1375" t="s">
        <v>807</v>
      </c>
      <c r="B1013" s="1628" t="s">
        <v>1080</v>
      </c>
      <c r="C1013" s="1376" t="str">
        <f>VLOOKUP(B1012,'BTH mủ tạp'!$C$97:$AL$175,36,0)</f>
        <v>A</v>
      </c>
      <c r="D1013" s="1377"/>
      <c r="E1013" s="1377"/>
      <c r="F1013" s="1436"/>
      <c r="G1013" s="1375" t="s">
        <v>807</v>
      </c>
      <c r="H1013" s="1628" t="s">
        <v>1080</v>
      </c>
      <c r="I1013" s="1376" t="str">
        <f>VLOOKUP(H1012,'BTH mủ tạp'!$C$97:$AL$175,36,0)</f>
        <v>A</v>
      </c>
      <c r="J1013" s="1377"/>
      <c r="K1013" s="1377"/>
      <c r="L1013" s="1372"/>
    </row>
    <row r="1014" spans="1:12" s="31" customFormat="1" ht="17.25" customHeight="1">
      <c r="A1014" s="1375" t="s">
        <v>121</v>
      </c>
      <c r="B1014" s="1629" t="s">
        <v>865</v>
      </c>
      <c r="C1014" s="1378">
        <f>VLOOKUP(B1012,'CNKT '!$C$101:$Z$182,3,0)</f>
        <v>0</v>
      </c>
      <c r="D1014" s="1379">
        <v>25000</v>
      </c>
      <c r="E1014" s="1377">
        <f t="shared" ref="E1014:E1019" si="117">C1014*D1014</f>
        <v>0</v>
      </c>
      <c r="F1014" s="1436"/>
      <c r="G1014" s="1375" t="s">
        <v>121</v>
      </c>
      <c r="H1014" s="1629" t="s">
        <v>865</v>
      </c>
      <c r="I1014" s="1378">
        <f>VLOOKUP(H1012,'CNKT '!$C$101:$Z$182,3,0)</f>
        <v>0</v>
      </c>
      <c r="J1014" s="1379">
        <v>25000</v>
      </c>
      <c r="K1014" s="1377">
        <f t="shared" ref="K1014:K1019" si="118">I1014*J1014</f>
        <v>0</v>
      </c>
      <c r="L1014" s="1372"/>
    </row>
    <row r="1015" spans="1:12" s="31" customFormat="1" ht="17.25" customHeight="1">
      <c r="A1015" s="1375" t="s">
        <v>628</v>
      </c>
      <c r="B1015" s="1630" t="s">
        <v>1081</v>
      </c>
      <c r="C1015" s="1433">
        <f>VLOOKUP(B1012,'CNKT '!$C$101:$Z$182,11,0)</f>
        <v>0</v>
      </c>
      <c r="D1015" s="1380">
        <f>46.1*$B$2</f>
        <v>30241.600000000002</v>
      </c>
      <c r="E1015" s="1377">
        <f t="shared" si="117"/>
        <v>0</v>
      </c>
      <c r="F1015" s="1436"/>
      <c r="G1015" s="1375" t="s">
        <v>628</v>
      </c>
      <c r="H1015" s="1630" t="s">
        <v>1081</v>
      </c>
      <c r="I1015" s="1433">
        <f>VLOOKUP(H1012,'CNKT '!$C$101:$Z$182,11,0)</f>
        <v>0</v>
      </c>
      <c r="J1015" s="1380">
        <f>46.1*$B$2</f>
        <v>30241.600000000002</v>
      </c>
      <c r="K1015" s="1377">
        <f t="shared" si="118"/>
        <v>0</v>
      </c>
      <c r="L1015" s="1372"/>
    </row>
    <row r="1016" spans="1:12" s="31" customFormat="1" ht="17.25" customHeight="1">
      <c r="A1016" s="1375" t="s">
        <v>809</v>
      </c>
      <c r="B1016" s="1630" t="s">
        <v>1082</v>
      </c>
      <c r="C1016" s="1433">
        <f>VLOOKUP(B1012,'CNKT '!$C$101:$Z$182,12,0)</f>
        <v>0</v>
      </c>
      <c r="D1016" s="1379">
        <f>76.9*$B$2</f>
        <v>50446.400000000001</v>
      </c>
      <c r="E1016" s="1377">
        <f t="shared" si="117"/>
        <v>0</v>
      </c>
      <c r="F1016" s="1436"/>
      <c r="G1016" s="1375" t="s">
        <v>809</v>
      </c>
      <c r="H1016" s="1630" t="s">
        <v>1082</v>
      </c>
      <c r="I1016" s="1433">
        <f>VLOOKUP(H1012,'CNKT '!$C$101:$Z$182,12,0)</f>
        <v>0</v>
      </c>
      <c r="J1016" s="1379">
        <f>76.9*$B$2</f>
        <v>50446.400000000001</v>
      </c>
      <c r="K1016" s="1377">
        <f t="shared" si="118"/>
        <v>0</v>
      </c>
      <c r="L1016" s="1372"/>
    </row>
    <row r="1017" spans="1:12" s="31" customFormat="1" ht="17.25" customHeight="1">
      <c r="A1017" s="1375" t="s">
        <v>122</v>
      </c>
      <c r="B1017" s="1630" t="s">
        <v>1083</v>
      </c>
      <c r="C1017" s="1433">
        <f>VLOOKUP(B1012,'CNKT '!$C$101:$Z$182,8,0)</f>
        <v>0</v>
      </c>
      <c r="D1017" s="1379">
        <f>IF(C1013="A",6.1,IF(C1013="B",5.8,IF(C1013="C",5.5,IF(C1013="C.",5.5,IF(C1013="D",5.2)))))*$B$2</f>
        <v>4001.6</v>
      </c>
      <c r="E1017" s="1377">
        <f t="shared" si="117"/>
        <v>0</v>
      </c>
      <c r="F1017" s="1436"/>
      <c r="G1017" s="1375" t="s">
        <v>122</v>
      </c>
      <c r="H1017" s="1630" t="s">
        <v>1083</v>
      </c>
      <c r="I1017" s="1433">
        <f>VLOOKUP(H1012,'CNKT '!$C$101:$Z$182,8,0)</f>
        <v>0</v>
      </c>
      <c r="J1017" s="1379">
        <f>IF(I1013="A",6.1,IF(I1013="B",5.8,IF(I1013="C",5.5,IF(I1013="C.",5.5,IF(I1013="D",5.2)))))*$B$2</f>
        <v>4001.6</v>
      </c>
      <c r="K1017" s="1377">
        <f t="shared" si="118"/>
        <v>0</v>
      </c>
      <c r="L1017" s="1372"/>
    </row>
    <row r="1018" spans="1:12" s="31" customFormat="1" ht="17.25" customHeight="1">
      <c r="A1018" s="1375" t="s">
        <v>959</v>
      </c>
      <c r="B1018" s="1630" t="s">
        <v>1084</v>
      </c>
      <c r="C1018" s="1433">
        <f>VLOOKUP(B1012,'CNKT '!$C$101:$Z$182,15,0)</f>
        <v>0</v>
      </c>
      <c r="D1018" s="1380">
        <f>92.2*$B$2</f>
        <v>60483.200000000004</v>
      </c>
      <c r="E1018" s="1377">
        <f t="shared" si="117"/>
        <v>0</v>
      </c>
      <c r="F1018" s="1436"/>
      <c r="G1018" s="1375" t="s">
        <v>959</v>
      </c>
      <c r="H1018" s="1630" t="s">
        <v>1084</v>
      </c>
      <c r="I1018" s="1433">
        <f>VLOOKUP(H1012,'CNKT '!$C$101:$Z$182,15,0)</f>
        <v>0</v>
      </c>
      <c r="J1018" s="1380">
        <f>92.2*$B$2</f>
        <v>60483.200000000004</v>
      </c>
      <c r="K1018" s="1377">
        <f t="shared" si="118"/>
        <v>0</v>
      </c>
      <c r="L1018" s="1372"/>
    </row>
    <row r="1019" spans="1:12" s="31" customFormat="1" ht="17.25" customHeight="1">
      <c r="A1019" s="1375" t="s">
        <v>960</v>
      </c>
      <c r="B1019" s="1630" t="s">
        <v>964</v>
      </c>
      <c r="C1019" s="1433">
        <f>VLOOKUP(B1012,'CNKT '!$C$101:$Z$182,16,0)</f>
        <v>0</v>
      </c>
      <c r="D1019" s="1379">
        <f>153.8*$B$2</f>
        <v>100892.8</v>
      </c>
      <c r="E1019" s="1377">
        <f t="shared" si="117"/>
        <v>0</v>
      </c>
      <c r="F1019" s="1436"/>
      <c r="G1019" s="1375" t="s">
        <v>960</v>
      </c>
      <c r="H1019" s="1630" t="s">
        <v>964</v>
      </c>
      <c r="I1019" s="1433">
        <f>VLOOKUP(H1012,'CNKT '!$C$101:$Z$182,16,0)</f>
        <v>0</v>
      </c>
      <c r="J1019" s="1379">
        <f>153.8*$B$2</f>
        <v>100892.8</v>
      </c>
      <c r="K1019" s="1377">
        <f t="shared" si="118"/>
        <v>0</v>
      </c>
      <c r="L1019" s="1372"/>
    </row>
    <row r="1020" spans="1:12" s="31" customFormat="1" ht="17.25" customHeight="1">
      <c r="A1020" s="1375" t="s">
        <v>899</v>
      </c>
      <c r="B1020" s="1630" t="s">
        <v>965</v>
      </c>
      <c r="C1020" s="1433">
        <f>VLOOKUP(B1012,'CNKT '!$C$101:$Z$188,18,0)</f>
        <v>0</v>
      </c>
      <c r="D1020" s="1379">
        <v>10000</v>
      </c>
      <c r="E1020" s="1377">
        <f>C1020*D1020</f>
        <v>0</v>
      </c>
      <c r="F1020" s="1436"/>
      <c r="G1020" s="1375" t="s">
        <v>899</v>
      </c>
      <c r="H1020" s="1630" t="s">
        <v>965</v>
      </c>
      <c r="I1020" s="1433">
        <f>VLOOKUP(H1012,'CNKT '!$C$101:$Z$188,18,0)</f>
        <v>0</v>
      </c>
      <c r="J1020" s="1379">
        <v>10000</v>
      </c>
      <c r="K1020" s="1377">
        <f>I1020*J1020</f>
        <v>0</v>
      </c>
      <c r="L1020" s="1372"/>
    </row>
    <row r="1021" spans="1:12" s="31" customFormat="1" ht="17.25" customHeight="1">
      <c r="A1021" s="1375" t="s">
        <v>899</v>
      </c>
      <c r="B1021" s="1630" t="s">
        <v>965</v>
      </c>
      <c r="C1021" s="1433">
        <f>VLOOKUP(B1012,'CNKT '!$C$101:$Z$188,19,0)</f>
        <v>0</v>
      </c>
      <c r="D1021" s="1379">
        <v>20000</v>
      </c>
      <c r="E1021" s="1377">
        <f>C1021*D1021</f>
        <v>0</v>
      </c>
      <c r="F1021" s="1436"/>
      <c r="G1021" s="1375" t="s">
        <v>899</v>
      </c>
      <c r="H1021" s="1630" t="s">
        <v>965</v>
      </c>
      <c r="I1021" s="1433">
        <f>VLOOKUP(H1012,'CNKT '!$C$101:$Z$188,19,0)</f>
        <v>0</v>
      </c>
      <c r="J1021" s="1379">
        <v>20000</v>
      </c>
      <c r="K1021" s="1377">
        <f>I1021*J1021</f>
        <v>0</v>
      </c>
      <c r="L1021" s="1372"/>
    </row>
    <row r="1022" spans="1:12" s="31" customFormat="1" ht="17.25" customHeight="1">
      <c r="A1022" s="1375" t="s">
        <v>995</v>
      </c>
      <c r="B1022" s="1630" t="s">
        <v>997</v>
      </c>
      <c r="C1022" s="1433"/>
      <c r="D1022" s="1379"/>
      <c r="E1022" s="1377"/>
      <c r="F1022" s="1436"/>
      <c r="G1022" s="1375" t="s">
        <v>995</v>
      </c>
      <c r="H1022" s="1630" t="s">
        <v>997</v>
      </c>
      <c r="I1022" s="1433"/>
      <c r="J1022" s="1379"/>
      <c r="K1022" s="1377"/>
      <c r="L1022" s="1372"/>
    </row>
    <row r="1023" spans="1:12" s="31" customFormat="1" ht="17.25" customHeight="1">
      <c r="A1023" s="1381" t="s">
        <v>123</v>
      </c>
      <c r="B1023" s="1631" t="s">
        <v>1085</v>
      </c>
      <c r="C1023" s="1382"/>
      <c r="D1023" s="1383"/>
      <c r="E1023" s="1382"/>
      <c r="F1023" s="1436"/>
      <c r="G1023" s="1381" t="s">
        <v>123</v>
      </c>
      <c r="H1023" s="1631" t="s">
        <v>1085</v>
      </c>
      <c r="I1023" s="1382"/>
      <c r="J1023" s="1383"/>
      <c r="K1023" s="1382"/>
      <c r="L1023" s="1372"/>
    </row>
    <row r="1024" spans="1:12" s="31" customFormat="1" ht="17.25" customHeight="1">
      <c r="A1024" s="1384" t="s">
        <v>124</v>
      </c>
      <c r="B1024" s="1632" t="s">
        <v>1086</v>
      </c>
      <c r="C1024" s="1382"/>
      <c r="D1024" s="1382"/>
      <c r="E1024" s="1382"/>
      <c r="F1024" s="1436"/>
      <c r="G1024" s="1384" t="s">
        <v>124</v>
      </c>
      <c r="H1024" s="1632" t="s">
        <v>1086</v>
      </c>
      <c r="I1024" s="1382"/>
      <c r="J1024" s="1382"/>
      <c r="K1024" s="1382"/>
      <c r="L1024" s="1372"/>
    </row>
    <row r="1025" spans="1:13" s="31" customFormat="1" ht="17.25" customHeight="1">
      <c r="A1025" s="1384" t="s">
        <v>125</v>
      </c>
      <c r="B1025" s="1633" t="s">
        <v>1087</v>
      </c>
      <c r="C1025" s="1382"/>
      <c r="D1025" s="1382"/>
      <c r="E1025" s="1377">
        <f>SUM(E1024)</f>
        <v>0</v>
      </c>
      <c r="F1025" s="1423"/>
      <c r="G1025" s="1384" t="s">
        <v>125</v>
      </c>
      <c r="H1025" s="1633" t="s">
        <v>1087</v>
      </c>
      <c r="I1025" s="1382"/>
      <c r="J1025" s="1382"/>
      <c r="K1025" s="1377">
        <f>SUM(K1024)</f>
        <v>0</v>
      </c>
      <c r="L1025" s="1372"/>
      <c r="M1025" s="1385">
        <f>E1025+K1025</f>
        <v>0</v>
      </c>
    </row>
    <row r="1026" spans="1:13" s="31" customFormat="1" ht="17.25" customHeight="1">
      <c r="A1026" s="1386" t="s">
        <v>126</v>
      </c>
      <c r="B1026" s="1634" t="s">
        <v>871</v>
      </c>
      <c r="C1026" s="1387"/>
      <c r="D1026" s="1387"/>
      <c r="E1026" s="1387">
        <f>(E1014+E1015+E1016+E1017+E1018+E1019+E1020+E1021+E1022)-E1025</f>
        <v>0</v>
      </c>
      <c r="F1026" s="1423"/>
      <c r="G1026" s="1386" t="s">
        <v>126</v>
      </c>
      <c r="H1026" s="1634" t="s">
        <v>871</v>
      </c>
      <c r="I1026" s="1387"/>
      <c r="J1026" s="1387"/>
      <c r="K1026" s="1387">
        <f>(K1014+K1015+K1016+K1017+K1018+K1019+K1020+K1021+K1022)-K1025</f>
        <v>0</v>
      </c>
      <c r="L1026" s="1389">
        <f>E1026+K1026</f>
        <v>0</v>
      </c>
    </row>
    <row r="1027" spans="1:13" s="31" customFormat="1" ht="255" customHeight="1">
      <c r="A1027" s="2183"/>
      <c r="B1027" s="2183"/>
      <c r="C1027" s="2183"/>
      <c r="D1027" s="2183"/>
      <c r="E1027" s="2183"/>
      <c r="F1027" s="1427"/>
      <c r="G1027" s="2183"/>
      <c r="H1027" s="2183"/>
      <c r="I1027" s="2183"/>
      <c r="J1027" s="2183"/>
      <c r="K1027" s="1428"/>
      <c r="L1027" s="1372"/>
    </row>
    <row r="1028" spans="1:13" s="31" customFormat="1" ht="17.25" customHeight="1">
      <c r="A1028" s="1449" t="str">
        <f>A1011</f>
        <v>LƯƠNG THÁNG 01/2025</v>
      </c>
      <c r="B1028" s="1449"/>
      <c r="C1028" s="1449"/>
      <c r="D1028" s="1449"/>
      <c r="E1028" s="1449">
        <f>VLOOKUP(B1029,'CNKT '!$C$101:$AD$188,26,0)</f>
        <v>0</v>
      </c>
      <c r="F1028" s="1427"/>
      <c r="G1028" s="1449" t="str">
        <f>A1028</f>
        <v>LƯƠNG THÁNG 01/2025</v>
      </c>
      <c r="H1028" s="1449"/>
      <c r="I1028" s="1449"/>
      <c r="J1028" s="1449"/>
      <c r="K1028" s="1449">
        <f>VLOOKUP(H1029,'CNKT '!$C$101:$AD$188,26,0)</f>
        <v>0</v>
      </c>
      <c r="L1028" s="1372"/>
    </row>
    <row r="1029" spans="1:13" s="31" customFormat="1" ht="17.25" customHeight="1">
      <c r="A1029" s="1391" t="s">
        <v>29</v>
      </c>
      <c r="B1029" s="1626" t="str">
        <f>'CNKT '!C135</f>
        <v>N. Công Say</v>
      </c>
      <c r="C1029" s="1376"/>
      <c r="D1029" s="1626" t="s">
        <v>806</v>
      </c>
      <c r="E1029" s="1626" t="s">
        <v>32</v>
      </c>
      <c r="F1029" s="1436"/>
      <c r="G1029" s="1391" t="s">
        <v>29</v>
      </c>
      <c r="H1029" s="1626" t="str">
        <f>'CNKT '!C136</f>
        <v>N. Xi Xộm</v>
      </c>
      <c r="I1029" s="1376"/>
      <c r="J1029" s="1626" t="s">
        <v>806</v>
      </c>
      <c r="K1029" s="1626" t="s">
        <v>32</v>
      </c>
      <c r="L1029" s="1372"/>
    </row>
    <row r="1030" spans="1:13" s="31" customFormat="1" ht="17.25" customHeight="1">
      <c r="A1030" s="1375" t="s">
        <v>807</v>
      </c>
      <c r="B1030" s="1628" t="s">
        <v>1080</v>
      </c>
      <c r="C1030" s="1376" t="str">
        <f>VLOOKUP(B1029,'BTH mủ tạp'!$C$97:$AL$175,36,0)</f>
        <v>A</v>
      </c>
      <c r="D1030" s="1377"/>
      <c r="E1030" s="1377"/>
      <c r="F1030" s="1436"/>
      <c r="G1030" s="1375" t="s">
        <v>807</v>
      </c>
      <c r="H1030" s="1628" t="s">
        <v>1080</v>
      </c>
      <c r="I1030" s="1376" t="str">
        <f>VLOOKUP(H1029,'BTH mủ tạp'!$C$97:$AL$175,36,0)</f>
        <v>B</v>
      </c>
      <c r="J1030" s="1377"/>
      <c r="K1030" s="1377"/>
      <c r="L1030" s="1372"/>
    </row>
    <row r="1031" spans="1:13" s="31" customFormat="1" ht="17.25" customHeight="1">
      <c r="A1031" s="1375" t="s">
        <v>121</v>
      </c>
      <c r="B1031" s="1629" t="s">
        <v>865</v>
      </c>
      <c r="C1031" s="1378">
        <f>VLOOKUP(B1029,'CNKT '!$C$101:$Z$182,3,0)</f>
        <v>0</v>
      </c>
      <c r="D1031" s="1379">
        <v>25000</v>
      </c>
      <c r="E1031" s="1377">
        <f t="shared" ref="E1031:E1036" si="119">C1031*D1031</f>
        <v>0</v>
      </c>
      <c r="F1031" s="1436"/>
      <c r="G1031" s="1375" t="s">
        <v>121</v>
      </c>
      <c r="H1031" s="1629" t="s">
        <v>865</v>
      </c>
      <c r="I1031" s="1378">
        <f>VLOOKUP(H1029,'CNKT '!$C$101:$Z$182,3,0)</f>
        <v>0</v>
      </c>
      <c r="J1031" s="1379">
        <v>25000</v>
      </c>
      <c r="K1031" s="1377">
        <f t="shared" ref="K1031:K1036" si="120">I1031*J1031</f>
        <v>0</v>
      </c>
      <c r="L1031" s="1372"/>
    </row>
    <row r="1032" spans="1:13" s="31" customFormat="1" ht="17.25" customHeight="1">
      <c r="A1032" s="1375" t="s">
        <v>628</v>
      </c>
      <c r="B1032" s="1630" t="s">
        <v>1081</v>
      </c>
      <c r="C1032" s="1433">
        <f>VLOOKUP(B1029,'CNKT '!$C$101:$Z$182,11,0)</f>
        <v>0</v>
      </c>
      <c r="D1032" s="1380">
        <f>46.1*$B$2</f>
        <v>30241.600000000002</v>
      </c>
      <c r="E1032" s="1377">
        <f t="shared" si="119"/>
        <v>0</v>
      </c>
      <c r="F1032" s="1436"/>
      <c r="G1032" s="1375" t="s">
        <v>628</v>
      </c>
      <c r="H1032" s="1630" t="s">
        <v>1081</v>
      </c>
      <c r="I1032" s="1433">
        <f>VLOOKUP(H1029,'CNKT '!$C$101:$Z$182,11,0)</f>
        <v>0</v>
      </c>
      <c r="J1032" s="1380">
        <f>46.1*$B$2</f>
        <v>30241.600000000002</v>
      </c>
      <c r="K1032" s="1377">
        <f t="shared" si="120"/>
        <v>0</v>
      </c>
      <c r="L1032" s="1372"/>
    </row>
    <row r="1033" spans="1:13" s="31" customFormat="1" ht="17.25" customHeight="1">
      <c r="A1033" s="1375" t="s">
        <v>809</v>
      </c>
      <c r="B1033" s="1630" t="s">
        <v>1082</v>
      </c>
      <c r="C1033" s="1433">
        <f>VLOOKUP(B1029,'CNKT '!$C$101:$Z$182,12,0)</f>
        <v>0</v>
      </c>
      <c r="D1033" s="1379">
        <f>76.9*$B$2</f>
        <v>50446.400000000001</v>
      </c>
      <c r="E1033" s="1377">
        <f t="shared" si="119"/>
        <v>0</v>
      </c>
      <c r="F1033" s="1436"/>
      <c r="G1033" s="1375" t="s">
        <v>809</v>
      </c>
      <c r="H1033" s="1630" t="s">
        <v>1082</v>
      </c>
      <c r="I1033" s="1433">
        <f>VLOOKUP(H1029,'CNKT '!$C$101:$Z$182,12,0)</f>
        <v>0</v>
      </c>
      <c r="J1033" s="1379">
        <f>76.9*$B$2</f>
        <v>50446.400000000001</v>
      </c>
      <c r="K1033" s="1377">
        <f t="shared" si="120"/>
        <v>0</v>
      </c>
      <c r="L1033" s="1372"/>
    </row>
    <row r="1034" spans="1:13" s="31" customFormat="1" ht="17.25" customHeight="1">
      <c r="A1034" s="1375" t="s">
        <v>122</v>
      </c>
      <c r="B1034" s="1630" t="s">
        <v>1083</v>
      </c>
      <c r="C1034" s="1433">
        <f>VLOOKUP(B1029,'CNKT '!$C$101:$Z$182,8,0)</f>
        <v>0</v>
      </c>
      <c r="D1034" s="1379">
        <f>IF(C1030="A",6.1,IF(C1030="B",5.8,IF(C1030="C",5.5,IF(C1030="C.",5.5,IF(C1030="D",5.2)))))*$B$2</f>
        <v>4001.6</v>
      </c>
      <c r="E1034" s="1377">
        <f t="shared" si="119"/>
        <v>0</v>
      </c>
      <c r="F1034" s="1436"/>
      <c r="G1034" s="1375" t="s">
        <v>122</v>
      </c>
      <c r="H1034" s="1630" t="s">
        <v>1083</v>
      </c>
      <c r="I1034" s="1433">
        <f>VLOOKUP(H1029,'CNKT '!$C$101:$Z$182,8,0)</f>
        <v>0</v>
      </c>
      <c r="J1034" s="1379">
        <f>IF(I1030="A",6.1,IF(I1030="B",5.8,IF(I1030="C",5.5,IF(I1030="C.",5.5,IF(I1030="D",5.2)))))*$B$2</f>
        <v>3804.7999999999997</v>
      </c>
      <c r="K1034" s="1377">
        <f t="shared" si="120"/>
        <v>0</v>
      </c>
      <c r="L1034" s="1372"/>
    </row>
    <row r="1035" spans="1:13" s="31" customFormat="1" ht="17.25" customHeight="1">
      <c r="A1035" s="1375" t="s">
        <v>959</v>
      </c>
      <c r="B1035" s="1630" t="s">
        <v>1084</v>
      </c>
      <c r="C1035" s="1433">
        <f>VLOOKUP(B1029,'CNKT '!$C$101:$Z$182,15,0)</f>
        <v>0</v>
      </c>
      <c r="D1035" s="1380">
        <f>92.2*$B$2</f>
        <v>60483.200000000004</v>
      </c>
      <c r="E1035" s="1377">
        <f t="shared" si="119"/>
        <v>0</v>
      </c>
      <c r="F1035" s="1436"/>
      <c r="G1035" s="1375" t="s">
        <v>959</v>
      </c>
      <c r="H1035" s="1630" t="s">
        <v>1084</v>
      </c>
      <c r="I1035" s="1433">
        <f>VLOOKUP(H1029,'CNKT '!$C$101:$Z$182,15,0)</f>
        <v>0</v>
      </c>
      <c r="J1035" s="1380">
        <f>92.2*$B$2</f>
        <v>60483.200000000004</v>
      </c>
      <c r="K1035" s="1377">
        <f t="shared" si="120"/>
        <v>0</v>
      </c>
      <c r="L1035" s="1372"/>
    </row>
    <row r="1036" spans="1:13" s="31" customFormat="1" ht="17.25" customHeight="1">
      <c r="A1036" s="1375" t="s">
        <v>960</v>
      </c>
      <c r="B1036" s="1630" t="s">
        <v>964</v>
      </c>
      <c r="C1036" s="1433">
        <f>VLOOKUP(B1029,'CNKT '!$C$101:$Z$182,16,0)</f>
        <v>0</v>
      </c>
      <c r="D1036" s="1379">
        <f>153.8*$B$2</f>
        <v>100892.8</v>
      </c>
      <c r="E1036" s="1377">
        <f t="shared" si="119"/>
        <v>0</v>
      </c>
      <c r="F1036" s="1436"/>
      <c r="G1036" s="1375" t="s">
        <v>960</v>
      </c>
      <c r="H1036" s="1630" t="s">
        <v>964</v>
      </c>
      <c r="I1036" s="1433">
        <f>VLOOKUP(H1029,'CNKT '!$C$101:$Z$182,16,0)</f>
        <v>0</v>
      </c>
      <c r="J1036" s="1379">
        <f>153.8*$B$2</f>
        <v>100892.8</v>
      </c>
      <c r="K1036" s="1377">
        <f t="shared" si="120"/>
        <v>0</v>
      </c>
      <c r="L1036" s="1372"/>
    </row>
    <row r="1037" spans="1:13" s="31" customFormat="1" ht="17.25" customHeight="1">
      <c r="A1037" s="1375" t="s">
        <v>899</v>
      </c>
      <c r="B1037" s="1630" t="s">
        <v>965</v>
      </c>
      <c r="C1037" s="1433">
        <f>VLOOKUP(B1029,'CNKT '!$C$101:$Z$188,18,0)</f>
        <v>0</v>
      </c>
      <c r="D1037" s="1379">
        <v>10000</v>
      </c>
      <c r="E1037" s="1377">
        <f>C1037*D1037</f>
        <v>0</v>
      </c>
      <c r="F1037" s="1436"/>
      <c r="G1037" s="1375" t="s">
        <v>899</v>
      </c>
      <c r="H1037" s="1630" t="s">
        <v>965</v>
      </c>
      <c r="I1037" s="1433">
        <f>VLOOKUP(H1029,'CNKT '!$C$101:$Z$188,18,0)</f>
        <v>0</v>
      </c>
      <c r="J1037" s="1379">
        <v>10000</v>
      </c>
      <c r="K1037" s="1377">
        <f>I1037*J1037</f>
        <v>0</v>
      </c>
      <c r="L1037" s="1372"/>
    </row>
    <row r="1038" spans="1:13" s="31" customFormat="1" ht="17.25" customHeight="1">
      <c r="A1038" s="1375" t="s">
        <v>899</v>
      </c>
      <c r="B1038" s="1630" t="s">
        <v>965</v>
      </c>
      <c r="C1038" s="1433">
        <f>VLOOKUP(B1029,'CNKT '!$C$101:$Z$188,19,0)</f>
        <v>0</v>
      </c>
      <c r="D1038" s="1379">
        <v>20000</v>
      </c>
      <c r="E1038" s="1377">
        <f>C1038*D1038</f>
        <v>0</v>
      </c>
      <c r="F1038" s="1436"/>
      <c r="G1038" s="1375" t="s">
        <v>899</v>
      </c>
      <c r="H1038" s="1630" t="s">
        <v>965</v>
      </c>
      <c r="I1038" s="1433">
        <f>VLOOKUP(H1029,'CNKT '!$C$101:$Z$188,19,0)</f>
        <v>0</v>
      </c>
      <c r="J1038" s="1379">
        <v>20000</v>
      </c>
      <c r="K1038" s="1377">
        <f>I1038*J1038</f>
        <v>0</v>
      </c>
      <c r="L1038" s="1372"/>
    </row>
    <row r="1039" spans="1:13" s="31" customFormat="1" ht="17.25" customHeight="1">
      <c r="A1039" s="1375" t="s">
        <v>995</v>
      </c>
      <c r="B1039" s="1630" t="s">
        <v>997</v>
      </c>
      <c r="C1039" s="1433"/>
      <c r="D1039" s="1379"/>
      <c r="E1039" s="1377"/>
      <c r="F1039" s="1436"/>
      <c r="G1039" s="1375" t="s">
        <v>995</v>
      </c>
      <c r="H1039" s="1630" t="s">
        <v>997</v>
      </c>
      <c r="I1039" s="1433"/>
      <c r="J1039" s="1379"/>
      <c r="K1039" s="1377"/>
      <c r="L1039" s="1372"/>
    </row>
    <row r="1040" spans="1:13" s="31" customFormat="1" ht="17.25" customHeight="1">
      <c r="A1040" s="1381" t="s">
        <v>123</v>
      </c>
      <c r="B1040" s="1631" t="s">
        <v>1085</v>
      </c>
      <c r="C1040" s="1382"/>
      <c r="D1040" s="1383"/>
      <c r="E1040" s="1382"/>
      <c r="F1040" s="1436"/>
      <c r="G1040" s="1381" t="s">
        <v>123</v>
      </c>
      <c r="H1040" s="1631" t="s">
        <v>1085</v>
      </c>
      <c r="I1040" s="1382"/>
      <c r="J1040" s="1383"/>
      <c r="K1040" s="1382"/>
      <c r="L1040" s="1372"/>
    </row>
    <row r="1041" spans="1:12" s="31" customFormat="1" ht="17.25" customHeight="1">
      <c r="A1041" s="1384" t="s">
        <v>124</v>
      </c>
      <c r="B1041" s="1632" t="s">
        <v>1086</v>
      </c>
      <c r="C1041" s="1382"/>
      <c r="D1041" s="1382"/>
      <c r="E1041" s="1382"/>
      <c r="F1041" s="1436"/>
      <c r="G1041" s="1384" t="s">
        <v>124</v>
      </c>
      <c r="H1041" s="1632" t="s">
        <v>1086</v>
      </c>
      <c r="I1041" s="1382"/>
      <c r="J1041" s="1382"/>
      <c r="K1041" s="1382"/>
      <c r="L1041" s="1372"/>
    </row>
    <row r="1042" spans="1:12" s="31" customFormat="1" ht="17.25" customHeight="1">
      <c r="A1042" s="1384" t="s">
        <v>125</v>
      </c>
      <c r="B1042" s="1633" t="s">
        <v>1087</v>
      </c>
      <c r="C1042" s="1382"/>
      <c r="D1042" s="1382"/>
      <c r="E1042" s="1377">
        <f>SUM(E1041)</f>
        <v>0</v>
      </c>
      <c r="F1042" s="1423"/>
      <c r="G1042" s="1384" t="s">
        <v>125</v>
      </c>
      <c r="H1042" s="1633" t="s">
        <v>1087</v>
      </c>
      <c r="I1042" s="1382"/>
      <c r="J1042" s="1382"/>
      <c r="K1042" s="1377">
        <f>SUM(K1041)</f>
        <v>0</v>
      </c>
      <c r="L1042" s="1372"/>
    </row>
    <row r="1043" spans="1:12" s="31" customFormat="1" ht="17.25" customHeight="1">
      <c r="A1043" s="1386" t="s">
        <v>126</v>
      </c>
      <c r="B1043" s="1634" t="s">
        <v>871</v>
      </c>
      <c r="C1043" s="1387"/>
      <c r="D1043" s="1387"/>
      <c r="E1043" s="1387">
        <f>(E1031+E1032+E1033+E1034+E1035+E1036+E1037+E1038+E1039)-E1042</f>
        <v>0</v>
      </c>
      <c r="F1043" s="1423"/>
      <c r="G1043" s="1386" t="s">
        <v>126</v>
      </c>
      <c r="H1043" s="1634" t="s">
        <v>871</v>
      </c>
      <c r="I1043" s="1387"/>
      <c r="J1043" s="1387"/>
      <c r="K1043" s="1387">
        <f>(K1031+K1032+K1033+K1034+K1035+K1036+K1037+K1038+K1039)-K1042</f>
        <v>0</v>
      </c>
      <c r="L1043" s="1389">
        <f>E1043+K1043</f>
        <v>0</v>
      </c>
    </row>
    <row r="1044" spans="1:12" s="31" customFormat="1" ht="17.25" customHeight="1">
      <c r="A1044" s="2183"/>
      <c r="B1044" s="2183"/>
      <c r="C1044" s="2183"/>
      <c r="D1044" s="2183"/>
      <c r="E1044" s="2183"/>
      <c r="F1044" s="1427"/>
      <c r="G1044" s="2183"/>
      <c r="H1044" s="2183"/>
      <c r="I1044" s="2183"/>
      <c r="J1044" s="2183"/>
      <c r="K1044" s="1428"/>
      <c r="L1044" s="1372"/>
    </row>
    <row r="1045" spans="1:12" s="31" customFormat="1" ht="17.25" customHeight="1">
      <c r="A1045" s="1449" t="str">
        <f>A1028</f>
        <v>LƯƠNG THÁNG 01/2025</v>
      </c>
      <c r="B1045" s="1449"/>
      <c r="C1045" s="1449"/>
      <c r="D1045" s="1449"/>
      <c r="E1045" s="1449">
        <f>VLOOKUP(B1046,'CNKT '!$C$101:$AD$188,26,0)</f>
        <v>0</v>
      </c>
      <c r="F1045" s="1427"/>
      <c r="G1045" s="1449" t="str">
        <f>A1045</f>
        <v>LƯƠNG THÁNG 01/2025</v>
      </c>
      <c r="H1045" s="1449"/>
      <c r="I1045" s="1449"/>
      <c r="J1045" s="1449"/>
      <c r="K1045" s="1449">
        <f>VLOOKUP(H1046,'CNKT '!$C$101:$AD$188,26,0)</f>
        <v>0</v>
      </c>
      <c r="L1045" s="1372"/>
    </row>
    <row r="1046" spans="1:12" s="31" customFormat="1" ht="17.25" customHeight="1">
      <c r="A1046" s="1391" t="s">
        <v>29</v>
      </c>
      <c r="B1046" s="1626" t="str">
        <f>'CNKT '!C137</f>
        <v>T. Đuông</v>
      </c>
      <c r="C1046" s="1376"/>
      <c r="D1046" s="1626" t="s">
        <v>806</v>
      </c>
      <c r="E1046" s="1626" t="s">
        <v>32</v>
      </c>
      <c r="F1046" s="1436"/>
      <c r="G1046" s="1391" t="s">
        <v>29</v>
      </c>
      <c r="H1046" s="1626" t="str">
        <f>'CNKT '!C138</f>
        <v>T . Pheng</v>
      </c>
      <c r="I1046" s="1376"/>
      <c r="J1046" s="1626" t="s">
        <v>806</v>
      </c>
      <c r="K1046" s="1626" t="s">
        <v>32</v>
      </c>
      <c r="L1046" s="1372"/>
    </row>
    <row r="1047" spans="1:12" s="31" customFormat="1" ht="17.25" customHeight="1">
      <c r="A1047" s="1375" t="s">
        <v>807</v>
      </c>
      <c r="B1047" s="1628" t="s">
        <v>1080</v>
      </c>
      <c r="C1047" s="1376" t="str">
        <f>VLOOKUP(B1046,'BTH mủ tạp'!$C$97:$AL$175,36,0)</f>
        <v>B</v>
      </c>
      <c r="D1047" s="1377"/>
      <c r="E1047" s="1377"/>
      <c r="F1047" s="1436"/>
      <c r="G1047" s="1375" t="s">
        <v>807</v>
      </c>
      <c r="H1047" s="1628" t="s">
        <v>1080</v>
      </c>
      <c r="I1047" s="1376" t="str">
        <f>VLOOKUP(H1046,'BTH mủ tạp'!$C$97:$AL$175,36,0)</f>
        <v>B</v>
      </c>
      <c r="J1047" s="1377"/>
      <c r="K1047" s="1377"/>
      <c r="L1047" s="1372"/>
    </row>
    <row r="1048" spans="1:12" s="31" customFormat="1" ht="17.25" customHeight="1">
      <c r="A1048" s="1375" t="s">
        <v>121</v>
      </c>
      <c r="B1048" s="1629" t="s">
        <v>865</v>
      </c>
      <c r="C1048" s="1378">
        <f>VLOOKUP(B1046,'CNKT '!$C$101:$Z$182,3,0)</f>
        <v>0</v>
      </c>
      <c r="D1048" s="1379">
        <v>25000</v>
      </c>
      <c r="E1048" s="1377">
        <f t="shared" ref="E1048:E1053" si="121">C1048*D1048</f>
        <v>0</v>
      </c>
      <c r="F1048" s="1436"/>
      <c r="G1048" s="1375" t="s">
        <v>121</v>
      </c>
      <c r="H1048" s="1629" t="s">
        <v>865</v>
      </c>
      <c r="I1048" s="1378">
        <f>VLOOKUP(H1046,'CNKT '!$C$101:$Z$182,3,0)</f>
        <v>0</v>
      </c>
      <c r="J1048" s="1379">
        <v>25000</v>
      </c>
      <c r="K1048" s="1377">
        <f t="shared" ref="K1048:K1053" si="122">I1048*J1048</f>
        <v>0</v>
      </c>
      <c r="L1048" s="1372"/>
    </row>
    <row r="1049" spans="1:12" s="31" customFormat="1" ht="17.25" customHeight="1">
      <c r="A1049" s="1375" t="s">
        <v>628</v>
      </c>
      <c r="B1049" s="1630" t="s">
        <v>1081</v>
      </c>
      <c r="C1049" s="1433">
        <f>VLOOKUP(B1046,'CNKT '!$C$101:$Z$182,11,0)</f>
        <v>0</v>
      </c>
      <c r="D1049" s="1380">
        <f>46.1*$B$2</f>
        <v>30241.600000000002</v>
      </c>
      <c r="E1049" s="1377">
        <f t="shared" si="121"/>
        <v>0</v>
      </c>
      <c r="F1049" s="1436"/>
      <c r="G1049" s="1375" t="s">
        <v>628</v>
      </c>
      <c r="H1049" s="1630" t="s">
        <v>1081</v>
      </c>
      <c r="I1049" s="1433">
        <f>VLOOKUP(H1046,'CNKT '!$C$101:$Z$182,11,0)</f>
        <v>0</v>
      </c>
      <c r="J1049" s="1380">
        <f>46.1*$B$2</f>
        <v>30241.600000000002</v>
      </c>
      <c r="K1049" s="1377">
        <f t="shared" si="122"/>
        <v>0</v>
      </c>
      <c r="L1049" s="1372"/>
    </row>
    <row r="1050" spans="1:12" s="31" customFormat="1" ht="17.25" customHeight="1">
      <c r="A1050" s="1375" t="s">
        <v>809</v>
      </c>
      <c r="B1050" s="1630" t="s">
        <v>1082</v>
      </c>
      <c r="C1050" s="1433">
        <f>VLOOKUP(B1046,'CNKT '!$C$101:$Z$182,12,0)</f>
        <v>0</v>
      </c>
      <c r="D1050" s="1379">
        <f>76.9*$B$2</f>
        <v>50446.400000000001</v>
      </c>
      <c r="E1050" s="1377">
        <f t="shared" si="121"/>
        <v>0</v>
      </c>
      <c r="F1050" s="1436"/>
      <c r="G1050" s="1375" t="s">
        <v>809</v>
      </c>
      <c r="H1050" s="1630" t="s">
        <v>1082</v>
      </c>
      <c r="I1050" s="1433">
        <f>VLOOKUP(H1046,'CNKT '!$C$101:$Z$182,12,0)</f>
        <v>0</v>
      </c>
      <c r="J1050" s="1379">
        <f>76.9*$B$2</f>
        <v>50446.400000000001</v>
      </c>
      <c r="K1050" s="1377">
        <f t="shared" si="122"/>
        <v>0</v>
      </c>
      <c r="L1050" s="1372"/>
    </row>
    <row r="1051" spans="1:12" s="31" customFormat="1" ht="17.25" customHeight="1">
      <c r="A1051" s="1375" t="s">
        <v>122</v>
      </c>
      <c r="B1051" s="1630" t="s">
        <v>1083</v>
      </c>
      <c r="C1051" s="1433">
        <f>VLOOKUP(B1046,'CNKT '!$C$101:$Z$182,8,0)</f>
        <v>0</v>
      </c>
      <c r="D1051" s="1379">
        <f>IF(C1047="A",6.1,IF(C1047="B",5.8,IF(C1047="C",5.5,IF(C1047="C.",5.5,IF(C1047="D",5.2)))))*$B$2</f>
        <v>3804.7999999999997</v>
      </c>
      <c r="E1051" s="1377">
        <f t="shared" si="121"/>
        <v>0</v>
      </c>
      <c r="F1051" s="1436"/>
      <c r="G1051" s="1375" t="s">
        <v>122</v>
      </c>
      <c r="H1051" s="1630" t="s">
        <v>1083</v>
      </c>
      <c r="I1051" s="1433">
        <f>VLOOKUP(H1046,'CNKT '!$C$101:$Z$182,8,0)</f>
        <v>0</v>
      </c>
      <c r="J1051" s="1379">
        <f>IF(I1047="A",6.1,IF(I1047="B",5.8,IF(I1047="C",5.5,IF(I1047="C.",5.5,IF(I1047="D",5.2)))))*$B$2</f>
        <v>3804.7999999999997</v>
      </c>
      <c r="K1051" s="1377">
        <f t="shared" si="122"/>
        <v>0</v>
      </c>
      <c r="L1051" s="1372"/>
    </row>
    <row r="1052" spans="1:12" s="31" customFormat="1" ht="17.25" customHeight="1">
      <c r="A1052" s="1375" t="s">
        <v>959</v>
      </c>
      <c r="B1052" s="1630" t="s">
        <v>1084</v>
      </c>
      <c r="C1052" s="1433">
        <f>VLOOKUP(B1046,'CNKT '!$C$101:$Z$182,15,0)</f>
        <v>0</v>
      </c>
      <c r="D1052" s="1380">
        <f>92.2*$B$2</f>
        <v>60483.200000000004</v>
      </c>
      <c r="E1052" s="1377">
        <f t="shared" si="121"/>
        <v>0</v>
      </c>
      <c r="F1052" s="1436"/>
      <c r="G1052" s="1375" t="s">
        <v>959</v>
      </c>
      <c r="H1052" s="1630" t="s">
        <v>1084</v>
      </c>
      <c r="I1052" s="1433">
        <f>VLOOKUP(H1046,'CNKT '!$C$101:$Z$182,15,0)</f>
        <v>0</v>
      </c>
      <c r="J1052" s="1380">
        <f>92.2*$B$2</f>
        <v>60483.200000000004</v>
      </c>
      <c r="K1052" s="1377">
        <f t="shared" si="122"/>
        <v>0</v>
      </c>
      <c r="L1052" s="1372"/>
    </row>
    <row r="1053" spans="1:12" s="31" customFormat="1" ht="17.25" customHeight="1">
      <c r="A1053" s="1375" t="s">
        <v>960</v>
      </c>
      <c r="B1053" s="1630" t="s">
        <v>964</v>
      </c>
      <c r="C1053" s="1433">
        <f>VLOOKUP(B1046,'CNKT '!$C$101:$Z$182,16,0)</f>
        <v>0</v>
      </c>
      <c r="D1053" s="1379">
        <f>153.8*$B$2</f>
        <v>100892.8</v>
      </c>
      <c r="E1053" s="1377">
        <f t="shared" si="121"/>
        <v>0</v>
      </c>
      <c r="F1053" s="1436"/>
      <c r="G1053" s="1375" t="s">
        <v>960</v>
      </c>
      <c r="H1053" s="1630" t="s">
        <v>964</v>
      </c>
      <c r="I1053" s="1433">
        <f>VLOOKUP(H1046,'CNKT '!$C$101:$Z$182,16,0)</f>
        <v>0</v>
      </c>
      <c r="J1053" s="1379">
        <f>153.8*$B$2</f>
        <v>100892.8</v>
      </c>
      <c r="K1053" s="1377">
        <f t="shared" si="122"/>
        <v>0</v>
      </c>
      <c r="L1053" s="1372"/>
    </row>
    <row r="1054" spans="1:12" s="31" customFormat="1" ht="17.25" customHeight="1">
      <c r="A1054" s="1375" t="s">
        <v>899</v>
      </c>
      <c r="B1054" s="1630" t="s">
        <v>965</v>
      </c>
      <c r="C1054" s="1433">
        <f>VLOOKUP(B1046,'CNKT '!$C$101:$Z$188,18,0)</f>
        <v>0</v>
      </c>
      <c r="D1054" s="1379">
        <v>10000</v>
      </c>
      <c r="E1054" s="1377">
        <f>C1054*D1054</f>
        <v>0</v>
      </c>
      <c r="F1054" s="1436"/>
      <c r="G1054" s="1375" t="s">
        <v>899</v>
      </c>
      <c r="H1054" s="1630" t="s">
        <v>965</v>
      </c>
      <c r="I1054" s="1433">
        <f>VLOOKUP(H1046,'CNKT '!$C$101:$Z$188,18,0)</f>
        <v>0</v>
      </c>
      <c r="J1054" s="1379">
        <v>10000</v>
      </c>
      <c r="K1054" s="1377">
        <f>I1054*J1054</f>
        <v>0</v>
      </c>
      <c r="L1054" s="1372"/>
    </row>
    <row r="1055" spans="1:12" s="31" customFormat="1" ht="17.25" customHeight="1">
      <c r="A1055" s="1375" t="s">
        <v>899</v>
      </c>
      <c r="B1055" s="1630" t="s">
        <v>965</v>
      </c>
      <c r="C1055" s="1433">
        <f>VLOOKUP(B1046,'CNKT '!$C$101:$Z$188,19,0)</f>
        <v>0</v>
      </c>
      <c r="D1055" s="1379">
        <v>20000</v>
      </c>
      <c r="E1055" s="1377">
        <f>C1055*D1055</f>
        <v>0</v>
      </c>
      <c r="F1055" s="1436"/>
      <c r="G1055" s="1375" t="s">
        <v>899</v>
      </c>
      <c r="H1055" s="1630" t="s">
        <v>965</v>
      </c>
      <c r="I1055" s="1433">
        <f>VLOOKUP(H1046,'CNKT '!$C$101:$Z$188,19,0)</f>
        <v>0</v>
      </c>
      <c r="J1055" s="1379">
        <v>20000</v>
      </c>
      <c r="K1055" s="1377">
        <f>I1055*J1055</f>
        <v>0</v>
      </c>
      <c r="L1055" s="1372"/>
    </row>
    <row r="1056" spans="1:12" s="31" customFormat="1" ht="17.25" customHeight="1">
      <c r="A1056" s="1375" t="s">
        <v>995</v>
      </c>
      <c r="B1056" s="1630" t="s">
        <v>997</v>
      </c>
      <c r="C1056" s="1433"/>
      <c r="D1056" s="1379"/>
      <c r="E1056" s="1377"/>
      <c r="F1056" s="1436"/>
      <c r="G1056" s="1375" t="s">
        <v>995</v>
      </c>
      <c r="H1056" s="1630" t="s">
        <v>997</v>
      </c>
      <c r="I1056" s="1433"/>
      <c r="J1056" s="1379"/>
      <c r="K1056" s="1377"/>
      <c r="L1056" s="1372"/>
    </row>
    <row r="1057" spans="1:13" s="31" customFormat="1" ht="17.25" customHeight="1">
      <c r="A1057" s="1381" t="s">
        <v>123</v>
      </c>
      <c r="B1057" s="1631" t="s">
        <v>1085</v>
      </c>
      <c r="C1057" s="1382"/>
      <c r="D1057" s="1383"/>
      <c r="E1057" s="1382"/>
      <c r="F1057" s="1436"/>
      <c r="G1057" s="1381" t="s">
        <v>123</v>
      </c>
      <c r="H1057" s="1631" t="s">
        <v>1085</v>
      </c>
      <c r="I1057" s="1382"/>
      <c r="J1057" s="1383"/>
      <c r="K1057" s="1382"/>
      <c r="L1057" s="1372"/>
    </row>
    <row r="1058" spans="1:13" s="31" customFormat="1" ht="17.25" customHeight="1">
      <c r="A1058" s="1384" t="s">
        <v>124</v>
      </c>
      <c r="B1058" s="1632" t="s">
        <v>1086</v>
      </c>
      <c r="C1058" s="1382"/>
      <c r="D1058" s="1382"/>
      <c r="E1058" s="1382"/>
      <c r="F1058" s="1436"/>
      <c r="G1058" s="1384" t="s">
        <v>124</v>
      </c>
      <c r="H1058" s="1632" t="s">
        <v>1086</v>
      </c>
      <c r="I1058" s="1382"/>
      <c r="J1058" s="1382"/>
      <c r="K1058" s="1382"/>
      <c r="L1058" s="1372"/>
    </row>
    <row r="1059" spans="1:13" s="31" customFormat="1" ht="17.25" customHeight="1">
      <c r="A1059" s="1384" t="s">
        <v>125</v>
      </c>
      <c r="B1059" s="1633" t="s">
        <v>1087</v>
      </c>
      <c r="C1059" s="1382"/>
      <c r="D1059" s="1382"/>
      <c r="E1059" s="1377">
        <f>SUM(E1058)</f>
        <v>0</v>
      </c>
      <c r="F1059" s="1432"/>
      <c r="G1059" s="1384" t="s">
        <v>125</v>
      </c>
      <c r="H1059" s="1633" t="s">
        <v>1087</v>
      </c>
      <c r="I1059" s="1382"/>
      <c r="J1059" s="1382"/>
      <c r="K1059" s="1377">
        <f>SUM(K1058)</f>
        <v>0</v>
      </c>
      <c r="L1059" s="1372"/>
      <c r="M1059" s="1385">
        <f>E1059+K1059</f>
        <v>0</v>
      </c>
    </row>
    <row r="1060" spans="1:13" s="31" customFormat="1" ht="17.25" customHeight="1">
      <c r="A1060" s="1386" t="s">
        <v>126</v>
      </c>
      <c r="B1060" s="1634" t="s">
        <v>871</v>
      </c>
      <c r="C1060" s="1387"/>
      <c r="D1060" s="1387"/>
      <c r="E1060" s="1387">
        <f>(E1048+E1049+E1050+E1051+E1052+E1053+E1054+E1055+E1056)-E1059</f>
        <v>0</v>
      </c>
      <c r="F1060" s="1432"/>
      <c r="G1060" s="1386" t="s">
        <v>126</v>
      </c>
      <c r="H1060" s="1634" t="s">
        <v>871</v>
      </c>
      <c r="I1060" s="1387"/>
      <c r="J1060" s="1387"/>
      <c r="K1060" s="1387">
        <f>(K1048+K1049+K1050+K1051+K1052+K1053+K1054+K1055+K1056)-K1059</f>
        <v>0</v>
      </c>
      <c r="L1060" s="1389">
        <f>E1060+K1060</f>
        <v>0</v>
      </c>
    </row>
    <row r="1061" spans="1:13" s="31" customFormat="1" ht="17.25" customHeight="1">
      <c r="A1061" s="2183"/>
      <c r="B1061" s="2183"/>
      <c r="C1061" s="2183"/>
      <c r="D1061" s="2183"/>
      <c r="E1061" s="2183"/>
      <c r="F1061" s="1427"/>
      <c r="G1061" s="2183"/>
      <c r="H1061" s="2183"/>
      <c r="I1061" s="2183"/>
      <c r="J1061" s="2183"/>
      <c r="K1061" s="1428"/>
      <c r="L1061" s="1372"/>
    </row>
    <row r="1062" spans="1:13" s="31" customFormat="1" ht="17.25" customHeight="1">
      <c r="A1062" s="1449" t="str">
        <f>A1045</f>
        <v>LƯƠNG THÁNG 01/2025</v>
      </c>
      <c r="B1062" s="1449"/>
      <c r="C1062" s="1449"/>
      <c r="D1062" s="1449"/>
      <c r="E1062" s="1449">
        <f>VLOOKUP(B1063,'CNKT '!$C$101:$AD$188,26,0)</f>
        <v>0</v>
      </c>
      <c r="F1062" s="1427"/>
      <c r="G1062" s="1449" t="str">
        <f>A1062</f>
        <v>LƯƠNG THÁNG 01/2025</v>
      </c>
      <c r="H1062" s="1449"/>
      <c r="I1062" s="1449"/>
      <c r="J1062" s="1449"/>
      <c r="K1062" s="1449">
        <f>VLOOKUP(H1063,'CNKT '!$C$101:$AD$188,26,0)</f>
        <v>0</v>
      </c>
      <c r="L1062" s="1372"/>
    </row>
    <row r="1063" spans="1:13" s="31" customFormat="1" ht="17.25" customHeight="1">
      <c r="A1063" s="1391" t="s">
        <v>29</v>
      </c>
      <c r="B1063" s="1626" t="str">
        <f>'CNKT '!C139</f>
        <v>T. Nọi Ê</v>
      </c>
      <c r="C1063" s="1376"/>
      <c r="D1063" s="1626" t="s">
        <v>806</v>
      </c>
      <c r="E1063" s="1626" t="s">
        <v>32</v>
      </c>
      <c r="F1063" s="1436"/>
      <c r="G1063" s="1391" t="s">
        <v>29</v>
      </c>
      <c r="H1063" s="1626" t="str">
        <f>'CNKT '!C140</f>
        <v>N. Đeng</v>
      </c>
      <c r="I1063" s="1376"/>
      <c r="J1063" s="1626" t="s">
        <v>806</v>
      </c>
      <c r="K1063" s="1626" t="s">
        <v>32</v>
      </c>
      <c r="L1063" s="1372"/>
    </row>
    <row r="1064" spans="1:13" s="31" customFormat="1" ht="17.25" customHeight="1">
      <c r="A1064" s="1375" t="s">
        <v>807</v>
      </c>
      <c r="B1064" s="1628" t="s">
        <v>1080</v>
      </c>
      <c r="C1064" s="1376" t="str">
        <f>VLOOKUP(B1063,'BTH mủ tạp'!$C$97:$AL$175,36,0)</f>
        <v>A</v>
      </c>
      <c r="D1064" s="1377"/>
      <c r="E1064" s="1377"/>
      <c r="F1064" s="1436"/>
      <c r="G1064" s="1375" t="s">
        <v>807</v>
      </c>
      <c r="H1064" s="1628" t="s">
        <v>1080</v>
      </c>
      <c r="I1064" s="1376" t="str">
        <f>VLOOKUP(H1063,'BTH mủ tạp'!$C$97:$AL$175,36,0)</f>
        <v>A</v>
      </c>
      <c r="J1064" s="1377"/>
      <c r="K1064" s="1377"/>
      <c r="L1064" s="1372"/>
    </row>
    <row r="1065" spans="1:13" s="31" customFormat="1" ht="17.25" customHeight="1">
      <c r="A1065" s="1375" t="s">
        <v>121</v>
      </c>
      <c r="B1065" s="1629" t="s">
        <v>865</v>
      </c>
      <c r="C1065" s="1378">
        <f>VLOOKUP(B1063,'CNKT '!$C$101:$Z$182,3,0)</f>
        <v>0</v>
      </c>
      <c r="D1065" s="1379">
        <v>25000</v>
      </c>
      <c r="E1065" s="1377">
        <f t="shared" ref="E1065:E1070" si="123">C1065*D1065</f>
        <v>0</v>
      </c>
      <c r="F1065" s="1436"/>
      <c r="G1065" s="1375" t="s">
        <v>121</v>
      </c>
      <c r="H1065" s="1629" t="s">
        <v>865</v>
      </c>
      <c r="I1065" s="1378">
        <f>VLOOKUP(H1063,'CNKT '!$C$101:$Z$182,3,0)</f>
        <v>0</v>
      </c>
      <c r="J1065" s="1379">
        <v>25000</v>
      </c>
      <c r="K1065" s="1377">
        <f t="shared" ref="K1065:K1070" si="124">I1065*J1065</f>
        <v>0</v>
      </c>
      <c r="L1065" s="1372"/>
    </row>
    <row r="1066" spans="1:13" s="31" customFormat="1" ht="17.25" customHeight="1">
      <c r="A1066" s="1375" t="s">
        <v>628</v>
      </c>
      <c r="B1066" s="1630" t="s">
        <v>1081</v>
      </c>
      <c r="C1066" s="1433">
        <f>VLOOKUP(B1063,'CNKT '!$C$101:$Z$182,11,0)</f>
        <v>0</v>
      </c>
      <c r="D1066" s="1380">
        <f>46.1*$B$2</f>
        <v>30241.600000000002</v>
      </c>
      <c r="E1066" s="1377">
        <f t="shared" si="123"/>
        <v>0</v>
      </c>
      <c r="F1066" s="1436"/>
      <c r="G1066" s="1375" t="s">
        <v>628</v>
      </c>
      <c r="H1066" s="1630" t="s">
        <v>1081</v>
      </c>
      <c r="I1066" s="1433">
        <f>VLOOKUP(H1063,'CNKT '!$C$101:$Z$182,11,0)</f>
        <v>0</v>
      </c>
      <c r="J1066" s="1380">
        <f>46.1*$B$2</f>
        <v>30241.600000000002</v>
      </c>
      <c r="K1066" s="1377">
        <f t="shared" si="124"/>
        <v>0</v>
      </c>
      <c r="L1066" s="1372"/>
    </row>
    <row r="1067" spans="1:13" s="31" customFormat="1" ht="17.25" customHeight="1">
      <c r="A1067" s="1375" t="s">
        <v>809</v>
      </c>
      <c r="B1067" s="1630" t="s">
        <v>1082</v>
      </c>
      <c r="C1067" s="1433">
        <f>VLOOKUP(B1063,'CNKT '!$C$101:$Z$182,12,0)</f>
        <v>0</v>
      </c>
      <c r="D1067" s="1379">
        <f>76.9*$B$2</f>
        <v>50446.400000000001</v>
      </c>
      <c r="E1067" s="1377">
        <f t="shared" si="123"/>
        <v>0</v>
      </c>
      <c r="F1067" s="1436"/>
      <c r="G1067" s="1375" t="s">
        <v>809</v>
      </c>
      <c r="H1067" s="1630" t="s">
        <v>1082</v>
      </c>
      <c r="I1067" s="1433">
        <f>VLOOKUP(H1063,'CNKT '!$C$101:$Z$182,12,0)</f>
        <v>0</v>
      </c>
      <c r="J1067" s="1379">
        <f>76.9*$B$2</f>
        <v>50446.400000000001</v>
      </c>
      <c r="K1067" s="1377">
        <f t="shared" si="124"/>
        <v>0</v>
      </c>
      <c r="L1067" s="1372"/>
    </row>
    <row r="1068" spans="1:13" s="31" customFormat="1" ht="17.25" customHeight="1">
      <c r="A1068" s="1375" t="s">
        <v>122</v>
      </c>
      <c r="B1068" s="1630" t="s">
        <v>1083</v>
      </c>
      <c r="C1068" s="1433">
        <f>VLOOKUP(B1063,'CNKT '!$C$101:$Z$182,8,0)</f>
        <v>0</v>
      </c>
      <c r="D1068" s="1379">
        <f>IF(C1064="A",6.1,IF(C1064="B",5.8,IF(C1064="C",5.5,IF(C1064="C.",5.5,IF(C1064="D",5.2)))))*$B$2</f>
        <v>4001.6</v>
      </c>
      <c r="E1068" s="1377">
        <f t="shared" si="123"/>
        <v>0</v>
      </c>
      <c r="F1068" s="1436"/>
      <c r="G1068" s="1375" t="s">
        <v>122</v>
      </c>
      <c r="H1068" s="1630" t="s">
        <v>1083</v>
      </c>
      <c r="I1068" s="1433">
        <f>VLOOKUP(H1063,'CNKT '!$C$101:$Z$182,8,0)</f>
        <v>0</v>
      </c>
      <c r="J1068" s="1379">
        <f>IF(I1064="A",6.1,IF(I1064="B",5.8,IF(I1064="C",5.5,IF(I1064="C.",5.5,IF(I1064="D",5.2)))))*$B$2</f>
        <v>4001.6</v>
      </c>
      <c r="K1068" s="1377">
        <f t="shared" si="124"/>
        <v>0</v>
      </c>
      <c r="L1068" s="1372"/>
    </row>
    <row r="1069" spans="1:13" s="31" customFormat="1" ht="17.25" customHeight="1">
      <c r="A1069" s="1375" t="s">
        <v>959</v>
      </c>
      <c r="B1069" s="1630" t="s">
        <v>1084</v>
      </c>
      <c r="C1069" s="1433">
        <f>VLOOKUP(B1063,'CNKT '!$C$101:$Z$182,15,0)</f>
        <v>0</v>
      </c>
      <c r="D1069" s="1380">
        <f>92.2*$B$2</f>
        <v>60483.200000000004</v>
      </c>
      <c r="E1069" s="1377">
        <f t="shared" si="123"/>
        <v>0</v>
      </c>
      <c r="F1069" s="1436"/>
      <c r="G1069" s="1375" t="s">
        <v>959</v>
      </c>
      <c r="H1069" s="1630" t="s">
        <v>1084</v>
      </c>
      <c r="I1069" s="1433">
        <f>VLOOKUP(H1063,'CNKT '!$C$101:$Z$182,15,0)</f>
        <v>0</v>
      </c>
      <c r="J1069" s="1380">
        <f>92.2*$B$2</f>
        <v>60483.200000000004</v>
      </c>
      <c r="K1069" s="1377">
        <f t="shared" si="124"/>
        <v>0</v>
      </c>
      <c r="L1069" s="1372"/>
    </row>
    <row r="1070" spans="1:13" s="31" customFormat="1" ht="17.25" customHeight="1">
      <c r="A1070" s="1375" t="s">
        <v>960</v>
      </c>
      <c r="B1070" s="1630" t="s">
        <v>964</v>
      </c>
      <c r="C1070" s="1433">
        <f>VLOOKUP(B1063,'CNKT '!$C$101:$Z$182,16,0)</f>
        <v>0</v>
      </c>
      <c r="D1070" s="1379">
        <f>153.8*$B$2</f>
        <v>100892.8</v>
      </c>
      <c r="E1070" s="1377">
        <f t="shared" si="123"/>
        <v>0</v>
      </c>
      <c r="F1070" s="1436"/>
      <c r="G1070" s="1375" t="s">
        <v>960</v>
      </c>
      <c r="H1070" s="1630" t="s">
        <v>964</v>
      </c>
      <c r="I1070" s="1433">
        <f>VLOOKUP(H1063,'CNKT '!$C$101:$Z$182,16,0)</f>
        <v>0</v>
      </c>
      <c r="J1070" s="1379">
        <f>153.8*$B$2</f>
        <v>100892.8</v>
      </c>
      <c r="K1070" s="1377">
        <f t="shared" si="124"/>
        <v>0</v>
      </c>
      <c r="L1070" s="1372"/>
    </row>
    <row r="1071" spans="1:13" s="31" customFormat="1" ht="17.25" customHeight="1">
      <c r="A1071" s="1375" t="s">
        <v>899</v>
      </c>
      <c r="B1071" s="1630" t="s">
        <v>965</v>
      </c>
      <c r="C1071" s="1433">
        <f>VLOOKUP(B1063,'CNKT '!$C$101:$Z$188,18,0)</f>
        <v>0</v>
      </c>
      <c r="D1071" s="1379">
        <v>10000</v>
      </c>
      <c r="E1071" s="1377">
        <f>C1071*D1071</f>
        <v>0</v>
      </c>
      <c r="F1071" s="1436"/>
      <c r="G1071" s="1375" t="s">
        <v>899</v>
      </c>
      <c r="H1071" s="1630" t="s">
        <v>965</v>
      </c>
      <c r="I1071" s="1433">
        <f>VLOOKUP(H1063,'CNKT '!$C$101:$Z$188,18,0)</f>
        <v>0</v>
      </c>
      <c r="J1071" s="1379">
        <v>10000</v>
      </c>
      <c r="K1071" s="1377">
        <f>I1071*J1071</f>
        <v>0</v>
      </c>
      <c r="L1071" s="1372"/>
    </row>
    <row r="1072" spans="1:13" s="31" customFormat="1" ht="17.25" customHeight="1">
      <c r="A1072" s="1375" t="s">
        <v>899</v>
      </c>
      <c r="B1072" s="1630" t="s">
        <v>965</v>
      </c>
      <c r="C1072" s="1433">
        <f>VLOOKUP(B1063,'CNKT '!$C$101:$Z$188,19,0)</f>
        <v>0</v>
      </c>
      <c r="D1072" s="1379">
        <v>20000</v>
      </c>
      <c r="E1072" s="1377">
        <f>C1072*D1072</f>
        <v>0</v>
      </c>
      <c r="F1072" s="1436"/>
      <c r="G1072" s="1375" t="s">
        <v>899</v>
      </c>
      <c r="H1072" s="1630" t="s">
        <v>965</v>
      </c>
      <c r="I1072" s="1433">
        <f>VLOOKUP(H1063,'CNKT '!$C$101:$Z$188,19,0)</f>
        <v>0</v>
      </c>
      <c r="J1072" s="1379">
        <v>20000</v>
      </c>
      <c r="K1072" s="1377">
        <f>I1072*J1072</f>
        <v>0</v>
      </c>
      <c r="L1072" s="1372"/>
    </row>
    <row r="1073" spans="1:12" s="31" customFormat="1" ht="17.25" customHeight="1">
      <c r="A1073" s="1375" t="s">
        <v>995</v>
      </c>
      <c r="B1073" s="1630" t="s">
        <v>997</v>
      </c>
      <c r="C1073" s="1433"/>
      <c r="D1073" s="1379"/>
      <c r="E1073" s="1377"/>
      <c r="F1073" s="1436"/>
      <c r="G1073" s="1375" t="s">
        <v>995</v>
      </c>
      <c r="H1073" s="1630" t="s">
        <v>997</v>
      </c>
      <c r="I1073" s="1433"/>
      <c r="J1073" s="1379"/>
      <c r="K1073" s="1377"/>
      <c r="L1073" s="1372"/>
    </row>
    <row r="1074" spans="1:12" s="31" customFormat="1" ht="17.25" customHeight="1">
      <c r="A1074" s="1381" t="s">
        <v>123</v>
      </c>
      <c r="B1074" s="1631" t="s">
        <v>1085</v>
      </c>
      <c r="C1074" s="1382"/>
      <c r="D1074" s="1383"/>
      <c r="E1074" s="1382"/>
      <c r="F1074" s="1436"/>
      <c r="G1074" s="1381" t="s">
        <v>123</v>
      </c>
      <c r="H1074" s="1631" t="s">
        <v>1085</v>
      </c>
      <c r="I1074" s="1382"/>
      <c r="J1074" s="1383"/>
      <c r="K1074" s="1382"/>
      <c r="L1074" s="1372"/>
    </row>
    <row r="1075" spans="1:12" s="31" customFormat="1" ht="17.25" customHeight="1">
      <c r="A1075" s="1384" t="s">
        <v>124</v>
      </c>
      <c r="B1075" s="1632" t="s">
        <v>1086</v>
      </c>
      <c r="C1075" s="1382"/>
      <c r="D1075" s="1382"/>
      <c r="E1075" s="1382"/>
      <c r="F1075" s="1436"/>
      <c r="G1075" s="1384" t="s">
        <v>124</v>
      </c>
      <c r="H1075" s="1632" t="s">
        <v>1086</v>
      </c>
      <c r="I1075" s="1382"/>
      <c r="J1075" s="1382"/>
      <c r="K1075" s="1382"/>
      <c r="L1075" s="1372"/>
    </row>
    <row r="1076" spans="1:12" s="31" customFormat="1" ht="17.25" customHeight="1">
      <c r="A1076" s="1384" t="s">
        <v>125</v>
      </c>
      <c r="B1076" s="1633" t="s">
        <v>1087</v>
      </c>
      <c r="C1076" s="1382"/>
      <c r="D1076" s="1382"/>
      <c r="E1076" s="1377">
        <f>SUM(E1075)</f>
        <v>0</v>
      </c>
      <c r="F1076" s="1423"/>
      <c r="G1076" s="1384" t="s">
        <v>125</v>
      </c>
      <c r="H1076" s="1633" t="s">
        <v>1087</v>
      </c>
      <c r="I1076" s="1382"/>
      <c r="J1076" s="1382"/>
      <c r="K1076" s="1377">
        <f>SUM(K1075)</f>
        <v>0</v>
      </c>
      <c r="L1076" s="1372"/>
    </row>
    <row r="1077" spans="1:12" s="31" customFormat="1" ht="17.25" customHeight="1">
      <c r="A1077" s="1386" t="s">
        <v>126</v>
      </c>
      <c r="B1077" s="1634" t="s">
        <v>871</v>
      </c>
      <c r="C1077" s="1387"/>
      <c r="D1077" s="1387"/>
      <c r="E1077" s="1387">
        <f>(E1065+E1066+E1067+E1068+E1069+E1070+E1071+E1072+E1073)-E1076</f>
        <v>0</v>
      </c>
      <c r="F1077" s="1423"/>
      <c r="G1077" s="1386" t="s">
        <v>126</v>
      </c>
      <c r="H1077" s="1634" t="s">
        <v>871</v>
      </c>
      <c r="I1077" s="1387"/>
      <c r="J1077" s="1387"/>
      <c r="K1077" s="1387">
        <f>(K1065+K1066+K1067+K1068+K1069+K1070+K1071+K1072+K1073)-K1076</f>
        <v>0</v>
      </c>
      <c r="L1077" s="1389">
        <f>E1077+K1077</f>
        <v>0</v>
      </c>
    </row>
    <row r="1078" spans="1:12" s="31" customFormat="1" ht="17.25" customHeight="1">
      <c r="A1078" s="2183"/>
      <c r="B1078" s="2183"/>
      <c r="C1078" s="2183"/>
      <c r="D1078" s="2183"/>
      <c r="E1078" s="2183"/>
      <c r="F1078" s="1427"/>
      <c r="G1078" s="2183"/>
      <c r="H1078" s="2183"/>
      <c r="I1078" s="2183"/>
      <c r="J1078" s="2183"/>
      <c r="K1078" s="1428"/>
      <c r="L1078" s="1372"/>
    </row>
    <row r="1079" spans="1:12" s="31" customFormat="1" ht="17.25" customHeight="1">
      <c r="A1079" s="1449" t="str">
        <f>A1062</f>
        <v>LƯƠNG THÁNG 01/2025</v>
      </c>
      <c r="B1079" s="1449"/>
      <c r="C1079" s="1449"/>
      <c r="D1079" s="1449"/>
      <c r="E1079" s="1449">
        <f>VLOOKUP(B1080,'CNKT '!$C$101:$AD$188,26,0)</f>
        <v>0</v>
      </c>
      <c r="F1079" s="1427"/>
      <c r="G1079" s="1449" t="str">
        <f>A1079</f>
        <v>LƯƠNG THÁNG 01/2025</v>
      </c>
      <c r="H1079" s="1449"/>
      <c r="I1079" s="1449"/>
      <c r="J1079" s="1449"/>
      <c r="K1079" s="1449">
        <f>VLOOKUP(H1080,'CNKT '!$C$101:$AD$188,26,0)</f>
        <v>0</v>
      </c>
      <c r="L1079" s="1372"/>
    </row>
    <row r="1080" spans="1:12" s="31" customFormat="1" ht="17.25" customHeight="1">
      <c r="A1080" s="1391" t="s">
        <v>29</v>
      </c>
      <c r="B1080" s="1626" t="str">
        <f>'CNKT '!C141</f>
        <v>Xôm Phon 1</v>
      </c>
      <c r="C1080" s="1376"/>
      <c r="D1080" s="1626" t="s">
        <v>806</v>
      </c>
      <c r="E1080" s="1626" t="s">
        <v>32</v>
      </c>
      <c r="F1080" s="1436"/>
      <c r="G1080" s="1391" t="s">
        <v>29</v>
      </c>
      <c r="H1080" s="1626" t="str">
        <f>'CNKT '!C142</f>
        <v>C. Trang 1</v>
      </c>
      <c r="I1080" s="1376"/>
      <c r="J1080" s="1626" t="s">
        <v>806</v>
      </c>
      <c r="K1080" s="1626" t="s">
        <v>32</v>
      </c>
      <c r="L1080" s="1372"/>
    </row>
    <row r="1081" spans="1:12" s="31" customFormat="1" ht="17.25" customHeight="1">
      <c r="A1081" s="1375" t="s">
        <v>807</v>
      </c>
      <c r="B1081" s="1628" t="s">
        <v>1080</v>
      </c>
      <c r="C1081" s="1376" t="str">
        <f>VLOOKUP(B1080,'BTH mủ tạp'!$C$97:$AL$175,36,0)</f>
        <v>C</v>
      </c>
      <c r="D1081" s="1377"/>
      <c r="E1081" s="1377"/>
      <c r="F1081" s="1436"/>
      <c r="G1081" s="1375" t="s">
        <v>807</v>
      </c>
      <c r="H1081" s="1628" t="s">
        <v>1080</v>
      </c>
      <c r="I1081" s="1376" t="str">
        <f>VLOOKUP(H1080,'BTH mủ tạp'!$C$97:$AL$175,36,0)</f>
        <v>A</v>
      </c>
      <c r="J1081" s="1377"/>
      <c r="K1081" s="1377"/>
      <c r="L1081" s="1372"/>
    </row>
    <row r="1082" spans="1:12" s="31" customFormat="1" ht="17.25" customHeight="1">
      <c r="A1082" s="1375" t="s">
        <v>121</v>
      </c>
      <c r="B1082" s="1629" t="s">
        <v>865</v>
      </c>
      <c r="C1082" s="1378">
        <f>VLOOKUP(B1080,'CNKT '!$C$101:$Z$182,3,0)</f>
        <v>0</v>
      </c>
      <c r="D1082" s="1379">
        <v>25000</v>
      </c>
      <c r="E1082" s="1377">
        <f t="shared" ref="E1082:E1087" si="125">C1082*D1082</f>
        <v>0</v>
      </c>
      <c r="F1082" s="1436"/>
      <c r="G1082" s="1375" t="s">
        <v>121</v>
      </c>
      <c r="H1082" s="1629" t="s">
        <v>865</v>
      </c>
      <c r="I1082" s="1378">
        <f>VLOOKUP(H1080,'CNKT '!$C$101:$Z$182,3,0)</f>
        <v>0</v>
      </c>
      <c r="J1082" s="1379">
        <v>25000</v>
      </c>
      <c r="K1082" s="1377">
        <f t="shared" ref="K1082:K1087" si="126">I1082*J1082</f>
        <v>0</v>
      </c>
      <c r="L1082" s="1372"/>
    </row>
    <row r="1083" spans="1:12" s="31" customFormat="1" ht="17.25" customHeight="1">
      <c r="A1083" s="1375" t="s">
        <v>628</v>
      </c>
      <c r="B1083" s="1630" t="s">
        <v>1081</v>
      </c>
      <c r="C1083" s="1433">
        <f>VLOOKUP(B1080,'CNKT '!$C$101:$Z$182,11,0)</f>
        <v>0</v>
      </c>
      <c r="D1083" s="1380">
        <f>46.1*$B$2</f>
        <v>30241.600000000002</v>
      </c>
      <c r="E1083" s="1377">
        <f t="shared" si="125"/>
        <v>0</v>
      </c>
      <c r="F1083" s="1436"/>
      <c r="G1083" s="1375" t="s">
        <v>628</v>
      </c>
      <c r="H1083" s="1630" t="s">
        <v>1081</v>
      </c>
      <c r="I1083" s="1433">
        <f>VLOOKUP(H1080,'CNKT '!$C$101:$Z$182,11,0)</f>
        <v>0</v>
      </c>
      <c r="J1083" s="1380">
        <f>46.1*$B$2</f>
        <v>30241.600000000002</v>
      </c>
      <c r="K1083" s="1377">
        <f t="shared" si="126"/>
        <v>0</v>
      </c>
      <c r="L1083" s="1372"/>
    </row>
    <row r="1084" spans="1:12" s="31" customFormat="1" ht="17.25" customHeight="1">
      <c r="A1084" s="1375" t="s">
        <v>809</v>
      </c>
      <c r="B1084" s="1630" t="s">
        <v>1082</v>
      </c>
      <c r="C1084" s="1433">
        <f>VLOOKUP(B1080,'CNKT '!$C$101:$Z$182,12,0)</f>
        <v>0</v>
      </c>
      <c r="D1084" s="1379">
        <f>76.9*$B$2</f>
        <v>50446.400000000001</v>
      </c>
      <c r="E1084" s="1377">
        <f t="shared" si="125"/>
        <v>0</v>
      </c>
      <c r="F1084" s="1436"/>
      <c r="G1084" s="1375" t="s">
        <v>809</v>
      </c>
      <c r="H1084" s="1630" t="s">
        <v>1082</v>
      </c>
      <c r="I1084" s="1433">
        <f>VLOOKUP(H1080,'CNKT '!$C$101:$Z$182,12,0)</f>
        <v>0</v>
      </c>
      <c r="J1084" s="1379">
        <f>76.9*$B$2</f>
        <v>50446.400000000001</v>
      </c>
      <c r="K1084" s="1377">
        <f t="shared" si="126"/>
        <v>0</v>
      </c>
      <c r="L1084" s="1372"/>
    </row>
    <row r="1085" spans="1:12" s="31" customFormat="1" ht="17.25" customHeight="1">
      <c r="A1085" s="1375" t="s">
        <v>122</v>
      </c>
      <c r="B1085" s="1630" t="s">
        <v>1083</v>
      </c>
      <c r="C1085" s="1433">
        <f>VLOOKUP(B1080,'CNKT '!$C$101:$Z$182,8,0)</f>
        <v>0</v>
      </c>
      <c r="D1085" s="1379">
        <f>IF(C1081="A",6.1,IF(C1081="B",5.8,IF(C1081="C",5.5,IF(C1081="C.",5.5,IF(C1081="D",5.2)))))*$B$2</f>
        <v>3608</v>
      </c>
      <c r="E1085" s="1377">
        <f t="shared" si="125"/>
        <v>0</v>
      </c>
      <c r="F1085" s="1436"/>
      <c r="G1085" s="1375" t="s">
        <v>122</v>
      </c>
      <c r="H1085" s="1630" t="s">
        <v>1083</v>
      </c>
      <c r="I1085" s="1433">
        <f>VLOOKUP(H1080,'CNKT '!$C$101:$Z$182,8,0)</f>
        <v>0</v>
      </c>
      <c r="J1085" s="1379">
        <f>IF(I1081="A",6.1,IF(I1081="B",5.8,IF(I1081="C",5.5,IF(I1081="C.",5.5,IF(I1081="D",5.2)))))*$B$2</f>
        <v>4001.6</v>
      </c>
      <c r="K1085" s="1377">
        <f t="shared" si="126"/>
        <v>0</v>
      </c>
      <c r="L1085" s="1372"/>
    </row>
    <row r="1086" spans="1:12" s="31" customFormat="1" ht="17.25" customHeight="1">
      <c r="A1086" s="1375" t="s">
        <v>959</v>
      </c>
      <c r="B1086" s="1630" t="s">
        <v>1084</v>
      </c>
      <c r="C1086" s="1433">
        <f>VLOOKUP(B1080,'CNKT '!$C$101:$Z$182,15,0)</f>
        <v>0</v>
      </c>
      <c r="D1086" s="1380">
        <f>92.2*$B$2</f>
        <v>60483.200000000004</v>
      </c>
      <c r="E1086" s="1377">
        <f t="shared" si="125"/>
        <v>0</v>
      </c>
      <c r="F1086" s="1436"/>
      <c r="G1086" s="1375" t="s">
        <v>959</v>
      </c>
      <c r="H1086" s="1630" t="s">
        <v>1084</v>
      </c>
      <c r="I1086" s="1433">
        <f>VLOOKUP(H1080,'CNKT '!$C$101:$Z$182,15,0)</f>
        <v>0</v>
      </c>
      <c r="J1086" s="1380">
        <f>92.2*$B$2</f>
        <v>60483.200000000004</v>
      </c>
      <c r="K1086" s="1377">
        <f t="shared" si="126"/>
        <v>0</v>
      </c>
      <c r="L1086" s="1372"/>
    </row>
    <row r="1087" spans="1:12" s="31" customFormat="1" ht="17.25" customHeight="1">
      <c r="A1087" s="1375" t="s">
        <v>960</v>
      </c>
      <c r="B1087" s="1630" t="s">
        <v>964</v>
      </c>
      <c r="C1087" s="1433">
        <f>VLOOKUP(B1080,'CNKT '!$C$101:$Z$182,16,0)</f>
        <v>0</v>
      </c>
      <c r="D1087" s="1379">
        <f>153.8*$B$2</f>
        <v>100892.8</v>
      </c>
      <c r="E1087" s="1377">
        <f t="shared" si="125"/>
        <v>0</v>
      </c>
      <c r="F1087" s="1436"/>
      <c r="G1087" s="1375" t="s">
        <v>960</v>
      </c>
      <c r="H1087" s="1630" t="s">
        <v>964</v>
      </c>
      <c r="I1087" s="1433">
        <f>VLOOKUP(H1080,'CNKT '!$C$101:$Z$182,16,0)</f>
        <v>0</v>
      </c>
      <c r="J1087" s="1379">
        <f>153.8*$B$2</f>
        <v>100892.8</v>
      </c>
      <c r="K1087" s="1377">
        <f t="shared" si="126"/>
        <v>0</v>
      </c>
      <c r="L1087" s="1372"/>
    </row>
    <row r="1088" spans="1:12" s="31" customFormat="1" ht="17.25" customHeight="1">
      <c r="A1088" s="1375" t="s">
        <v>899</v>
      </c>
      <c r="B1088" s="1630" t="s">
        <v>965</v>
      </c>
      <c r="C1088" s="1433">
        <f>VLOOKUP(B1080,'CNKT '!$C$101:$Z$188,18,0)</f>
        <v>0</v>
      </c>
      <c r="D1088" s="1379">
        <v>10000</v>
      </c>
      <c r="E1088" s="1377">
        <f>C1088*D1088</f>
        <v>0</v>
      </c>
      <c r="F1088" s="1436"/>
      <c r="G1088" s="1375" t="s">
        <v>899</v>
      </c>
      <c r="H1088" s="1630" t="s">
        <v>965</v>
      </c>
      <c r="I1088" s="1433">
        <f>VLOOKUP(H1080,'CNKT '!$C$101:$Z$188,18,0)</f>
        <v>0</v>
      </c>
      <c r="J1088" s="1379">
        <v>10000</v>
      </c>
      <c r="K1088" s="1377">
        <f>I1088*J1088</f>
        <v>0</v>
      </c>
      <c r="L1088" s="1372"/>
    </row>
    <row r="1089" spans="1:12" s="31" customFormat="1" ht="17.25" customHeight="1">
      <c r="A1089" s="1375" t="s">
        <v>899</v>
      </c>
      <c r="B1089" s="1630" t="s">
        <v>965</v>
      </c>
      <c r="C1089" s="1433">
        <f>VLOOKUP(B1080,'CNKT '!$C$101:$Z$188,19,0)</f>
        <v>0</v>
      </c>
      <c r="D1089" s="1379">
        <v>20000</v>
      </c>
      <c r="E1089" s="1377">
        <f>C1089*D1089</f>
        <v>0</v>
      </c>
      <c r="F1089" s="1436"/>
      <c r="G1089" s="1375" t="s">
        <v>899</v>
      </c>
      <c r="H1089" s="1630" t="s">
        <v>965</v>
      </c>
      <c r="I1089" s="1433">
        <f>VLOOKUP(H1080,'CNKT '!$C$101:$Z$188,19,0)</f>
        <v>0</v>
      </c>
      <c r="J1089" s="1379">
        <v>20000</v>
      </c>
      <c r="K1089" s="1377">
        <f>I1089*J1089</f>
        <v>0</v>
      </c>
      <c r="L1089" s="1372"/>
    </row>
    <row r="1090" spans="1:12" s="31" customFormat="1" ht="17.25" customHeight="1">
      <c r="A1090" s="1375" t="s">
        <v>995</v>
      </c>
      <c r="B1090" s="1630" t="s">
        <v>997</v>
      </c>
      <c r="C1090" s="1433"/>
      <c r="D1090" s="1379"/>
      <c r="E1090" s="1377"/>
      <c r="F1090" s="1436"/>
      <c r="G1090" s="1375" t="s">
        <v>995</v>
      </c>
      <c r="H1090" s="1630" t="s">
        <v>997</v>
      </c>
      <c r="I1090" s="1433"/>
      <c r="J1090" s="1379"/>
      <c r="K1090" s="1377"/>
      <c r="L1090" s="1372"/>
    </row>
    <row r="1091" spans="1:12" s="31" customFormat="1" ht="17.25" customHeight="1">
      <c r="A1091" s="1381" t="s">
        <v>123</v>
      </c>
      <c r="B1091" s="1631" t="s">
        <v>1085</v>
      </c>
      <c r="C1091" s="1382"/>
      <c r="D1091" s="1383"/>
      <c r="E1091" s="1382"/>
      <c r="F1091" s="1436"/>
      <c r="G1091" s="1381" t="s">
        <v>123</v>
      </c>
      <c r="H1091" s="1631" t="s">
        <v>1085</v>
      </c>
      <c r="I1091" s="1382"/>
      <c r="J1091" s="1383"/>
      <c r="K1091" s="1382"/>
      <c r="L1091" s="1372"/>
    </row>
    <row r="1092" spans="1:12" s="31" customFormat="1" ht="17.25" customHeight="1">
      <c r="A1092" s="1384" t="s">
        <v>124</v>
      </c>
      <c r="B1092" s="1632" t="s">
        <v>1086</v>
      </c>
      <c r="C1092" s="1382"/>
      <c r="D1092" s="1382"/>
      <c r="E1092" s="1382"/>
      <c r="F1092" s="1436"/>
      <c r="G1092" s="1384" t="s">
        <v>124</v>
      </c>
      <c r="H1092" s="1632" t="s">
        <v>1086</v>
      </c>
      <c r="I1092" s="1382"/>
      <c r="J1092" s="1382"/>
      <c r="K1092" s="1382"/>
      <c r="L1092" s="1372"/>
    </row>
    <row r="1093" spans="1:12" s="31" customFormat="1" ht="17.25" customHeight="1">
      <c r="A1093" s="1384" t="s">
        <v>125</v>
      </c>
      <c r="B1093" s="1633" t="s">
        <v>1087</v>
      </c>
      <c r="C1093" s="1382"/>
      <c r="D1093" s="1382"/>
      <c r="E1093" s="1377">
        <f>SUM(E1092)</f>
        <v>0</v>
      </c>
      <c r="F1093" s="1423"/>
      <c r="G1093" s="1384" t="s">
        <v>125</v>
      </c>
      <c r="H1093" s="1633" t="s">
        <v>1087</v>
      </c>
      <c r="I1093" s="1382"/>
      <c r="J1093" s="1382"/>
      <c r="K1093" s="1377">
        <f>SUM(K1092)</f>
        <v>0</v>
      </c>
      <c r="L1093" s="1372"/>
    </row>
    <row r="1094" spans="1:12" s="31" customFormat="1" ht="17.25" customHeight="1">
      <c r="A1094" s="1386" t="s">
        <v>126</v>
      </c>
      <c r="B1094" s="1634" t="s">
        <v>871</v>
      </c>
      <c r="C1094" s="1387"/>
      <c r="D1094" s="1387"/>
      <c r="E1094" s="1387">
        <f>(E1082+E1083+E1084+E1085+E1086+E1087+E1088+E1089+E1090)-E1093</f>
        <v>0</v>
      </c>
      <c r="F1094" s="1423"/>
      <c r="G1094" s="1386" t="s">
        <v>126</v>
      </c>
      <c r="H1094" s="1634" t="s">
        <v>871</v>
      </c>
      <c r="I1094" s="1387"/>
      <c r="J1094" s="1387"/>
      <c r="K1094" s="1387">
        <f>(K1082+K1083+K1084+K1085+K1086+K1087+K1088+K1089+K1090)-K1093</f>
        <v>0</v>
      </c>
      <c r="L1094" s="1389">
        <f>E1094+K1094</f>
        <v>0</v>
      </c>
    </row>
    <row r="1095" spans="1:12" s="31" customFormat="1" ht="9" customHeight="1">
      <c r="A1095" s="2183"/>
      <c r="B1095" s="2183"/>
      <c r="C1095" s="2183"/>
      <c r="D1095" s="2183"/>
      <c r="E1095" s="2183"/>
      <c r="F1095" s="1427"/>
      <c r="G1095" s="2183"/>
      <c r="H1095" s="2183"/>
      <c r="I1095" s="2183"/>
      <c r="J1095" s="2183"/>
      <c r="K1095" s="1428"/>
      <c r="L1095" s="1372"/>
    </row>
    <row r="1096" spans="1:12" s="31" customFormat="1" ht="17.25" customHeight="1">
      <c r="A1096" s="1449" t="str">
        <f>A1079</f>
        <v>LƯƠNG THÁNG 01/2025</v>
      </c>
      <c r="B1096" s="1449"/>
      <c r="C1096" s="1449"/>
      <c r="D1096" s="1449"/>
      <c r="E1096" s="1449">
        <f>VLOOKUP(B1097,'CNKT '!$C$101:$AD$188,26,0)</f>
        <v>0</v>
      </c>
      <c r="F1096" s="1427"/>
      <c r="G1096" s="1449" t="str">
        <f>A1096</f>
        <v>LƯƠNG THÁNG 01/2025</v>
      </c>
      <c r="H1096" s="1449"/>
      <c r="I1096" s="1449"/>
      <c r="J1096" s="1449"/>
      <c r="K1096" s="1449">
        <f>VLOOKUP(H1097,'CNKT '!$C$101:$AD$188,26,0)</f>
        <v>0</v>
      </c>
      <c r="L1096" s="1372"/>
    </row>
    <row r="1097" spans="1:12" s="31" customFormat="1" ht="17.25" customHeight="1">
      <c r="A1097" s="1391" t="s">
        <v>29</v>
      </c>
      <c r="B1097" s="1626" t="str">
        <f>'CNKT '!C143</f>
        <v>Lâm Ngân</v>
      </c>
      <c r="C1097" s="1376"/>
      <c r="D1097" s="1626" t="s">
        <v>806</v>
      </c>
      <c r="E1097" s="1626" t="s">
        <v>32</v>
      </c>
      <c r="F1097" s="1436"/>
      <c r="G1097" s="1391" t="s">
        <v>29</v>
      </c>
      <c r="H1097" s="1626" t="str">
        <f>'CNKT '!C144</f>
        <v>T. Thong A</v>
      </c>
      <c r="I1097" s="1376"/>
      <c r="J1097" s="1626" t="s">
        <v>806</v>
      </c>
      <c r="K1097" s="1626" t="s">
        <v>32</v>
      </c>
      <c r="L1097" s="1372"/>
    </row>
    <row r="1098" spans="1:12" s="31" customFormat="1" ht="17.25" customHeight="1">
      <c r="A1098" s="1375" t="s">
        <v>807</v>
      </c>
      <c r="B1098" s="1628" t="s">
        <v>1080</v>
      </c>
      <c r="C1098" s="1376" t="str">
        <f>VLOOKUP(B1097,'BTH mủ tạp'!$C$97:$AL$175,36,0)</f>
        <v>A</v>
      </c>
      <c r="D1098" s="1377"/>
      <c r="E1098" s="1377"/>
      <c r="F1098" s="1436"/>
      <c r="G1098" s="1375" t="s">
        <v>807</v>
      </c>
      <c r="H1098" s="1628" t="s">
        <v>1080</v>
      </c>
      <c r="I1098" s="1376" t="str">
        <f>VLOOKUP(H1097,'BTH mủ tạp'!$C$97:$AL$175,36,0)</f>
        <v>A</v>
      </c>
      <c r="J1098" s="1377"/>
      <c r="K1098" s="1377"/>
      <c r="L1098" s="1372"/>
    </row>
    <row r="1099" spans="1:12" s="31" customFormat="1" ht="17.25" customHeight="1">
      <c r="A1099" s="1375" t="s">
        <v>121</v>
      </c>
      <c r="B1099" s="1629" t="s">
        <v>865</v>
      </c>
      <c r="C1099" s="1378">
        <f>VLOOKUP(B1097,'CNKT '!$C$101:$Z$182,3,0)</f>
        <v>0</v>
      </c>
      <c r="D1099" s="1379">
        <v>25000</v>
      </c>
      <c r="E1099" s="1377">
        <f t="shared" ref="E1099:E1104" si="127">C1099*D1099</f>
        <v>0</v>
      </c>
      <c r="F1099" s="1436"/>
      <c r="G1099" s="1375" t="s">
        <v>121</v>
      </c>
      <c r="H1099" s="1629" t="s">
        <v>865</v>
      </c>
      <c r="I1099" s="1378">
        <f>VLOOKUP(H1097,'CNKT '!$C$101:$Z$182,3,0)</f>
        <v>0</v>
      </c>
      <c r="J1099" s="1379">
        <v>25000</v>
      </c>
      <c r="K1099" s="1377">
        <f t="shared" ref="K1099:K1104" si="128">I1099*J1099</f>
        <v>0</v>
      </c>
      <c r="L1099" s="1372"/>
    </row>
    <row r="1100" spans="1:12" s="31" customFormat="1" ht="17.25" customHeight="1">
      <c r="A1100" s="1375" t="s">
        <v>628</v>
      </c>
      <c r="B1100" s="1630" t="s">
        <v>1081</v>
      </c>
      <c r="C1100" s="1433">
        <f>VLOOKUP(B1097,'CNKT '!$C$101:$Z$182,11,0)</f>
        <v>0</v>
      </c>
      <c r="D1100" s="1380">
        <f>46.1*$B$2</f>
        <v>30241.600000000002</v>
      </c>
      <c r="E1100" s="1377">
        <f t="shared" si="127"/>
        <v>0</v>
      </c>
      <c r="F1100" s="1436"/>
      <c r="G1100" s="1375" t="s">
        <v>628</v>
      </c>
      <c r="H1100" s="1630" t="s">
        <v>1081</v>
      </c>
      <c r="I1100" s="1433">
        <f>VLOOKUP(H1097,'CNKT '!$C$101:$Z$182,11,0)</f>
        <v>0</v>
      </c>
      <c r="J1100" s="1380">
        <f>46.1*$B$2</f>
        <v>30241.600000000002</v>
      </c>
      <c r="K1100" s="1377">
        <f t="shared" si="128"/>
        <v>0</v>
      </c>
      <c r="L1100" s="1372"/>
    </row>
    <row r="1101" spans="1:12" s="31" customFormat="1" ht="17.25" customHeight="1">
      <c r="A1101" s="1375" t="s">
        <v>809</v>
      </c>
      <c r="B1101" s="1630" t="s">
        <v>1082</v>
      </c>
      <c r="C1101" s="1433">
        <f>VLOOKUP(B1097,'CNKT '!$C$101:$Z$182,12,0)</f>
        <v>0</v>
      </c>
      <c r="D1101" s="1379">
        <f>76.9*$B$2</f>
        <v>50446.400000000001</v>
      </c>
      <c r="E1101" s="1377">
        <f t="shared" si="127"/>
        <v>0</v>
      </c>
      <c r="F1101" s="1436"/>
      <c r="G1101" s="1375" t="s">
        <v>809</v>
      </c>
      <c r="H1101" s="1630" t="s">
        <v>1082</v>
      </c>
      <c r="I1101" s="1433">
        <f>VLOOKUP(H1097,'CNKT '!$C$101:$Z$182,12,0)</f>
        <v>0</v>
      </c>
      <c r="J1101" s="1379">
        <f>76.9*$B$2</f>
        <v>50446.400000000001</v>
      </c>
      <c r="K1101" s="1377">
        <f t="shared" si="128"/>
        <v>0</v>
      </c>
      <c r="L1101" s="1372"/>
    </row>
    <row r="1102" spans="1:12" s="31" customFormat="1" ht="17.25" customHeight="1">
      <c r="A1102" s="1375" t="s">
        <v>122</v>
      </c>
      <c r="B1102" s="1630" t="s">
        <v>1083</v>
      </c>
      <c r="C1102" s="1433">
        <f>VLOOKUP(B1097,'CNKT '!$C$101:$Z$182,8,0)</f>
        <v>0</v>
      </c>
      <c r="D1102" s="1379">
        <f>IF(C1098="A",6.1,IF(C1098="B",5.8,IF(C1098="C",5.5,IF(C1098="C.",5.5,IF(C1098="D",5.2)))))*$B$2</f>
        <v>4001.6</v>
      </c>
      <c r="E1102" s="1377">
        <f t="shared" si="127"/>
        <v>0</v>
      </c>
      <c r="F1102" s="1436"/>
      <c r="G1102" s="1375" t="s">
        <v>122</v>
      </c>
      <c r="H1102" s="1630" t="s">
        <v>1083</v>
      </c>
      <c r="I1102" s="1433">
        <f>VLOOKUP(H1097,'CNKT '!$C$101:$Z$182,8,0)</f>
        <v>0</v>
      </c>
      <c r="J1102" s="1379">
        <f>IF(I1098="A",6.1,IF(I1098="B",5.8,IF(I1098="C",5.5,IF(I1098="C.",5.5,IF(I1098="D",5.2)))))*$B$2</f>
        <v>4001.6</v>
      </c>
      <c r="K1102" s="1377">
        <f t="shared" si="128"/>
        <v>0</v>
      </c>
      <c r="L1102" s="1372"/>
    </row>
    <row r="1103" spans="1:12" s="31" customFormat="1" ht="17.25" customHeight="1">
      <c r="A1103" s="1375" t="s">
        <v>959</v>
      </c>
      <c r="B1103" s="1630" t="s">
        <v>1084</v>
      </c>
      <c r="C1103" s="1433">
        <f>VLOOKUP(B1097,'CNKT '!$C$101:$Z$182,15,0)</f>
        <v>0</v>
      </c>
      <c r="D1103" s="1380">
        <f>92.2*$B$2</f>
        <v>60483.200000000004</v>
      </c>
      <c r="E1103" s="1377">
        <f t="shared" si="127"/>
        <v>0</v>
      </c>
      <c r="F1103" s="1436"/>
      <c r="G1103" s="1375" t="s">
        <v>959</v>
      </c>
      <c r="H1103" s="1630" t="s">
        <v>1084</v>
      </c>
      <c r="I1103" s="1433">
        <f>VLOOKUP(H1097,'CNKT '!$C$101:$Z$182,15,0)</f>
        <v>0</v>
      </c>
      <c r="J1103" s="1380">
        <f>92.2*$B$2</f>
        <v>60483.200000000004</v>
      </c>
      <c r="K1103" s="1377">
        <f t="shared" si="128"/>
        <v>0</v>
      </c>
      <c r="L1103" s="1372"/>
    </row>
    <row r="1104" spans="1:12" s="31" customFormat="1" ht="17.25" customHeight="1">
      <c r="A1104" s="1375" t="s">
        <v>960</v>
      </c>
      <c r="B1104" s="1630" t="s">
        <v>964</v>
      </c>
      <c r="C1104" s="1433">
        <f>VLOOKUP(B1097,'CNKT '!$C$101:$Z$182,16,0)</f>
        <v>0</v>
      </c>
      <c r="D1104" s="1379">
        <f>153.8*$B$2</f>
        <v>100892.8</v>
      </c>
      <c r="E1104" s="1377">
        <f t="shared" si="127"/>
        <v>0</v>
      </c>
      <c r="F1104" s="1436"/>
      <c r="G1104" s="1375" t="s">
        <v>960</v>
      </c>
      <c r="H1104" s="1630" t="s">
        <v>964</v>
      </c>
      <c r="I1104" s="1433">
        <f>VLOOKUP(H1097,'CNKT '!$C$101:$Z$182,16,0)</f>
        <v>0</v>
      </c>
      <c r="J1104" s="1379">
        <f>153.8*$B$2</f>
        <v>100892.8</v>
      </c>
      <c r="K1104" s="1377">
        <f t="shared" si="128"/>
        <v>0</v>
      </c>
      <c r="L1104" s="1372"/>
    </row>
    <row r="1105" spans="1:12" s="31" customFormat="1" ht="17.25" customHeight="1">
      <c r="A1105" s="1375" t="s">
        <v>899</v>
      </c>
      <c r="B1105" s="1630" t="s">
        <v>965</v>
      </c>
      <c r="C1105" s="1433">
        <f>VLOOKUP(B1097,'CNKT '!$C$101:$Z$188,18,0)</f>
        <v>0</v>
      </c>
      <c r="D1105" s="1379">
        <v>10000</v>
      </c>
      <c r="E1105" s="1377">
        <f>C1105*D1105</f>
        <v>0</v>
      </c>
      <c r="F1105" s="1436"/>
      <c r="G1105" s="1375" t="s">
        <v>899</v>
      </c>
      <c r="H1105" s="1630" t="s">
        <v>965</v>
      </c>
      <c r="I1105" s="1433">
        <f>VLOOKUP(H1097,'CNKT '!$C$101:$Z$188,18,0)</f>
        <v>0</v>
      </c>
      <c r="J1105" s="1379">
        <v>10000</v>
      </c>
      <c r="K1105" s="1377">
        <f>I1105*J1105</f>
        <v>0</v>
      </c>
      <c r="L1105" s="1372"/>
    </row>
    <row r="1106" spans="1:12" s="31" customFormat="1" ht="17.25" customHeight="1">
      <c r="A1106" s="1375" t="s">
        <v>899</v>
      </c>
      <c r="B1106" s="1630" t="s">
        <v>965</v>
      </c>
      <c r="C1106" s="1433">
        <f>VLOOKUP(B1097,'CNKT '!$C$101:$Z$188,19,0)</f>
        <v>0</v>
      </c>
      <c r="D1106" s="1379">
        <v>20000</v>
      </c>
      <c r="E1106" s="1377">
        <f>C1106*D1106</f>
        <v>0</v>
      </c>
      <c r="F1106" s="1436"/>
      <c r="G1106" s="1375" t="s">
        <v>899</v>
      </c>
      <c r="H1106" s="1630" t="s">
        <v>965</v>
      </c>
      <c r="I1106" s="1433">
        <f>VLOOKUP(H1097,'CNKT '!$C$101:$Z$188,19,0)</f>
        <v>0</v>
      </c>
      <c r="J1106" s="1379">
        <v>20000</v>
      </c>
      <c r="K1106" s="1377">
        <f>I1106*J1106</f>
        <v>0</v>
      </c>
      <c r="L1106" s="1372"/>
    </row>
    <row r="1107" spans="1:12" s="31" customFormat="1" ht="17.25" customHeight="1">
      <c r="A1107" s="1375" t="s">
        <v>995</v>
      </c>
      <c r="B1107" s="1630" t="s">
        <v>997</v>
      </c>
      <c r="C1107" s="1433"/>
      <c r="D1107" s="1379"/>
      <c r="E1107" s="1377"/>
      <c r="F1107" s="1436"/>
      <c r="G1107" s="1375" t="s">
        <v>995</v>
      </c>
      <c r="H1107" s="1630" t="s">
        <v>997</v>
      </c>
      <c r="I1107" s="1433"/>
      <c r="J1107" s="1379"/>
      <c r="K1107" s="1377"/>
      <c r="L1107" s="1372"/>
    </row>
    <row r="1108" spans="1:12" s="31" customFormat="1" ht="17.25" customHeight="1">
      <c r="A1108" s="1381" t="s">
        <v>123</v>
      </c>
      <c r="B1108" s="1631" t="s">
        <v>1085</v>
      </c>
      <c r="C1108" s="1382"/>
      <c r="D1108" s="1383"/>
      <c r="E1108" s="1382"/>
      <c r="F1108" s="1436"/>
      <c r="G1108" s="1381" t="s">
        <v>123</v>
      </c>
      <c r="H1108" s="1631" t="s">
        <v>1085</v>
      </c>
      <c r="I1108" s="1382"/>
      <c r="J1108" s="1383"/>
      <c r="K1108" s="1382"/>
      <c r="L1108" s="1372"/>
    </row>
    <row r="1109" spans="1:12" s="31" customFormat="1" ht="17.25" customHeight="1">
      <c r="A1109" s="1384" t="s">
        <v>124</v>
      </c>
      <c r="B1109" s="1632" t="s">
        <v>1086</v>
      </c>
      <c r="C1109" s="1382"/>
      <c r="D1109" s="1382"/>
      <c r="E1109" s="1382"/>
      <c r="F1109" s="1436"/>
      <c r="G1109" s="1384" t="s">
        <v>124</v>
      </c>
      <c r="H1109" s="1632" t="s">
        <v>1086</v>
      </c>
      <c r="I1109" s="1382"/>
      <c r="J1109" s="1382"/>
      <c r="K1109" s="1382"/>
      <c r="L1109" s="1372"/>
    </row>
    <row r="1110" spans="1:12" s="31" customFormat="1" ht="17.25" customHeight="1">
      <c r="A1110" s="1384" t="s">
        <v>125</v>
      </c>
      <c r="B1110" s="1633" t="s">
        <v>1087</v>
      </c>
      <c r="C1110" s="1382"/>
      <c r="D1110" s="1382"/>
      <c r="E1110" s="1377">
        <f>SUM(E1109)</f>
        <v>0</v>
      </c>
      <c r="F1110" s="1433"/>
      <c r="G1110" s="1384" t="s">
        <v>125</v>
      </c>
      <c r="H1110" s="1633" t="s">
        <v>1087</v>
      </c>
      <c r="I1110" s="1382"/>
      <c r="J1110" s="1382"/>
      <c r="K1110" s="1377">
        <f>SUM(K1109)</f>
        <v>0</v>
      </c>
      <c r="L1110" s="1372"/>
    </row>
    <row r="1111" spans="1:12" s="31" customFormat="1" ht="17.25" customHeight="1">
      <c r="A1111" s="1386" t="s">
        <v>126</v>
      </c>
      <c r="B1111" s="1634" t="s">
        <v>871</v>
      </c>
      <c r="C1111" s="1387"/>
      <c r="D1111" s="1387"/>
      <c r="E1111" s="1387">
        <f>(E1099+E1100+E1101+E1102+E1103+E1104+E1105+E1106+E1107)-E1110</f>
        <v>0</v>
      </c>
      <c r="F1111" s="1433"/>
      <c r="G1111" s="1386" t="s">
        <v>126</v>
      </c>
      <c r="H1111" s="1634" t="s">
        <v>871</v>
      </c>
      <c r="I1111" s="1387"/>
      <c r="J1111" s="1387"/>
      <c r="K1111" s="1387">
        <f>(K1099+K1100+K1101+K1102+K1103+K1104+K1105+K1106+K1107)-K1110</f>
        <v>0</v>
      </c>
      <c r="L1111" s="1389">
        <f>E1111+K1111</f>
        <v>0</v>
      </c>
    </row>
    <row r="1112" spans="1:12" s="31" customFormat="1" ht="16.5" customHeight="1">
      <c r="A1112" s="2183"/>
      <c r="B1112" s="2183"/>
      <c r="C1112" s="2183"/>
      <c r="D1112" s="2183"/>
      <c r="E1112" s="2183"/>
      <c r="F1112" s="1427"/>
      <c r="G1112" s="1449"/>
      <c r="H1112" s="1449"/>
      <c r="I1112" s="1449"/>
      <c r="J1112" s="1449"/>
      <c r="K1112" s="1428"/>
      <c r="L1112" s="1372"/>
    </row>
    <row r="1113" spans="1:12" s="31" customFormat="1" ht="17.25" customHeight="1">
      <c r="A1113" s="1449" t="str">
        <f>A1096</f>
        <v>LƯƠNG THÁNG 01/2025</v>
      </c>
      <c r="B1113" s="1449"/>
      <c r="C1113" s="1449"/>
      <c r="D1113" s="1449"/>
      <c r="E1113" s="1449">
        <f>VLOOKUP(B1114,'CNKT '!$C$101:$AD$188,26,0)</f>
        <v>0</v>
      </c>
      <c r="F1113" s="1427"/>
      <c r="G1113" s="1449" t="str">
        <f>A1113</f>
        <v>LƯƠNG THÁNG 01/2025</v>
      </c>
      <c r="H1113" s="1449"/>
      <c r="I1113" s="1449"/>
      <c r="J1113" s="1449"/>
      <c r="K1113" s="1449">
        <f>VLOOKUP(H1114,'CNKT '!$C$101:$AD$188,26,0)</f>
        <v>0</v>
      </c>
      <c r="L1113" s="1372"/>
    </row>
    <row r="1114" spans="1:12" s="31" customFormat="1" ht="17.25" customHeight="1">
      <c r="A1114" s="1391" t="s">
        <v>29</v>
      </c>
      <c r="B1114" s="1626" t="str">
        <f>'CNKT '!C145</f>
        <v>T Phù</v>
      </c>
      <c r="C1114" s="1376"/>
      <c r="D1114" s="1626" t="s">
        <v>806</v>
      </c>
      <c r="E1114" s="1626" t="s">
        <v>32</v>
      </c>
      <c r="F1114" s="1436"/>
      <c r="G1114" s="1391" t="s">
        <v>29</v>
      </c>
      <c r="H1114" s="1626" t="str">
        <f>'CNKT '!C146</f>
        <v>Viêng Khăm</v>
      </c>
      <c r="I1114" s="1376"/>
      <c r="J1114" s="1626" t="s">
        <v>806</v>
      </c>
      <c r="K1114" s="1626" t="s">
        <v>32</v>
      </c>
      <c r="L1114" s="1372"/>
    </row>
    <row r="1115" spans="1:12" s="31" customFormat="1" ht="17.25" customHeight="1">
      <c r="A1115" s="1375" t="s">
        <v>807</v>
      </c>
      <c r="B1115" s="1628" t="s">
        <v>1080</v>
      </c>
      <c r="C1115" s="1376" t="str">
        <f>VLOOKUP(B1114,'BTH mủ tạp'!$C$97:$AL$175,36,0)</f>
        <v>A</v>
      </c>
      <c r="D1115" s="1377"/>
      <c r="E1115" s="1377"/>
      <c r="F1115" s="1436"/>
      <c r="G1115" s="1375" t="s">
        <v>807</v>
      </c>
      <c r="H1115" s="1628" t="s">
        <v>1080</v>
      </c>
      <c r="I1115" s="1376" t="str">
        <f>VLOOKUP(H1114,'BTH mủ tạp'!$C$97:$AL$175,36,0)</f>
        <v>B</v>
      </c>
      <c r="J1115" s="1377"/>
      <c r="K1115" s="1377"/>
      <c r="L1115" s="1372"/>
    </row>
    <row r="1116" spans="1:12" s="31" customFormat="1" ht="17.25" customHeight="1">
      <c r="A1116" s="1375" t="s">
        <v>121</v>
      </c>
      <c r="B1116" s="1629" t="s">
        <v>865</v>
      </c>
      <c r="C1116" s="1378">
        <f>VLOOKUP(B1114,'CNKT '!$C$101:$Z$182,3,0)</f>
        <v>0</v>
      </c>
      <c r="D1116" s="1379">
        <v>25000</v>
      </c>
      <c r="E1116" s="1377">
        <f t="shared" ref="E1116:E1121" si="129">C1116*D1116</f>
        <v>0</v>
      </c>
      <c r="F1116" s="1436"/>
      <c r="G1116" s="1375" t="s">
        <v>121</v>
      </c>
      <c r="H1116" s="1629" t="s">
        <v>865</v>
      </c>
      <c r="I1116" s="1378">
        <f>VLOOKUP(H1114,'CNKT '!$C$101:$Z$182,3,0)</f>
        <v>0</v>
      </c>
      <c r="J1116" s="1379">
        <v>25000</v>
      </c>
      <c r="K1116" s="1377">
        <f t="shared" ref="K1116:K1121" si="130">I1116*J1116</f>
        <v>0</v>
      </c>
      <c r="L1116" s="1372"/>
    </row>
    <row r="1117" spans="1:12" s="31" customFormat="1" ht="17.25" customHeight="1">
      <c r="A1117" s="1375" t="s">
        <v>628</v>
      </c>
      <c r="B1117" s="1630" t="s">
        <v>1081</v>
      </c>
      <c r="C1117" s="1433">
        <f>VLOOKUP(B1114,'CNKT '!$C$101:$Z$182,11,0)</f>
        <v>0</v>
      </c>
      <c r="D1117" s="1380">
        <f>46.1*$B$2</f>
        <v>30241.600000000002</v>
      </c>
      <c r="E1117" s="1377">
        <f t="shared" si="129"/>
        <v>0</v>
      </c>
      <c r="F1117" s="1436"/>
      <c r="G1117" s="1375" t="s">
        <v>628</v>
      </c>
      <c r="H1117" s="1630" t="s">
        <v>1081</v>
      </c>
      <c r="I1117" s="1433">
        <f>VLOOKUP(H1114,'CNKT '!$C$101:$Z$182,11,0)</f>
        <v>0</v>
      </c>
      <c r="J1117" s="1380">
        <f>46.1*$B$2</f>
        <v>30241.600000000002</v>
      </c>
      <c r="K1117" s="1377">
        <f t="shared" si="130"/>
        <v>0</v>
      </c>
      <c r="L1117" s="1372"/>
    </row>
    <row r="1118" spans="1:12" s="31" customFormat="1" ht="17.25" customHeight="1">
      <c r="A1118" s="1375" t="s">
        <v>809</v>
      </c>
      <c r="B1118" s="1630" t="s">
        <v>1082</v>
      </c>
      <c r="C1118" s="1433">
        <f>VLOOKUP(B1114,'CNKT '!$C$101:$Z$182,12,0)</f>
        <v>0</v>
      </c>
      <c r="D1118" s="1379">
        <f>76.9*$B$2</f>
        <v>50446.400000000001</v>
      </c>
      <c r="E1118" s="1377">
        <f t="shared" si="129"/>
        <v>0</v>
      </c>
      <c r="F1118" s="1436"/>
      <c r="G1118" s="1375" t="s">
        <v>809</v>
      </c>
      <c r="H1118" s="1630" t="s">
        <v>1082</v>
      </c>
      <c r="I1118" s="1433">
        <f>VLOOKUP(H1114,'CNKT '!$C$101:$Z$182,12,0)</f>
        <v>0</v>
      </c>
      <c r="J1118" s="1379">
        <f>76.9*$B$2</f>
        <v>50446.400000000001</v>
      </c>
      <c r="K1118" s="1377">
        <f t="shared" si="130"/>
        <v>0</v>
      </c>
      <c r="L1118" s="1372"/>
    </row>
    <row r="1119" spans="1:12" s="31" customFormat="1" ht="17.25" customHeight="1">
      <c r="A1119" s="1375" t="s">
        <v>122</v>
      </c>
      <c r="B1119" s="1630" t="s">
        <v>1083</v>
      </c>
      <c r="C1119" s="1433">
        <f>VLOOKUP(B1114,'CNKT '!$C$101:$Z$182,8,0)</f>
        <v>0</v>
      </c>
      <c r="D1119" s="1379">
        <f>IF(C1115="A",6.1,IF(C1115="B",5.8,IF(C1115="C",5.5,IF(C1115="C.",5.5,IF(C1115="D",5.2)))))*$B$2</f>
        <v>4001.6</v>
      </c>
      <c r="E1119" s="1377">
        <f t="shared" si="129"/>
        <v>0</v>
      </c>
      <c r="F1119" s="1436"/>
      <c r="G1119" s="1375" t="s">
        <v>122</v>
      </c>
      <c r="H1119" s="1630" t="s">
        <v>1083</v>
      </c>
      <c r="I1119" s="1433">
        <f>VLOOKUP(H1114,'CNKT '!$C$101:$Z$182,8,0)</f>
        <v>0</v>
      </c>
      <c r="J1119" s="1379">
        <f>IF(I1115="A",6.1,IF(I1115="B",5.8,IF(I1115="C",5.5,IF(I1115="C.",5.5,IF(I1115="D",5.2)))))*$B$2</f>
        <v>3804.7999999999997</v>
      </c>
      <c r="K1119" s="1377">
        <f t="shared" si="130"/>
        <v>0</v>
      </c>
      <c r="L1119" s="1372"/>
    </row>
    <row r="1120" spans="1:12" s="31" customFormat="1" ht="17.25" customHeight="1">
      <c r="A1120" s="1375" t="s">
        <v>959</v>
      </c>
      <c r="B1120" s="1630" t="s">
        <v>1084</v>
      </c>
      <c r="C1120" s="1433">
        <f>VLOOKUP(B1114,'CNKT '!$C$101:$Z$182,15,0)</f>
        <v>0</v>
      </c>
      <c r="D1120" s="1380">
        <f>92.2*$B$2</f>
        <v>60483.200000000004</v>
      </c>
      <c r="E1120" s="1377">
        <f t="shared" si="129"/>
        <v>0</v>
      </c>
      <c r="F1120" s="1436"/>
      <c r="G1120" s="1375" t="s">
        <v>959</v>
      </c>
      <c r="H1120" s="1630" t="s">
        <v>1084</v>
      </c>
      <c r="I1120" s="1433">
        <f>VLOOKUP(H1114,'CNKT '!$C$101:$Z$182,15,0)</f>
        <v>0</v>
      </c>
      <c r="J1120" s="1380">
        <f>92.2*$B$2</f>
        <v>60483.200000000004</v>
      </c>
      <c r="K1120" s="1377">
        <f t="shared" si="130"/>
        <v>0</v>
      </c>
      <c r="L1120" s="1372"/>
    </row>
    <row r="1121" spans="1:12" s="31" customFormat="1" ht="17.25" customHeight="1">
      <c r="A1121" s="1375" t="s">
        <v>960</v>
      </c>
      <c r="B1121" s="1630" t="s">
        <v>964</v>
      </c>
      <c r="C1121" s="1433">
        <f>VLOOKUP(B1114,'CNKT '!$C$101:$Z$182,16,0)</f>
        <v>0</v>
      </c>
      <c r="D1121" s="1379">
        <f>153.8*$B$2</f>
        <v>100892.8</v>
      </c>
      <c r="E1121" s="1377">
        <f t="shared" si="129"/>
        <v>0</v>
      </c>
      <c r="F1121" s="1436"/>
      <c r="G1121" s="1375" t="s">
        <v>960</v>
      </c>
      <c r="H1121" s="1630" t="s">
        <v>964</v>
      </c>
      <c r="I1121" s="1433">
        <f>VLOOKUP(H1114,'CNKT '!$C$101:$Z$182,16,0)</f>
        <v>0</v>
      </c>
      <c r="J1121" s="1379">
        <f>153.8*$B$2</f>
        <v>100892.8</v>
      </c>
      <c r="K1121" s="1377">
        <f t="shared" si="130"/>
        <v>0</v>
      </c>
      <c r="L1121" s="1372"/>
    </row>
    <row r="1122" spans="1:12" s="31" customFormat="1" ht="17.25" customHeight="1">
      <c r="A1122" s="1375" t="s">
        <v>899</v>
      </c>
      <c r="B1122" s="1630" t="s">
        <v>965</v>
      </c>
      <c r="C1122" s="1433">
        <f>VLOOKUP(B1114,'CNKT '!$C$101:$Z$188,18,0)</f>
        <v>0</v>
      </c>
      <c r="D1122" s="1379">
        <v>10000</v>
      </c>
      <c r="E1122" s="1377">
        <f>C1122*D1122</f>
        <v>0</v>
      </c>
      <c r="F1122" s="1436"/>
      <c r="G1122" s="1375" t="s">
        <v>899</v>
      </c>
      <c r="H1122" s="1630" t="s">
        <v>965</v>
      </c>
      <c r="I1122" s="1433">
        <f>VLOOKUP(H1114,'CNKT '!$C$101:$Z$188,18,0)</f>
        <v>0</v>
      </c>
      <c r="J1122" s="1379">
        <v>10000</v>
      </c>
      <c r="K1122" s="1377">
        <f>I1122*J1122</f>
        <v>0</v>
      </c>
      <c r="L1122" s="1372"/>
    </row>
    <row r="1123" spans="1:12" s="31" customFormat="1" ht="17.25" customHeight="1">
      <c r="A1123" s="1375" t="s">
        <v>899</v>
      </c>
      <c r="B1123" s="1630" t="s">
        <v>965</v>
      </c>
      <c r="C1123" s="1433">
        <f>VLOOKUP(B1114,'CNKT '!$C$101:$Z$188,19,0)</f>
        <v>0</v>
      </c>
      <c r="D1123" s="1379">
        <v>20000</v>
      </c>
      <c r="E1123" s="1377">
        <f>C1123*D1123</f>
        <v>0</v>
      </c>
      <c r="F1123" s="1436"/>
      <c r="G1123" s="1375" t="s">
        <v>899</v>
      </c>
      <c r="H1123" s="1630" t="s">
        <v>965</v>
      </c>
      <c r="I1123" s="1433">
        <f>VLOOKUP(H1114,'CNKT '!$C$101:$Z$188,19,0)</f>
        <v>0</v>
      </c>
      <c r="J1123" s="1379">
        <v>20000</v>
      </c>
      <c r="K1123" s="1377">
        <f>I1123*J1123</f>
        <v>0</v>
      </c>
      <c r="L1123" s="1372"/>
    </row>
    <row r="1124" spans="1:12" s="31" customFormat="1" ht="17.25" customHeight="1">
      <c r="A1124" s="1375" t="s">
        <v>995</v>
      </c>
      <c r="B1124" s="1630" t="s">
        <v>997</v>
      </c>
      <c r="C1124" s="1433"/>
      <c r="D1124" s="1379"/>
      <c r="E1124" s="1377"/>
      <c r="F1124" s="1436"/>
      <c r="G1124" s="1375" t="s">
        <v>995</v>
      </c>
      <c r="H1124" s="1630" t="s">
        <v>997</v>
      </c>
      <c r="I1124" s="1433"/>
      <c r="J1124" s="1379"/>
      <c r="K1124" s="1377"/>
      <c r="L1124" s="1372"/>
    </row>
    <row r="1125" spans="1:12" s="31" customFormat="1" ht="17.25" customHeight="1">
      <c r="A1125" s="1381" t="s">
        <v>123</v>
      </c>
      <c r="B1125" s="1631" t="s">
        <v>1085</v>
      </c>
      <c r="C1125" s="1382"/>
      <c r="D1125" s="1383"/>
      <c r="E1125" s="1382"/>
      <c r="F1125" s="1436"/>
      <c r="G1125" s="1381" t="s">
        <v>123</v>
      </c>
      <c r="H1125" s="1631" t="s">
        <v>1085</v>
      </c>
      <c r="I1125" s="1382"/>
      <c r="J1125" s="1383"/>
      <c r="K1125" s="1382"/>
      <c r="L1125" s="1372"/>
    </row>
    <row r="1126" spans="1:12" s="31" customFormat="1" ht="17.25" customHeight="1">
      <c r="A1126" s="1384" t="s">
        <v>124</v>
      </c>
      <c r="B1126" s="1632" t="s">
        <v>1086</v>
      </c>
      <c r="C1126" s="1382"/>
      <c r="D1126" s="1382"/>
      <c r="E1126" s="1382"/>
      <c r="F1126" s="1436"/>
      <c r="G1126" s="1384" t="s">
        <v>124</v>
      </c>
      <c r="H1126" s="1632" t="s">
        <v>1086</v>
      </c>
      <c r="I1126" s="1382"/>
      <c r="J1126" s="1382"/>
      <c r="K1126" s="1382"/>
      <c r="L1126" s="1372"/>
    </row>
    <row r="1127" spans="1:12" s="31" customFormat="1" ht="17.25" customHeight="1">
      <c r="A1127" s="1384" t="s">
        <v>125</v>
      </c>
      <c r="B1127" s="1633" t="s">
        <v>1087</v>
      </c>
      <c r="C1127" s="1382"/>
      <c r="D1127" s="1382"/>
      <c r="E1127" s="1377">
        <f>SUM(E1126)</f>
        <v>0</v>
      </c>
      <c r="F1127" s="1626"/>
      <c r="G1127" s="1384" t="s">
        <v>125</v>
      </c>
      <c r="H1127" s="1633" t="s">
        <v>1087</v>
      </c>
      <c r="I1127" s="1382"/>
      <c r="J1127" s="1382"/>
      <c r="K1127" s="1377">
        <f>SUM(K1126)</f>
        <v>0</v>
      </c>
      <c r="L1127" s="1372"/>
    </row>
    <row r="1128" spans="1:12" s="31" customFormat="1" ht="17.25" customHeight="1">
      <c r="A1128" s="1386" t="s">
        <v>126</v>
      </c>
      <c r="B1128" s="1634" t="s">
        <v>871</v>
      </c>
      <c r="C1128" s="1387"/>
      <c r="D1128" s="1387"/>
      <c r="E1128" s="1387">
        <f>(E1116+E1117+E1118+E1119+E1120+E1121+E1122+E1123+E1124)-E1127</f>
        <v>0</v>
      </c>
      <c r="F1128" s="1626"/>
      <c r="G1128" s="1386" t="s">
        <v>126</v>
      </c>
      <c r="H1128" s="1634" t="s">
        <v>871</v>
      </c>
      <c r="I1128" s="1387"/>
      <c r="J1128" s="1387"/>
      <c r="K1128" s="1387">
        <f>(K1116+K1117+K1118+K1119+K1120+K1121+K1122+K1123+K1124)-K1127</f>
        <v>0</v>
      </c>
      <c r="L1128" s="1389">
        <f>E1128+K1128</f>
        <v>0</v>
      </c>
    </row>
    <row r="1129" spans="1:12" s="31" customFormat="1" ht="10.5" customHeight="1">
      <c r="A1129" s="2183"/>
      <c r="B1129" s="2183"/>
      <c r="C1129" s="2183"/>
      <c r="D1129" s="2183"/>
      <c r="E1129" s="2183"/>
      <c r="F1129" s="1427"/>
      <c r="G1129" s="2183"/>
      <c r="H1129" s="2183"/>
      <c r="I1129" s="2183"/>
      <c r="J1129" s="2183"/>
      <c r="K1129" s="1428"/>
      <c r="L1129" s="1372"/>
    </row>
    <row r="1130" spans="1:12" s="31" customFormat="1" ht="17.25" customHeight="1">
      <c r="A1130" s="1449" t="str">
        <f>A1113</f>
        <v>LƯƠNG THÁNG 01/2025</v>
      </c>
      <c r="B1130" s="1449"/>
      <c r="C1130" s="1449"/>
      <c r="D1130" s="1449"/>
      <c r="E1130" s="1449">
        <f>VLOOKUP(B1131,'CNKT '!$C$101:$AD$188,26,0)</f>
        <v>0</v>
      </c>
      <c r="F1130" s="1427"/>
      <c r="G1130" s="1449" t="str">
        <f>A1130</f>
        <v>LƯƠNG THÁNG 01/2025</v>
      </c>
      <c r="H1130" s="1449"/>
      <c r="I1130" s="1449"/>
      <c r="J1130" s="1449"/>
      <c r="K1130" s="1449">
        <f>VLOOKUP(H1131,'CNKT '!$C$101:$AD$188,26,0)</f>
        <v>0</v>
      </c>
      <c r="L1130" s="1372"/>
    </row>
    <row r="1131" spans="1:12" s="31" customFormat="1" ht="17.25" customHeight="1">
      <c r="A1131" s="1391" t="s">
        <v>29</v>
      </c>
      <c r="B1131" s="1626" t="str">
        <f>'CNKT '!C147</f>
        <v>Veo Khăm</v>
      </c>
      <c r="C1131" s="1376"/>
      <c r="D1131" s="1626" t="s">
        <v>806</v>
      </c>
      <c r="E1131" s="1626" t="s">
        <v>32</v>
      </c>
      <c r="F1131" s="1436"/>
      <c r="G1131" s="1391" t="s">
        <v>29</v>
      </c>
      <c r="H1131" s="1626" t="str">
        <f>'CNKT '!C148</f>
        <v>T . Khon</v>
      </c>
      <c r="I1131" s="1376"/>
      <c r="J1131" s="1626" t="s">
        <v>806</v>
      </c>
      <c r="K1131" s="1626" t="s">
        <v>32</v>
      </c>
      <c r="L1131" s="1372"/>
    </row>
    <row r="1132" spans="1:12" s="31" customFormat="1" ht="17.25" customHeight="1">
      <c r="A1132" s="1375" t="s">
        <v>807</v>
      </c>
      <c r="B1132" s="1628" t="s">
        <v>1080</v>
      </c>
      <c r="C1132" s="1376" t="str">
        <f>VLOOKUP(B1131,'BTH mủ tạp'!$C$97:$AL$175,36,0)</f>
        <v>A</v>
      </c>
      <c r="D1132" s="1377"/>
      <c r="E1132" s="1377"/>
      <c r="F1132" s="1436"/>
      <c r="G1132" s="1375" t="s">
        <v>807</v>
      </c>
      <c r="H1132" s="1628" t="s">
        <v>1080</v>
      </c>
      <c r="I1132" s="1376" t="str">
        <f>VLOOKUP(H1131,'BTH mủ tạp'!$C$97:$AL$175,36,0)</f>
        <v>C</v>
      </c>
      <c r="J1132" s="1377"/>
      <c r="K1132" s="1377"/>
      <c r="L1132" s="1372"/>
    </row>
    <row r="1133" spans="1:12" s="31" customFormat="1" ht="17.25" customHeight="1">
      <c r="A1133" s="1375" t="s">
        <v>121</v>
      </c>
      <c r="B1133" s="1629" t="s">
        <v>865</v>
      </c>
      <c r="C1133" s="1378">
        <f>VLOOKUP(B1131,'CNKT '!$C$101:$Z$182,3,0)</f>
        <v>0</v>
      </c>
      <c r="D1133" s="1379">
        <v>25000</v>
      </c>
      <c r="E1133" s="1377">
        <f t="shared" ref="E1133:E1138" si="131">C1133*D1133</f>
        <v>0</v>
      </c>
      <c r="F1133" s="1436"/>
      <c r="G1133" s="1375" t="s">
        <v>121</v>
      </c>
      <c r="H1133" s="1629" t="s">
        <v>865</v>
      </c>
      <c r="I1133" s="1378">
        <f>VLOOKUP(H1131,'CNKT '!$C$101:$Z$182,3,0)</f>
        <v>0</v>
      </c>
      <c r="J1133" s="1379">
        <v>25000</v>
      </c>
      <c r="K1133" s="1377">
        <f t="shared" ref="K1133:K1138" si="132">I1133*J1133</f>
        <v>0</v>
      </c>
      <c r="L1133" s="1372"/>
    </row>
    <row r="1134" spans="1:12" s="31" customFormat="1" ht="17.25" customHeight="1">
      <c r="A1134" s="1375" t="s">
        <v>628</v>
      </c>
      <c r="B1134" s="1630" t="s">
        <v>1081</v>
      </c>
      <c r="C1134" s="1433">
        <f>VLOOKUP(B1131,'CNKT '!$C$101:$Z$182,11,0)</f>
        <v>0</v>
      </c>
      <c r="D1134" s="1380">
        <f>46.1*$B$2</f>
        <v>30241.600000000002</v>
      </c>
      <c r="E1134" s="1377">
        <f t="shared" si="131"/>
        <v>0</v>
      </c>
      <c r="F1134" s="1436"/>
      <c r="G1134" s="1375" t="s">
        <v>628</v>
      </c>
      <c r="H1134" s="1630" t="s">
        <v>1081</v>
      </c>
      <c r="I1134" s="1433">
        <f>VLOOKUP(H1131,'CNKT '!$C$101:$Z$182,11,0)</f>
        <v>0</v>
      </c>
      <c r="J1134" s="1380">
        <f>46.1*$B$2</f>
        <v>30241.600000000002</v>
      </c>
      <c r="K1134" s="1377">
        <f t="shared" si="132"/>
        <v>0</v>
      </c>
      <c r="L1134" s="1372"/>
    </row>
    <row r="1135" spans="1:12" s="31" customFormat="1" ht="17.25" customHeight="1">
      <c r="A1135" s="1375" t="s">
        <v>809</v>
      </c>
      <c r="B1135" s="1630" t="s">
        <v>1082</v>
      </c>
      <c r="C1135" s="1433">
        <f>VLOOKUP(B1131,'CNKT '!$C$101:$Z$182,12,0)</f>
        <v>0</v>
      </c>
      <c r="D1135" s="1379">
        <f>76.9*$B$2</f>
        <v>50446.400000000001</v>
      </c>
      <c r="E1135" s="1377">
        <f t="shared" si="131"/>
        <v>0</v>
      </c>
      <c r="F1135" s="1436"/>
      <c r="G1135" s="1375" t="s">
        <v>809</v>
      </c>
      <c r="H1135" s="1630" t="s">
        <v>1082</v>
      </c>
      <c r="I1135" s="1433">
        <f>VLOOKUP(H1131,'CNKT '!$C$101:$Z$182,12,0)</f>
        <v>0</v>
      </c>
      <c r="J1135" s="1379">
        <f>76.9*$B$2</f>
        <v>50446.400000000001</v>
      </c>
      <c r="K1135" s="1377">
        <f t="shared" si="132"/>
        <v>0</v>
      </c>
      <c r="L1135" s="1372"/>
    </row>
    <row r="1136" spans="1:12" s="31" customFormat="1" ht="17.25" customHeight="1">
      <c r="A1136" s="1375" t="s">
        <v>122</v>
      </c>
      <c r="B1136" s="1630" t="s">
        <v>1083</v>
      </c>
      <c r="C1136" s="1433">
        <f>VLOOKUP(B1131,'CNKT '!$C$101:$Z$182,8,0)</f>
        <v>0</v>
      </c>
      <c r="D1136" s="1379">
        <f>IF(C1132="A",6.1,IF(C1132="B",5.8,IF(C1132="C",5.5,IF(C1132="C.",5.5,IF(C1132="D",5.2)))))*$B$2</f>
        <v>4001.6</v>
      </c>
      <c r="E1136" s="1377">
        <f t="shared" si="131"/>
        <v>0</v>
      </c>
      <c r="F1136" s="1436"/>
      <c r="G1136" s="1375" t="s">
        <v>122</v>
      </c>
      <c r="H1136" s="1630" t="s">
        <v>1083</v>
      </c>
      <c r="I1136" s="1433">
        <f>VLOOKUP(H1131,'CNKT '!$C$101:$Z$182,8,0)</f>
        <v>0</v>
      </c>
      <c r="J1136" s="1379">
        <f>IF(I1132="A",6.1,IF(I1132="B",5.8,IF(I1132="C",5.5,IF(I1132="C.",5.5,IF(I1132="D",5.2)))))*$B$2</f>
        <v>3608</v>
      </c>
      <c r="K1136" s="1377">
        <f t="shared" si="132"/>
        <v>0</v>
      </c>
      <c r="L1136" s="1372"/>
    </row>
    <row r="1137" spans="1:12" s="31" customFormat="1" ht="17.25" customHeight="1">
      <c r="A1137" s="1375" t="s">
        <v>959</v>
      </c>
      <c r="B1137" s="1630" t="s">
        <v>1084</v>
      </c>
      <c r="C1137" s="1433">
        <f>VLOOKUP(B1131,'CNKT '!$C$101:$Z$182,15,0)</f>
        <v>0</v>
      </c>
      <c r="D1137" s="1380">
        <f>92.2*$B$2</f>
        <v>60483.200000000004</v>
      </c>
      <c r="E1137" s="1377">
        <f t="shared" si="131"/>
        <v>0</v>
      </c>
      <c r="F1137" s="1436"/>
      <c r="G1137" s="1375" t="s">
        <v>959</v>
      </c>
      <c r="H1137" s="1630" t="s">
        <v>1084</v>
      </c>
      <c r="I1137" s="1433">
        <f>VLOOKUP(H1131,'CNKT '!$C$101:$Z$182,15,0)</f>
        <v>0</v>
      </c>
      <c r="J1137" s="1380">
        <f>92.2*$B$2</f>
        <v>60483.200000000004</v>
      </c>
      <c r="K1137" s="1377">
        <f t="shared" si="132"/>
        <v>0</v>
      </c>
      <c r="L1137" s="1372"/>
    </row>
    <row r="1138" spans="1:12" s="31" customFormat="1" ht="17.25" customHeight="1">
      <c r="A1138" s="1375" t="s">
        <v>960</v>
      </c>
      <c r="B1138" s="1630" t="s">
        <v>964</v>
      </c>
      <c r="C1138" s="1433">
        <f>VLOOKUP(B1131,'CNKT '!$C$101:$Z$182,16,0)</f>
        <v>0</v>
      </c>
      <c r="D1138" s="1379">
        <f>153.8*$B$2</f>
        <v>100892.8</v>
      </c>
      <c r="E1138" s="1377">
        <f t="shared" si="131"/>
        <v>0</v>
      </c>
      <c r="F1138" s="1436"/>
      <c r="G1138" s="1375" t="s">
        <v>960</v>
      </c>
      <c r="H1138" s="1630" t="s">
        <v>964</v>
      </c>
      <c r="I1138" s="1433">
        <f>VLOOKUP(H1131,'CNKT '!$C$101:$Z$182,16,0)</f>
        <v>0</v>
      </c>
      <c r="J1138" s="1379">
        <f>153.8*$B$2</f>
        <v>100892.8</v>
      </c>
      <c r="K1138" s="1377">
        <f t="shared" si="132"/>
        <v>0</v>
      </c>
      <c r="L1138" s="1372"/>
    </row>
    <row r="1139" spans="1:12" s="31" customFormat="1" ht="17.25" customHeight="1">
      <c r="A1139" s="1375" t="s">
        <v>899</v>
      </c>
      <c r="B1139" s="1630" t="s">
        <v>965</v>
      </c>
      <c r="C1139" s="1433">
        <f>VLOOKUP(B1131,'CNKT '!$C$101:$Z$188,18,0)</f>
        <v>0</v>
      </c>
      <c r="D1139" s="1379">
        <v>10000</v>
      </c>
      <c r="E1139" s="1377">
        <f>C1139*D1139</f>
        <v>0</v>
      </c>
      <c r="F1139" s="1436"/>
      <c r="G1139" s="1375" t="s">
        <v>899</v>
      </c>
      <c r="H1139" s="1630" t="s">
        <v>965</v>
      </c>
      <c r="I1139" s="1433">
        <f>VLOOKUP(H1131,'CNKT '!$C$101:$Z$188,18,0)</f>
        <v>0</v>
      </c>
      <c r="J1139" s="1379">
        <v>10000</v>
      </c>
      <c r="K1139" s="1377">
        <f>I1139*J1139</f>
        <v>0</v>
      </c>
      <c r="L1139" s="1372"/>
    </row>
    <row r="1140" spans="1:12" s="31" customFormat="1" ht="17.25" customHeight="1">
      <c r="A1140" s="1375" t="s">
        <v>899</v>
      </c>
      <c r="B1140" s="1630" t="s">
        <v>965</v>
      </c>
      <c r="C1140" s="1433">
        <f>VLOOKUP(B1131,'CNKT '!$C$101:$Z$188,19,0)</f>
        <v>0</v>
      </c>
      <c r="D1140" s="1379">
        <v>20000</v>
      </c>
      <c r="E1140" s="1377">
        <f>C1140*D1140</f>
        <v>0</v>
      </c>
      <c r="F1140" s="1436"/>
      <c r="G1140" s="1375" t="s">
        <v>899</v>
      </c>
      <c r="H1140" s="1630" t="s">
        <v>965</v>
      </c>
      <c r="I1140" s="1433">
        <f>VLOOKUP(H1131,'CNKT '!$C$101:$Z$188,19,0)</f>
        <v>0</v>
      </c>
      <c r="J1140" s="1379">
        <v>20000</v>
      </c>
      <c r="K1140" s="1377">
        <f>I1140*J1140</f>
        <v>0</v>
      </c>
      <c r="L1140" s="1372"/>
    </row>
    <row r="1141" spans="1:12" s="31" customFormat="1" ht="17.25" customHeight="1">
      <c r="A1141" s="1375" t="s">
        <v>995</v>
      </c>
      <c r="B1141" s="1630" t="s">
        <v>997</v>
      </c>
      <c r="C1141" s="1433"/>
      <c r="D1141" s="1379"/>
      <c r="E1141" s="1377"/>
      <c r="F1141" s="1436"/>
      <c r="G1141" s="1375" t="s">
        <v>995</v>
      </c>
      <c r="H1141" s="1630" t="s">
        <v>997</v>
      </c>
      <c r="I1141" s="1433"/>
      <c r="J1141" s="1379"/>
      <c r="K1141" s="1377"/>
      <c r="L1141" s="1372"/>
    </row>
    <row r="1142" spans="1:12" s="31" customFormat="1" ht="17.25" customHeight="1">
      <c r="A1142" s="1381" t="s">
        <v>123</v>
      </c>
      <c r="B1142" s="1631" t="s">
        <v>1085</v>
      </c>
      <c r="C1142" s="1382"/>
      <c r="D1142" s="1383"/>
      <c r="E1142" s="1382"/>
      <c r="F1142" s="1436"/>
      <c r="G1142" s="1381" t="s">
        <v>123</v>
      </c>
      <c r="H1142" s="1631" t="s">
        <v>1085</v>
      </c>
      <c r="I1142" s="1382"/>
      <c r="J1142" s="1383"/>
      <c r="K1142" s="1382"/>
      <c r="L1142" s="1372"/>
    </row>
    <row r="1143" spans="1:12" s="31" customFormat="1" ht="17.25" customHeight="1">
      <c r="A1143" s="1384" t="s">
        <v>124</v>
      </c>
      <c r="B1143" s="1632" t="s">
        <v>1086</v>
      </c>
      <c r="C1143" s="1382"/>
      <c r="D1143" s="1382"/>
      <c r="E1143" s="1382"/>
      <c r="F1143" s="1436"/>
      <c r="G1143" s="1384" t="s">
        <v>124</v>
      </c>
      <c r="H1143" s="1632" t="s">
        <v>1086</v>
      </c>
      <c r="I1143" s="1382"/>
      <c r="J1143" s="1382"/>
      <c r="K1143" s="1382"/>
      <c r="L1143" s="1372"/>
    </row>
    <row r="1144" spans="1:12" s="31" customFormat="1" ht="17.25" customHeight="1">
      <c r="A1144" s="1384" t="s">
        <v>125</v>
      </c>
      <c r="B1144" s="1633" t="s">
        <v>1087</v>
      </c>
      <c r="C1144" s="1382"/>
      <c r="D1144" s="1382"/>
      <c r="E1144" s="1377">
        <f>SUM(E1143)</f>
        <v>0</v>
      </c>
      <c r="F1144" s="1436"/>
      <c r="G1144" s="1384" t="s">
        <v>125</v>
      </c>
      <c r="H1144" s="1633" t="s">
        <v>1087</v>
      </c>
      <c r="I1144" s="1382"/>
      <c r="J1144" s="1382"/>
      <c r="K1144" s="1377">
        <f>SUM(K1143)</f>
        <v>0</v>
      </c>
      <c r="L1144" s="1372"/>
    </row>
    <row r="1145" spans="1:12" s="31" customFormat="1" ht="17.25" customHeight="1">
      <c r="A1145" s="1386" t="s">
        <v>126</v>
      </c>
      <c r="B1145" s="1634" t="s">
        <v>871</v>
      </c>
      <c r="C1145" s="1387"/>
      <c r="D1145" s="1387"/>
      <c r="E1145" s="1387">
        <f>(E1133+E1134+E1135+E1136+E1137+E1138+E1139+E1140+E1141)-E1144</f>
        <v>0</v>
      </c>
      <c r="F1145" s="1436"/>
      <c r="G1145" s="1386" t="s">
        <v>126</v>
      </c>
      <c r="H1145" s="1634" t="s">
        <v>871</v>
      </c>
      <c r="I1145" s="1387"/>
      <c r="J1145" s="1387"/>
      <c r="K1145" s="1387">
        <f>(K1133+K1134+K1135+K1136+K1137+K1138+K1139+K1140+K1141)-K1144</f>
        <v>0</v>
      </c>
      <c r="L1145" s="1389">
        <f>E1145+K1145</f>
        <v>0</v>
      </c>
    </row>
    <row r="1146" spans="1:12" s="31" customFormat="1" ht="6.75" customHeight="1">
      <c r="A1146" s="2183"/>
      <c r="B1146" s="2183"/>
      <c r="C1146" s="2183"/>
      <c r="D1146" s="2183"/>
      <c r="E1146" s="2183"/>
      <c r="F1146" s="1427"/>
      <c r="G1146" s="2183"/>
      <c r="H1146" s="2183"/>
      <c r="I1146" s="2183"/>
      <c r="J1146" s="2183"/>
      <c r="K1146" s="1428"/>
      <c r="L1146" s="1372"/>
    </row>
    <row r="1147" spans="1:12" s="31" customFormat="1" ht="17.25" customHeight="1">
      <c r="A1147" s="1449" t="str">
        <f>A1130</f>
        <v>LƯƠNG THÁNG 01/2025</v>
      </c>
      <c r="B1147" s="1449"/>
      <c r="C1147" s="1449"/>
      <c r="D1147" s="1449"/>
      <c r="E1147" s="1449">
        <f>VLOOKUP(B1148,'CNKT '!$C$101:$AD$188,26,0)</f>
        <v>0</v>
      </c>
      <c r="F1147" s="1427"/>
      <c r="G1147" s="1449" t="str">
        <f>A1147</f>
        <v>LƯƠNG THÁNG 01/2025</v>
      </c>
      <c r="H1147" s="1449"/>
      <c r="I1147" s="1449"/>
      <c r="J1147" s="1449"/>
      <c r="K1147" s="1449">
        <f>VLOOKUP(H1148,'CNKT '!$C$101:$AD$188,26,0)</f>
        <v>0</v>
      </c>
      <c r="L1147" s="1372"/>
    </row>
    <row r="1148" spans="1:12" s="31" customFormat="1" ht="17.25" customHeight="1">
      <c r="A1148" s="1391" t="s">
        <v>29</v>
      </c>
      <c r="B1148" s="1626" t="str">
        <f>'CNKT '!C149</f>
        <v>N. Nun</v>
      </c>
      <c r="C1148" s="1376"/>
      <c r="D1148" s="1626" t="s">
        <v>806</v>
      </c>
      <c r="E1148" s="1626" t="s">
        <v>32</v>
      </c>
      <c r="F1148" s="1436"/>
      <c r="G1148" s="1391" t="s">
        <v>29</v>
      </c>
      <c r="H1148" s="1626" t="str">
        <f>'CNKT '!C150</f>
        <v>In Pông</v>
      </c>
      <c r="I1148" s="1376"/>
      <c r="J1148" s="1626" t="s">
        <v>806</v>
      </c>
      <c r="K1148" s="1626" t="s">
        <v>32</v>
      </c>
      <c r="L1148" s="1372"/>
    </row>
    <row r="1149" spans="1:12" s="31" customFormat="1" ht="17.25" customHeight="1">
      <c r="A1149" s="1375" t="s">
        <v>807</v>
      </c>
      <c r="B1149" s="1628" t="s">
        <v>1080</v>
      </c>
      <c r="C1149" s="1376" t="str">
        <f>VLOOKUP(B1148,'BTH mủ tạp'!$C$97:$AL$175,36,0)</f>
        <v>A</v>
      </c>
      <c r="D1149" s="1377"/>
      <c r="E1149" s="1377"/>
      <c r="F1149" s="1436"/>
      <c r="G1149" s="1375" t="s">
        <v>807</v>
      </c>
      <c r="H1149" s="1628" t="s">
        <v>1080</v>
      </c>
      <c r="I1149" s="1376" t="str">
        <f>VLOOKUP(H1148,'BTH mủ tạp'!$C$97:$AL$175,36,0)</f>
        <v>B</v>
      </c>
      <c r="J1149" s="1377"/>
      <c r="K1149" s="1377"/>
      <c r="L1149" s="1372"/>
    </row>
    <row r="1150" spans="1:12" s="31" customFormat="1" ht="17.25" customHeight="1">
      <c r="A1150" s="1375" t="s">
        <v>121</v>
      </c>
      <c r="B1150" s="1629" t="s">
        <v>865</v>
      </c>
      <c r="C1150" s="1378">
        <f>VLOOKUP(B1148,'CNKT '!$C$101:$Z$182,3,0)</f>
        <v>0</v>
      </c>
      <c r="D1150" s="1379">
        <v>25000</v>
      </c>
      <c r="E1150" s="1377">
        <f t="shared" ref="E1150:E1155" si="133">C1150*D1150</f>
        <v>0</v>
      </c>
      <c r="F1150" s="1436"/>
      <c r="G1150" s="1375" t="s">
        <v>121</v>
      </c>
      <c r="H1150" s="1629" t="s">
        <v>865</v>
      </c>
      <c r="I1150" s="1378">
        <f>VLOOKUP(H1148,'CNKT '!$C$101:$Z$182,3,0)</f>
        <v>0</v>
      </c>
      <c r="J1150" s="1379">
        <v>25000</v>
      </c>
      <c r="K1150" s="1377">
        <f t="shared" ref="K1150:K1155" si="134">I1150*J1150</f>
        <v>0</v>
      </c>
      <c r="L1150" s="1372"/>
    </row>
    <row r="1151" spans="1:12" s="31" customFormat="1" ht="17.25" customHeight="1">
      <c r="A1151" s="1375" t="s">
        <v>628</v>
      </c>
      <c r="B1151" s="1630" t="s">
        <v>1081</v>
      </c>
      <c r="C1151" s="1433">
        <f>VLOOKUP(B1148,'CNKT '!$C$101:$Z$182,11,0)</f>
        <v>0</v>
      </c>
      <c r="D1151" s="1380">
        <f>46.1*$B$2</f>
        <v>30241.600000000002</v>
      </c>
      <c r="E1151" s="1377">
        <f t="shared" si="133"/>
        <v>0</v>
      </c>
      <c r="F1151" s="1436"/>
      <c r="G1151" s="1375" t="s">
        <v>628</v>
      </c>
      <c r="H1151" s="1630" t="s">
        <v>1081</v>
      </c>
      <c r="I1151" s="1433">
        <f>VLOOKUP(H1148,'CNKT '!$C$101:$Z$182,11,0)</f>
        <v>0</v>
      </c>
      <c r="J1151" s="1380">
        <f>46.1*$B$2</f>
        <v>30241.600000000002</v>
      </c>
      <c r="K1151" s="1377">
        <f t="shared" si="134"/>
        <v>0</v>
      </c>
      <c r="L1151" s="1372"/>
    </row>
    <row r="1152" spans="1:12" s="31" customFormat="1" ht="17.25" customHeight="1">
      <c r="A1152" s="1375" t="s">
        <v>809</v>
      </c>
      <c r="B1152" s="1630" t="s">
        <v>1082</v>
      </c>
      <c r="C1152" s="1433">
        <f>VLOOKUP(B1148,'CNKT '!$C$101:$Z$182,12,0)</f>
        <v>0</v>
      </c>
      <c r="D1152" s="1379">
        <f>76.9*$B$2</f>
        <v>50446.400000000001</v>
      </c>
      <c r="E1152" s="1377">
        <f t="shared" si="133"/>
        <v>0</v>
      </c>
      <c r="F1152" s="1436"/>
      <c r="G1152" s="1375" t="s">
        <v>809</v>
      </c>
      <c r="H1152" s="1630" t="s">
        <v>1082</v>
      </c>
      <c r="I1152" s="1433">
        <f>VLOOKUP(H1148,'CNKT '!$C$101:$Z$182,12,0)</f>
        <v>0</v>
      </c>
      <c r="J1152" s="1379">
        <f>76.9*$B$2</f>
        <v>50446.400000000001</v>
      </c>
      <c r="K1152" s="1377">
        <f t="shared" si="134"/>
        <v>0</v>
      </c>
      <c r="L1152" s="1372"/>
    </row>
    <row r="1153" spans="1:12" s="31" customFormat="1" ht="17.25" customHeight="1">
      <c r="A1153" s="1375" t="s">
        <v>122</v>
      </c>
      <c r="B1153" s="1630" t="s">
        <v>1083</v>
      </c>
      <c r="C1153" s="1433">
        <f>VLOOKUP(B1148,'CNKT '!$C$101:$Z$182,8,0)</f>
        <v>0</v>
      </c>
      <c r="D1153" s="1379">
        <f>IF(C1149="A",6.1,IF(C1149="B",5.8,IF(C1149="C",5.5,IF(C1149="C.",5.5,IF(C1149="D",5.2)))))*$B$2</f>
        <v>4001.6</v>
      </c>
      <c r="E1153" s="1377">
        <f t="shared" si="133"/>
        <v>0</v>
      </c>
      <c r="F1153" s="1436"/>
      <c r="G1153" s="1375" t="s">
        <v>122</v>
      </c>
      <c r="H1153" s="1630" t="s">
        <v>1083</v>
      </c>
      <c r="I1153" s="1433">
        <f>VLOOKUP(H1148,'CNKT '!$C$101:$Z$182,8,0)</f>
        <v>0</v>
      </c>
      <c r="J1153" s="1379">
        <f>IF(I1149="A",6.1,IF(I1149="B",5.8,IF(I1149="C",5.5,IF(I1149="C.",5.5,IF(I1149="D",5.2)))))*$B$2</f>
        <v>3804.7999999999997</v>
      </c>
      <c r="K1153" s="1377">
        <f t="shared" si="134"/>
        <v>0</v>
      </c>
      <c r="L1153" s="1372"/>
    </row>
    <row r="1154" spans="1:12" s="31" customFormat="1" ht="17.25" customHeight="1">
      <c r="A1154" s="1375" t="s">
        <v>959</v>
      </c>
      <c r="B1154" s="1630" t="s">
        <v>1084</v>
      </c>
      <c r="C1154" s="1433">
        <f>VLOOKUP(B1148,'CNKT '!$C$101:$Z$182,15,0)</f>
        <v>0</v>
      </c>
      <c r="D1154" s="1380">
        <f>92.2*$B$2</f>
        <v>60483.200000000004</v>
      </c>
      <c r="E1154" s="1377">
        <f t="shared" si="133"/>
        <v>0</v>
      </c>
      <c r="F1154" s="1436"/>
      <c r="G1154" s="1375" t="s">
        <v>959</v>
      </c>
      <c r="H1154" s="1630" t="s">
        <v>1084</v>
      </c>
      <c r="I1154" s="1433">
        <f>VLOOKUP(H1148,'CNKT '!$C$101:$Z$182,15,0)</f>
        <v>0</v>
      </c>
      <c r="J1154" s="1380">
        <f>92.2*$B$2</f>
        <v>60483.200000000004</v>
      </c>
      <c r="K1154" s="1377">
        <f t="shared" si="134"/>
        <v>0</v>
      </c>
      <c r="L1154" s="1372"/>
    </row>
    <row r="1155" spans="1:12" s="31" customFormat="1" ht="17.25" customHeight="1">
      <c r="A1155" s="1375" t="s">
        <v>960</v>
      </c>
      <c r="B1155" s="1630" t="s">
        <v>964</v>
      </c>
      <c r="C1155" s="1433">
        <f>VLOOKUP(B1148,'CNKT '!$C$101:$Z$182,16,0)</f>
        <v>0</v>
      </c>
      <c r="D1155" s="1379">
        <f>153.8*$B$2</f>
        <v>100892.8</v>
      </c>
      <c r="E1155" s="1377">
        <f t="shared" si="133"/>
        <v>0</v>
      </c>
      <c r="F1155" s="1436"/>
      <c r="G1155" s="1375" t="s">
        <v>960</v>
      </c>
      <c r="H1155" s="1630" t="s">
        <v>964</v>
      </c>
      <c r="I1155" s="1433">
        <f>VLOOKUP(H1148,'CNKT '!$C$101:$Z$182,16,0)</f>
        <v>0</v>
      </c>
      <c r="J1155" s="1379">
        <f>153.8*$B$2</f>
        <v>100892.8</v>
      </c>
      <c r="K1155" s="1377">
        <f t="shared" si="134"/>
        <v>0</v>
      </c>
      <c r="L1155" s="1372"/>
    </row>
    <row r="1156" spans="1:12" s="31" customFormat="1" ht="17.25" customHeight="1">
      <c r="A1156" s="1375" t="s">
        <v>899</v>
      </c>
      <c r="B1156" s="1630" t="s">
        <v>965</v>
      </c>
      <c r="C1156" s="1433">
        <f>VLOOKUP(B1148,'CNKT '!$C$101:$Z$188,18,0)</f>
        <v>0</v>
      </c>
      <c r="D1156" s="1379">
        <v>10000</v>
      </c>
      <c r="E1156" s="1377">
        <f>C1156*D1156</f>
        <v>0</v>
      </c>
      <c r="F1156" s="1436"/>
      <c r="G1156" s="1375" t="s">
        <v>899</v>
      </c>
      <c r="H1156" s="1630" t="s">
        <v>965</v>
      </c>
      <c r="I1156" s="1433">
        <f>VLOOKUP(H1148,'CNKT '!$C$101:$Z$188,18,0)</f>
        <v>0</v>
      </c>
      <c r="J1156" s="1379">
        <v>10000</v>
      </c>
      <c r="K1156" s="1377">
        <f>I1156*J1156</f>
        <v>0</v>
      </c>
      <c r="L1156" s="1372"/>
    </row>
    <row r="1157" spans="1:12" s="31" customFormat="1" ht="17.25" customHeight="1">
      <c r="A1157" s="1375" t="s">
        <v>899</v>
      </c>
      <c r="B1157" s="1630" t="s">
        <v>965</v>
      </c>
      <c r="C1157" s="1433">
        <f>VLOOKUP(B1148,'CNKT '!$C$101:$Z$188,19,0)</f>
        <v>0</v>
      </c>
      <c r="D1157" s="1379">
        <v>20000</v>
      </c>
      <c r="E1157" s="1377">
        <f>C1157*D1157</f>
        <v>0</v>
      </c>
      <c r="F1157" s="1436"/>
      <c r="G1157" s="1375" t="s">
        <v>899</v>
      </c>
      <c r="H1157" s="1630" t="s">
        <v>965</v>
      </c>
      <c r="I1157" s="1433">
        <f>VLOOKUP(H1148,'CNKT '!$C$101:$Z$188,19,0)</f>
        <v>0</v>
      </c>
      <c r="J1157" s="1379">
        <v>20000</v>
      </c>
      <c r="K1157" s="1377">
        <f>I1157*J1157</f>
        <v>0</v>
      </c>
      <c r="L1157" s="1372"/>
    </row>
    <row r="1158" spans="1:12" s="31" customFormat="1" ht="17.25" customHeight="1">
      <c r="A1158" s="1375" t="s">
        <v>995</v>
      </c>
      <c r="B1158" s="1630" t="s">
        <v>997</v>
      </c>
      <c r="C1158" s="1433"/>
      <c r="D1158" s="1379"/>
      <c r="E1158" s="1377"/>
      <c r="F1158" s="1436"/>
      <c r="G1158" s="1375" t="s">
        <v>995</v>
      </c>
      <c r="H1158" s="1630" t="s">
        <v>997</v>
      </c>
      <c r="I1158" s="1433"/>
      <c r="J1158" s="1379"/>
      <c r="K1158" s="1377"/>
      <c r="L1158" s="1372"/>
    </row>
    <row r="1159" spans="1:12" s="31" customFormat="1" ht="17.25" customHeight="1">
      <c r="A1159" s="1381" t="s">
        <v>123</v>
      </c>
      <c r="B1159" s="1631" t="s">
        <v>1085</v>
      </c>
      <c r="C1159" s="1382"/>
      <c r="D1159" s="1383"/>
      <c r="E1159" s="1382"/>
      <c r="F1159" s="1436"/>
      <c r="G1159" s="1381" t="s">
        <v>123</v>
      </c>
      <c r="H1159" s="1631" t="s">
        <v>1085</v>
      </c>
      <c r="I1159" s="1382"/>
      <c r="J1159" s="1383"/>
      <c r="K1159" s="1382"/>
      <c r="L1159" s="1372"/>
    </row>
    <row r="1160" spans="1:12" s="31" customFormat="1" ht="17.25" customHeight="1">
      <c r="A1160" s="1384" t="s">
        <v>124</v>
      </c>
      <c r="B1160" s="1632" t="s">
        <v>1086</v>
      </c>
      <c r="C1160" s="1382"/>
      <c r="D1160" s="1382"/>
      <c r="E1160" s="1382"/>
      <c r="F1160" s="1436"/>
      <c r="G1160" s="1384" t="s">
        <v>124</v>
      </c>
      <c r="H1160" s="1632" t="s">
        <v>1086</v>
      </c>
      <c r="I1160" s="1382"/>
      <c r="J1160" s="1382"/>
      <c r="K1160" s="1382"/>
      <c r="L1160" s="1372"/>
    </row>
    <row r="1161" spans="1:12" s="31" customFormat="1" ht="17.25" customHeight="1">
      <c r="A1161" s="1384" t="s">
        <v>125</v>
      </c>
      <c r="B1161" s="1633" t="s">
        <v>1087</v>
      </c>
      <c r="C1161" s="1382"/>
      <c r="D1161" s="1382"/>
      <c r="E1161" s="1377">
        <f>SUM(E1160)</f>
        <v>0</v>
      </c>
      <c r="F1161" s="1436"/>
      <c r="G1161" s="1384" t="s">
        <v>125</v>
      </c>
      <c r="H1161" s="1633" t="s">
        <v>1087</v>
      </c>
      <c r="I1161" s="1382"/>
      <c r="J1161" s="1382"/>
      <c r="K1161" s="1377">
        <f>SUM(K1160)</f>
        <v>0</v>
      </c>
      <c r="L1161" s="1372"/>
    </row>
    <row r="1162" spans="1:12" s="31" customFormat="1" ht="17.25" customHeight="1">
      <c r="A1162" s="1386" t="s">
        <v>126</v>
      </c>
      <c r="B1162" s="1634" t="s">
        <v>871</v>
      </c>
      <c r="C1162" s="1387"/>
      <c r="D1162" s="1387"/>
      <c r="E1162" s="1387">
        <f>(E1150+E1151+E1152+E1153+E1154+E1155+E1156+E1157+E1158)-E1161</f>
        <v>0</v>
      </c>
      <c r="F1162" s="1436"/>
      <c r="G1162" s="1386" t="s">
        <v>126</v>
      </c>
      <c r="H1162" s="1634" t="s">
        <v>871</v>
      </c>
      <c r="I1162" s="1387"/>
      <c r="J1162" s="1387"/>
      <c r="K1162" s="1387">
        <f>(K1150+K1151+K1152+K1153+K1154+K1155+K1156+K1157+K1158)-K1161</f>
        <v>0</v>
      </c>
      <c r="L1162" s="1389">
        <f>E1162+K1162</f>
        <v>0</v>
      </c>
    </row>
    <row r="1163" spans="1:12" s="31" customFormat="1" ht="17.25" customHeight="1">
      <c r="A1163" s="2183"/>
      <c r="B1163" s="2183"/>
      <c r="C1163" s="2183"/>
      <c r="D1163" s="2183"/>
      <c r="E1163" s="2183"/>
      <c r="F1163" s="1427"/>
      <c r="G1163" s="2183"/>
      <c r="H1163" s="2183"/>
      <c r="I1163" s="2183"/>
      <c r="J1163" s="2183"/>
      <c r="K1163" s="1428"/>
      <c r="L1163" s="1372"/>
    </row>
    <row r="1164" spans="1:12" s="31" customFormat="1" ht="17.25" customHeight="1">
      <c r="A1164" s="1449" t="str">
        <f>A1147</f>
        <v>LƯƠNG THÁNG 01/2025</v>
      </c>
      <c r="B1164" s="1449"/>
      <c r="C1164" s="1449"/>
      <c r="D1164" s="1449"/>
      <c r="E1164" s="1449">
        <f>VLOOKUP(B1165,'CNKT '!$C$101:$AD$188,26,0)</f>
        <v>0</v>
      </c>
      <c r="F1164" s="1427"/>
      <c r="G1164" s="1449" t="str">
        <f>A1164</f>
        <v>LƯƠNG THÁNG 01/2025</v>
      </c>
      <c r="H1164" s="1449"/>
      <c r="I1164" s="1449"/>
      <c r="J1164" s="1449"/>
      <c r="K1164" s="1449">
        <f>VLOOKUP(H1165,'CNKT '!$C$101:$AD$188,26,0)</f>
        <v>0</v>
      </c>
      <c r="L1164" s="1372"/>
    </row>
    <row r="1165" spans="1:12" s="31" customFormat="1" ht="17.25" customHeight="1">
      <c r="A1165" s="1391" t="s">
        <v>29</v>
      </c>
      <c r="B1165" s="1626" t="str">
        <f>'CNKT '!C151</f>
        <v>A Nóc</v>
      </c>
      <c r="C1165" s="1376"/>
      <c r="D1165" s="1626" t="s">
        <v>806</v>
      </c>
      <c r="E1165" s="1626" t="s">
        <v>32</v>
      </c>
      <c r="F1165" s="1436"/>
      <c r="G1165" s="1391" t="s">
        <v>29</v>
      </c>
      <c r="H1165" s="1626" t="str">
        <f>'CNKT '!C152</f>
        <v>N. Lắc</v>
      </c>
      <c r="I1165" s="1376"/>
      <c r="J1165" s="1626" t="s">
        <v>806</v>
      </c>
      <c r="K1165" s="1626" t="s">
        <v>32</v>
      </c>
      <c r="L1165" s="1372"/>
    </row>
    <row r="1166" spans="1:12" s="31" customFormat="1" ht="17.25" customHeight="1">
      <c r="A1166" s="1375" t="s">
        <v>807</v>
      </c>
      <c r="B1166" s="1628" t="s">
        <v>1080</v>
      </c>
      <c r="C1166" s="1376" t="str">
        <f>VLOOKUP(B1165,'BTH mủ tạp'!$C$97:$AL$175,36,0)</f>
        <v>B</v>
      </c>
      <c r="D1166" s="1377"/>
      <c r="E1166" s="1377"/>
      <c r="F1166" s="1436"/>
      <c r="G1166" s="1375" t="s">
        <v>807</v>
      </c>
      <c r="H1166" s="1628" t="s">
        <v>1080</v>
      </c>
      <c r="I1166" s="1376" t="str">
        <f>VLOOKUP(H1165,'BTH mủ tạp'!$C$97:$AL$175,36,0)</f>
        <v>A</v>
      </c>
      <c r="J1166" s="1377"/>
      <c r="K1166" s="1377"/>
      <c r="L1166" s="1372"/>
    </row>
    <row r="1167" spans="1:12" s="31" customFormat="1" ht="17.25" customHeight="1">
      <c r="A1167" s="1375" t="s">
        <v>121</v>
      </c>
      <c r="B1167" s="1629" t="s">
        <v>865</v>
      </c>
      <c r="C1167" s="1378">
        <f>VLOOKUP(B1165,'CNKT '!$C$101:$Z$182,3,0)</f>
        <v>0</v>
      </c>
      <c r="D1167" s="1379">
        <v>25000</v>
      </c>
      <c r="E1167" s="1377">
        <f t="shared" ref="E1167:E1172" si="135">C1167*D1167</f>
        <v>0</v>
      </c>
      <c r="F1167" s="1436"/>
      <c r="G1167" s="1375" t="s">
        <v>121</v>
      </c>
      <c r="H1167" s="1629" t="s">
        <v>865</v>
      </c>
      <c r="I1167" s="1378">
        <f>VLOOKUP(H1165,'CNKT '!$C$101:$Z$182,3,0)</f>
        <v>0</v>
      </c>
      <c r="J1167" s="1379">
        <v>25000</v>
      </c>
      <c r="K1167" s="1377">
        <f t="shared" ref="K1167:K1172" si="136">I1167*J1167</f>
        <v>0</v>
      </c>
      <c r="L1167" s="1372"/>
    </row>
    <row r="1168" spans="1:12" s="31" customFormat="1" ht="17.25" customHeight="1">
      <c r="A1168" s="1375" t="s">
        <v>628</v>
      </c>
      <c r="B1168" s="1630" t="s">
        <v>1081</v>
      </c>
      <c r="C1168" s="1433">
        <f>VLOOKUP(B1165,'CNKT '!$C$101:$Z$182,11,0)</f>
        <v>0</v>
      </c>
      <c r="D1168" s="1380">
        <f>46.1*$B$2</f>
        <v>30241.600000000002</v>
      </c>
      <c r="E1168" s="1377">
        <f t="shared" si="135"/>
        <v>0</v>
      </c>
      <c r="F1168" s="1436"/>
      <c r="G1168" s="1375" t="s">
        <v>628</v>
      </c>
      <c r="H1168" s="1630" t="s">
        <v>1081</v>
      </c>
      <c r="I1168" s="1433">
        <f>VLOOKUP(H1165,'CNKT '!$C$101:$Z$182,11,0)</f>
        <v>0</v>
      </c>
      <c r="J1168" s="1380">
        <f>46.1*$B$2</f>
        <v>30241.600000000002</v>
      </c>
      <c r="K1168" s="1377">
        <f t="shared" si="136"/>
        <v>0</v>
      </c>
      <c r="L1168" s="1372"/>
    </row>
    <row r="1169" spans="1:12" s="31" customFormat="1" ht="17.25" customHeight="1">
      <c r="A1169" s="1375" t="s">
        <v>809</v>
      </c>
      <c r="B1169" s="1630" t="s">
        <v>1082</v>
      </c>
      <c r="C1169" s="1433">
        <f>VLOOKUP(B1165,'CNKT '!$C$101:$Z$182,12,0)</f>
        <v>0</v>
      </c>
      <c r="D1169" s="1379">
        <f>76.9*$B$2</f>
        <v>50446.400000000001</v>
      </c>
      <c r="E1169" s="1377">
        <f t="shared" si="135"/>
        <v>0</v>
      </c>
      <c r="F1169" s="1436"/>
      <c r="G1169" s="1375" t="s">
        <v>809</v>
      </c>
      <c r="H1169" s="1630" t="s">
        <v>1082</v>
      </c>
      <c r="I1169" s="1433">
        <f>VLOOKUP(H1165,'CNKT '!$C$101:$Z$182,12,0)</f>
        <v>0</v>
      </c>
      <c r="J1169" s="1379">
        <f>76.9*$B$2</f>
        <v>50446.400000000001</v>
      </c>
      <c r="K1169" s="1377">
        <f t="shared" si="136"/>
        <v>0</v>
      </c>
      <c r="L1169" s="1372"/>
    </row>
    <row r="1170" spans="1:12" s="31" customFormat="1" ht="17.25" customHeight="1">
      <c r="A1170" s="1375" t="s">
        <v>122</v>
      </c>
      <c r="B1170" s="1630" t="s">
        <v>1083</v>
      </c>
      <c r="C1170" s="1433">
        <f>VLOOKUP(B1165,'CNKT '!$C$101:$Z$182,8,0)</f>
        <v>0</v>
      </c>
      <c r="D1170" s="1379">
        <f>IF(C1166="A",6.1,IF(C1166="B",5.8,IF(C1166="C",5.5,IF(C1166="C.",5.5,IF(C1166="D",5.2)))))*$B$2</f>
        <v>3804.7999999999997</v>
      </c>
      <c r="E1170" s="1377">
        <f t="shared" si="135"/>
        <v>0</v>
      </c>
      <c r="F1170" s="1436"/>
      <c r="G1170" s="1375" t="s">
        <v>122</v>
      </c>
      <c r="H1170" s="1630" t="s">
        <v>1083</v>
      </c>
      <c r="I1170" s="1433">
        <f>VLOOKUP(H1165,'CNKT '!$C$101:$Z$182,8,0)</f>
        <v>0</v>
      </c>
      <c r="J1170" s="1379">
        <f>IF(I1166="A",6.1,IF(I1166="B",5.8,IF(I1166="C",5.5,IF(I1166="C.",5.5,IF(I1166="D",5.2)))))*$B$2</f>
        <v>4001.6</v>
      </c>
      <c r="K1170" s="1377">
        <f t="shared" si="136"/>
        <v>0</v>
      </c>
      <c r="L1170" s="1372"/>
    </row>
    <row r="1171" spans="1:12" s="31" customFormat="1" ht="17.25" customHeight="1">
      <c r="A1171" s="1375" t="s">
        <v>959</v>
      </c>
      <c r="B1171" s="1630" t="s">
        <v>1084</v>
      </c>
      <c r="C1171" s="1433">
        <f>VLOOKUP(B1165,'CNKT '!$C$101:$Z$182,15,0)</f>
        <v>0</v>
      </c>
      <c r="D1171" s="1380">
        <f>92.2*$B$2</f>
        <v>60483.200000000004</v>
      </c>
      <c r="E1171" s="1377">
        <f t="shared" si="135"/>
        <v>0</v>
      </c>
      <c r="F1171" s="1436"/>
      <c r="G1171" s="1375" t="s">
        <v>959</v>
      </c>
      <c r="H1171" s="1630" t="s">
        <v>1084</v>
      </c>
      <c r="I1171" s="1433">
        <f>VLOOKUP(H1165,'CNKT '!$C$101:$Z$182,15,0)</f>
        <v>0</v>
      </c>
      <c r="J1171" s="1380">
        <f>92.2*$B$2</f>
        <v>60483.200000000004</v>
      </c>
      <c r="K1171" s="1377">
        <f t="shared" si="136"/>
        <v>0</v>
      </c>
      <c r="L1171" s="1372"/>
    </row>
    <row r="1172" spans="1:12" s="31" customFormat="1" ht="17.25" customHeight="1">
      <c r="A1172" s="1375" t="s">
        <v>960</v>
      </c>
      <c r="B1172" s="1630" t="s">
        <v>964</v>
      </c>
      <c r="C1172" s="1433">
        <f>VLOOKUP(B1165,'CNKT '!$C$101:$Z$182,16,0)</f>
        <v>0</v>
      </c>
      <c r="D1172" s="1379">
        <f>153.8*$B$2</f>
        <v>100892.8</v>
      </c>
      <c r="E1172" s="1377">
        <f t="shared" si="135"/>
        <v>0</v>
      </c>
      <c r="F1172" s="1436"/>
      <c r="G1172" s="1375" t="s">
        <v>960</v>
      </c>
      <c r="H1172" s="1630" t="s">
        <v>964</v>
      </c>
      <c r="I1172" s="1433">
        <f>VLOOKUP(H1165,'CNKT '!$C$101:$Z$182,16,0)</f>
        <v>0</v>
      </c>
      <c r="J1172" s="1379">
        <f>153.8*$B$2</f>
        <v>100892.8</v>
      </c>
      <c r="K1172" s="1377">
        <f t="shared" si="136"/>
        <v>0</v>
      </c>
      <c r="L1172" s="1372"/>
    </row>
    <row r="1173" spans="1:12" s="31" customFormat="1" ht="17.25" customHeight="1">
      <c r="A1173" s="1375" t="s">
        <v>899</v>
      </c>
      <c r="B1173" s="1630" t="s">
        <v>965</v>
      </c>
      <c r="C1173" s="1433">
        <f>VLOOKUP(B1165,'CNKT '!$C$101:$Z$188,18,0)</f>
        <v>0</v>
      </c>
      <c r="D1173" s="1379">
        <v>10000</v>
      </c>
      <c r="E1173" s="1377">
        <f>C1173*D1173</f>
        <v>0</v>
      </c>
      <c r="F1173" s="1436"/>
      <c r="G1173" s="1375" t="s">
        <v>899</v>
      </c>
      <c r="H1173" s="1630" t="s">
        <v>965</v>
      </c>
      <c r="I1173" s="1433">
        <f>VLOOKUP(H1165,'CNKT '!$C$101:$Z$188,18,0)</f>
        <v>0</v>
      </c>
      <c r="J1173" s="1379">
        <v>10000</v>
      </c>
      <c r="K1173" s="1377">
        <f>I1173*J1173</f>
        <v>0</v>
      </c>
      <c r="L1173" s="1372"/>
    </row>
    <row r="1174" spans="1:12" s="31" customFormat="1" ht="17.25" customHeight="1">
      <c r="A1174" s="1375" t="s">
        <v>899</v>
      </c>
      <c r="B1174" s="1630" t="s">
        <v>965</v>
      </c>
      <c r="C1174" s="1433">
        <f>VLOOKUP(B1165,'CNKT '!$C$101:$Z$188,19,0)</f>
        <v>0</v>
      </c>
      <c r="D1174" s="1379">
        <v>20000</v>
      </c>
      <c r="E1174" s="1377">
        <f>C1174*D1174</f>
        <v>0</v>
      </c>
      <c r="F1174" s="1436"/>
      <c r="G1174" s="1375" t="s">
        <v>899</v>
      </c>
      <c r="H1174" s="1630" t="s">
        <v>965</v>
      </c>
      <c r="I1174" s="1433">
        <f>VLOOKUP(H1165,'CNKT '!$C$101:$Z$188,19,0)</f>
        <v>0</v>
      </c>
      <c r="J1174" s="1379">
        <v>20000</v>
      </c>
      <c r="K1174" s="1377">
        <f>I1174*J1174</f>
        <v>0</v>
      </c>
      <c r="L1174" s="1372"/>
    </row>
    <row r="1175" spans="1:12" s="31" customFormat="1" ht="17.25" customHeight="1">
      <c r="A1175" s="1375" t="s">
        <v>995</v>
      </c>
      <c r="B1175" s="1630" t="s">
        <v>997</v>
      </c>
      <c r="C1175" s="1433"/>
      <c r="D1175" s="1379"/>
      <c r="E1175" s="1377"/>
      <c r="F1175" s="1436"/>
      <c r="G1175" s="1375" t="s">
        <v>995</v>
      </c>
      <c r="H1175" s="1630" t="s">
        <v>997</v>
      </c>
      <c r="I1175" s="1433"/>
      <c r="J1175" s="1379"/>
      <c r="K1175" s="1377"/>
      <c r="L1175" s="1372"/>
    </row>
    <row r="1176" spans="1:12" s="31" customFormat="1" ht="17.25" customHeight="1">
      <c r="A1176" s="1381" t="s">
        <v>123</v>
      </c>
      <c r="B1176" s="1631" t="s">
        <v>1085</v>
      </c>
      <c r="C1176" s="1382"/>
      <c r="D1176" s="1383"/>
      <c r="E1176" s="1382"/>
      <c r="F1176" s="1436"/>
      <c r="G1176" s="1381" t="s">
        <v>123</v>
      </c>
      <c r="H1176" s="1631" t="s">
        <v>1085</v>
      </c>
      <c r="I1176" s="1382"/>
      <c r="J1176" s="1383"/>
      <c r="K1176" s="1382"/>
      <c r="L1176" s="1372"/>
    </row>
    <row r="1177" spans="1:12" s="31" customFormat="1" ht="17.25" customHeight="1">
      <c r="A1177" s="1384" t="s">
        <v>124</v>
      </c>
      <c r="B1177" s="1632" t="s">
        <v>1086</v>
      </c>
      <c r="C1177" s="1382"/>
      <c r="D1177" s="1382"/>
      <c r="E1177" s="1382"/>
      <c r="F1177" s="1436"/>
      <c r="G1177" s="1384" t="s">
        <v>124</v>
      </c>
      <c r="H1177" s="1632" t="s">
        <v>1086</v>
      </c>
      <c r="I1177" s="1382"/>
      <c r="J1177" s="1382"/>
      <c r="K1177" s="1382"/>
      <c r="L1177" s="1372"/>
    </row>
    <row r="1178" spans="1:12" s="31" customFormat="1" ht="17.25" customHeight="1">
      <c r="A1178" s="1384" t="s">
        <v>125</v>
      </c>
      <c r="B1178" s="1633" t="s">
        <v>1087</v>
      </c>
      <c r="C1178" s="1382"/>
      <c r="D1178" s="1382"/>
      <c r="E1178" s="1377">
        <f>SUM(E1177)</f>
        <v>0</v>
      </c>
      <c r="F1178" s="1436"/>
      <c r="G1178" s="1384" t="s">
        <v>125</v>
      </c>
      <c r="H1178" s="1633" t="s">
        <v>1087</v>
      </c>
      <c r="I1178" s="1382"/>
      <c r="J1178" s="1382"/>
      <c r="K1178" s="1377">
        <f>SUM(K1177)</f>
        <v>0</v>
      </c>
      <c r="L1178" s="1372"/>
    </row>
    <row r="1179" spans="1:12" s="31" customFormat="1" ht="17.25" customHeight="1">
      <c r="A1179" s="1386" t="s">
        <v>126</v>
      </c>
      <c r="B1179" s="1634" t="s">
        <v>871</v>
      </c>
      <c r="C1179" s="1387"/>
      <c r="D1179" s="1387"/>
      <c r="E1179" s="1387">
        <f>(E1167+E1168+E1169+E1170+E1171+E1172+E1173+E1174+E1175)-E1178</f>
        <v>0</v>
      </c>
      <c r="F1179" s="1436"/>
      <c r="G1179" s="1386" t="s">
        <v>126</v>
      </c>
      <c r="H1179" s="1634" t="s">
        <v>871</v>
      </c>
      <c r="I1179" s="1387"/>
      <c r="J1179" s="1387"/>
      <c r="K1179" s="1387">
        <f>(K1167+K1168+K1169+K1170+K1171+K1172+K1173+K1174+K1175)-K1178</f>
        <v>0</v>
      </c>
      <c r="L1179" s="1389">
        <f>E1179+K1179</f>
        <v>0</v>
      </c>
    </row>
    <row r="1180" spans="1:12" s="31" customFormat="1" ht="9" customHeight="1">
      <c r="A1180" s="2183"/>
      <c r="B1180" s="2183"/>
      <c r="C1180" s="2183"/>
      <c r="D1180" s="2183"/>
      <c r="E1180" s="2183"/>
      <c r="F1180" s="1427"/>
      <c r="G1180" s="2183"/>
      <c r="H1180" s="2183"/>
      <c r="I1180" s="2183"/>
      <c r="J1180" s="2183"/>
      <c r="K1180" s="1428"/>
      <c r="L1180" s="1372"/>
    </row>
    <row r="1181" spans="1:12" s="31" customFormat="1" ht="17.25" customHeight="1">
      <c r="A1181" s="1449" t="str">
        <f>A1164</f>
        <v>LƯƠNG THÁNG 01/2025</v>
      </c>
      <c r="B1181" s="1449"/>
      <c r="C1181" s="1449"/>
      <c r="D1181" s="1449"/>
      <c r="E1181" s="1449">
        <f>VLOOKUP(B1182,'CNKT '!$C$101:$AD$188,26,0)</f>
        <v>0</v>
      </c>
      <c r="F1181" s="1427"/>
      <c r="G1181" s="1449" t="str">
        <f>A1181</f>
        <v>LƯƠNG THÁNG 01/2025</v>
      </c>
      <c r="H1181" s="1449"/>
      <c r="I1181" s="1449"/>
      <c r="J1181" s="1449"/>
      <c r="K1181" s="1449">
        <f>VLOOKUP(H1182,'CNKT '!$C$101:$AD$188,26,0)</f>
        <v>0</v>
      </c>
      <c r="L1181" s="1372"/>
    </row>
    <row r="1182" spans="1:12" s="31" customFormat="1" ht="17.25" customHeight="1">
      <c r="A1182" s="1391" t="s">
        <v>29</v>
      </c>
      <c r="B1182" s="1626" t="str">
        <f>'CNKT '!C153</f>
        <v xml:space="preserve">T. Lăm  </v>
      </c>
      <c r="C1182" s="1376"/>
      <c r="D1182" s="1626" t="s">
        <v>806</v>
      </c>
      <c r="E1182" s="1626" t="s">
        <v>32</v>
      </c>
      <c r="F1182" s="1436"/>
      <c r="G1182" s="1391" t="s">
        <v>29</v>
      </c>
      <c r="H1182" s="1626" t="str">
        <f>'CNKT '!C154</f>
        <v>Khăm Phiêng</v>
      </c>
      <c r="I1182" s="1376"/>
      <c r="J1182" s="1626" t="s">
        <v>806</v>
      </c>
      <c r="K1182" s="1626" t="s">
        <v>32</v>
      </c>
      <c r="L1182" s="1372"/>
    </row>
    <row r="1183" spans="1:12" s="31" customFormat="1" ht="17.25" customHeight="1">
      <c r="A1183" s="1375" t="s">
        <v>807</v>
      </c>
      <c r="B1183" s="1628" t="s">
        <v>1080</v>
      </c>
      <c r="C1183" s="1376" t="str">
        <f>VLOOKUP(B1182,'BTH mủ tạp'!$C$97:$AL$175,36,0)</f>
        <v>A</v>
      </c>
      <c r="D1183" s="1377"/>
      <c r="E1183" s="1377"/>
      <c r="F1183" s="1436"/>
      <c r="G1183" s="1375" t="s">
        <v>807</v>
      </c>
      <c r="H1183" s="1628" t="s">
        <v>1080</v>
      </c>
      <c r="I1183" s="1376" t="str">
        <f>VLOOKUP(H1182,'BTH mủ tạp'!$C$97:$AL$175,36,0)</f>
        <v>A</v>
      </c>
      <c r="J1183" s="1377"/>
      <c r="K1183" s="1377"/>
      <c r="L1183" s="1372"/>
    </row>
    <row r="1184" spans="1:12" s="31" customFormat="1" ht="17.25" customHeight="1">
      <c r="A1184" s="1375" t="s">
        <v>121</v>
      </c>
      <c r="B1184" s="1629" t="s">
        <v>865</v>
      </c>
      <c r="C1184" s="1378">
        <f>VLOOKUP(B1182,'CNKT '!$C$101:$Z$182,3,0)</f>
        <v>0</v>
      </c>
      <c r="D1184" s="1379">
        <v>25000</v>
      </c>
      <c r="E1184" s="1377">
        <f t="shared" ref="E1184:E1189" si="137">C1184*D1184</f>
        <v>0</v>
      </c>
      <c r="F1184" s="1436"/>
      <c r="G1184" s="1375" t="s">
        <v>121</v>
      </c>
      <c r="H1184" s="1629" t="s">
        <v>865</v>
      </c>
      <c r="I1184" s="1378">
        <f>VLOOKUP(H1182,'CNKT '!$C$101:$Z$182,3,0)</f>
        <v>0</v>
      </c>
      <c r="J1184" s="1379">
        <v>25000</v>
      </c>
      <c r="K1184" s="1377">
        <f t="shared" ref="K1184:K1189" si="138">I1184*J1184</f>
        <v>0</v>
      </c>
      <c r="L1184" s="1372"/>
    </row>
    <row r="1185" spans="1:12" s="31" customFormat="1" ht="17.25" customHeight="1">
      <c r="A1185" s="1375" t="s">
        <v>628</v>
      </c>
      <c r="B1185" s="1630" t="s">
        <v>1081</v>
      </c>
      <c r="C1185" s="1433">
        <f>VLOOKUP(B1182,'CNKT '!$C$101:$Z$182,11,0)</f>
        <v>0</v>
      </c>
      <c r="D1185" s="1380">
        <f>46.1*$B$2</f>
        <v>30241.600000000002</v>
      </c>
      <c r="E1185" s="1377">
        <f t="shared" si="137"/>
        <v>0</v>
      </c>
      <c r="F1185" s="1436"/>
      <c r="G1185" s="1375" t="s">
        <v>628</v>
      </c>
      <c r="H1185" s="1630" t="s">
        <v>1081</v>
      </c>
      <c r="I1185" s="1433">
        <f>VLOOKUP(H1182,'CNKT '!$C$101:$Z$182,11,0)</f>
        <v>0</v>
      </c>
      <c r="J1185" s="1380">
        <f>46.1*$B$2</f>
        <v>30241.600000000002</v>
      </c>
      <c r="K1185" s="1377">
        <f t="shared" si="138"/>
        <v>0</v>
      </c>
      <c r="L1185" s="1372"/>
    </row>
    <row r="1186" spans="1:12" s="31" customFormat="1" ht="17.25" customHeight="1">
      <c r="A1186" s="1375" t="s">
        <v>809</v>
      </c>
      <c r="B1186" s="1630" t="s">
        <v>1082</v>
      </c>
      <c r="C1186" s="1433">
        <f>VLOOKUP(B1182,'CNKT '!$C$101:$Z$182,12,0)</f>
        <v>0</v>
      </c>
      <c r="D1186" s="1379">
        <f>76.9*$B$2</f>
        <v>50446.400000000001</v>
      </c>
      <c r="E1186" s="1377">
        <f t="shared" si="137"/>
        <v>0</v>
      </c>
      <c r="F1186" s="1436"/>
      <c r="G1186" s="1375" t="s">
        <v>809</v>
      </c>
      <c r="H1186" s="1630" t="s">
        <v>1082</v>
      </c>
      <c r="I1186" s="1433">
        <f>VLOOKUP(H1182,'CNKT '!$C$101:$Z$182,12,0)</f>
        <v>0</v>
      </c>
      <c r="J1186" s="1379">
        <f>76.9*$B$2</f>
        <v>50446.400000000001</v>
      </c>
      <c r="K1186" s="1377">
        <f t="shared" si="138"/>
        <v>0</v>
      </c>
      <c r="L1186" s="1372"/>
    </row>
    <row r="1187" spans="1:12" s="31" customFormat="1" ht="17.25" customHeight="1">
      <c r="A1187" s="1375" t="s">
        <v>122</v>
      </c>
      <c r="B1187" s="1630" t="s">
        <v>1083</v>
      </c>
      <c r="C1187" s="1433">
        <f>VLOOKUP(B1182,'CNKT '!$C$101:$Z$182,8,0)</f>
        <v>0</v>
      </c>
      <c r="D1187" s="1379">
        <f>IF(C1183="A",6.1,IF(C1183="B",5.8,IF(C1183="C",5.5,IF(C1183="C.",5.5,IF(C1183="D",5.2)))))*$B$2</f>
        <v>4001.6</v>
      </c>
      <c r="E1187" s="1377">
        <f t="shared" si="137"/>
        <v>0</v>
      </c>
      <c r="F1187" s="1436"/>
      <c r="G1187" s="1375" t="s">
        <v>122</v>
      </c>
      <c r="H1187" s="1630" t="s">
        <v>1083</v>
      </c>
      <c r="I1187" s="1433">
        <f>VLOOKUP(H1182,'CNKT '!$C$101:$Z$182,8,0)</f>
        <v>0</v>
      </c>
      <c r="J1187" s="1379">
        <f>IF(I1183="A",6.1,IF(I1183="B",5.8,IF(I1183="C",5.5,IF(I1183="C.",5.5,IF(I1183="D",5.2)))))*$B$2</f>
        <v>4001.6</v>
      </c>
      <c r="K1187" s="1377">
        <f t="shared" si="138"/>
        <v>0</v>
      </c>
      <c r="L1187" s="1372"/>
    </row>
    <row r="1188" spans="1:12" s="31" customFormat="1" ht="17.25" customHeight="1">
      <c r="A1188" s="1375" t="s">
        <v>959</v>
      </c>
      <c r="B1188" s="1630" t="s">
        <v>1084</v>
      </c>
      <c r="C1188" s="1433">
        <f>VLOOKUP(B1182,'CNKT '!$C$101:$Z$182,15,0)</f>
        <v>0</v>
      </c>
      <c r="D1188" s="1380">
        <f>92.2*$B$2</f>
        <v>60483.200000000004</v>
      </c>
      <c r="E1188" s="1377">
        <f t="shared" si="137"/>
        <v>0</v>
      </c>
      <c r="F1188" s="1436"/>
      <c r="G1188" s="1375" t="s">
        <v>959</v>
      </c>
      <c r="H1188" s="1630" t="s">
        <v>1084</v>
      </c>
      <c r="I1188" s="1433">
        <f>VLOOKUP(H1182,'CNKT '!$C$101:$Z$182,15,0)</f>
        <v>0</v>
      </c>
      <c r="J1188" s="1380">
        <f>92.2*$B$2</f>
        <v>60483.200000000004</v>
      </c>
      <c r="K1188" s="1377">
        <f t="shared" si="138"/>
        <v>0</v>
      </c>
      <c r="L1188" s="1372"/>
    </row>
    <row r="1189" spans="1:12" s="31" customFormat="1" ht="17.25" customHeight="1">
      <c r="A1189" s="1375" t="s">
        <v>960</v>
      </c>
      <c r="B1189" s="1630" t="s">
        <v>964</v>
      </c>
      <c r="C1189" s="1433">
        <f>VLOOKUP(B1182,'CNKT '!$C$101:$Z$182,16,0)</f>
        <v>0</v>
      </c>
      <c r="D1189" s="1379">
        <f>153.8*$B$2</f>
        <v>100892.8</v>
      </c>
      <c r="E1189" s="1377">
        <f t="shared" si="137"/>
        <v>0</v>
      </c>
      <c r="F1189" s="1436"/>
      <c r="G1189" s="1375" t="s">
        <v>960</v>
      </c>
      <c r="H1189" s="1630" t="s">
        <v>964</v>
      </c>
      <c r="I1189" s="1433">
        <f>VLOOKUP(H1182,'CNKT '!$C$101:$Z$182,16,0)</f>
        <v>0</v>
      </c>
      <c r="J1189" s="1379">
        <f>153.8*$B$2</f>
        <v>100892.8</v>
      </c>
      <c r="K1189" s="1377">
        <f t="shared" si="138"/>
        <v>0</v>
      </c>
      <c r="L1189" s="1372"/>
    </row>
    <row r="1190" spans="1:12" s="31" customFormat="1" ht="17.25" customHeight="1">
      <c r="A1190" s="1375" t="s">
        <v>899</v>
      </c>
      <c r="B1190" s="1630" t="s">
        <v>965</v>
      </c>
      <c r="C1190" s="1433">
        <f>VLOOKUP(B1182,'CNKT '!$C$101:$Z$188,18,0)</f>
        <v>0</v>
      </c>
      <c r="D1190" s="1379">
        <v>10000</v>
      </c>
      <c r="E1190" s="1377">
        <f>C1190*D1190</f>
        <v>0</v>
      </c>
      <c r="F1190" s="1436"/>
      <c r="G1190" s="1375" t="s">
        <v>899</v>
      </c>
      <c r="H1190" s="1630" t="s">
        <v>965</v>
      </c>
      <c r="I1190" s="1433">
        <f>VLOOKUP(H1182,'CNKT '!$C$101:$Z$188,18,0)</f>
        <v>0</v>
      </c>
      <c r="J1190" s="1379">
        <v>10000</v>
      </c>
      <c r="K1190" s="1377">
        <f>I1190*J1190</f>
        <v>0</v>
      </c>
      <c r="L1190" s="1372"/>
    </row>
    <row r="1191" spans="1:12" s="31" customFormat="1" ht="17.25" customHeight="1">
      <c r="A1191" s="1375" t="s">
        <v>899</v>
      </c>
      <c r="B1191" s="1630" t="s">
        <v>965</v>
      </c>
      <c r="C1191" s="1433">
        <f>VLOOKUP(B1182,'CNKT '!$C$101:$Z$188,19,0)</f>
        <v>0</v>
      </c>
      <c r="D1191" s="1379">
        <v>20000</v>
      </c>
      <c r="E1191" s="1377">
        <f>C1191*D1191</f>
        <v>0</v>
      </c>
      <c r="F1191" s="1436"/>
      <c r="G1191" s="1375" t="s">
        <v>899</v>
      </c>
      <c r="H1191" s="1630" t="s">
        <v>965</v>
      </c>
      <c r="I1191" s="1433">
        <f>VLOOKUP(H1182,'CNKT '!$C$101:$Z$188,19,0)</f>
        <v>0</v>
      </c>
      <c r="J1191" s="1379">
        <v>20000</v>
      </c>
      <c r="K1191" s="1377">
        <f>I1191*J1191</f>
        <v>0</v>
      </c>
      <c r="L1191" s="1372"/>
    </row>
    <row r="1192" spans="1:12" s="31" customFormat="1" ht="17.25" customHeight="1">
      <c r="A1192" s="1375" t="s">
        <v>995</v>
      </c>
      <c r="B1192" s="1630" t="s">
        <v>997</v>
      </c>
      <c r="C1192" s="1433"/>
      <c r="D1192" s="1379"/>
      <c r="E1192" s="1377"/>
      <c r="F1192" s="1436"/>
      <c r="G1192" s="1375" t="s">
        <v>995</v>
      </c>
      <c r="H1192" s="1630" t="s">
        <v>997</v>
      </c>
      <c r="I1192" s="1433"/>
      <c r="J1192" s="1379"/>
      <c r="K1192" s="1377"/>
      <c r="L1192" s="1372"/>
    </row>
    <row r="1193" spans="1:12" s="31" customFormat="1" ht="17.25" customHeight="1">
      <c r="A1193" s="1381" t="s">
        <v>123</v>
      </c>
      <c r="B1193" s="1631" t="s">
        <v>1085</v>
      </c>
      <c r="C1193" s="1382"/>
      <c r="D1193" s="1383"/>
      <c r="E1193" s="1382"/>
      <c r="F1193" s="1436"/>
      <c r="G1193" s="1381" t="s">
        <v>123</v>
      </c>
      <c r="H1193" s="1631" t="s">
        <v>1085</v>
      </c>
      <c r="I1193" s="1382"/>
      <c r="J1193" s="1383"/>
      <c r="K1193" s="1382"/>
      <c r="L1193" s="1372"/>
    </row>
    <row r="1194" spans="1:12" s="31" customFormat="1" ht="17.25" customHeight="1">
      <c r="A1194" s="1384" t="s">
        <v>124</v>
      </c>
      <c r="B1194" s="1632" t="s">
        <v>1086</v>
      </c>
      <c r="C1194" s="1382"/>
      <c r="D1194" s="1382"/>
      <c r="E1194" s="1382"/>
      <c r="F1194" s="1436"/>
      <c r="G1194" s="1384" t="s">
        <v>124</v>
      </c>
      <c r="H1194" s="1632" t="s">
        <v>1086</v>
      </c>
      <c r="I1194" s="1382"/>
      <c r="J1194" s="1382"/>
      <c r="K1194" s="1382"/>
      <c r="L1194" s="1372"/>
    </row>
    <row r="1195" spans="1:12" s="31" customFormat="1" ht="17.25" customHeight="1">
      <c r="A1195" s="1384" t="s">
        <v>125</v>
      </c>
      <c r="B1195" s="1633" t="s">
        <v>1087</v>
      </c>
      <c r="C1195" s="1382"/>
      <c r="D1195" s="1382"/>
      <c r="E1195" s="1377">
        <f>SUM(E1194)</f>
        <v>0</v>
      </c>
      <c r="F1195" s="1436"/>
      <c r="G1195" s="1384" t="s">
        <v>125</v>
      </c>
      <c r="H1195" s="1633" t="s">
        <v>1087</v>
      </c>
      <c r="I1195" s="1382"/>
      <c r="J1195" s="1382"/>
      <c r="K1195" s="1377">
        <f>SUM(K1194)</f>
        <v>0</v>
      </c>
      <c r="L1195" s="1372"/>
    </row>
    <row r="1196" spans="1:12" s="31" customFormat="1" ht="17.25" customHeight="1">
      <c r="A1196" s="1386" t="s">
        <v>126</v>
      </c>
      <c r="B1196" s="1634" t="s">
        <v>871</v>
      </c>
      <c r="C1196" s="1387"/>
      <c r="D1196" s="1387"/>
      <c r="E1196" s="1387">
        <f>(E1184+E1185+E1186+E1187+E1188+E1189+E1190+E1191+E1192)-E1195</f>
        <v>0</v>
      </c>
      <c r="F1196" s="1436"/>
      <c r="G1196" s="1386" t="s">
        <v>126</v>
      </c>
      <c r="H1196" s="1634" t="s">
        <v>871</v>
      </c>
      <c r="I1196" s="1387"/>
      <c r="J1196" s="1387"/>
      <c r="K1196" s="1387">
        <f>(K1184+K1185+K1186+K1187+K1188+K1189+K1190+K1191+K1192)-K1195</f>
        <v>0</v>
      </c>
      <c r="L1196" s="1389">
        <f>E1196+K1196</f>
        <v>0</v>
      </c>
    </row>
    <row r="1197" spans="1:12" s="31" customFormat="1" ht="69" customHeight="1">
      <c r="A1197" s="2183"/>
      <c r="B1197" s="2183"/>
      <c r="C1197" s="2183"/>
      <c r="D1197" s="2183"/>
      <c r="E1197" s="2183"/>
      <c r="F1197" s="1427"/>
      <c r="G1197" s="2183"/>
      <c r="H1197" s="2183"/>
      <c r="I1197" s="2183"/>
      <c r="J1197" s="2183"/>
      <c r="K1197" s="1428"/>
      <c r="L1197" s="1372"/>
    </row>
    <row r="1198" spans="1:12" s="31" customFormat="1" ht="17.25" customHeight="1">
      <c r="A1198" s="1449" t="str">
        <f>A1181</f>
        <v>LƯƠNG THÁNG 01/2025</v>
      </c>
      <c r="B1198" s="1449"/>
      <c r="C1198" s="1449"/>
      <c r="D1198" s="1449"/>
      <c r="E1198" s="1449">
        <f>VLOOKUP(B1199,'CNKT '!$C$101:$AD$188,26,0)</f>
        <v>0</v>
      </c>
      <c r="F1198" s="1427"/>
      <c r="G1198" s="1449" t="str">
        <f>A1198</f>
        <v>LƯƠNG THÁNG 01/2025</v>
      </c>
      <c r="H1198" s="1449"/>
      <c r="I1198" s="1449"/>
      <c r="J1198" s="1449"/>
      <c r="K1198" s="1449">
        <f>VLOOKUP(H1199,'CNKT '!$C$101:$AD$188,26,0)</f>
        <v>0</v>
      </c>
      <c r="L1198" s="1372"/>
    </row>
    <row r="1199" spans="1:12" s="31" customFormat="1" ht="17.25" customHeight="1">
      <c r="A1199" s="1391" t="s">
        <v>29</v>
      </c>
      <c r="B1199" s="1626" t="str">
        <f>'CNKT '!C155</f>
        <v>Khiêng Khăm</v>
      </c>
      <c r="C1199" s="1376"/>
      <c r="D1199" s="1626" t="s">
        <v>806</v>
      </c>
      <c r="E1199" s="1626" t="s">
        <v>32</v>
      </c>
      <c r="F1199" s="1436"/>
      <c r="G1199" s="1391" t="s">
        <v>29</v>
      </c>
      <c r="H1199" s="1626" t="str">
        <f>'CNKT '!C156</f>
        <v>T. Kỷ</v>
      </c>
      <c r="I1199" s="1376"/>
      <c r="J1199" s="1626" t="s">
        <v>806</v>
      </c>
      <c r="K1199" s="1626" t="s">
        <v>32</v>
      </c>
      <c r="L1199" s="1372"/>
    </row>
    <row r="1200" spans="1:12" s="31" customFormat="1" ht="17.25" customHeight="1">
      <c r="A1200" s="1375" t="s">
        <v>807</v>
      </c>
      <c r="B1200" s="1628" t="s">
        <v>1080</v>
      </c>
      <c r="C1200" s="1376" t="str">
        <f>VLOOKUP(B1199,'BTH mủ tạp'!$C$97:$AL$175,36,0)</f>
        <v>A</v>
      </c>
      <c r="D1200" s="1377"/>
      <c r="E1200" s="1377"/>
      <c r="F1200" s="1436"/>
      <c r="G1200" s="1375" t="s">
        <v>807</v>
      </c>
      <c r="H1200" s="1628" t="s">
        <v>1080</v>
      </c>
      <c r="I1200" s="1376" t="str">
        <f>VLOOKUP(H1199,'BTH mủ tạp'!$C$97:$AL$175,36,0)</f>
        <v>A</v>
      </c>
      <c r="J1200" s="1377"/>
      <c r="K1200" s="1377"/>
      <c r="L1200" s="1372"/>
    </row>
    <row r="1201" spans="1:12" s="31" customFormat="1" ht="17.25" customHeight="1">
      <c r="A1201" s="1375" t="s">
        <v>121</v>
      </c>
      <c r="B1201" s="1629" t="s">
        <v>865</v>
      </c>
      <c r="C1201" s="1378">
        <f>VLOOKUP(B1199,'CNKT '!$C$101:$Z$182,3,0)</f>
        <v>0</v>
      </c>
      <c r="D1201" s="1379">
        <v>25000</v>
      </c>
      <c r="E1201" s="1377">
        <f t="shared" ref="E1201:E1206" si="139">C1201*D1201</f>
        <v>0</v>
      </c>
      <c r="F1201" s="1436"/>
      <c r="G1201" s="1375" t="s">
        <v>121</v>
      </c>
      <c r="H1201" s="1629" t="s">
        <v>865</v>
      </c>
      <c r="I1201" s="1378">
        <f>VLOOKUP(H1199,'CNKT '!$C$101:$Z$182,3,0)</f>
        <v>0</v>
      </c>
      <c r="J1201" s="1379">
        <v>25000</v>
      </c>
      <c r="K1201" s="1377">
        <f t="shared" ref="K1201:K1206" si="140">I1201*J1201</f>
        <v>0</v>
      </c>
      <c r="L1201" s="1372"/>
    </row>
    <row r="1202" spans="1:12" s="31" customFormat="1" ht="17.25" customHeight="1">
      <c r="A1202" s="1375" t="s">
        <v>628</v>
      </c>
      <c r="B1202" s="1630" t="s">
        <v>1081</v>
      </c>
      <c r="C1202" s="1433">
        <f>VLOOKUP(B1199,'CNKT '!$C$101:$Z$182,11,0)</f>
        <v>0</v>
      </c>
      <c r="D1202" s="1380">
        <f>46.1*$B$2</f>
        <v>30241.600000000002</v>
      </c>
      <c r="E1202" s="1377">
        <f t="shared" si="139"/>
        <v>0</v>
      </c>
      <c r="F1202" s="1436"/>
      <c r="G1202" s="1375" t="s">
        <v>628</v>
      </c>
      <c r="H1202" s="1630" t="s">
        <v>1081</v>
      </c>
      <c r="I1202" s="1433">
        <f>VLOOKUP(H1199,'CNKT '!$C$101:$Z$182,11,0)</f>
        <v>0</v>
      </c>
      <c r="J1202" s="1380">
        <f>46.1*$B$2</f>
        <v>30241.600000000002</v>
      </c>
      <c r="K1202" s="1377">
        <f t="shared" si="140"/>
        <v>0</v>
      </c>
      <c r="L1202" s="1372"/>
    </row>
    <row r="1203" spans="1:12" s="31" customFormat="1" ht="17.25" customHeight="1">
      <c r="A1203" s="1375" t="s">
        <v>809</v>
      </c>
      <c r="B1203" s="1630" t="s">
        <v>1082</v>
      </c>
      <c r="C1203" s="1433">
        <f>VLOOKUP(B1199,'CNKT '!$C$101:$Z$182,12,0)</f>
        <v>0</v>
      </c>
      <c r="D1203" s="1379">
        <f>76.9*$B$2</f>
        <v>50446.400000000001</v>
      </c>
      <c r="E1203" s="1377">
        <f t="shared" si="139"/>
        <v>0</v>
      </c>
      <c r="F1203" s="1436"/>
      <c r="G1203" s="1375" t="s">
        <v>809</v>
      </c>
      <c r="H1203" s="1630" t="s">
        <v>1082</v>
      </c>
      <c r="I1203" s="1433">
        <f>VLOOKUP(H1199,'CNKT '!$C$101:$Z$182,12,0)</f>
        <v>0</v>
      </c>
      <c r="J1203" s="1379">
        <f>76.9*$B$2</f>
        <v>50446.400000000001</v>
      </c>
      <c r="K1203" s="1377">
        <f t="shared" si="140"/>
        <v>0</v>
      </c>
      <c r="L1203" s="1372"/>
    </row>
    <row r="1204" spans="1:12" s="31" customFormat="1" ht="17.25" customHeight="1">
      <c r="A1204" s="1375" t="s">
        <v>122</v>
      </c>
      <c r="B1204" s="1630" t="s">
        <v>1083</v>
      </c>
      <c r="C1204" s="1433">
        <f>VLOOKUP(B1199,'CNKT '!$C$101:$Z$182,8,0)</f>
        <v>0</v>
      </c>
      <c r="D1204" s="1379">
        <f>IF(C1200="A",6.1,IF(C1200="B",5.8,IF(C1200="C",5.5,IF(C1200="C.",5.5,IF(C1200="D",5.2)))))*$B$2</f>
        <v>4001.6</v>
      </c>
      <c r="E1204" s="1377">
        <f t="shared" si="139"/>
        <v>0</v>
      </c>
      <c r="F1204" s="1436"/>
      <c r="G1204" s="1375" t="s">
        <v>122</v>
      </c>
      <c r="H1204" s="1630" t="s">
        <v>1083</v>
      </c>
      <c r="I1204" s="1433">
        <f>VLOOKUP(H1199,'CNKT '!$C$101:$Z$182,8,0)</f>
        <v>0</v>
      </c>
      <c r="J1204" s="1379">
        <f>IF(I1200="A",6.1,IF(I1200="B",5.8,IF(I1200="C",5.5,IF(I1200="C.",5.5,IF(I1200="D",5.2)))))*$B$2</f>
        <v>4001.6</v>
      </c>
      <c r="K1204" s="1377">
        <f t="shared" si="140"/>
        <v>0</v>
      </c>
      <c r="L1204" s="1372"/>
    </row>
    <row r="1205" spans="1:12" s="31" customFormat="1" ht="17.25" customHeight="1">
      <c r="A1205" s="1375" t="s">
        <v>959</v>
      </c>
      <c r="B1205" s="1630" t="s">
        <v>1084</v>
      </c>
      <c r="C1205" s="1433">
        <f>VLOOKUP(B1199,'CNKT '!$C$101:$Z$182,15,0)</f>
        <v>0</v>
      </c>
      <c r="D1205" s="1380">
        <f>92.2*$B$2</f>
        <v>60483.200000000004</v>
      </c>
      <c r="E1205" s="1377">
        <f t="shared" si="139"/>
        <v>0</v>
      </c>
      <c r="F1205" s="1436"/>
      <c r="G1205" s="1375" t="s">
        <v>959</v>
      </c>
      <c r="H1205" s="1630" t="s">
        <v>1084</v>
      </c>
      <c r="I1205" s="1433">
        <f>VLOOKUP(H1199,'CNKT '!$C$101:$Z$182,15,0)</f>
        <v>0</v>
      </c>
      <c r="J1205" s="1380">
        <f>92.2*$B$2</f>
        <v>60483.200000000004</v>
      </c>
      <c r="K1205" s="1377">
        <f t="shared" si="140"/>
        <v>0</v>
      </c>
      <c r="L1205" s="1372"/>
    </row>
    <row r="1206" spans="1:12" s="31" customFormat="1" ht="17.25" customHeight="1">
      <c r="A1206" s="1375" t="s">
        <v>960</v>
      </c>
      <c r="B1206" s="1630" t="s">
        <v>964</v>
      </c>
      <c r="C1206" s="1433">
        <f>VLOOKUP(B1199,'CNKT '!$C$101:$Z$182,16,0)</f>
        <v>0</v>
      </c>
      <c r="D1206" s="1379">
        <f>153.8*$B$2</f>
        <v>100892.8</v>
      </c>
      <c r="E1206" s="1377">
        <f t="shared" si="139"/>
        <v>0</v>
      </c>
      <c r="F1206" s="1436"/>
      <c r="G1206" s="1375" t="s">
        <v>960</v>
      </c>
      <c r="H1206" s="1630" t="s">
        <v>964</v>
      </c>
      <c r="I1206" s="1433">
        <f>VLOOKUP(H1199,'CNKT '!$C$101:$Z$182,16,0)</f>
        <v>0</v>
      </c>
      <c r="J1206" s="1379">
        <f>153.8*$B$2</f>
        <v>100892.8</v>
      </c>
      <c r="K1206" s="1377">
        <f t="shared" si="140"/>
        <v>0</v>
      </c>
      <c r="L1206" s="1372"/>
    </row>
    <row r="1207" spans="1:12" s="31" customFormat="1" ht="17.25" customHeight="1">
      <c r="A1207" s="1375" t="s">
        <v>899</v>
      </c>
      <c r="B1207" s="1630" t="s">
        <v>965</v>
      </c>
      <c r="C1207" s="1433">
        <f>VLOOKUP(B1199,'CNKT '!$C$101:$Z$188,18,0)</f>
        <v>0</v>
      </c>
      <c r="D1207" s="1379">
        <v>10000</v>
      </c>
      <c r="E1207" s="1377">
        <f>C1207*D1207</f>
        <v>0</v>
      </c>
      <c r="F1207" s="1436"/>
      <c r="G1207" s="1375" t="s">
        <v>899</v>
      </c>
      <c r="H1207" s="1630" t="s">
        <v>965</v>
      </c>
      <c r="I1207" s="1433">
        <f>VLOOKUP(H1199,'CNKT '!$C$101:$Z$188,18,0)</f>
        <v>0</v>
      </c>
      <c r="J1207" s="1379">
        <v>10000</v>
      </c>
      <c r="K1207" s="1377">
        <f>I1207*J1207</f>
        <v>0</v>
      </c>
      <c r="L1207" s="1372"/>
    </row>
    <row r="1208" spans="1:12" s="31" customFormat="1" ht="17.25" customHeight="1">
      <c r="A1208" s="1375" t="s">
        <v>899</v>
      </c>
      <c r="B1208" s="1630" t="s">
        <v>965</v>
      </c>
      <c r="C1208" s="1433">
        <f>VLOOKUP(B1199,'CNKT '!$C$101:$Z$188,19,0)</f>
        <v>0</v>
      </c>
      <c r="D1208" s="1379">
        <v>20000</v>
      </c>
      <c r="E1208" s="1377">
        <f>C1208*D1208</f>
        <v>0</v>
      </c>
      <c r="F1208" s="1436"/>
      <c r="G1208" s="1375" t="s">
        <v>899</v>
      </c>
      <c r="H1208" s="1630" t="s">
        <v>965</v>
      </c>
      <c r="I1208" s="1433">
        <f>VLOOKUP(H1199,'CNKT '!$C$101:$Z$188,19,0)</f>
        <v>0</v>
      </c>
      <c r="J1208" s="1379">
        <v>20000</v>
      </c>
      <c r="K1208" s="1377">
        <f>I1208*J1208</f>
        <v>0</v>
      </c>
      <c r="L1208" s="1372"/>
    </row>
    <row r="1209" spans="1:12" s="31" customFormat="1" ht="17.25" customHeight="1">
      <c r="A1209" s="1375" t="s">
        <v>995</v>
      </c>
      <c r="B1209" s="1630" t="s">
        <v>997</v>
      </c>
      <c r="C1209" s="1433"/>
      <c r="D1209" s="1379"/>
      <c r="E1209" s="1377"/>
      <c r="F1209" s="1436"/>
      <c r="G1209" s="1375" t="s">
        <v>995</v>
      </c>
      <c r="H1209" s="1630" t="s">
        <v>997</v>
      </c>
      <c r="I1209" s="1433"/>
      <c r="J1209" s="1379"/>
      <c r="K1209" s="1377"/>
      <c r="L1209" s="1372"/>
    </row>
    <row r="1210" spans="1:12" s="31" customFormat="1" ht="17.25" customHeight="1">
      <c r="A1210" s="1381" t="s">
        <v>123</v>
      </c>
      <c r="B1210" s="1631" t="s">
        <v>1085</v>
      </c>
      <c r="C1210" s="1382"/>
      <c r="D1210" s="1383"/>
      <c r="E1210" s="1382"/>
      <c r="F1210" s="1436"/>
      <c r="G1210" s="1381" t="s">
        <v>123</v>
      </c>
      <c r="H1210" s="1631" t="s">
        <v>1085</v>
      </c>
      <c r="I1210" s="1382"/>
      <c r="J1210" s="1383"/>
      <c r="K1210" s="1382"/>
      <c r="L1210" s="1372"/>
    </row>
    <row r="1211" spans="1:12" s="31" customFormat="1" ht="17.25" customHeight="1">
      <c r="A1211" s="1384" t="s">
        <v>124</v>
      </c>
      <c r="B1211" s="1632" t="s">
        <v>1086</v>
      </c>
      <c r="C1211" s="1382"/>
      <c r="D1211" s="1382"/>
      <c r="E1211" s="1382"/>
      <c r="F1211" s="1436"/>
      <c r="G1211" s="1384" t="s">
        <v>124</v>
      </c>
      <c r="H1211" s="1632" t="s">
        <v>1086</v>
      </c>
      <c r="I1211" s="1382"/>
      <c r="J1211" s="1382"/>
      <c r="K1211" s="1382"/>
      <c r="L1211" s="1372"/>
    </row>
    <row r="1212" spans="1:12" s="31" customFormat="1" ht="17.25" customHeight="1">
      <c r="A1212" s="1384" t="s">
        <v>125</v>
      </c>
      <c r="B1212" s="1633" t="s">
        <v>1087</v>
      </c>
      <c r="C1212" s="1382"/>
      <c r="D1212" s="1382"/>
      <c r="E1212" s="1377">
        <f>SUM(E1211)</f>
        <v>0</v>
      </c>
      <c r="F1212" s="1436"/>
      <c r="G1212" s="1384" t="s">
        <v>125</v>
      </c>
      <c r="H1212" s="1633" t="s">
        <v>1087</v>
      </c>
      <c r="I1212" s="1382"/>
      <c r="J1212" s="1382"/>
      <c r="K1212" s="1377">
        <f>SUM(K1211)</f>
        <v>0</v>
      </c>
      <c r="L1212" s="1372"/>
    </row>
    <row r="1213" spans="1:12" s="31" customFormat="1" ht="17.25" customHeight="1">
      <c r="A1213" s="1386" t="s">
        <v>126</v>
      </c>
      <c r="B1213" s="1634" t="s">
        <v>871</v>
      </c>
      <c r="C1213" s="1387"/>
      <c r="D1213" s="1387"/>
      <c r="E1213" s="1387">
        <f>(E1201+E1202+E1203+E1204+E1205+E1206+E1207+E1208+E1209)-E1212</f>
        <v>0</v>
      </c>
      <c r="F1213" s="1436"/>
      <c r="G1213" s="1386" t="s">
        <v>126</v>
      </c>
      <c r="H1213" s="1634" t="s">
        <v>871</v>
      </c>
      <c r="I1213" s="1387"/>
      <c r="J1213" s="1387"/>
      <c r="K1213" s="1387">
        <f>(K1201+K1202+K1203+K1204+K1205+K1206+K1207+K1208+K1209)-K1212</f>
        <v>0</v>
      </c>
      <c r="L1213" s="1389">
        <f>E1213+K1213</f>
        <v>0</v>
      </c>
    </row>
    <row r="1214" spans="1:12" s="31" customFormat="1" ht="17.25" customHeight="1">
      <c r="A1214" s="2183"/>
      <c r="B1214" s="2183"/>
      <c r="C1214" s="2183"/>
      <c r="D1214" s="2183"/>
      <c r="E1214" s="2183"/>
      <c r="F1214" s="1427"/>
      <c r="G1214" s="2183"/>
      <c r="H1214" s="2183"/>
      <c r="I1214" s="2183"/>
      <c r="J1214" s="2183"/>
      <c r="K1214" s="1428"/>
      <c r="L1214" s="1372"/>
    </row>
    <row r="1215" spans="1:12" s="31" customFormat="1" ht="17.25" customHeight="1">
      <c r="A1215" s="1449" t="str">
        <f>A1198</f>
        <v>LƯƠNG THÁNG 01/2025</v>
      </c>
      <c r="B1215" s="1449"/>
      <c r="C1215" s="1449"/>
      <c r="D1215" s="1449"/>
      <c r="E1215" s="1449">
        <f>VLOOKUP(B1216,'CNKT '!$C$101:$AD$188,26,0)</f>
        <v>0</v>
      </c>
      <c r="F1215" s="1427"/>
      <c r="G1215" s="1449" t="str">
        <f>A1215</f>
        <v>LƯƠNG THÁNG 01/2025</v>
      </c>
      <c r="H1215" s="1449"/>
      <c r="I1215" s="1449"/>
      <c r="J1215" s="1449"/>
      <c r="K1215" s="1449">
        <f>VLOOKUP(H1216,'CNKT '!$C$101:$AD$188,26,0)</f>
        <v>0</v>
      </c>
      <c r="L1215" s="1372"/>
    </row>
    <row r="1216" spans="1:12" s="31" customFormat="1" ht="17.25" customHeight="1">
      <c r="A1216" s="1391" t="s">
        <v>29</v>
      </c>
      <c r="B1216" s="1626" t="str">
        <f>'CNKT '!C157</f>
        <v>T. Vi Lai Văn</v>
      </c>
      <c r="C1216" s="1376"/>
      <c r="D1216" s="1626" t="s">
        <v>806</v>
      </c>
      <c r="E1216" s="1626" t="s">
        <v>32</v>
      </c>
      <c r="F1216" s="1436"/>
      <c r="G1216" s="1391" t="s">
        <v>29</v>
      </c>
      <c r="H1216" s="1626" t="str">
        <f>'CNKT '!C158</f>
        <v>T. Ê</v>
      </c>
      <c r="I1216" s="1376"/>
      <c r="J1216" s="1626" t="s">
        <v>806</v>
      </c>
      <c r="K1216" s="1626" t="s">
        <v>32</v>
      </c>
      <c r="L1216" s="1372"/>
    </row>
    <row r="1217" spans="1:12" s="31" customFormat="1" ht="17.25" customHeight="1">
      <c r="A1217" s="1375" t="s">
        <v>807</v>
      </c>
      <c r="B1217" s="1628" t="s">
        <v>1080</v>
      </c>
      <c r="C1217" s="1376" t="str">
        <f>VLOOKUP(B1216,'BTH mủ tạp'!$C$97:$AL$175,36,0)</f>
        <v>A</v>
      </c>
      <c r="D1217" s="1377"/>
      <c r="E1217" s="1377"/>
      <c r="F1217" s="1436"/>
      <c r="G1217" s="1375" t="s">
        <v>807</v>
      </c>
      <c r="H1217" s="1628" t="s">
        <v>1080</v>
      </c>
      <c r="I1217" s="1376" t="str">
        <f>VLOOKUP(H1216,'BTH mủ tạp'!$C$97:$AL$175,36,0)</f>
        <v>A</v>
      </c>
      <c r="J1217" s="1377"/>
      <c r="K1217" s="1377"/>
      <c r="L1217" s="1372"/>
    </row>
    <row r="1218" spans="1:12" s="31" customFormat="1" ht="17.25" customHeight="1">
      <c r="A1218" s="1375" t="s">
        <v>121</v>
      </c>
      <c r="B1218" s="1629" t="s">
        <v>865</v>
      </c>
      <c r="C1218" s="1378">
        <f>VLOOKUP(B1216,'CNKT '!$C$101:$Z$182,3,0)</f>
        <v>0</v>
      </c>
      <c r="D1218" s="1379">
        <v>25000</v>
      </c>
      <c r="E1218" s="1377">
        <f t="shared" ref="E1218:E1223" si="141">C1218*D1218</f>
        <v>0</v>
      </c>
      <c r="F1218" s="1436"/>
      <c r="G1218" s="1375" t="s">
        <v>121</v>
      </c>
      <c r="H1218" s="1629" t="s">
        <v>865</v>
      </c>
      <c r="I1218" s="1378">
        <f>VLOOKUP(H1216,'CNKT '!$C$101:$Z$182,3,0)</f>
        <v>0</v>
      </c>
      <c r="J1218" s="1379">
        <v>25000</v>
      </c>
      <c r="K1218" s="1377">
        <f t="shared" ref="K1218:K1223" si="142">I1218*J1218</f>
        <v>0</v>
      </c>
      <c r="L1218" s="1372"/>
    </row>
    <row r="1219" spans="1:12" s="31" customFormat="1" ht="17.25" customHeight="1">
      <c r="A1219" s="1375" t="s">
        <v>628</v>
      </c>
      <c r="B1219" s="1630" t="s">
        <v>1081</v>
      </c>
      <c r="C1219" s="1433">
        <f>VLOOKUP(B1216,'CNKT '!$C$101:$Z$182,11,0)</f>
        <v>0</v>
      </c>
      <c r="D1219" s="1380">
        <f>46.1*$B$2</f>
        <v>30241.600000000002</v>
      </c>
      <c r="E1219" s="1377">
        <f t="shared" si="141"/>
        <v>0</v>
      </c>
      <c r="F1219" s="1436"/>
      <c r="G1219" s="1375" t="s">
        <v>628</v>
      </c>
      <c r="H1219" s="1630" t="s">
        <v>1081</v>
      </c>
      <c r="I1219" s="1433">
        <f>VLOOKUP(H1216,'CNKT '!$C$101:$Z$182,11,0)</f>
        <v>0</v>
      </c>
      <c r="J1219" s="1380">
        <f>46.1*$B$2</f>
        <v>30241.600000000002</v>
      </c>
      <c r="K1219" s="1377">
        <f t="shared" si="142"/>
        <v>0</v>
      </c>
      <c r="L1219" s="1372"/>
    </row>
    <row r="1220" spans="1:12" s="31" customFormat="1" ht="17.25" customHeight="1">
      <c r="A1220" s="1375" t="s">
        <v>809</v>
      </c>
      <c r="B1220" s="1630" t="s">
        <v>1082</v>
      </c>
      <c r="C1220" s="1433">
        <f>VLOOKUP(B1216,'CNKT '!$C$101:$Z$182,12,0)</f>
        <v>0</v>
      </c>
      <c r="D1220" s="1379">
        <f>76.9*$B$2</f>
        <v>50446.400000000001</v>
      </c>
      <c r="E1220" s="1377">
        <f t="shared" si="141"/>
        <v>0</v>
      </c>
      <c r="F1220" s="1436"/>
      <c r="G1220" s="1375" t="s">
        <v>809</v>
      </c>
      <c r="H1220" s="1630" t="s">
        <v>1082</v>
      </c>
      <c r="I1220" s="1433">
        <f>VLOOKUP(H1216,'CNKT '!$C$101:$Z$182,12,0)</f>
        <v>0</v>
      </c>
      <c r="J1220" s="1379">
        <f>76.9*$B$2</f>
        <v>50446.400000000001</v>
      </c>
      <c r="K1220" s="1377">
        <f t="shared" si="142"/>
        <v>0</v>
      </c>
      <c r="L1220" s="1372"/>
    </row>
    <row r="1221" spans="1:12" s="31" customFormat="1" ht="17.25" customHeight="1">
      <c r="A1221" s="1375" t="s">
        <v>122</v>
      </c>
      <c r="B1221" s="1630" t="s">
        <v>1083</v>
      </c>
      <c r="C1221" s="1433">
        <f>VLOOKUP(B1216,'CNKT '!$C$101:$Z$182,8,0)</f>
        <v>0</v>
      </c>
      <c r="D1221" s="1379">
        <f>IF(C1217="A",6.1,IF(C1217="B",5.8,IF(C1217="C",5.5,IF(C1217="C.",5.5,IF(C1217="D",5.2)))))*$B$2</f>
        <v>4001.6</v>
      </c>
      <c r="E1221" s="1377">
        <f t="shared" si="141"/>
        <v>0</v>
      </c>
      <c r="F1221" s="1436"/>
      <c r="G1221" s="1375" t="s">
        <v>122</v>
      </c>
      <c r="H1221" s="1630" t="s">
        <v>1083</v>
      </c>
      <c r="I1221" s="1433">
        <f>VLOOKUP(H1216,'CNKT '!$C$101:$Z$182,8,0)</f>
        <v>0</v>
      </c>
      <c r="J1221" s="1379">
        <f>IF(I1217="A",6.1,IF(I1217="B",5.8,IF(I1217="C",5.5,IF(I1217="C.",5.5,IF(I1217="D",5.2)))))*$B$2</f>
        <v>4001.6</v>
      </c>
      <c r="K1221" s="1377">
        <f t="shared" si="142"/>
        <v>0</v>
      </c>
      <c r="L1221" s="1372"/>
    </row>
    <row r="1222" spans="1:12" s="31" customFormat="1" ht="17.25" customHeight="1">
      <c r="A1222" s="1375" t="s">
        <v>959</v>
      </c>
      <c r="B1222" s="1630" t="s">
        <v>1084</v>
      </c>
      <c r="C1222" s="1433">
        <f>VLOOKUP(B1216,'CNKT '!$C$101:$Z$182,15,0)</f>
        <v>0</v>
      </c>
      <c r="D1222" s="1380">
        <f>92.2*$B$2</f>
        <v>60483.200000000004</v>
      </c>
      <c r="E1222" s="1377">
        <f t="shared" si="141"/>
        <v>0</v>
      </c>
      <c r="F1222" s="1436"/>
      <c r="G1222" s="1375" t="s">
        <v>959</v>
      </c>
      <c r="H1222" s="1630" t="s">
        <v>1084</v>
      </c>
      <c r="I1222" s="1433">
        <f>VLOOKUP(H1216,'CNKT '!$C$101:$Z$182,15,0)</f>
        <v>0</v>
      </c>
      <c r="J1222" s="1380">
        <f>92.2*$B$2</f>
        <v>60483.200000000004</v>
      </c>
      <c r="K1222" s="1377">
        <f t="shared" si="142"/>
        <v>0</v>
      </c>
      <c r="L1222" s="1372"/>
    </row>
    <row r="1223" spans="1:12" s="31" customFormat="1" ht="17.25" customHeight="1">
      <c r="A1223" s="1375" t="s">
        <v>960</v>
      </c>
      <c r="B1223" s="1630" t="s">
        <v>964</v>
      </c>
      <c r="C1223" s="1433">
        <f>VLOOKUP(B1216,'CNKT '!$C$101:$Z$182,16,0)</f>
        <v>0</v>
      </c>
      <c r="D1223" s="1379">
        <f>153.8*$B$2</f>
        <v>100892.8</v>
      </c>
      <c r="E1223" s="1377">
        <f t="shared" si="141"/>
        <v>0</v>
      </c>
      <c r="F1223" s="1436"/>
      <c r="G1223" s="1375" t="s">
        <v>960</v>
      </c>
      <c r="H1223" s="1630" t="s">
        <v>964</v>
      </c>
      <c r="I1223" s="1433">
        <f>VLOOKUP(H1216,'CNKT '!$C$101:$Z$182,16,0)</f>
        <v>0</v>
      </c>
      <c r="J1223" s="1379">
        <f>153.8*$B$2</f>
        <v>100892.8</v>
      </c>
      <c r="K1223" s="1377">
        <f t="shared" si="142"/>
        <v>0</v>
      </c>
      <c r="L1223" s="1372"/>
    </row>
    <row r="1224" spans="1:12" s="31" customFormat="1" ht="17.25" customHeight="1">
      <c r="A1224" s="1375" t="s">
        <v>899</v>
      </c>
      <c r="B1224" s="1630" t="s">
        <v>965</v>
      </c>
      <c r="C1224" s="1433">
        <f>VLOOKUP(B1216,'CNKT '!$C$101:$Z$188,18,0)</f>
        <v>0</v>
      </c>
      <c r="D1224" s="1379">
        <v>10000</v>
      </c>
      <c r="E1224" s="1377">
        <f>C1224*D1224</f>
        <v>0</v>
      </c>
      <c r="F1224" s="1436"/>
      <c r="G1224" s="1375" t="s">
        <v>899</v>
      </c>
      <c r="H1224" s="1630" t="s">
        <v>965</v>
      </c>
      <c r="I1224" s="1433">
        <f>VLOOKUP(H1216,'CNKT '!$C$101:$Z$188,18,0)</f>
        <v>0</v>
      </c>
      <c r="J1224" s="1379">
        <v>10000</v>
      </c>
      <c r="K1224" s="1377">
        <f>I1224*J1224</f>
        <v>0</v>
      </c>
      <c r="L1224" s="1372"/>
    </row>
    <row r="1225" spans="1:12" s="31" customFormat="1" ht="17.25" customHeight="1">
      <c r="A1225" s="1375" t="s">
        <v>899</v>
      </c>
      <c r="B1225" s="1630" t="s">
        <v>965</v>
      </c>
      <c r="C1225" s="1433">
        <f>VLOOKUP(B1216,'CNKT '!$C$101:$Z$188,19,0)</f>
        <v>0</v>
      </c>
      <c r="D1225" s="1379">
        <v>20000</v>
      </c>
      <c r="E1225" s="1377">
        <f>C1225*D1225</f>
        <v>0</v>
      </c>
      <c r="F1225" s="1436"/>
      <c r="G1225" s="1375" t="s">
        <v>899</v>
      </c>
      <c r="H1225" s="1630" t="s">
        <v>965</v>
      </c>
      <c r="I1225" s="1433">
        <f>VLOOKUP(H1216,'CNKT '!$C$101:$Z$188,19,0)</f>
        <v>0</v>
      </c>
      <c r="J1225" s="1379">
        <v>20000</v>
      </c>
      <c r="K1225" s="1377">
        <f>I1225*J1225</f>
        <v>0</v>
      </c>
      <c r="L1225" s="1372"/>
    </row>
    <row r="1226" spans="1:12" s="31" customFormat="1" ht="17.25" customHeight="1">
      <c r="A1226" s="1375" t="s">
        <v>995</v>
      </c>
      <c r="B1226" s="1630" t="s">
        <v>997</v>
      </c>
      <c r="C1226" s="1433"/>
      <c r="D1226" s="1379"/>
      <c r="E1226" s="1377"/>
      <c r="F1226" s="1436"/>
      <c r="G1226" s="1375" t="s">
        <v>995</v>
      </c>
      <c r="H1226" s="1630" t="s">
        <v>997</v>
      </c>
      <c r="I1226" s="1433"/>
      <c r="J1226" s="1379"/>
      <c r="K1226" s="1377"/>
      <c r="L1226" s="1372"/>
    </row>
    <row r="1227" spans="1:12" s="31" customFormat="1" ht="17.25" customHeight="1">
      <c r="A1227" s="1381" t="s">
        <v>123</v>
      </c>
      <c r="B1227" s="1631" t="s">
        <v>1085</v>
      </c>
      <c r="C1227" s="1382"/>
      <c r="D1227" s="1383"/>
      <c r="E1227" s="1382"/>
      <c r="F1227" s="1436"/>
      <c r="G1227" s="1381" t="s">
        <v>123</v>
      </c>
      <c r="H1227" s="1631" t="s">
        <v>1085</v>
      </c>
      <c r="I1227" s="1382"/>
      <c r="J1227" s="1383"/>
      <c r="K1227" s="1382"/>
      <c r="L1227" s="1372"/>
    </row>
    <row r="1228" spans="1:12" s="31" customFormat="1" ht="17.25" customHeight="1">
      <c r="A1228" s="1384" t="s">
        <v>124</v>
      </c>
      <c r="B1228" s="1632" t="s">
        <v>1086</v>
      </c>
      <c r="C1228" s="1382"/>
      <c r="D1228" s="1382"/>
      <c r="E1228" s="1382"/>
      <c r="F1228" s="1436"/>
      <c r="G1228" s="1384" t="s">
        <v>124</v>
      </c>
      <c r="H1228" s="1632" t="s">
        <v>1086</v>
      </c>
      <c r="I1228" s="1382"/>
      <c r="J1228" s="1382"/>
      <c r="K1228" s="1382"/>
      <c r="L1228" s="1372"/>
    </row>
    <row r="1229" spans="1:12" s="31" customFormat="1" ht="17.25" customHeight="1">
      <c r="A1229" s="1384" t="s">
        <v>125</v>
      </c>
      <c r="B1229" s="1633" t="s">
        <v>1087</v>
      </c>
      <c r="C1229" s="1382"/>
      <c r="D1229" s="1382"/>
      <c r="E1229" s="1377">
        <f>SUM(E1228)</f>
        <v>0</v>
      </c>
      <c r="F1229" s="1436"/>
      <c r="G1229" s="1384" t="s">
        <v>125</v>
      </c>
      <c r="H1229" s="1633" t="s">
        <v>1087</v>
      </c>
      <c r="I1229" s="1382"/>
      <c r="J1229" s="1382"/>
      <c r="K1229" s="1377">
        <f>SUM(K1228)</f>
        <v>0</v>
      </c>
      <c r="L1229" s="1372"/>
    </row>
    <row r="1230" spans="1:12" s="31" customFormat="1" ht="17.25" customHeight="1">
      <c r="A1230" s="1386" t="s">
        <v>126</v>
      </c>
      <c r="B1230" s="1634" t="s">
        <v>871</v>
      </c>
      <c r="C1230" s="1387"/>
      <c r="D1230" s="1387"/>
      <c r="E1230" s="1387">
        <f>(E1218+E1219+E1220+E1221+E1222+E1223+E1224+E1225+E1226)-E1229</f>
        <v>0</v>
      </c>
      <c r="F1230" s="1436"/>
      <c r="G1230" s="1386" t="s">
        <v>126</v>
      </c>
      <c r="H1230" s="1634" t="s">
        <v>871</v>
      </c>
      <c r="I1230" s="1387"/>
      <c r="J1230" s="1387"/>
      <c r="K1230" s="1387">
        <f>(K1218+K1219+K1220+K1221+K1222+K1223+K1224+K1225+K1226)-K1229</f>
        <v>0</v>
      </c>
      <c r="L1230" s="1389">
        <f>E1230+K1230</f>
        <v>0</v>
      </c>
    </row>
    <row r="1231" spans="1:12" s="31" customFormat="1" ht="17.25" customHeight="1">
      <c r="A1231" s="2183"/>
      <c r="B1231" s="2183"/>
      <c r="C1231" s="2183"/>
      <c r="D1231" s="2183"/>
      <c r="E1231" s="2183"/>
      <c r="F1231" s="1427"/>
      <c r="G1231" s="2183"/>
      <c r="H1231" s="2183"/>
      <c r="I1231" s="2183"/>
      <c r="J1231" s="2183"/>
      <c r="K1231" s="1428"/>
      <c r="L1231" s="1372"/>
    </row>
    <row r="1232" spans="1:12" s="31" customFormat="1" ht="17.25" customHeight="1">
      <c r="A1232" s="1449" t="str">
        <f>A1215</f>
        <v>LƯƠNG THÁNG 01/2025</v>
      </c>
      <c r="B1232" s="1449"/>
      <c r="C1232" s="1449"/>
      <c r="D1232" s="1449"/>
      <c r="E1232" s="1449">
        <f>VLOOKUP(B1233,'CNKT '!$C$101:$AD$188,26,0)</f>
        <v>0</v>
      </c>
      <c r="F1232" s="1427"/>
      <c r="G1232" s="1449" t="str">
        <f>A1232</f>
        <v>LƯƠNG THÁNG 01/2025</v>
      </c>
      <c r="H1232" s="1449"/>
      <c r="I1232" s="1449"/>
      <c r="J1232" s="1449"/>
      <c r="K1232" s="1449">
        <f>VLOOKUP(H1233,'CNKT '!$C$101:$AD$188,26,0)</f>
        <v>0</v>
      </c>
      <c r="L1232" s="1372"/>
    </row>
    <row r="1233" spans="1:12" s="31" customFormat="1" ht="17.25" customHeight="1">
      <c r="A1233" s="1391" t="s">
        <v>29</v>
      </c>
      <c r="B1233" s="1626" t="str">
        <f>'CNKT '!C159</f>
        <v>N. Lắt Đa</v>
      </c>
      <c r="C1233" s="1376"/>
      <c r="D1233" s="1626" t="s">
        <v>806</v>
      </c>
      <c r="E1233" s="1626" t="s">
        <v>32</v>
      </c>
      <c r="F1233" s="1436"/>
      <c r="G1233" s="1391" t="s">
        <v>29</v>
      </c>
      <c r="H1233" s="1626" t="str">
        <f>'CNKT '!C160</f>
        <v>N. Tieng Na</v>
      </c>
      <c r="I1233" s="1376"/>
      <c r="J1233" s="1626" t="s">
        <v>806</v>
      </c>
      <c r="K1233" s="1626" t="s">
        <v>32</v>
      </c>
      <c r="L1233" s="1372"/>
    </row>
    <row r="1234" spans="1:12" s="31" customFormat="1" ht="17.25" customHeight="1">
      <c r="A1234" s="1375" t="s">
        <v>807</v>
      </c>
      <c r="B1234" s="1628" t="s">
        <v>1080</v>
      </c>
      <c r="C1234" s="1376" t="str">
        <f>VLOOKUP(B1233,'BTH mủ tạp'!$C$97:$AL$175,36,0)</f>
        <v>A</v>
      </c>
      <c r="D1234" s="1377"/>
      <c r="E1234" s="1377"/>
      <c r="F1234" s="1436"/>
      <c r="G1234" s="1375" t="s">
        <v>807</v>
      </c>
      <c r="H1234" s="1628" t="s">
        <v>1080</v>
      </c>
      <c r="I1234" s="1376" t="str">
        <f>VLOOKUP(H1233,'BTH mủ tạp'!$C$97:$AL$175,36,0)</f>
        <v>A</v>
      </c>
      <c r="J1234" s="1377"/>
      <c r="K1234" s="1377"/>
      <c r="L1234" s="1372"/>
    </row>
    <row r="1235" spans="1:12" s="31" customFormat="1" ht="17.25" customHeight="1">
      <c r="A1235" s="1375" t="s">
        <v>121</v>
      </c>
      <c r="B1235" s="1629" t="s">
        <v>865</v>
      </c>
      <c r="C1235" s="1378">
        <f>VLOOKUP(B1233,'CNKT '!$C$101:$Z$182,3,0)</f>
        <v>0</v>
      </c>
      <c r="D1235" s="1379">
        <v>25000</v>
      </c>
      <c r="E1235" s="1377">
        <f t="shared" ref="E1235:E1240" si="143">C1235*D1235</f>
        <v>0</v>
      </c>
      <c r="F1235" s="1436"/>
      <c r="G1235" s="1375" t="s">
        <v>121</v>
      </c>
      <c r="H1235" s="1629" t="s">
        <v>865</v>
      </c>
      <c r="I1235" s="1378">
        <f>VLOOKUP(H1233,'CNKT '!$C$101:$Z$182,3,0)</f>
        <v>0</v>
      </c>
      <c r="J1235" s="1379">
        <v>25000</v>
      </c>
      <c r="K1235" s="1377">
        <f t="shared" ref="K1235:K1240" si="144">I1235*J1235</f>
        <v>0</v>
      </c>
      <c r="L1235" s="1372"/>
    </row>
    <row r="1236" spans="1:12" s="31" customFormat="1" ht="17.25" customHeight="1">
      <c r="A1236" s="1375" t="s">
        <v>628</v>
      </c>
      <c r="B1236" s="1630" t="s">
        <v>1081</v>
      </c>
      <c r="C1236" s="1433">
        <f>VLOOKUP(B1233,'CNKT '!$C$101:$Z$182,11,0)</f>
        <v>0</v>
      </c>
      <c r="D1236" s="1380">
        <f>46.1*$B$2</f>
        <v>30241.600000000002</v>
      </c>
      <c r="E1236" s="1377">
        <f t="shared" si="143"/>
        <v>0</v>
      </c>
      <c r="F1236" s="1436"/>
      <c r="G1236" s="1375" t="s">
        <v>628</v>
      </c>
      <c r="H1236" s="1630" t="s">
        <v>1081</v>
      </c>
      <c r="I1236" s="1433">
        <f>VLOOKUP(H1233,'CNKT '!$C$101:$Z$182,11,0)</f>
        <v>0</v>
      </c>
      <c r="J1236" s="1380">
        <f>46.1*$B$2</f>
        <v>30241.600000000002</v>
      </c>
      <c r="K1236" s="1377">
        <f t="shared" si="144"/>
        <v>0</v>
      </c>
      <c r="L1236" s="1372"/>
    </row>
    <row r="1237" spans="1:12" s="31" customFormat="1" ht="17.25" customHeight="1">
      <c r="A1237" s="1375" t="s">
        <v>809</v>
      </c>
      <c r="B1237" s="1630" t="s">
        <v>1082</v>
      </c>
      <c r="C1237" s="1433">
        <f>VLOOKUP(B1233,'CNKT '!$C$101:$Z$182,12,0)</f>
        <v>0</v>
      </c>
      <c r="D1237" s="1379">
        <f>76.9*$B$2</f>
        <v>50446.400000000001</v>
      </c>
      <c r="E1237" s="1377">
        <f t="shared" si="143"/>
        <v>0</v>
      </c>
      <c r="F1237" s="1436"/>
      <c r="G1237" s="1375" t="s">
        <v>809</v>
      </c>
      <c r="H1237" s="1630" t="s">
        <v>1082</v>
      </c>
      <c r="I1237" s="1433">
        <f>VLOOKUP(H1233,'CNKT '!$C$101:$Z$182,12,0)</f>
        <v>0</v>
      </c>
      <c r="J1237" s="1379">
        <f>76.9*$B$2</f>
        <v>50446.400000000001</v>
      </c>
      <c r="K1237" s="1377">
        <f t="shared" si="144"/>
        <v>0</v>
      </c>
      <c r="L1237" s="1372"/>
    </row>
    <row r="1238" spans="1:12" s="31" customFormat="1" ht="17.25" customHeight="1">
      <c r="A1238" s="1375" t="s">
        <v>122</v>
      </c>
      <c r="B1238" s="1630" t="s">
        <v>1083</v>
      </c>
      <c r="C1238" s="1433">
        <f>VLOOKUP(B1233,'CNKT '!$C$101:$Z$182,8,0)</f>
        <v>0</v>
      </c>
      <c r="D1238" s="1379">
        <f>IF(C1234="A",6.1,IF(C1234="B",5.8,IF(C1234="C",5.5,IF(C1234="C.",5.5,IF(C1234="D",5.2)))))*$B$2</f>
        <v>4001.6</v>
      </c>
      <c r="E1238" s="1377">
        <f t="shared" si="143"/>
        <v>0</v>
      </c>
      <c r="F1238" s="1436"/>
      <c r="G1238" s="1375" t="s">
        <v>122</v>
      </c>
      <c r="H1238" s="1630" t="s">
        <v>1083</v>
      </c>
      <c r="I1238" s="1433">
        <f>VLOOKUP(H1233,'CNKT '!$C$101:$Z$182,8,0)</f>
        <v>0</v>
      </c>
      <c r="J1238" s="1379">
        <f>IF(I1234="A",6.1,IF(I1234="B",5.8,IF(I1234="C",5.5,IF(I1234="C.",5.5,IF(I1234="D",5.2)))))*$B$2</f>
        <v>4001.6</v>
      </c>
      <c r="K1238" s="1377">
        <f t="shared" si="144"/>
        <v>0</v>
      </c>
      <c r="L1238" s="1372"/>
    </row>
    <row r="1239" spans="1:12" s="31" customFormat="1" ht="17.25" customHeight="1">
      <c r="A1239" s="1375" t="s">
        <v>959</v>
      </c>
      <c r="B1239" s="1630" t="s">
        <v>1084</v>
      </c>
      <c r="C1239" s="1433">
        <f>VLOOKUP(B1233,'CNKT '!$C$101:$Z$182,15,0)</f>
        <v>0</v>
      </c>
      <c r="D1239" s="1380">
        <f>92.2*$B$2</f>
        <v>60483.200000000004</v>
      </c>
      <c r="E1239" s="1377">
        <f t="shared" si="143"/>
        <v>0</v>
      </c>
      <c r="F1239" s="1436"/>
      <c r="G1239" s="1375" t="s">
        <v>959</v>
      </c>
      <c r="H1239" s="1630" t="s">
        <v>1084</v>
      </c>
      <c r="I1239" s="1433">
        <f>VLOOKUP(H1233,'CNKT '!$C$101:$Z$182,15,0)</f>
        <v>0</v>
      </c>
      <c r="J1239" s="1380">
        <f>92.2*$B$2</f>
        <v>60483.200000000004</v>
      </c>
      <c r="K1239" s="1377">
        <f t="shared" si="144"/>
        <v>0</v>
      </c>
      <c r="L1239" s="1372"/>
    </row>
    <row r="1240" spans="1:12" s="31" customFormat="1" ht="17.25" customHeight="1">
      <c r="A1240" s="1375" t="s">
        <v>960</v>
      </c>
      <c r="B1240" s="1630" t="s">
        <v>964</v>
      </c>
      <c r="C1240" s="1433">
        <f>VLOOKUP(B1233,'CNKT '!$C$101:$Z$182,16,0)</f>
        <v>0</v>
      </c>
      <c r="D1240" s="1379">
        <f>153.8*$B$2</f>
        <v>100892.8</v>
      </c>
      <c r="E1240" s="1377">
        <f t="shared" si="143"/>
        <v>0</v>
      </c>
      <c r="F1240" s="1436"/>
      <c r="G1240" s="1375" t="s">
        <v>960</v>
      </c>
      <c r="H1240" s="1630" t="s">
        <v>964</v>
      </c>
      <c r="I1240" s="1433">
        <f>VLOOKUP(H1233,'CNKT '!$C$101:$Z$182,16,0)</f>
        <v>0</v>
      </c>
      <c r="J1240" s="1379">
        <f>153.8*$B$2</f>
        <v>100892.8</v>
      </c>
      <c r="K1240" s="1377">
        <f t="shared" si="144"/>
        <v>0</v>
      </c>
      <c r="L1240" s="1372"/>
    </row>
    <row r="1241" spans="1:12" s="31" customFormat="1" ht="17.25" customHeight="1">
      <c r="A1241" s="1375" t="s">
        <v>899</v>
      </c>
      <c r="B1241" s="1630" t="s">
        <v>965</v>
      </c>
      <c r="C1241" s="1433">
        <f>VLOOKUP(B1233,'CNKT '!$C$101:$Z$188,18,0)</f>
        <v>0</v>
      </c>
      <c r="D1241" s="1379">
        <v>10000</v>
      </c>
      <c r="E1241" s="1377">
        <f>C1241*D1241</f>
        <v>0</v>
      </c>
      <c r="F1241" s="1436"/>
      <c r="G1241" s="1375" t="s">
        <v>899</v>
      </c>
      <c r="H1241" s="1630" t="s">
        <v>965</v>
      </c>
      <c r="I1241" s="1433">
        <f>VLOOKUP(H1233,'CNKT '!$C$101:$Z$188,18,0)</f>
        <v>0</v>
      </c>
      <c r="J1241" s="1379">
        <v>10000</v>
      </c>
      <c r="K1241" s="1377">
        <f>I1241*J1241</f>
        <v>0</v>
      </c>
      <c r="L1241" s="1372"/>
    </row>
    <row r="1242" spans="1:12" s="31" customFormat="1" ht="17.25" customHeight="1">
      <c r="A1242" s="1375" t="s">
        <v>899</v>
      </c>
      <c r="B1242" s="1630" t="s">
        <v>965</v>
      </c>
      <c r="C1242" s="1433">
        <f>VLOOKUP(B1233,'CNKT '!$C$101:$Z$188,19,0)</f>
        <v>0</v>
      </c>
      <c r="D1242" s="1379">
        <v>20000</v>
      </c>
      <c r="E1242" s="1377">
        <f>C1242*D1242</f>
        <v>0</v>
      </c>
      <c r="F1242" s="1436"/>
      <c r="G1242" s="1375" t="s">
        <v>899</v>
      </c>
      <c r="H1242" s="1630" t="s">
        <v>965</v>
      </c>
      <c r="I1242" s="1433">
        <f>VLOOKUP(H1233,'CNKT '!$C$101:$Z$188,19,0)</f>
        <v>0</v>
      </c>
      <c r="J1242" s="1379">
        <v>20000</v>
      </c>
      <c r="K1242" s="1377">
        <f>I1242*J1242</f>
        <v>0</v>
      </c>
      <c r="L1242" s="1372"/>
    </row>
    <row r="1243" spans="1:12" s="31" customFormat="1" ht="17.25" customHeight="1">
      <c r="A1243" s="1375" t="s">
        <v>995</v>
      </c>
      <c r="B1243" s="1630" t="s">
        <v>997</v>
      </c>
      <c r="C1243" s="1433"/>
      <c r="D1243" s="1379"/>
      <c r="E1243" s="1377"/>
      <c r="F1243" s="1436"/>
      <c r="G1243" s="1375" t="s">
        <v>995</v>
      </c>
      <c r="H1243" s="1630" t="s">
        <v>997</v>
      </c>
      <c r="I1243" s="1433"/>
      <c r="J1243" s="1379"/>
      <c r="K1243" s="1377"/>
      <c r="L1243" s="1372"/>
    </row>
    <row r="1244" spans="1:12" s="31" customFormat="1" ht="17.25" customHeight="1">
      <c r="A1244" s="1381" t="s">
        <v>123</v>
      </c>
      <c r="B1244" s="1631" t="s">
        <v>1085</v>
      </c>
      <c r="C1244" s="1382"/>
      <c r="D1244" s="1383"/>
      <c r="E1244" s="1382"/>
      <c r="F1244" s="1436"/>
      <c r="G1244" s="1381" t="s">
        <v>123</v>
      </c>
      <c r="H1244" s="1631" t="s">
        <v>1085</v>
      </c>
      <c r="I1244" s="1382"/>
      <c r="J1244" s="1383"/>
      <c r="K1244" s="1382"/>
      <c r="L1244" s="1372"/>
    </row>
    <row r="1245" spans="1:12" s="31" customFormat="1" ht="17.25" customHeight="1">
      <c r="A1245" s="1384" t="s">
        <v>124</v>
      </c>
      <c r="B1245" s="1632" t="s">
        <v>1086</v>
      </c>
      <c r="C1245" s="1382"/>
      <c r="D1245" s="1382"/>
      <c r="E1245" s="1382"/>
      <c r="F1245" s="1436"/>
      <c r="G1245" s="1384" t="s">
        <v>124</v>
      </c>
      <c r="H1245" s="1632" t="s">
        <v>1086</v>
      </c>
      <c r="I1245" s="1382"/>
      <c r="J1245" s="1382"/>
      <c r="K1245" s="1382"/>
      <c r="L1245" s="1372"/>
    </row>
    <row r="1246" spans="1:12" s="31" customFormat="1" ht="17.25" customHeight="1">
      <c r="A1246" s="1384" t="s">
        <v>125</v>
      </c>
      <c r="B1246" s="1633" t="s">
        <v>1087</v>
      </c>
      <c r="C1246" s="1382"/>
      <c r="D1246" s="1382"/>
      <c r="E1246" s="1377">
        <f>SUM(E1245)</f>
        <v>0</v>
      </c>
      <c r="F1246" s="1436"/>
      <c r="G1246" s="1384" t="s">
        <v>125</v>
      </c>
      <c r="H1246" s="1633" t="s">
        <v>1087</v>
      </c>
      <c r="I1246" s="1382"/>
      <c r="J1246" s="1382"/>
      <c r="K1246" s="1377">
        <f>SUM(K1245)</f>
        <v>0</v>
      </c>
      <c r="L1246" s="1372"/>
    </row>
    <row r="1247" spans="1:12" s="31" customFormat="1" ht="17.25" customHeight="1">
      <c r="A1247" s="1386" t="s">
        <v>126</v>
      </c>
      <c r="B1247" s="1634" t="s">
        <v>871</v>
      </c>
      <c r="C1247" s="1387"/>
      <c r="D1247" s="1387"/>
      <c r="E1247" s="1387">
        <f>(E1235+E1236+E1237+E1238+E1239+E1240+E1241+E1242+E1243)-E1246</f>
        <v>0</v>
      </c>
      <c r="F1247" s="1436"/>
      <c r="G1247" s="1386" t="s">
        <v>126</v>
      </c>
      <c r="H1247" s="1634" t="s">
        <v>871</v>
      </c>
      <c r="I1247" s="1387"/>
      <c r="J1247" s="1387"/>
      <c r="K1247" s="1387">
        <f>(K1235+K1236+K1237+K1238+K1239+K1240+K1241+K1242+K1243)-K1246</f>
        <v>0</v>
      </c>
      <c r="L1247" s="1389">
        <f>E1247+K1247</f>
        <v>0</v>
      </c>
    </row>
    <row r="1248" spans="1:12" s="31" customFormat="1" ht="17.25" customHeight="1">
      <c r="A1248" s="1449"/>
      <c r="B1248" s="1449"/>
      <c r="C1248" s="1449"/>
      <c r="D1248" s="1449"/>
      <c r="E1248" s="1449"/>
      <c r="F1248" s="1427"/>
      <c r="G1248" s="1449"/>
      <c r="H1248" s="1449"/>
      <c r="I1248" s="1449"/>
      <c r="J1248" s="1449"/>
      <c r="K1248" s="1428"/>
      <c r="L1248" s="1372"/>
    </row>
    <row r="1249" spans="1:12" s="31" customFormat="1" ht="17.25" customHeight="1">
      <c r="A1249" s="1449" t="str">
        <f>A1232</f>
        <v>LƯƠNG THÁNG 01/2025</v>
      </c>
      <c r="B1249" s="1449"/>
      <c r="C1249" s="1449"/>
      <c r="D1249" s="1449"/>
      <c r="E1249" s="1449">
        <f>VLOOKUP(B1250,'CNKT '!$C$101:$AD$188,26,0)</f>
        <v>0</v>
      </c>
      <c r="F1249" s="1427"/>
      <c r="G1249" s="1449" t="str">
        <f>A1249</f>
        <v>LƯƠNG THÁNG 01/2025</v>
      </c>
      <c r="H1249" s="1449"/>
      <c r="I1249" s="1449"/>
      <c r="J1249" s="1449"/>
      <c r="K1249" s="1449">
        <f>VLOOKUP(H1250,'CNKT '!$C$101:$AD$188,26,0)</f>
        <v>0</v>
      </c>
      <c r="L1249" s="1372"/>
    </row>
    <row r="1250" spans="1:12" s="31" customFormat="1" ht="17.25" customHeight="1">
      <c r="A1250" s="1391" t="s">
        <v>29</v>
      </c>
      <c r="B1250" s="1626" t="str">
        <f>'CNKT '!C161</f>
        <v>T. Đăm</v>
      </c>
      <c r="C1250" s="1376"/>
      <c r="D1250" s="1626" t="s">
        <v>806</v>
      </c>
      <c r="E1250" s="1626" t="s">
        <v>32</v>
      </c>
      <c r="F1250" s="1436"/>
      <c r="G1250" s="1391" t="s">
        <v>29</v>
      </c>
      <c r="H1250" s="1626" t="str">
        <f>'CNKT '!C162</f>
        <v>T. Văn Ê</v>
      </c>
      <c r="I1250" s="1376"/>
      <c r="J1250" s="1626" t="s">
        <v>806</v>
      </c>
      <c r="K1250" s="1626" t="s">
        <v>32</v>
      </c>
      <c r="L1250" s="1372"/>
    </row>
    <row r="1251" spans="1:12" s="31" customFormat="1" ht="17.25" customHeight="1">
      <c r="A1251" s="1375" t="s">
        <v>807</v>
      </c>
      <c r="B1251" s="1628" t="s">
        <v>1080</v>
      </c>
      <c r="C1251" s="1376" t="str">
        <f>VLOOKUP(B1250,'BTH mủ tạp'!$C$97:$AL$175,36,0)</f>
        <v>B</v>
      </c>
      <c r="D1251" s="1377"/>
      <c r="E1251" s="1377"/>
      <c r="F1251" s="1436"/>
      <c r="G1251" s="1375" t="s">
        <v>807</v>
      </c>
      <c r="H1251" s="1628" t="s">
        <v>1080</v>
      </c>
      <c r="I1251" s="1376" t="str">
        <f>VLOOKUP(H1250,'BTH mủ tạp'!$C$97:$AL$175,36,0)</f>
        <v>A</v>
      </c>
      <c r="J1251" s="1377"/>
      <c r="K1251" s="1377"/>
      <c r="L1251" s="1372"/>
    </row>
    <row r="1252" spans="1:12" s="31" customFormat="1" ht="17.25" customHeight="1">
      <c r="A1252" s="1375" t="s">
        <v>121</v>
      </c>
      <c r="B1252" s="1629" t="s">
        <v>865</v>
      </c>
      <c r="C1252" s="1378">
        <f>VLOOKUP(B1250,'CNKT '!$C$101:$Z$182,3,0)</f>
        <v>0</v>
      </c>
      <c r="D1252" s="1379">
        <v>25000</v>
      </c>
      <c r="E1252" s="1377">
        <f t="shared" ref="E1252:E1257" si="145">C1252*D1252</f>
        <v>0</v>
      </c>
      <c r="F1252" s="1436"/>
      <c r="G1252" s="1375" t="s">
        <v>121</v>
      </c>
      <c r="H1252" s="1629" t="s">
        <v>865</v>
      </c>
      <c r="I1252" s="1378">
        <f>VLOOKUP(H1250,'CNKT '!$C$101:$Z$182,3,0)</f>
        <v>0</v>
      </c>
      <c r="J1252" s="1379">
        <v>25000</v>
      </c>
      <c r="K1252" s="1377">
        <f t="shared" ref="K1252:K1257" si="146">I1252*J1252</f>
        <v>0</v>
      </c>
      <c r="L1252" s="1372"/>
    </row>
    <row r="1253" spans="1:12" s="31" customFormat="1" ht="17.25" customHeight="1">
      <c r="A1253" s="1375" t="s">
        <v>628</v>
      </c>
      <c r="B1253" s="1630" t="s">
        <v>1081</v>
      </c>
      <c r="C1253" s="1433">
        <f>VLOOKUP(B1250,'CNKT '!$C$101:$Z$182,11,0)</f>
        <v>0</v>
      </c>
      <c r="D1253" s="1380">
        <f>46.1*$B$2</f>
        <v>30241.600000000002</v>
      </c>
      <c r="E1253" s="1377">
        <f t="shared" si="145"/>
        <v>0</v>
      </c>
      <c r="F1253" s="1436"/>
      <c r="G1253" s="1375" t="s">
        <v>628</v>
      </c>
      <c r="H1253" s="1630" t="s">
        <v>1081</v>
      </c>
      <c r="I1253" s="1433">
        <f>VLOOKUP(H1250,'CNKT '!$C$101:$Z$182,11,0)</f>
        <v>0</v>
      </c>
      <c r="J1253" s="1380">
        <f>46.1*$B$2</f>
        <v>30241.600000000002</v>
      </c>
      <c r="K1253" s="1377">
        <f t="shared" si="146"/>
        <v>0</v>
      </c>
      <c r="L1253" s="1372"/>
    </row>
    <row r="1254" spans="1:12" s="31" customFormat="1" ht="17.25" customHeight="1">
      <c r="A1254" s="1375" t="s">
        <v>809</v>
      </c>
      <c r="B1254" s="1630" t="s">
        <v>1082</v>
      </c>
      <c r="C1254" s="1433">
        <f>VLOOKUP(B1250,'CNKT '!$C$101:$Z$182,12,0)</f>
        <v>0</v>
      </c>
      <c r="D1254" s="1379">
        <f>76.9*$B$2</f>
        <v>50446.400000000001</v>
      </c>
      <c r="E1254" s="1377">
        <f t="shared" si="145"/>
        <v>0</v>
      </c>
      <c r="F1254" s="1436"/>
      <c r="G1254" s="1375" t="s">
        <v>809</v>
      </c>
      <c r="H1254" s="1630" t="s">
        <v>1082</v>
      </c>
      <c r="I1254" s="1433">
        <f>VLOOKUP(H1250,'CNKT '!$C$101:$Z$182,12,0)</f>
        <v>0</v>
      </c>
      <c r="J1254" s="1379">
        <f>76.9*$B$2</f>
        <v>50446.400000000001</v>
      </c>
      <c r="K1254" s="1377">
        <f t="shared" si="146"/>
        <v>0</v>
      </c>
      <c r="L1254" s="1372"/>
    </row>
    <row r="1255" spans="1:12" s="31" customFormat="1" ht="17.25" customHeight="1">
      <c r="A1255" s="1375" t="s">
        <v>122</v>
      </c>
      <c r="B1255" s="1630" t="s">
        <v>1083</v>
      </c>
      <c r="C1255" s="1433">
        <f>VLOOKUP(B1250,'CNKT '!$C$101:$Z$182,8,0)</f>
        <v>0</v>
      </c>
      <c r="D1255" s="1379">
        <f>IF(C1251="A",6.1,IF(C1251="B",5.8,IF(C1251="C",5.5,IF(C1251="C.",5.5,IF(C1251="D",5.2)))))*$B$2</f>
        <v>3804.7999999999997</v>
      </c>
      <c r="E1255" s="1377">
        <f t="shared" si="145"/>
        <v>0</v>
      </c>
      <c r="F1255" s="1436"/>
      <c r="G1255" s="1375" t="s">
        <v>122</v>
      </c>
      <c r="H1255" s="1630" t="s">
        <v>1083</v>
      </c>
      <c r="I1255" s="1433">
        <f>VLOOKUP(H1250,'CNKT '!$C$101:$Z$182,8,0)</f>
        <v>0</v>
      </c>
      <c r="J1255" s="1379">
        <f>IF(I1251="A",6.1,IF(I1251="B",5.8,IF(I1251="C",5.5,IF(I1251="C.",5.5,IF(I1251="D",5.2)))))*$B$2</f>
        <v>4001.6</v>
      </c>
      <c r="K1255" s="1377">
        <f t="shared" si="146"/>
        <v>0</v>
      </c>
      <c r="L1255" s="1372"/>
    </row>
    <row r="1256" spans="1:12" s="31" customFormat="1" ht="17.25" customHeight="1">
      <c r="A1256" s="1375" t="s">
        <v>959</v>
      </c>
      <c r="B1256" s="1630" t="s">
        <v>1084</v>
      </c>
      <c r="C1256" s="1433">
        <f>VLOOKUP(B1250,'CNKT '!$C$101:$Z$182,15,0)</f>
        <v>0</v>
      </c>
      <c r="D1256" s="1380">
        <f>92.2*$B$2</f>
        <v>60483.200000000004</v>
      </c>
      <c r="E1256" s="1377">
        <f t="shared" si="145"/>
        <v>0</v>
      </c>
      <c r="F1256" s="1436"/>
      <c r="G1256" s="1375" t="s">
        <v>959</v>
      </c>
      <c r="H1256" s="1630" t="s">
        <v>1084</v>
      </c>
      <c r="I1256" s="1433">
        <f>VLOOKUP(H1250,'CNKT '!$C$101:$Z$182,15,0)</f>
        <v>0</v>
      </c>
      <c r="J1256" s="1380">
        <f>92.2*$B$2</f>
        <v>60483.200000000004</v>
      </c>
      <c r="K1256" s="1377">
        <f t="shared" si="146"/>
        <v>0</v>
      </c>
      <c r="L1256" s="1372"/>
    </row>
    <row r="1257" spans="1:12" s="31" customFormat="1" ht="17.25" customHeight="1">
      <c r="A1257" s="1375" t="s">
        <v>960</v>
      </c>
      <c r="B1257" s="1630" t="s">
        <v>964</v>
      </c>
      <c r="C1257" s="1433">
        <f>VLOOKUP(B1250,'CNKT '!$C$101:$Z$182,16,0)</f>
        <v>0</v>
      </c>
      <c r="D1257" s="1379">
        <f>153.8*$B$2</f>
        <v>100892.8</v>
      </c>
      <c r="E1257" s="1377">
        <f t="shared" si="145"/>
        <v>0</v>
      </c>
      <c r="F1257" s="1436"/>
      <c r="G1257" s="1375" t="s">
        <v>960</v>
      </c>
      <c r="H1257" s="1630" t="s">
        <v>964</v>
      </c>
      <c r="I1257" s="1433">
        <f>VLOOKUP(H1250,'CNKT '!$C$101:$Z$182,16,0)</f>
        <v>0</v>
      </c>
      <c r="J1257" s="1379">
        <f>153.8*$B$2</f>
        <v>100892.8</v>
      </c>
      <c r="K1257" s="1377">
        <f t="shared" si="146"/>
        <v>0</v>
      </c>
      <c r="L1257" s="1372"/>
    </row>
    <row r="1258" spans="1:12" s="31" customFormat="1" ht="17.25" customHeight="1">
      <c r="A1258" s="1375" t="s">
        <v>899</v>
      </c>
      <c r="B1258" s="1630" t="s">
        <v>965</v>
      </c>
      <c r="C1258" s="1433">
        <f>VLOOKUP(B1250,'CNKT '!$C$101:$Z$188,18,0)</f>
        <v>0</v>
      </c>
      <c r="D1258" s="1379">
        <v>10000</v>
      </c>
      <c r="E1258" s="1377">
        <f>C1258*D1258</f>
        <v>0</v>
      </c>
      <c r="F1258" s="1436"/>
      <c r="G1258" s="1375" t="s">
        <v>899</v>
      </c>
      <c r="H1258" s="1630" t="s">
        <v>965</v>
      </c>
      <c r="I1258" s="1433">
        <f>VLOOKUP(H1250,'CNKT '!$C$101:$Z$188,18,0)</f>
        <v>0</v>
      </c>
      <c r="J1258" s="1379">
        <v>10000</v>
      </c>
      <c r="K1258" s="1377">
        <f>I1258*J1258</f>
        <v>0</v>
      </c>
      <c r="L1258" s="1372"/>
    </row>
    <row r="1259" spans="1:12" s="31" customFormat="1" ht="17.25" customHeight="1">
      <c r="A1259" s="1375" t="s">
        <v>899</v>
      </c>
      <c r="B1259" s="1630" t="s">
        <v>965</v>
      </c>
      <c r="C1259" s="1433">
        <f>VLOOKUP(B1250,'CNKT '!$C$101:$Z$188,19,0)</f>
        <v>0</v>
      </c>
      <c r="D1259" s="1379">
        <v>20000</v>
      </c>
      <c r="E1259" s="1377">
        <f>C1259*D1259</f>
        <v>0</v>
      </c>
      <c r="F1259" s="1436"/>
      <c r="G1259" s="1375" t="s">
        <v>899</v>
      </c>
      <c r="H1259" s="1630" t="s">
        <v>965</v>
      </c>
      <c r="I1259" s="1433">
        <f>VLOOKUP(H1250,'CNKT '!$C$101:$Z$188,19,0)</f>
        <v>0</v>
      </c>
      <c r="J1259" s="1379">
        <v>20000</v>
      </c>
      <c r="K1259" s="1377">
        <f>I1259*J1259</f>
        <v>0</v>
      </c>
      <c r="L1259" s="1372"/>
    </row>
    <row r="1260" spans="1:12" s="31" customFormat="1" ht="17.25" customHeight="1">
      <c r="A1260" s="1375" t="s">
        <v>995</v>
      </c>
      <c r="B1260" s="1630" t="s">
        <v>997</v>
      </c>
      <c r="C1260" s="1433"/>
      <c r="D1260" s="1379"/>
      <c r="E1260" s="1377"/>
      <c r="F1260" s="1436"/>
      <c r="G1260" s="1375" t="s">
        <v>995</v>
      </c>
      <c r="H1260" s="1630" t="s">
        <v>997</v>
      </c>
      <c r="I1260" s="1433"/>
      <c r="J1260" s="1379"/>
      <c r="K1260" s="1377"/>
      <c r="L1260" s="1372"/>
    </row>
    <row r="1261" spans="1:12" s="31" customFormat="1" ht="17.25" customHeight="1">
      <c r="A1261" s="1381" t="s">
        <v>123</v>
      </c>
      <c r="B1261" s="1631" t="s">
        <v>1085</v>
      </c>
      <c r="C1261" s="1382"/>
      <c r="D1261" s="1383"/>
      <c r="E1261" s="1382"/>
      <c r="F1261" s="1436"/>
      <c r="G1261" s="1381" t="s">
        <v>123</v>
      </c>
      <c r="H1261" s="1631" t="s">
        <v>1085</v>
      </c>
      <c r="I1261" s="1382"/>
      <c r="J1261" s="1383"/>
      <c r="K1261" s="1382"/>
      <c r="L1261" s="1372"/>
    </row>
    <row r="1262" spans="1:12" s="31" customFormat="1" ht="17.25" customHeight="1">
      <c r="A1262" s="1384" t="s">
        <v>124</v>
      </c>
      <c r="B1262" s="1632" t="s">
        <v>1086</v>
      </c>
      <c r="C1262" s="1382"/>
      <c r="D1262" s="1382"/>
      <c r="E1262" s="1382"/>
      <c r="F1262" s="1436"/>
      <c r="G1262" s="1384" t="s">
        <v>124</v>
      </c>
      <c r="H1262" s="1632" t="s">
        <v>1086</v>
      </c>
      <c r="I1262" s="1382"/>
      <c r="J1262" s="1382"/>
      <c r="K1262" s="1382"/>
      <c r="L1262" s="1372"/>
    </row>
    <row r="1263" spans="1:12" s="31" customFormat="1" ht="17.25" customHeight="1">
      <c r="A1263" s="1384" t="s">
        <v>125</v>
      </c>
      <c r="B1263" s="1633" t="s">
        <v>1087</v>
      </c>
      <c r="C1263" s="1382"/>
      <c r="D1263" s="1382"/>
      <c r="E1263" s="1377">
        <f>SUM(E1262)</f>
        <v>0</v>
      </c>
      <c r="F1263" s="1436"/>
      <c r="G1263" s="1384" t="s">
        <v>125</v>
      </c>
      <c r="H1263" s="1633" t="s">
        <v>1087</v>
      </c>
      <c r="I1263" s="1382"/>
      <c r="J1263" s="1382"/>
      <c r="K1263" s="1377">
        <f>SUM(K1262)</f>
        <v>0</v>
      </c>
      <c r="L1263" s="1372"/>
    </row>
    <row r="1264" spans="1:12" s="31" customFormat="1" ht="17.25" customHeight="1">
      <c r="A1264" s="1386" t="s">
        <v>126</v>
      </c>
      <c r="B1264" s="1634" t="s">
        <v>871</v>
      </c>
      <c r="C1264" s="1387"/>
      <c r="D1264" s="1387"/>
      <c r="E1264" s="1387">
        <f>(E1252+E1253+E1254+E1255+E1256+E1257+E1258+E1259+E1260)-E1263</f>
        <v>0</v>
      </c>
      <c r="F1264" s="1436"/>
      <c r="G1264" s="1386" t="s">
        <v>126</v>
      </c>
      <c r="H1264" s="1634" t="s">
        <v>871</v>
      </c>
      <c r="I1264" s="1387"/>
      <c r="J1264" s="1387"/>
      <c r="K1264" s="1387">
        <f>(K1252+K1253+K1254+K1255+K1256+K1257+K1258+K1259+K1260)-K1263</f>
        <v>0</v>
      </c>
      <c r="L1264" s="1389">
        <f>E1264+K1264</f>
        <v>0</v>
      </c>
    </row>
    <row r="1265" spans="1:12" s="31" customFormat="1" ht="204.75" customHeight="1">
      <c r="A1265" s="1449"/>
      <c r="B1265" s="1449"/>
      <c r="C1265" s="1449"/>
      <c r="D1265" s="1449"/>
      <c r="E1265" s="1449"/>
      <c r="F1265" s="1427"/>
      <c r="G1265" s="1449"/>
      <c r="H1265" s="1449"/>
      <c r="I1265" s="1449"/>
      <c r="J1265" s="1449"/>
      <c r="K1265" s="1428"/>
      <c r="L1265" s="1372"/>
    </row>
    <row r="1266" spans="1:12" s="31" customFormat="1" ht="17.25" customHeight="1">
      <c r="A1266" s="1449" t="str">
        <f>A1249</f>
        <v>LƯƠNG THÁNG 01/2025</v>
      </c>
      <c r="B1266" s="1449"/>
      <c r="C1266" s="1449"/>
      <c r="D1266" s="1449"/>
      <c r="E1266" s="1449">
        <f>VLOOKUP(B1267,'CNKT '!$C$101:$AD$188,26,0)</f>
        <v>0</v>
      </c>
      <c r="F1266" s="1427"/>
      <c r="G1266" s="1449" t="str">
        <f>A1266</f>
        <v>LƯƠNG THÁNG 01/2025</v>
      </c>
      <c r="H1266" s="1449"/>
      <c r="I1266" s="1449"/>
      <c r="J1266" s="1449"/>
      <c r="K1266" s="1449">
        <f>VLOOKUP(H1267,'CNKT '!$C$101:$AD$188,26,0)</f>
        <v>0</v>
      </c>
      <c r="L1266" s="1372"/>
    </row>
    <row r="1267" spans="1:12" s="31" customFormat="1" ht="17.25" customHeight="1">
      <c r="A1267" s="1391" t="s">
        <v>29</v>
      </c>
      <c r="B1267" s="1626" t="str">
        <f>'CNKT '!C163</f>
        <v>T. Sinh</v>
      </c>
      <c r="C1267" s="1376"/>
      <c r="D1267" s="1626" t="s">
        <v>806</v>
      </c>
      <c r="E1267" s="1626" t="s">
        <v>32</v>
      </c>
      <c r="F1267" s="1436"/>
      <c r="G1267" s="1391" t="s">
        <v>29</v>
      </c>
      <c r="H1267" s="1626" t="str">
        <f>'CNKT '!C164</f>
        <v>T. Khăm Công</v>
      </c>
      <c r="I1267" s="1376"/>
      <c r="J1267" s="1626" t="s">
        <v>806</v>
      </c>
      <c r="K1267" s="1626" t="s">
        <v>32</v>
      </c>
      <c r="L1267" s="1372"/>
    </row>
    <row r="1268" spans="1:12" s="31" customFormat="1" ht="17.25" customHeight="1">
      <c r="A1268" s="1375" t="s">
        <v>807</v>
      </c>
      <c r="B1268" s="1628" t="s">
        <v>1080</v>
      </c>
      <c r="C1268" s="1376" t="str">
        <f>VLOOKUP(B1267,'BTH mủ tạp'!$C$97:$AL$175,36,0)</f>
        <v>A</v>
      </c>
      <c r="D1268" s="1377"/>
      <c r="E1268" s="1377"/>
      <c r="F1268" s="1436"/>
      <c r="G1268" s="1375" t="s">
        <v>807</v>
      </c>
      <c r="H1268" s="1628" t="s">
        <v>1080</v>
      </c>
      <c r="I1268" s="1376" t="str">
        <f>VLOOKUP(H1267,'BTH mủ tạp'!$C$97:$AL$175,36,0)</f>
        <v>B</v>
      </c>
      <c r="J1268" s="1377"/>
      <c r="K1268" s="1377"/>
      <c r="L1268" s="1372"/>
    </row>
    <row r="1269" spans="1:12" s="31" customFormat="1" ht="17.25" customHeight="1">
      <c r="A1269" s="1375" t="s">
        <v>121</v>
      </c>
      <c r="B1269" s="1629" t="s">
        <v>865</v>
      </c>
      <c r="C1269" s="1378">
        <f>VLOOKUP(B1267,'CNKT '!$C$101:$Z$182,3,0)</f>
        <v>0</v>
      </c>
      <c r="D1269" s="1379">
        <v>25000</v>
      </c>
      <c r="E1269" s="1377">
        <f t="shared" ref="E1269:E1274" si="147">C1269*D1269</f>
        <v>0</v>
      </c>
      <c r="F1269" s="1436"/>
      <c r="G1269" s="1375" t="s">
        <v>121</v>
      </c>
      <c r="H1269" s="1629" t="s">
        <v>865</v>
      </c>
      <c r="I1269" s="1378">
        <f>VLOOKUP(H1267,'CNKT '!$C$101:$Z$182,3,0)</f>
        <v>0</v>
      </c>
      <c r="J1269" s="1379">
        <v>25000</v>
      </c>
      <c r="K1269" s="1377">
        <f t="shared" ref="K1269:K1274" si="148">I1269*J1269</f>
        <v>0</v>
      </c>
      <c r="L1269" s="1372"/>
    </row>
    <row r="1270" spans="1:12" s="31" customFormat="1" ht="17.25" customHeight="1">
      <c r="A1270" s="1375" t="s">
        <v>628</v>
      </c>
      <c r="B1270" s="1630" t="s">
        <v>1081</v>
      </c>
      <c r="C1270" s="1433">
        <f>VLOOKUP(B1267,'CNKT '!$C$101:$Z$182,11,0)</f>
        <v>0</v>
      </c>
      <c r="D1270" s="1380">
        <f>46.1*$B$2</f>
        <v>30241.600000000002</v>
      </c>
      <c r="E1270" s="1377">
        <f t="shared" si="147"/>
        <v>0</v>
      </c>
      <c r="F1270" s="1436"/>
      <c r="G1270" s="1375" t="s">
        <v>628</v>
      </c>
      <c r="H1270" s="1630" t="s">
        <v>1081</v>
      </c>
      <c r="I1270" s="1433">
        <f>VLOOKUP(H1267,'CNKT '!$C$101:$Z$182,11,0)</f>
        <v>0</v>
      </c>
      <c r="J1270" s="1380">
        <f>46.1*$B$2</f>
        <v>30241.600000000002</v>
      </c>
      <c r="K1270" s="1377">
        <f t="shared" si="148"/>
        <v>0</v>
      </c>
      <c r="L1270" s="1372"/>
    </row>
    <row r="1271" spans="1:12" s="31" customFormat="1" ht="17.25" customHeight="1">
      <c r="A1271" s="1375" t="s">
        <v>809</v>
      </c>
      <c r="B1271" s="1630" t="s">
        <v>1082</v>
      </c>
      <c r="C1271" s="1433">
        <f>VLOOKUP(B1267,'CNKT '!$C$101:$Z$182,12,0)</f>
        <v>0</v>
      </c>
      <c r="D1271" s="1379">
        <f>76.9*$B$2</f>
        <v>50446.400000000001</v>
      </c>
      <c r="E1271" s="1377">
        <f t="shared" si="147"/>
        <v>0</v>
      </c>
      <c r="F1271" s="1436"/>
      <c r="G1271" s="1375" t="s">
        <v>809</v>
      </c>
      <c r="H1271" s="1630" t="s">
        <v>1082</v>
      </c>
      <c r="I1271" s="1433">
        <f>VLOOKUP(H1267,'CNKT '!$C$101:$Z$182,12,0)</f>
        <v>0</v>
      </c>
      <c r="J1271" s="1379">
        <f>76.9*$B$2</f>
        <v>50446.400000000001</v>
      </c>
      <c r="K1271" s="1377">
        <f t="shared" si="148"/>
        <v>0</v>
      </c>
      <c r="L1271" s="1372"/>
    </row>
    <row r="1272" spans="1:12" s="31" customFormat="1" ht="17.25" customHeight="1">
      <c r="A1272" s="1375" t="s">
        <v>122</v>
      </c>
      <c r="B1272" s="1630" t="s">
        <v>1083</v>
      </c>
      <c r="C1272" s="1433">
        <f>VLOOKUP(B1267,'CNKT '!$C$101:$Z$182,8,0)</f>
        <v>0</v>
      </c>
      <c r="D1272" s="1379">
        <f>IF(C1268="A",6.1,IF(C1268="B",5.8,IF(C1268="C",5.5,IF(C1268="C.",5.5,IF(C1268="D",5.2)))))*$B$2</f>
        <v>4001.6</v>
      </c>
      <c r="E1272" s="1377">
        <f t="shared" si="147"/>
        <v>0</v>
      </c>
      <c r="F1272" s="1436"/>
      <c r="G1272" s="1375" t="s">
        <v>122</v>
      </c>
      <c r="H1272" s="1630" t="s">
        <v>1083</v>
      </c>
      <c r="I1272" s="1433">
        <f>VLOOKUP(H1267,'CNKT '!$C$101:$Z$182,8,0)</f>
        <v>0</v>
      </c>
      <c r="J1272" s="1379">
        <f>IF(I1268="A",6.1,IF(I1268="B",5.8,IF(I1268="C",5.5,IF(I1268="C.",5.5,IF(I1268="D",5.2)))))*$B$2</f>
        <v>3804.7999999999997</v>
      </c>
      <c r="K1272" s="1377">
        <f t="shared" si="148"/>
        <v>0</v>
      </c>
      <c r="L1272" s="1372"/>
    </row>
    <row r="1273" spans="1:12" s="31" customFormat="1" ht="17.25" customHeight="1">
      <c r="A1273" s="1375" t="s">
        <v>959</v>
      </c>
      <c r="B1273" s="1630" t="s">
        <v>1084</v>
      </c>
      <c r="C1273" s="1433">
        <f>VLOOKUP(B1267,'CNKT '!$C$101:$Z$182,15,0)</f>
        <v>0</v>
      </c>
      <c r="D1273" s="1380">
        <f>92.2*$B$2</f>
        <v>60483.200000000004</v>
      </c>
      <c r="E1273" s="1377">
        <f t="shared" si="147"/>
        <v>0</v>
      </c>
      <c r="F1273" s="1436"/>
      <c r="G1273" s="1375" t="s">
        <v>959</v>
      </c>
      <c r="H1273" s="1630" t="s">
        <v>1084</v>
      </c>
      <c r="I1273" s="1433">
        <f>VLOOKUP(H1267,'CNKT '!$C$101:$Z$182,15,0)</f>
        <v>0</v>
      </c>
      <c r="J1273" s="1380">
        <f>92.2*$B$2</f>
        <v>60483.200000000004</v>
      </c>
      <c r="K1273" s="1377">
        <f t="shared" si="148"/>
        <v>0</v>
      </c>
      <c r="L1273" s="1372"/>
    </row>
    <row r="1274" spans="1:12" s="31" customFormat="1" ht="17.25" customHeight="1">
      <c r="A1274" s="1375" t="s">
        <v>960</v>
      </c>
      <c r="B1274" s="1630" t="s">
        <v>964</v>
      </c>
      <c r="C1274" s="1433">
        <f>VLOOKUP(B1267,'CNKT '!$C$101:$Z$182,16,0)</f>
        <v>0</v>
      </c>
      <c r="D1274" s="1379">
        <f>153.8*$B$2</f>
        <v>100892.8</v>
      </c>
      <c r="E1274" s="1377">
        <f t="shared" si="147"/>
        <v>0</v>
      </c>
      <c r="F1274" s="1436"/>
      <c r="G1274" s="1375" t="s">
        <v>960</v>
      </c>
      <c r="H1274" s="1630" t="s">
        <v>964</v>
      </c>
      <c r="I1274" s="1433">
        <f>VLOOKUP(H1267,'CNKT '!$C$101:$Z$182,16,0)</f>
        <v>0</v>
      </c>
      <c r="J1274" s="1379">
        <f>153.8*$B$2</f>
        <v>100892.8</v>
      </c>
      <c r="K1274" s="1377">
        <f t="shared" si="148"/>
        <v>0</v>
      </c>
      <c r="L1274" s="1372"/>
    </row>
    <row r="1275" spans="1:12" s="31" customFormat="1" ht="17.25" customHeight="1">
      <c r="A1275" s="1375" t="s">
        <v>899</v>
      </c>
      <c r="B1275" s="1630" t="s">
        <v>965</v>
      </c>
      <c r="C1275" s="1433">
        <f>VLOOKUP(B1267,'CNKT '!$C$101:$Z$188,18,0)</f>
        <v>0</v>
      </c>
      <c r="D1275" s="1379">
        <v>10000</v>
      </c>
      <c r="E1275" s="1377">
        <f>C1275*D1275</f>
        <v>0</v>
      </c>
      <c r="F1275" s="1436"/>
      <c r="G1275" s="1375" t="s">
        <v>899</v>
      </c>
      <c r="H1275" s="1630" t="s">
        <v>965</v>
      </c>
      <c r="I1275" s="1433">
        <f>VLOOKUP(H1267,'CNKT '!$C$101:$Z$188,18,0)</f>
        <v>0</v>
      </c>
      <c r="J1275" s="1379">
        <v>10000</v>
      </c>
      <c r="K1275" s="1377">
        <f>I1275*J1275</f>
        <v>0</v>
      </c>
      <c r="L1275" s="1372"/>
    </row>
    <row r="1276" spans="1:12" s="31" customFormat="1" ht="17.25" customHeight="1">
      <c r="A1276" s="1375" t="s">
        <v>899</v>
      </c>
      <c r="B1276" s="1630" t="s">
        <v>965</v>
      </c>
      <c r="C1276" s="1433">
        <f>VLOOKUP(B1267,'CNKT '!$C$101:$Z$188,19,0)</f>
        <v>0</v>
      </c>
      <c r="D1276" s="1379">
        <v>20000</v>
      </c>
      <c r="E1276" s="1377">
        <f>C1276*D1276</f>
        <v>0</v>
      </c>
      <c r="F1276" s="1436"/>
      <c r="G1276" s="1375" t="s">
        <v>899</v>
      </c>
      <c r="H1276" s="1630" t="s">
        <v>965</v>
      </c>
      <c r="I1276" s="1433">
        <f>VLOOKUP(H1267,'CNKT '!$C$101:$Z$188,19,0)</f>
        <v>0</v>
      </c>
      <c r="J1276" s="1379">
        <v>20000</v>
      </c>
      <c r="K1276" s="1377">
        <f>I1276*J1276</f>
        <v>0</v>
      </c>
      <c r="L1276" s="1372"/>
    </row>
    <row r="1277" spans="1:12" s="31" customFormat="1" ht="17.25" customHeight="1">
      <c r="A1277" s="1375" t="s">
        <v>995</v>
      </c>
      <c r="B1277" s="1630" t="s">
        <v>997</v>
      </c>
      <c r="C1277" s="1433"/>
      <c r="D1277" s="1379"/>
      <c r="E1277" s="1377"/>
      <c r="F1277" s="1436"/>
      <c r="G1277" s="1375" t="s">
        <v>995</v>
      </c>
      <c r="H1277" s="1630" t="s">
        <v>997</v>
      </c>
      <c r="I1277" s="1433"/>
      <c r="J1277" s="1379"/>
      <c r="K1277" s="1377"/>
      <c r="L1277" s="1372"/>
    </row>
    <row r="1278" spans="1:12" s="31" customFormat="1" ht="17.25" customHeight="1">
      <c r="A1278" s="1381" t="s">
        <v>123</v>
      </c>
      <c r="B1278" s="1631" t="s">
        <v>1085</v>
      </c>
      <c r="C1278" s="1382"/>
      <c r="D1278" s="1383"/>
      <c r="E1278" s="1382"/>
      <c r="F1278" s="1436"/>
      <c r="G1278" s="1381" t="s">
        <v>123</v>
      </c>
      <c r="H1278" s="1631" t="s">
        <v>1085</v>
      </c>
      <c r="I1278" s="1382"/>
      <c r="J1278" s="1383"/>
      <c r="K1278" s="1382"/>
      <c r="L1278" s="1372"/>
    </row>
    <row r="1279" spans="1:12" s="31" customFormat="1" ht="17.25" customHeight="1">
      <c r="A1279" s="1384" t="s">
        <v>124</v>
      </c>
      <c r="B1279" s="1632" t="s">
        <v>1086</v>
      </c>
      <c r="C1279" s="1382"/>
      <c r="D1279" s="1382"/>
      <c r="E1279" s="1382"/>
      <c r="F1279" s="1436"/>
      <c r="G1279" s="1384" t="s">
        <v>124</v>
      </c>
      <c r="H1279" s="1632" t="s">
        <v>1086</v>
      </c>
      <c r="I1279" s="1382"/>
      <c r="J1279" s="1382"/>
      <c r="K1279" s="1382"/>
      <c r="L1279" s="1372"/>
    </row>
    <row r="1280" spans="1:12" s="31" customFormat="1" ht="17.25" customHeight="1">
      <c r="A1280" s="1384" t="s">
        <v>125</v>
      </c>
      <c r="B1280" s="1633" t="s">
        <v>1087</v>
      </c>
      <c r="C1280" s="1382"/>
      <c r="D1280" s="1382"/>
      <c r="E1280" s="1377">
        <f>SUM(E1279)</f>
        <v>0</v>
      </c>
      <c r="F1280" s="1436"/>
      <c r="G1280" s="1384" t="s">
        <v>125</v>
      </c>
      <c r="H1280" s="1633" t="s">
        <v>1087</v>
      </c>
      <c r="I1280" s="1382"/>
      <c r="J1280" s="1382"/>
      <c r="K1280" s="1377">
        <f>SUM(K1279)</f>
        <v>0</v>
      </c>
      <c r="L1280" s="1372"/>
    </row>
    <row r="1281" spans="1:12" s="31" customFormat="1" ht="17.25" customHeight="1">
      <c r="A1281" s="1386" t="s">
        <v>126</v>
      </c>
      <c r="B1281" s="1634" t="s">
        <v>871</v>
      </c>
      <c r="C1281" s="1387"/>
      <c r="D1281" s="1387"/>
      <c r="E1281" s="1387">
        <f>(E1269+E1270+E1271+E1272+E1273+E1274+E1275+E1276+E1277)-E1280</f>
        <v>0</v>
      </c>
      <c r="F1281" s="1436"/>
      <c r="G1281" s="1386" t="s">
        <v>126</v>
      </c>
      <c r="H1281" s="1634" t="s">
        <v>871</v>
      </c>
      <c r="I1281" s="1387"/>
      <c r="J1281" s="1387"/>
      <c r="K1281" s="1387">
        <f>(K1269+K1270+K1271+K1272+K1273+K1274+K1275+K1276+K1277)-K1280</f>
        <v>0</v>
      </c>
      <c r="L1281" s="1389">
        <f>E1281+K1281</f>
        <v>0</v>
      </c>
    </row>
    <row r="1282" spans="1:12" s="31" customFormat="1" ht="66.75" customHeight="1">
      <c r="A1282" s="1449"/>
      <c r="B1282" s="1449"/>
      <c r="C1282" s="1449"/>
      <c r="D1282" s="1449"/>
      <c r="E1282" s="1449"/>
      <c r="F1282" s="1427"/>
      <c r="G1282" s="1449"/>
      <c r="H1282" s="1449"/>
      <c r="I1282" s="1449"/>
      <c r="J1282" s="1449"/>
      <c r="K1282" s="1428"/>
      <c r="L1282" s="1372"/>
    </row>
    <row r="1283" spans="1:12" s="31" customFormat="1" ht="17.25" customHeight="1">
      <c r="A1283" s="1449" t="str">
        <f>A1266</f>
        <v>LƯƠNG THÁNG 01/2025</v>
      </c>
      <c r="B1283" s="1449"/>
      <c r="C1283" s="1449"/>
      <c r="D1283" s="1449"/>
      <c r="E1283" s="1449">
        <f>VLOOKUP(B1284,'CNKT '!$C$101:$AD$188,26,0)</f>
        <v>0</v>
      </c>
      <c r="F1283" s="1427"/>
      <c r="G1283" s="1449" t="str">
        <f>A1283</f>
        <v>LƯƠNG THÁNG 01/2025</v>
      </c>
      <c r="H1283" s="1449"/>
      <c r="I1283" s="1449"/>
      <c r="J1283" s="1449"/>
      <c r="K1283" s="1449">
        <f>VLOOKUP(H1284,'CNKT '!$C$101:$AD$188,26,0)</f>
        <v>0</v>
      </c>
      <c r="L1283" s="1372"/>
    </row>
    <row r="1284" spans="1:12" s="31" customFormat="1" ht="17.25" customHeight="1">
      <c r="A1284" s="1391" t="s">
        <v>29</v>
      </c>
      <c r="B1284" s="1626" t="str">
        <f>'CNKT '!C165</f>
        <v>T. Ngon</v>
      </c>
      <c r="C1284" s="1376"/>
      <c r="D1284" s="1626" t="s">
        <v>806</v>
      </c>
      <c r="E1284" s="1626" t="s">
        <v>32</v>
      </c>
      <c r="F1284" s="1436"/>
      <c r="G1284" s="1391" t="s">
        <v>29</v>
      </c>
      <c r="H1284" s="1626" t="str">
        <f>'CNKT '!C166</f>
        <v>N . Lạ</v>
      </c>
      <c r="I1284" s="1376"/>
      <c r="J1284" s="1626" t="s">
        <v>806</v>
      </c>
      <c r="K1284" s="1626" t="s">
        <v>32</v>
      </c>
      <c r="L1284" s="1372"/>
    </row>
    <row r="1285" spans="1:12" s="31" customFormat="1" ht="17.25" customHeight="1">
      <c r="A1285" s="1375" t="s">
        <v>807</v>
      </c>
      <c r="B1285" s="1628" t="s">
        <v>1080</v>
      </c>
      <c r="C1285" s="1376" t="str">
        <f>VLOOKUP(B1284,'BTH mủ tạp'!$C$97:$AL$175,36,0)</f>
        <v>A</v>
      </c>
      <c r="D1285" s="1377"/>
      <c r="E1285" s="1377"/>
      <c r="F1285" s="1436"/>
      <c r="G1285" s="1375" t="s">
        <v>807</v>
      </c>
      <c r="H1285" s="1628" t="s">
        <v>1080</v>
      </c>
      <c r="I1285" s="1376" t="str">
        <f>VLOOKUP(H1284,'BTH mủ tạp'!$C$97:$AL$175,36,0)</f>
        <v>A</v>
      </c>
      <c r="J1285" s="1377"/>
      <c r="K1285" s="1377"/>
      <c r="L1285" s="1372"/>
    </row>
    <row r="1286" spans="1:12" s="31" customFormat="1" ht="17.25" customHeight="1">
      <c r="A1286" s="1375" t="s">
        <v>121</v>
      </c>
      <c r="B1286" s="1629" t="s">
        <v>865</v>
      </c>
      <c r="C1286" s="1378">
        <f>VLOOKUP(B1284,'CNKT '!$C$101:$Z$182,3,0)</f>
        <v>0</v>
      </c>
      <c r="D1286" s="1379">
        <v>25000</v>
      </c>
      <c r="E1286" s="1377">
        <f t="shared" ref="E1286:E1291" si="149">C1286*D1286</f>
        <v>0</v>
      </c>
      <c r="F1286" s="1436"/>
      <c r="G1286" s="1375" t="s">
        <v>121</v>
      </c>
      <c r="H1286" s="1629" t="s">
        <v>865</v>
      </c>
      <c r="I1286" s="1378">
        <f>VLOOKUP(H1284,'CNKT '!$C$101:$Z$182,3,0)</f>
        <v>0</v>
      </c>
      <c r="J1286" s="1379">
        <v>25000</v>
      </c>
      <c r="K1286" s="1377">
        <f t="shared" ref="K1286:K1291" si="150">I1286*J1286</f>
        <v>0</v>
      </c>
      <c r="L1286" s="1372"/>
    </row>
    <row r="1287" spans="1:12" s="31" customFormat="1" ht="17.25" customHeight="1">
      <c r="A1287" s="1375" t="s">
        <v>628</v>
      </c>
      <c r="B1287" s="1630" t="s">
        <v>1081</v>
      </c>
      <c r="C1287" s="1433">
        <f>VLOOKUP(B1284,'CNKT '!$C$101:$Z$182,11,0)</f>
        <v>0</v>
      </c>
      <c r="D1287" s="1380">
        <f>46.1*$B$2</f>
        <v>30241.600000000002</v>
      </c>
      <c r="E1287" s="1377">
        <f t="shared" si="149"/>
        <v>0</v>
      </c>
      <c r="F1287" s="1436"/>
      <c r="G1287" s="1375" t="s">
        <v>628</v>
      </c>
      <c r="H1287" s="1630" t="s">
        <v>1081</v>
      </c>
      <c r="I1287" s="1433">
        <f>VLOOKUP(H1284,'CNKT '!$C$101:$Z$182,11,0)</f>
        <v>0</v>
      </c>
      <c r="J1287" s="1380">
        <f>46.1*$B$2</f>
        <v>30241.600000000002</v>
      </c>
      <c r="K1287" s="1377">
        <f t="shared" si="150"/>
        <v>0</v>
      </c>
      <c r="L1287" s="1372"/>
    </row>
    <row r="1288" spans="1:12" s="31" customFormat="1" ht="17.25" customHeight="1">
      <c r="A1288" s="1375" t="s">
        <v>809</v>
      </c>
      <c r="B1288" s="1630" t="s">
        <v>1082</v>
      </c>
      <c r="C1288" s="1433">
        <f>VLOOKUP(B1284,'CNKT '!$C$101:$Z$182,12,0)</f>
        <v>0</v>
      </c>
      <c r="D1288" s="1379">
        <f>76.9*$B$2</f>
        <v>50446.400000000001</v>
      </c>
      <c r="E1288" s="1377">
        <f t="shared" si="149"/>
        <v>0</v>
      </c>
      <c r="F1288" s="1436"/>
      <c r="G1288" s="1375" t="s">
        <v>809</v>
      </c>
      <c r="H1288" s="1630" t="s">
        <v>1082</v>
      </c>
      <c r="I1288" s="1433">
        <f>VLOOKUP(H1284,'CNKT '!$C$101:$Z$182,12,0)</f>
        <v>0</v>
      </c>
      <c r="J1288" s="1379">
        <f>76.9*$B$2</f>
        <v>50446.400000000001</v>
      </c>
      <c r="K1288" s="1377">
        <f t="shared" si="150"/>
        <v>0</v>
      </c>
      <c r="L1288" s="1372"/>
    </row>
    <row r="1289" spans="1:12" s="31" customFormat="1" ht="17.25" customHeight="1">
      <c r="A1289" s="1375" t="s">
        <v>122</v>
      </c>
      <c r="B1289" s="1630" t="s">
        <v>1083</v>
      </c>
      <c r="C1289" s="1433">
        <f>VLOOKUP(B1284,'CNKT '!$C$101:$Z$182,8,0)</f>
        <v>0</v>
      </c>
      <c r="D1289" s="1379">
        <f>IF(C1285="A",6.1,IF(C1285="B",5.8,IF(C1285="C",5.5,IF(C1285="C.",5.5,IF(C1285="D",5.2)))))*$B$2</f>
        <v>4001.6</v>
      </c>
      <c r="E1289" s="1377">
        <f t="shared" si="149"/>
        <v>0</v>
      </c>
      <c r="F1289" s="1436"/>
      <c r="G1289" s="1375" t="s">
        <v>122</v>
      </c>
      <c r="H1289" s="1630" t="s">
        <v>1083</v>
      </c>
      <c r="I1289" s="1433">
        <f>VLOOKUP(H1284,'CNKT '!$C$101:$Z$182,8,0)</f>
        <v>0</v>
      </c>
      <c r="J1289" s="1379">
        <f>IF(I1285="A",6.1,IF(I1285="B",5.8,IF(I1285="C",5.5,IF(I1285="C.",5.5,IF(I1285="D",5.2)))))*$B$2</f>
        <v>4001.6</v>
      </c>
      <c r="K1289" s="1377">
        <f t="shared" si="150"/>
        <v>0</v>
      </c>
      <c r="L1289" s="1372"/>
    </row>
    <row r="1290" spans="1:12" s="31" customFormat="1" ht="17.25" customHeight="1">
      <c r="A1290" s="1375" t="s">
        <v>959</v>
      </c>
      <c r="B1290" s="1630" t="s">
        <v>1084</v>
      </c>
      <c r="C1290" s="1433">
        <f>VLOOKUP(B1284,'CNKT '!$C$101:$Z$182,15,0)</f>
        <v>0</v>
      </c>
      <c r="D1290" s="1380">
        <f>92.2*$B$2</f>
        <v>60483.200000000004</v>
      </c>
      <c r="E1290" s="1377">
        <f t="shared" si="149"/>
        <v>0</v>
      </c>
      <c r="F1290" s="1436"/>
      <c r="G1290" s="1375" t="s">
        <v>959</v>
      </c>
      <c r="H1290" s="1630" t="s">
        <v>1084</v>
      </c>
      <c r="I1290" s="1433">
        <f>VLOOKUP(H1284,'CNKT '!$C$101:$Z$182,15,0)</f>
        <v>0</v>
      </c>
      <c r="J1290" s="1380">
        <f>92.2*$B$2</f>
        <v>60483.200000000004</v>
      </c>
      <c r="K1290" s="1377">
        <f t="shared" si="150"/>
        <v>0</v>
      </c>
      <c r="L1290" s="1372"/>
    </row>
    <row r="1291" spans="1:12" s="31" customFormat="1" ht="17.25" customHeight="1">
      <c r="A1291" s="1375" t="s">
        <v>960</v>
      </c>
      <c r="B1291" s="1630" t="s">
        <v>964</v>
      </c>
      <c r="C1291" s="1433">
        <f>VLOOKUP(B1284,'CNKT '!$C$101:$Z$182,16,0)</f>
        <v>0</v>
      </c>
      <c r="D1291" s="1379">
        <f>153.8*$B$2</f>
        <v>100892.8</v>
      </c>
      <c r="E1291" s="1377">
        <f t="shared" si="149"/>
        <v>0</v>
      </c>
      <c r="F1291" s="1436"/>
      <c r="G1291" s="1375" t="s">
        <v>960</v>
      </c>
      <c r="H1291" s="1630" t="s">
        <v>964</v>
      </c>
      <c r="I1291" s="1433">
        <f>VLOOKUP(H1284,'CNKT '!$C$101:$Z$182,16,0)</f>
        <v>0</v>
      </c>
      <c r="J1291" s="1379">
        <f>153.8*$B$2</f>
        <v>100892.8</v>
      </c>
      <c r="K1291" s="1377">
        <f t="shared" si="150"/>
        <v>0</v>
      </c>
      <c r="L1291" s="1372"/>
    </row>
    <row r="1292" spans="1:12" s="31" customFormat="1" ht="17.25" customHeight="1">
      <c r="A1292" s="1375" t="s">
        <v>899</v>
      </c>
      <c r="B1292" s="1630" t="s">
        <v>965</v>
      </c>
      <c r="C1292" s="1433">
        <f>VLOOKUP(B1284,'CNKT '!$C$101:$Z$188,18,0)</f>
        <v>0</v>
      </c>
      <c r="D1292" s="1379">
        <v>10000</v>
      </c>
      <c r="E1292" s="1377">
        <f>C1292*D1292</f>
        <v>0</v>
      </c>
      <c r="F1292" s="1436"/>
      <c r="G1292" s="1375" t="s">
        <v>899</v>
      </c>
      <c r="H1292" s="1630" t="s">
        <v>965</v>
      </c>
      <c r="I1292" s="1433">
        <f>VLOOKUP(H1284,'CNKT '!$C$101:$Z$188,18,0)</f>
        <v>0</v>
      </c>
      <c r="J1292" s="1379">
        <v>10000</v>
      </c>
      <c r="K1292" s="1377">
        <f>I1292*J1292</f>
        <v>0</v>
      </c>
      <c r="L1292" s="1372"/>
    </row>
    <row r="1293" spans="1:12" s="31" customFormat="1" ht="17.25" customHeight="1">
      <c r="A1293" s="1375" t="s">
        <v>899</v>
      </c>
      <c r="B1293" s="1630" t="s">
        <v>965</v>
      </c>
      <c r="C1293" s="1433">
        <f>VLOOKUP(B1284,'CNKT '!$C$101:$Z$188,19,0)</f>
        <v>0</v>
      </c>
      <c r="D1293" s="1379">
        <v>20000</v>
      </c>
      <c r="E1293" s="1377">
        <f>C1293*D1293</f>
        <v>0</v>
      </c>
      <c r="F1293" s="1436"/>
      <c r="G1293" s="1375" t="s">
        <v>899</v>
      </c>
      <c r="H1293" s="1630" t="s">
        <v>965</v>
      </c>
      <c r="I1293" s="1433">
        <f>VLOOKUP(H1284,'CNKT '!$C$101:$Z$188,19,0)</f>
        <v>0</v>
      </c>
      <c r="J1293" s="1379">
        <v>20000</v>
      </c>
      <c r="K1293" s="1377">
        <f>I1293*J1293</f>
        <v>0</v>
      </c>
      <c r="L1293" s="1372"/>
    </row>
    <row r="1294" spans="1:12" s="31" customFormat="1" ht="17.25" customHeight="1">
      <c r="A1294" s="1375" t="s">
        <v>995</v>
      </c>
      <c r="B1294" s="1630" t="s">
        <v>997</v>
      </c>
      <c r="C1294" s="1433"/>
      <c r="D1294" s="1379"/>
      <c r="E1294" s="1377"/>
      <c r="F1294" s="1436"/>
      <c r="G1294" s="1375" t="s">
        <v>995</v>
      </c>
      <c r="H1294" s="1630" t="s">
        <v>997</v>
      </c>
      <c r="I1294" s="1433"/>
      <c r="J1294" s="1379"/>
      <c r="K1294" s="1377"/>
      <c r="L1294" s="1372"/>
    </row>
    <row r="1295" spans="1:12" s="31" customFormat="1" ht="17.25" customHeight="1">
      <c r="A1295" s="1381" t="s">
        <v>123</v>
      </c>
      <c r="B1295" s="1631" t="s">
        <v>1085</v>
      </c>
      <c r="C1295" s="1382"/>
      <c r="D1295" s="1383"/>
      <c r="E1295" s="1382"/>
      <c r="F1295" s="1436"/>
      <c r="G1295" s="1381" t="s">
        <v>123</v>
      </c>
      <c r="H1295" s="1631" t="s">
        <v>1085</v>
      </c>
      <c r="I1295" s="1382"/>
      <c r="J1295" s="1383"/>
      <c r="K1295" s="1382"/>
      <c r="L1295" s="1372"/>
    </row>
    <row r="1296" spans="1:12" s="31" customFormat="1" ht="17.25" customHeight="1">
      <c r="A1296" s="1384" t="s">
        <v>124</v>
      </c>
      <c r="B1296" s="1632" t="s">
        <v>1086</v>
      </c>
      <c r="C1296" s="1382"/>
      <c r="D1296" s="1382"/>
      <c r="E1296" s="1382"/>
      <c r="F1296" s="1436"/>
      <c r="G1296" s="1384" t="s">
        <v>124</v>
      </c>
      <c r="H1296" s="1632" t="s">
        <v>1086</v>
      </c>
      <c r="I1296" s="1382"/>
      <c r="J1296" s="1382"/>
      <c r="K1296" s="1382"/>
      <c r="L1296" s="1372"/>
    </row>
    <row r="1297" spans="1:12" s="31" customFormat="1" ht="17.25" customHeight="1">
      <c r="A1297" s="1384" t="s">
        <v>125</v>
      </c>
      <c r="B1297" s="1633" t="s">
        <v>1087</v>
      </c>
      <c r="C1297" s="1382"/>
      <c r="D1297" s="1382"/>
      <c r="E1297" s="1377">
        <f>SUM(E1296)</f>
        <v>0</v>
      </c>
      <c r="F1297" s="1436"/>
      <c r="G1297" s="1384" t="s">
        <v>125</v>
      </c>
      <c r="H1297" s="1633" t="s">
        <v>1087</v>
      </c>
      <c r="I1297" s="1382"/>
      <c r="J1297" s="1382"/>
      <c r="K1297" s="1377">
        <f>SUM(K1296)</f>
        <v>0</v>
      </c>
      <c r="L1297" s="1372"/>
    </row>
    <row r="1298" spans="1:12" s="31" customFormat="1" ht="17.25" customHeight="1">
      <c r="A1298" s="1386" t="s">
        <v>126</v>
      </c>
      <c r="B1298" s="1634" t="s">
        <v>871</v>
      </c>
      <c r="C1298" s="1387"/>
      <c r="D1298" s="1387"/>
      <c r="E1298" s="1387">
        <f>(E1286+E1287+E1288+E1289+E1290+E1291+E1292+E1293+E1294)-E1297</f>
        <v>0</v>
      </c>
      <c r="F1298" s="1436"/>
      <c r="G1298" s="1386" t="s">
        <v>126</v>
      </c>
      <c r="H1298" s="1634" t="s">
        <v>871</v>
      </c>
      <c r="I1298" s="1387"/>
      <c r="J1298" s="1387"/>
      <c r="K1298" s="1387">
        <f>(K1286+K1287+K1288+K1289+K1290+K1291+K1292+K1293+K1294)-K1297</f>
        <v>0</v>
      </c>
      <c r="L1298" s="1389">
        <f>E1298+K1298</f>
        <v>0</v>
      </c>
    </row>
    <row r="1299" spans="1:12" s="31" customFormat="1" ht="17.25" customHeight="1">
      <c r="A1299" s="1449"/>
      <c r="B1299" s="1449"/>
      <c r="C1299" s="1449"/>
      <c r="D1299" s="1449"/>
      <c r="E1299" s="1449"/>
      <c r="F1299" s="1427"/>
      <c r="G1299" s="1449"/>
      <c r="H1299" s="1449"/>
      <c r="I1299" s="1449"/>
      <c r="J1299" s="1449"/>
      <c r="K1299" s="1428"/>
      <c r="L1299" s="1372"/>
    </row>
    <row r="1300" spans="1:12" s="31" customFormat="1" ht="17.25" customHeight="1">
      <c r="A1300" s="1449" t="str">
        <f>A1283</f>
        <v>LƯƠNG THÁNG 01/2025</v>
      </c>
      <c r="B1300" s="1449"/>
      <c r="C1300" s="1449"/>
      <c r="D1300" s="1449"/>
      <c r="E1300" s="1449">
        <f>VLOOKUP(B1301,'CNKT '!$C$101:$AD$188,26,0)</f>
        <v>0</v>
      </c>
      <c r="F1300" s="1427"/>
      <c r="G1300" s="1449" t="str">
        <f>A1300</f>
        <v>LƯƠNG THÁNG 01/2025</v>
      </c>
      <c r="H1300" s="1449"/>
      <c r="I1300" s="1449"/>
      <c r="J1300" s="1449"/>
      <c r="K1300" s="1449">
        <f>VLOOKUP(H1301,'CNKT '!$C$101:$AD$188,26,0)</f>
        <v>0</v>
      </c>
      <c r="L1300" s="1372"/>
    </row>
    <row r="1301" spans="1:12" s="31" customFormat="1" ht="17.25" customHeight="1">
      <c r="A1301" s="1391" t="s">
        <v>29</v>
      </c>
      <c r="B1301" s="1626" t="str">
        <f>'CNKT '!C167</f>
        <v>T. Chỏ</v>
      </c>
      <c r="C1301" s="1376"/>
      <c r="D1301" s="1626" t="s">
        <v>806</v>
      </c>
      <c r="E1301" s="1626" t="s">
        <v>32</v>
      </c>
      <c r="F1301" s="1436"/>
      <c r="G1301" s="1391" t="s">
        <v>29</v>
      </c>
      <c r="H1301" s="1626" t="str">
        <f>'CNKT '!C168</f>
        <v>Chăn Đen</v>
      </c>
      <c r="I1301" s="1376"/>
      <c r="J1301" s="1626" t="s">
        <v>806</v>
      </c>
      <c r="K1301" s="1626" t="s">
        <v>32</v>
      </c>
      <c r="L1301" s="1372"/>
    </row>
    <row r="1302" spans="1:12" s="31" customFormat="1" ht="17.25" customHeight="1">
      <c r="A1302" s="1375" t="s">
        <v>807</v>
      </c>
      <c r="B1302" s="1628" t="s">
        <v>1080</v>
      </c>
      <c r="C1302" s="1376" t="str">
        <f>VLOOKUP(B1301,'BTH mủ tạp'!$C$97:$AL$175,36,0)</f>
        <v>B</v>
      </c>
      <c r="D1302" s="1377"/>
      <c r="E1302" s="1377"/>
      <c r="F1302" s="1436"/>
      <c r="G1302" s="1375" t="s">
        <v>807</v>
      </c>
      <c r="H1302" s="1628" t="s">
        <v>1080</v>
      </c>
      <c r="I1302" s="1376" t="str">
        <f>VLOOKUP(H1301,'BTH mủ tạp'!$C$97:$AL$175,36,0)</f>
        <v>B</v>
      </c>
      <c r="J1302" s="1377"/>
      <c r="K1302" s="1377"/>
      <c r="L1302" s="1372"/>
    </row>
    <row r="1303" spans="1:12" s="31" customFormat="1" ht="17.25" customHeight="1">
      <c r="A1303" s="1375" t="s">
        <v>121</v>
      </c>
      <c r="B1303" s="1629" t="s">
        <v>865</v>
      </c>
      <c r="C1303" s="1378">
        <f>VLOOKUP(B1301,'CNKT '!$C$101:$Z$182,3,0)</f>
        <v>0</v>
      </c>
      <c r="D1303" s="1379">
        <v>25000</v>
      </c>
      <c r="E1303" s="1377">
        <f t="shared" ref="E1303:E1308" si="151">C1303*D1303</f>
        <v>0</v>
      </c>
      <c r="F1303" s="1436"/>
      <c r="G1303" s="1375" t="s">
        <v>121</v>
      </c>
      <c r="H1303" s="1629" t="s">
        <v>865</v>
      </c>
      <c r="I1303" s="1378">
        <f>VLOOKUP(H1301,'CNKT '!$C$101:$Z$182,3,0)</f>
        <v>0</v>
      </c>
      <c r="J1303" s="1379">
        <v>25000</v>
      </c>
      <c r="K1303" s="1377">
        <f t="shared" ref="K1303:K1308" si="152">I1303*J1303</f>
        <v>0</v>
      </c>
      <c r="L1303" s="1372"/>
    </row>
    <row r="1304" spans="1:12" s="31" customFormat="1" ht="17.25" customHeight="1">
      <c r="A1304" s="1375" t="s">
        <v>628</v>
      </c>
      <c r="B1304" s="1630" t="s">
        <v>1081</v>
      </c>
      <c r="C1304" s="1433">
        <f>VLOOKUP(B1301,'CNKT '!$C$101:$Z$182,11,0)</f>
        <v>0</v>
      </c>
      <c r="D1304" s="1380">
        <f>46.1*$B$2</f>
        <v>30241.600000000002</v>
      </c>
      <c r="E1304" s="1377">
        <f t="shared" si="151"/>
        <v>0</v>
      </c>
      <c r="F1304" s="1436"/>
      <c r="G1304" s="1375" t="s">
        <v>628</v>
      </c>
      <c r="H1304" s="1630" t="s">
        <v>1081</v>
      </c>
      <c r="I1304" s="1433">
        <f>VLOOKUP(H1301,'CNKT '!$C$101:$Z$182,11,0)</f>
        <v>0</v>
      </c>
      <c r="J1304" s="1380">
        <f>46.1*$B$2</f>
        <v>30241.600000000002</v>
      </c>
      <c r="K1304" s="1377">
        <f t="shared" si="152"/>
        <v>0</v>
      </c>
      <c r="L1304" s="1372"/>
    </row>
    <row r="1305" spans="1:12" s="31" customFormat="1" ht="17.25" customHeight="1">
      <c r="A1305" s="1375" t="s">
        <v>809</v>
      </c>
      <c r="B1305" s="1630" t="s">
        <v>1082</v>
      </c>
      <c r="C1305" s="1433">
        <f>VLOOKUP(B1301,'CNKT '!$C$101:$Z$182,12,0)</f>
        <v>0</v>
      </c>
      <c r="D1305" s="1379">
        <f>76.9*$B$2</f>
        <v>50446.400000000001</v>
      </c>
      <c r="E1305" s="1377">
        <f t="shared" si="151"/>
        <v>0</v>
      </c>
      <c r="F1305" s="1436"/>
      <c r="G1305" s="1375" t="s">
        <v>809</v>
      </c>
      <c r="H1305" s="1630" t="s">
        <v>1082</v>
      </c>
      <c r="I1305" s="1433">
        <f>VLOOKUP(H1301,'CNKT '!$C$101:$Z$182,12,0)</f>
        <v>0</v>
      </c>
      <c r="J1305" s="1379">
        <f>76.9*$B$2</f>
        <v>50446.400000000001</v>
      </c>
      <c r="K1305" s="1377">
        <f t="shared" si="152"/>
        <v>0</v>
      </c>
      <c r="L1305" s="1372"/>
    </row>
    <row r="1306" spans="1:12" s="31" customFormat="1" ht="17.25" customHeight="1">
      <c r="A1306" s="1375" t="s">
        <v>122</v>
      </c>
      <c r="B1306" s="1630" t="s">
        <v>1083</v>
      </c>
      <c r="C1306" s="1433">
        <f>VLOOKUP(B1301,'CNKT '!$C$101:$Z$182,8,0)</f>
        <v>0</v>
      </c>
      <c r="D1306" s="1379">
        <f>IF(C1302="A",6.1,IF(C1302="B",5.8,IF(C1302="C",5.5,IF(C1302="C.",5.5,IF(C1302="D",5.2)))))*$B$2</f>
        <v>3804.7999999999997</v>
      </c>
      <c r="E1306" s="1377">
        <f t="shared" si="151"/>
        <v>0</v>
      </c>
      <c r="F1306" s="1436"/>
      <c r="G1306" s="1375" t="s">
        <v>122</v>
      </c>
      <c r="H1306" s="1630" t="s">
        <v>1083</v>
      </c>
      <c r="I1306" s="1433">
        <f>VLOOKUP(H1301,'CNKT '!$C$101:$Z$182,8,0)</f>
        <v>0</v>
      </c>
      <c r="J1306" s="1379">
        <f>IF(I1302="A",6.1,IF(I1302="B",5.8,IF(I1302="C",5.5,IF(I1302="C.",5.5,IF(I1302="D",5.2)))))*$B$2</f>
        <v>3804.7999999999997</v>
      </c>
      <c r="K1306" s="1377">
        <f t="shared" si="152"/>
        <v>0</v>
      </c>
      <c r="L1306" s="1372"/>
    </row>
    <row r="1307" spans="1:12" s="31" customFormat="1" ht="17.25" customHeight="1">
      <c r="A1307" s="1375" t="s">
        <v>959</v>
      </c>
      <c r="B1307" s="1630" t="s">
        <v>1084</v>
      </c>
      <c r="C1307" s="1433">
        <f>VLOOKUP(B1301,'CNKT '!$C$101:$Z$182,15,0)</f>
        <v>0</v>
      </c>
      <c r="D1307" s="1380">
        <f>92.2*$B$2</f>
        <v>60483.200000000004</v>
      </c>
      <c r="E1307" s="1377">
        <f t="shared" si="151"/>
        <v>0</v>
      </c>
      <c r="F1307" s="1436"/>
      <c r="G1307" s="1375" t="s">
        <v>959</v>
      </c>
      <c r="H1307" s="1630" t="s">
        <v>1084</v>
      </c>
      <c r="I1307" s="1433">
        <f>VLOOKUP(H1301,'CNKT '!$C$101:$Z$182,15,0)</f>
        <v>0</v>
      </c>
      <c r="J1307" s="1380">
        <f>92.2*$B$2</f>
        <v>60483.200000000004</v>
      </c>
      <c r="K1307" s="1377">
        <f t="shared" si="152"/>
        <v>0</v>
      </c>
      <c r="L1307" s="1372"/>
    </row>
    <row r="1308" spans="1:12" s="31" customFormat="1" ht="17.25" customHeight="1">
      <c r="A1308" s="1375" t="s">
        <v>960</v>
      </c>
      <c r="B1308" s="1630" t="s">
        <v>964</v>
      </c>
      <c r="C1308" s="1433">
        <f>VLOOKUP(B1301,'CNKT '!$C$101:$Z$182,16,0)</f>
        <v>0</v>
      </c>
      <c r="D1308" s="1379">
        <f>153.8*$B$2</f>
        <v>100892.8</v>
      </c>
      <c r="E1308" s="1377">
        <f t="shared" si="151"/>
        <v>0</v>
      </c>
      <c r="F1308" s="1436"/>
      <c r="G1308" s="1375" t="s">
        <v>960</v>
      </c>
      <c r="H1308" s="1630" t="s">
        <v>964</v>
      </c>
      <c r="I1308" s="1433">
        <f>VLOOKUP(H1301,'CNKT '!$C$101:$Z$182,16,0)</f>
        <v>0</v>
      </c>
      <c r="J1308" s="1379">
        <f>153.8*$B$2</f>
        <v>100892.8</v>
      </c>
      <c r="K1308" s="1377">
        <f t="shared" si="152"/>
        <v>0</v>
      </c>
      <c r="L1308" s="1372"/>
    </row>
    <row r="1309" spans="1:12" s="31" customFormat="1" ht="17.25" customHeight="1">
      <c r="A1309" s="1375" t="s">
        <v>899</v>
      </c>
      <c r="B1309" s="1630" t="s">
        <v>965</v>
      </c>
      <c r="C1309" s="1433">
        <f>VLOOKUP(B1301,'CNKT '!$C$101:$Z$188,18,0)</f>
        <v>0</v>
      </c>
      <c r="D1309" s="1379">
        <v>10000</v>
      </c>
      <c r="E1309" s="1377">
        <f>C1309*D1309</f>
        <v>0</v>
      </c>
      <c r="F1309" s="1436"/>
      <c r="G1309" s="1375" t="s">
        <v>899</v>
      </c>
      <c r="H1309" s="1630" t="s">
        <v>965</v>
      </c>
      <c r="I1309" s="1433">
        <f>VLOOKUP(H1301,'CNKT '!$C$101:$Z$188,18,0)</f>
        <v>0</v>
      </c>
      <c r="J1309" s="1379">
        <v>10000</v>
      </c>
      <c r="K1309" s="1377">
        <f>I1309*J1309</f>
        <v>0</v>
      </c>
      <c r="L1309" s="1372"/>
    </row>
    <row r="1310" spans="1:12" s="31" customFormat="1" ht="17.25" customHeight="1">
      <c r="A1310" s="1375" t="s">
        <v>899</v>
      </c>
      <c r="B1310" s="1630" t="s">
        <v>965</v>
      </c>
      <c r="C1310" s="1433">
        <f>VLOOKUP(B1301,'CNKT '!$C$101:$Z$188,19,0)</f>
        <v>0</v>
      </c>
      <c r="D1310" s="1379">
        <v>20000</v>
      </c>
      <c r="E1310" s="1377">
        <f>C1310*D1310</f>
        <v>0</v>
      </c>
      <c r="F1310" s="1436"/>
      <c r="G1310" s="1375" t="s">
        <v>899</v>
      </c>
      <c r="H1310" s="1630" t="s">
        <v>965</v>
      </c>
      <c r="I1310" s="1433">
        <f>VLOOKUP(H1301,'CNKT '!$C$101:$Z$188,19,0)</f>
        <v>0</v>
      </c>
      <c r="J1310" s="1379">
        <v>20000</v>
      </c>
      <c r="K1310" s="1377">
        <f>I1310*J1310</f>
        <v>0</v>
      </c>
      <c r="L1310" s="1372"/>
    </row>
    <row r="1311" spans="1:12" s="31" customFormat="1" ht="17.25" customHeight="1">
      <c r="A1311" s="1375" t="s">
        <v>995</v>
      </c>
      <c r="B1311" s="1630" t="s">
        <v>997</v>
      </c>
      <c r="C1311" s="1433"/>
      <c r="D1311" s="1379"/>
      <c r="E1311" s="1377"/>
      <c r="F1311" s="1436"/>
      <c r="G1311" s="1375" t="s">
        <v>995</v>
      </c>
      <c r="H1311" s="1630" t="s">
        <v>997</v>
      </c>
      <c r="I1311" s="1433"/>
      <c r="J1311" s="1379"/>
      <c r="K1311" s="1377"/>
      <c r="L1311" s="1372"/>
    </row>
    <row r="1312" spans="1:12" s="31" customFormat="1" ht="17.25" customHeight="1">
      <c r="A1312" s="1381" t="s">
        <v>123</v>
      </c>
      <c r="B1312" s="1631" t="s">
        <v>1085</v>
      </c>
      <c r="C1312" s="1382"/>
      <c r="D1312" s="1383"/>
      <c r="E1312" s="1382"/>
      <c r="F1312" s="1436"/>
      <c r="G1312" s="1381" t="s">
        <v>123</v>
      </c>
      <c r="H1312" s="1631" t="s">
        <v>1085</v>
      </c>
      <c r="I1312" s="1382"/>
      <c r="J1312" s="1383"/>
      <c r="K1312" s="1382"/>
      <c r="L1312" s="1372"/>
    </row>
    <row r="1313" spans="1:12" s="31" customFormat="1" ht="17.25" customHeight="1">
      <c r="A1313" s="1384" t="s">
        <v>124</v>
      </c>
      <c r="B1313" s="1632" t="s">
        <v>1086</v>
      </c>
      <c r="C1313" s="1382"/>
      <c r="D1313" s="1382"/>
      <c r="E1313" s="1382"/>
      <c r="F1313" s="1436"/>
      <c r="G1313" s="1384" t="s">
        <v>124</v>
      </c>
      <c r="H1313" s="1632" t="s">
        <v>1086</v>
      </c>
      <c r="I1313" s="1382"/>
      <c r="J1313" s="1382"/>
      <c r="K1313" s="1382"/>
      <c r="L1313" s="1372"/>
    </row>
    <row r="1314" spans="1:12" s="31" customFormat="1" ht="17.25" customHeight="1">
      <c r="A1314" s="1384" t="s">
        <v>125</v>
      </c>
      <c r="B1314" s="1633" t="s">
        <v>1087</v>
      </c>
      <c r="C1314" s="1382"/>
      <c r="D1314" s="1382"/>
      <c r="E1314" s="1377">
        <f>SUM(E1313)</f>
        <v>0</v>
      </c>
      <c r="F1314" s="1436"/>
      <c r="G1314" s="1384" t="s">
        <v>125</v>
      </c>
      <c r="H1314" s="1633" t="s">
        <v>1087</v>
      </c>
      <c r="I1314" s="1382"/>
      <c r="J1314" s="1382"/>
      <c r="K1314" s="1377">
        <f>SUM(K1313)</f>
        <v>0</v>
      </c>
      <c r="L1314" s="1372"/>
    </row>
    <row r="1315" spans="1:12" s="31" customFormat="1" ht="17.25" customHeight="1">
      <c r="A1315" s="1386" t="s">
        <v>126</v>
      </c>
      <c r="B1315" s="1634" t="s">
        <v>871</v>
      </c>
      <c r="C1315" s="1387"/>
      <c r="D1315" s="1387"/>
      <c r="E1315" s="1387">
        <f>(E1303+E1304+E1305+E1306+E1307+E1308+E1309+E1310+E1311)-E1314</f>
        <v>0</v>
      </c>
      <c r="F1315" s="1436"/>
      <c r="G1315" s="1386" t="s">
        <v>126</v>
      </c>
      <c r="H1315" s="1634" t="s">
        <v>871</v>
      </c>
      <c r="I1315" s="1387"/>
      <c r="J1315" s="1387"/>
      <c r="K1315" s="1387">
        <f>(K1303+K1304+K1305+K1306+K1307+K1308+K1309+K1310+K1311)-K1314</f>
        <v>0</v>
      </c>
      <c r="L1315" s="1389">
        <f>E1315+K1315</f>
        <v>0</v>
      </c>
    </row>
    <row r="1316" spans="1:12" s="31" customFormat="1" ht="17.25" customHeight="1">
      <c r="A1316" s="1449"/>
      <c r="B1316" s="1449"/>
      <c r="C1316" s="1449"/>
      <c r="D1316" s="1449"/>
      <c r="E1316" s="1449"/>
      <c r="F1316" s="1427"/>
      <c r="G1316" s="1449"/>
      <c r="H1316" s="1449"/>
      <c r="I1316" s="1449"/>
      <c r="J1316" s="1449"/>
      <c r="K1316" s="1428"/>
      <c r="L1316" s="1372"/>
    </row>
    <row r="1317" spans="1:12" s="31" customFormat="1" ht="17.25" customHeight="1">
      <c r="A1317" s="1449" t="str">
        <f>A1300</f>
        <v>LƯƠNG THÁNG 01/2025</v>
      </c>
      <c r="B1317" s="1449"/>
      <c r="C1317" s="1449"/>
      <c r="D1317" s="1449"/>
      <c r="E1317" s="1449">
        <f>VLOOKUP(B1318,'CNKT '!$C$101:$AD$188,26,0)</f>
        <v>0</v>
      </c>
      <c r="F1317" s="1427"/>
      <c r="G1317" s="1449" t="str">
        <f>A1317</f>
        <v>LƯƠNG THÁNG 01/2025</v>
      </c>
      <c r="H1317" s="1449"/>
      <c r="I1317" s="1449"/>
      <c r="J1317" s="1449"/>
      <c r="K1317" s="1449">
        <f>VLOOKUP(H1318,'CNKT '!$C$101:$AD$188,26,0)</f>
        <v>0</v>
      </c>
      <c r="L1317" s="1372"/>
    </row>
    <row r="1318" spans="1:12" s="31" customFormat="1" ht="17.25" customHeight="1">
      <c r="A1318" s="1391" t="s">
        <v>29</v>
      </c>
      <c r="B1318" s="1626" t="str">
        <f>'CNKT '!C169</f>
        <v>T. Vôn</v>
      </c>
      <c r="C1318" s="1376"/>
      <c r="D1318" s="1626" t="s">
        <v>806</v>
      </c>
      <c r="E1318" s="1626" t="s">
        <v>32</v>
      </c>
      <c r="F1318" s="1436"/>
      <c r="G1318" s="1391" t="s">
        <v>29</v>
      </c>
      <c r="H1318" s="1626" t="str">
        <f>'CNKT '!C170</f>
        <v>Đa Ly</v>
      </c>
      <c r="I1318" s="1376"/>
      <c r="J1318" s="1626" t="s">
        <v>806</v>
      </c>
      <c r="K1318" s="1626" t="s">
        <v>32</v>
      </c>
      <c r="L1318" s="1372"/>
    </row>
    <row r="1319" spans="1:12" s="31" customFormat="1" ht="17.25" customHeight="1">
      <c r="A1319" s="1375" t="s">
        <v>807</v>
      </c>
      <c r="B1319" s="1628" t="s">
        <v>1080</v>
      </c>
      <c r="C1319" s="1376" t="str">
        <f>VLOOKUP(B1318,'BTH mủ tạp'!$C$97:$AL$175,36,0)</f>
        <v>A</v>
      </c>
      <c r="D1319" s="1377"/>
      <c r="E1319" s="1377"/>
      <c r="F1319" s="1436"/>
      <c r="G1319" s="1375" t="s">
        <v>807</v>
      </c>
      <c r="H1319" s="1628" t="s">
        <v>1080</v>
      </c>
      <c r="I1319" s="1376" t="str">
        <f>VLOOKUP(H1318,'BTH mủ tạp'!$C$97:$AL$175,36,0)</f>
        <v>A</v>
      </c>
      <c r="J1319" s="1377"/>
      <c r="K1319" s="1377"/>
      <c r="L1319" s="1372"/>
    </row>
    <row r="1320" spans="1:12" s="31" customFormat="1" ht="17.25" customHeight="1">
      <c r="A1320" s="1375" t="s">
        <v>121</v>
      </c>
      <c r="B1320" s="1629" t="s">
        <v>865</v>
      </c>
      <c r="C1320" s="1378">
        <f>VLOOKUP(B1318,'CNKT '!$C$101:$Z$182,3,0)</f>
        <v>0</v>
      </c>
      <c r="D1320" s="1379">
        <v>25000</v>
      </c>
      <c r="E1320" s="1377">
        <f t="shared" ref="E1320:E1325" si="153">C1320*D1320</f>
        <v>0</v>
      </c>
      <c r="F1320" s="1436"/>
      <c r="G1320" s="1375" t="s">
        <v>121</v>
      </c>
      <c r="H1320" s="1629" t="s">
        <v>865</v>
      </c>
      <c r="I1320" s="1378">
        <f>VLOOKUP(H1318,'CNKT '!$C$101:$Z$182,3,0)</f>
        <v>0</v>
      </c>
      <c r="J1320" s="1379">
        <v>25000</v>
      </c>
      <c r="K1320" s="1377">
        <f t="shared" ref="K1320:K1325" si="154">I1320*J1320</f>
        <v>0</v>
      </c>
      <c r="L1320" s="1372"/>
    </row>
    <row r="1321" spans="1:12" s="31" customFormat="1" ht="17.25" customHeight="1">
      <c r="A1321" s="1375" t="s">
        <v>628</v>
      </c>
      <c r="B1321" s="1630" t="s">
        <v>1081</v>
      </c>
      <c r="C1321" s="1433">
        <f>VLOOKUP(B1318,'CNKT '!$C$101:$Z$182,11,0)</f>
        <v>0</v>
      </c>
      <c r="D1321" s="1380">
        <f>46.1*$B$2</f>
        <v>30241.600000000002</v>
      </c>
      <c r="E1321" s="1377">
        <f t="shared" si="153"/>
        <v>0</v>
      </c>
      <c r="F1321" s="1436"/>
      <c r="G1321" s="1375" t="s">
        <v>628</v>
      </c>
      <c r="H1321" s="1630" t="s">
        <v>1081</v>
      </c>
      <c r="I1321" s="1433">
        <f>VLOOKUP(H1318,'CNKT '!$C$101:$Z$182,11,0)</f>
        <v>0</v>
      </c>
      <c r="J1321" s="1380">
        <f>46.1*$B$2</f>
        <v>30241.600000000002</v>
      </c>
      <c r="K1321" s="1377">
        <f t="shared" si="154"/>
        <v>0</v>
      </c>
      <c r="L1321" s="1372"/>
    </row>
    <row r="1322" spans="1:12" s="31" customFormat="1" ht="17.25" customHeight="1">
      <c r="A1322" s="1375" t="s">
        <v>809</v>
      </c>
      <c r="B1322" s="1630" t="s">
        <v>1082</v>
      </c>
      <c r="C1322" s="1433">
        <f>VLOOKUP(B1318,'CNKT '!$C$101:$Z$182,12,0)</f>
        <v>0</v>
      </c>
      <c r="D1322" s="1379">
        <f>76.9*$B$2</f>
        <v>50446.400000000001</v>
      </c>
      <c r="E1322" s="1377">
        <f t="shared" si="153"/>
        <v>0</v>
      </c>
      <c r="F1322" s="1436"/>
      <c r="G1322" s="1375" t="s">
        <v>809</v>
      </c>
      <c r="H1322" s="1630" t="s">
        <v>1082</v>
      </c>
      <c r="I1322" s="1433">
        <f>VLOOKUP(H1318,'CNKT '!$C$101:$Z$182,12,0)</f>
        <v>0</v>
      </c>
      <c r="J1322" s="1379">
        <f>76.9*$B$2</f>
        <v>50446.400000000001</v>
      </c>
      <c r="K1322" s="1377">
        <f t="shared" si="154"/>
        <v>0</v>
      </c>
      <c r="L1322" s="1372"/>
    </row>
    <row r="1323" spans="1:12" s="31" customFormat="1" ht="17.25" customHeight="1">
      <c r="A1323" s="1375" t="s">
        <v>122</v>
      </c>
      <c r="B1323" s="1630" t="s">
        <v>1083</v>
      </c>
      <c r="C1323" s="1433">
        <f>VLOOKUP(B1318,'CNKT '!$C$101:$Z$182,8,0)</f>
        <v>0</v>
      </c>
      <c r="D1323" s="1379">
        <f>IF(C1319="A",6.1,IF(C1319="B",5.8,IF(C1319="C",5.5,IF(C1319="C.",5.5,IF(C1319="D",5.2)))))*$B$2</f>
        <v>4001.6</v>
      </c>
      <c r="E1323" s="1377">
        <f t="shared" si="153"/>
        <v>0</v>
      </c>
      <c r="F1323" s="1436"/>
      <c r="G1323" s="1375" t="s">
        <v>122</v>
      </c>
      <c r="H1323" s="1630" t="s">
        <v>1083</v>
      </c>
      <c r="I1323" s="1433">
        <f>VLOOKUP(H1318,'CNKT '!$C$101:$Z$182,8,0)</f>
        <v>0</v>
      </c>
      <c r="J1323" s="1379">
        <f>IF(I1319="A",6.1,IF(I1319="B",5.8,IF(I1319="C",5.5,IF(I1319="C.",5.5,IF(I1319="D",5.2)))))*$B$2</f>
        <v>4001.6</v>
      </c>
      <c r="K1323" s="1377">
        <f t="shared" si="154"/>
        <v>0</v>
      </c>
      <c r="L1323" s="1372"/>
    </row>
    <row r="1324" spans="1:12" s="31" customFormat="1" ht="17.25" customHeight="1">
      <c r="A1324" s="1375" t="s">
        <v>959</v>
      </c>
      <c r="B1324" s="1630" t="s">
        <v>1084</v>
      </c>
      <c r="C1324" s="1433">
        <f>VLOOKUP(B1318,'CNKT '!$C$101:$Z$182,15,0)</f>
        <v>0</v>
      </c>
      <c r="D1324" s="1380">
        <f>92.2*$B$2</f>
        <v>60483.200000000004</v>
      </c>
      <c r="E1324" s="1377">
        <f t="shared" si="153"/>
        <v>0</v>
      </c>
      <c r="F1324" s="1436"/>
      <c r="G1324" s="1375" t="s">
        <v>959</v>
      </c>
      <c r="H1324" s="1630" t="s">
        <v>1084</v>
      </c>
      <c r="I1324" s="1433">
        <f>VLOOKUP(H1318,'CNKT '!$C$101:$Z$182,15,0)</f>
        <v>0</v>
      </c>
      <c r="J1324" s="1380">
        <f>92.2*$B$2</f>
        <v>60483.200000000004</v>
      </c>
      <c r="K1324" s="1377">
        <f t="shared" si="154"/>
        <v>0</v>
      </c>
      <c r="L1324" s="1372"/>
    </row>
    <row r="1325" spans="1:12" s="31" customFormat="1" ht="17.25" customHeight="1">
      <c r="A1325" s="1375" t="s">
        <v>960</v>
      </c>
      <c r="B1325" s="1630" t="s">
        <v>964</v>
      </c>
      <c r="C1325" s="1433">
        <f>VLOOKUP(B1318,'CNKT '!$C$101:$Z$182,16,0)</f>
        <v>0</v>
      </c>
      <c r="D1325" s="1379">
        <f>153.8*$B$2</f>
        <v>100892.8</v>
      </c>
      <c r="E1325" s="1377">
        <f t="shared" si="153"/>
        <v>0</v>
      </c>
      <c r="F1325" s="1436"/>
      <c r="G1325" s="1375" t="s">
        <v>960</v>
      </c>
      <c r="H1325" s="1630" t="s">
        <v>964</v>
      </c>
      <c r="I1325" s="1433">
        <f>VLOOKUP(H1318,'CNKT '!$C$101:$Z$182,16,0)</f>
        <v>0</v>
      </c>
      <c r="J1325" s="1379">
        <f>153.8*$B$2</f>
        <v>100892.8</v>
      </c>
      <c r="K1325" s="1377">
        <f t="shared" si="154"/>
        <v>0</v>
      </c>
      <c r="L1325" s="1372"/>
    </row>
    <row r="1326" spans="1:12" s="31" customFormat="1" ht="17.25" customHeight="1">
      <c r="A1326" s="1375" t="s">
        <v>899</v>
      </c>
      <c r="B1326" s="1630" t="s">
        <v>965</v>
      </c>
      <c r="C1326" s="1433">
        <f>VLOOKUP(B1318,'CNKT '!$C$101:$Z$188,18,0)</f>
        <v>0</v>
      </c>
      <c r="D1326" s="1379">
        <v>10000</v>
      </c>
      <c r="E1326" s="1377">
        <f>C1326*D1326</f>
        <v>0</v>
      </c>
      <c r="F1326" s="1436"/>
      <c r="G1326" s="1375" t="s">
        <v>899</v>
      </c>
      <c r="H1326" s="1630" t="s">
        <v>965</v>
      </c>
      <c r="I1326" s="1433">
        <f>VLOOKUP(H1318,'CNKT '!$C$101:$Z$188,18,0)</f>
        <v>0</v>
      </c>
      <c r="J1326" s="1379">
        <v>10000</v>
      </c>
      <c r="K1326" s="1377">
        <f>I1326*J1326</f>
        <v>0</v>
      </c>
      <c r="L1326" s="1372"/>
    </row>
    <row r="1327" spans="1:12" s="31" customFormat="1" ht="17.25" customHeight="1">
      <c r="A1327" s="1375" t="s">
        <v>899</v>
      </c>
      <c r="B1327" s="1630" t="s">
        <v>965</v>
      </c>
      <c r="C1327" s="1433">
        <f>VLOOKUP(B1318,'CNKT '!$C$101:$Z$188,19,0)</f>
        <v>0</v>
      </c>
      <c r="D1327" s="1379">
        <v>20000</v>
      </c>
      <c r="E1327" s="1377">
        <f>C1327*D1327</f>
        <v>0</v>
      </c>
      <c r="F1327" s="1436"/>
      <c r="G1327" s="1375" t="s">
        <v>899</v>
      </c>
      <c r="H1327" s="1630" t="s">
        <v>965</v>
      </c>
      <c r="I1327" s="1433">
        <f>VLOOKUP(H1318,'CNKT '!$C$101:$Z$188,19,0)</f>
        <v>0</v>
      </c>
      <c r="J1327" s="1379">
        <v>20000</v>
      </c>
      <c r="K1327" s="1377">
        <f>I1327*J1327</f>
        <v>0</v>
      </c>
      <c r="L1327" s="1372"/>
    </row>
    <row r="1328" spans="1:12" s="31" customFormat="1" ht="17.25" customHeight="1">
      <c r="A1328" s="1375" t="s">
        <v>995</v>
      </c>
      <c r="B1328" s="1630" t="s">
        <v>997</v>
      </c>
      <c r="C1328" s="1433"/>
      <c r="D1328" s="1379"/>
      <c r="E1328" s="1377"/>
      <c r="F1328" s="1436"/>
      <c r="G1328" s="1375" t="s">
        <v>995</v>
      </c>
      <c r="H1328" s="1630" t="s">
        <v>997</v>
      </c>
      <c r="I1328" s="1433"/>
      <c r="J1328" s="1379"/>
      <c r="K1328" s="1377"/>
      <c r="L1328" s="1372"/>
    </row>
    <row r="1329" spans="1:12" s="31" customFormat="1" ht="17.25" customHeight="1">
      <c r="A1329" s="1381" t="s">
        <v>123</v>
      </c>
      <c r="B1329" s="1631" t="s">
        <v>1085</v>
      </c>
      <c r="C1329" s="1382"/>
      <c r="D1329" s="1383"/>
      <c r="E1329" s="1382"/>
      <c r="F1329" s="1436"/>
      <c r="G1329" s="1381" t="s">
        <v>123</v>
      </c>
      <c r="H1329" s="1631" t="s">
        <v>1085</v>
      </c>
      <c r="I1329" s="1382"/>
      <c r="J1329" s="1383"/>
      <c r="K1329" s="1382"/>
      <c r="L1329" s="1372"/>
    </row>
    <row r="1330" spans="1:12" s="31" customFormat="1" ht="17.25" customHeight="1">
      <c r="A1330" s="1384" t="s">
        <v>124</v>
      </c>
      <c r="B1330" s="1632" t="s">
        <v>1086</v>
      </c>
      <c r="C1330" s="1382"/>
      <c r="D1330" s="1382"/>
      <c r="E1330" s="1382"/>
      <c r="F1330" s="1436"/>
      <c r="G1330" s="1384" t="s">
        <v>124</v>
      </c>
      <c r="H1330" s="1632" t="s">
        <v>1086</v>
      </c>
      <c r="I1330" s="1382"/>
      <c r="J1330" s="1382"/>
      <c r="K1330" s="1382"/>
      <c r="L1330" s="1372"/>
    </row>
    <row r="1331" spans="1:12" s="31" customFormat="1" ht="17.25" customHeight="1">
      <c r="A1331" s="1384" t="s">
        <v>125</v>
      </c>
      <c r="B1331" s="1633" t="s">
        <v>1087</v>
      </c>
      <c r="C1331" s="1382"/>
      <c r="D1331" s="1382"/>
      <c r="E1331" s="1377">
        <f>SUM(E1330)</f>
        <v>0</v>
      </c>
      <c r="F1331" s="1436"/>
      <c r="G1331" s="1384" t="s">
        <v>125</v>
      </c>
      <c r="H1331" s="1633" t="s">
        <v>1087</v>
      </c>
      <c r="I1331" s="1382"/>
      <c r="J1331" s="1382"/>
      <c r="K1331" s="1377">
        <f>SUM(K1330)</f>
        <v>0</v>
      </c>
      <c r="L1331" s="1372"/>
    </row>
    <row r="1332" spans="1:12" s="31" customFormat="1" ht="17.25" customHeight="1">
      <c r="A1332" s="1386" t="s">
        <v>126</v>
      </c>
      <c r="B1332" s="1634" t="s">
        <v>871</v>
      </c>
      <c r="C1332" s="1387"/>
      <c r="D1332" s="1387"/>
      <c r="E1332" s="1387">
        <f>(E1320+E1321+E1322+E1323+E1324+E1325+E1326+E1327+E1328)-E1331</f>
        <v>0</v>
      </c>
      <c r="F1332" s="1436"/>
      <c r="G1332" s="1386" t="s">
        <v>126</v>
      </c>
      <c r="H1332" s="1634" t="s">
        <v>871</v>
      </c>
      <c r="I1332" s="1387"/>
      <c r="J1332" s="1387"/>
      <c r="K1332" s="1387">
        <f>(K1320+K1321+K1322+K1323+K1324+K1325+K1326+K1327+K1328)-K1331</f>
        <v>0</v>
      </c>
      <c r="L1332" s="1389">
        <f>E1332+K1332</f>
        <v>0</v>
      </c>
    </row>
    <row r="1333" spans="1:12" s="31" customFormat="1" ht="222.75" customHeight="1">
      <c r="A1333" s="1449"/>
      <c r="B1333" s="1449"/>
      <c r="C1333" s="1449"/>
      <c r="D1333" s="1449"/>
      <c r="E1333" s="1449"/>
      <c r="F1333" s="1427"/>
      <c r="G1333" s="1449"/>
      <c r="H1333" s="1449"/>
      <c r="I1333" s="1449"/>
      <c r="J1333" s="1449"/>
      <c r="K1333" s="1428"/>
      <c r="L1333" s="1372"/>
    </row>
    <row r="1334" spans="1:12" s="31" customFormat="1" ht="17.25" customHeight="1">
      <c r="A1334" s="1449" t="str">
        <f>A1317</f>
        <v>LƯƠNG THÁNG 01/2025</v>
      </c>
      <c r="B1334" s="1449"/>
      <c r="C1334" s="1449"/>
      <c r="D1334" s="1449"/>
      <c r="E1334" s="1449">
        <f>VLOOKUP(B1335,'CNKT '!$C$101:$AD$188,26,0)</f>
        <v>0</v>
      </c>
      <c r="F1334" s="1427"/>
      <c r="G1334" s="1449" t="str">
        <f>A1334</f>
        <v>LƯƠNG THÁNG 01/2025</v>
      </c>
      <c r="H1334" s="1449"/>
      <c r="I1334" s="1449"/>
      <c r="J1334" s="1449"/>
      <c r="K1334" s="1449">
        <f>VLOOKUP(H1335,'CNKT '!$C$101:$AD$188,26,0)</f>
        <v>0</v>
      </c>
      <c r="L1334" s="1372"/>
    </row>
    <row r="1335" spans="1:12" s="31" customFormat="1" ht="17.25" customHeight="1">
      <c r="A1335" s="1391" t="s">
        <v>29</v>
      </c>
      <c r="B1335" s="1626" t="str">
        <f>'CNKT '!C171</f>
        <v>Na Ly ...</v>
      </c>
      <c r="C1335" s="1376"/>
      <c r="D1335" s="1626" t="s">
        <v>806</v>
      </c>
      <c r="E1335" s="1626" t="s">
        <v>32</v>
      </c>
      <c r="F1335" s="1436"/>
      <c r="G1335" s="1391" t="s">
        <v>29</v>
      </c>
      <c r="H1335" s="1626" t="str">
        <f>'CNKT '!C172</f>
        <v>Lắc Xa Mi</v>
      </c>
      <c r="I1335" s="1376"/>
      <c r="J1335" s="1626" t="s">
        <v>806</v>
      </c>
      <c r="K1335" s="1626" t="s">
        <v>32</v>
      </c>
      <c r="L1335" s="1372"/>
    </row>
    <row r="1336" spans="1:12" s="31" customFormat="1" ht="17.25" customHeight="1">
      <c r="A1336" s="1375" t="s">
        <v>807</v>
      </c>
      <c r="B1336" s="1628" t="s">
        <v>1080</v>
      </c>
      <c r="C1336" s="1376" t="str">
        <f>VLOOKUP(B1335,'BTH mủ tạp'!$C$97:$AL$175,36,0)</f>
        <v>A</v>
      </c>
      <c r="D1336" s="1377"/>
      <c r="E1336" s="1377"/>
      <c r="F1336" s="1436"/>
      <c r="G1336" s="1375" t="s">
        <v>807</v>
      </c>
      <c r="H1336" s="1628" t="s">
        <v>1080</v>
      </c>
      <c r="I1336" s="1376" t="str">
        <f>VLOOKUP(H1335,'BTH mủ tạp'!$C$97:$AL$175,36,0)</f>
        <v>A</v>
      </c>
      <c r="J1336" s="1377"/>
      <c r="K1336" s="1377"/>
      <c r="L1336" s="1372"/>
    </row>
    <row r="1337" spans="1:12" s="31" customFormat="1" ht="17.25" customHeight="1">
      <c r="A1337" s="1375" t="s">
        <v>121</v>
      </c>
      <c r="B1337" s="1629" t="s">
        <v>865</v>
      </c>
      <c r="C1337" s="1378">
        <f>VLOOKUP(B1335,'CNKT '!$C$101:$Z$182,3,0)</f>
        <v>0</v>
      </c>
      <c r="D1337" s="1379">
        <v>25000</v>
      </c>
      <c r="E1337" s="1377">
        <f t="shared" ref="E1337:E1342" si="155">C1337*D1337</f>
        <v>0</v>
      </c>
      <c r="F1337" s="1436"/>
      <c r="G1337" s="1375" t="s">
        <v>121</v>
      </c>
      <c r="H1337" s="1629" t="s">
        <v>865</v>
      </c>
      <c r="I1337" s="1378">
        <f>VLOOKUP(H1335,'CNKT '!$C$101:$Z$182,3,0)</f>
        <v>0</v>
      </c>
      <c r="J1337" s="1379">
        <v>25000</v>
      </c>
      <c r="K1337" s="1377">
        <f t="shared" ref="K1337:K1342" si="156">I1337*J1337</f>
        <v>0</v>
      </c>
      <c r="L1337" s="1372"/>
    </row>
    <row r="1338" spans="1:12" s="31" customFormat="1" ht="17.25" customHeight="1">
      <c r="A1338" s="1375" t="s">
        <v>628</v>
      </c>
      <c r="B1338" s="1630" t="s">
        <v>1081</v>
      </c>
      <c r="C1338" s="1433">
        <f>VLOOKUP(B1335,'CNKT '!$C$101:$Z$182,11,0)</f>
        <v>0</v>
      </c>
      <c r="D1338" s="1380">
        <f>46.1*$B$2</f>
        <v>30241.600000000002</v>
      </c>
      <c r="E1338" s="1377">
        <f t="shared" si="155"/>
        <v>0</v>
      </c>
      <c r="F1338" s="1436"/>
      <c r="G1338" s="1375" t="s">
        <v>628</v>
      </c>
      <c r="H1338" s="1630" t="s">
        <v>1081</v>
      </c>
      <c r="I1338" s="1433">
        <f>VLOOKUP(H1335,'CNKT '!$C$101:$Z$182,11,0)</f>
        <v>0</v>
      </c>
      <c r="J1338" s="1380">
        <f>46.1*$B$2</f>
        <v>30241.600000000002</v>
      </c>
      <c r="K1338" s="1377">
        <f t="shared" si="156"/>
        <v>0</v>
      </c>
      <c r="L1338" s="1372"/>
    </row>
    <row r="1339" spans="1:12" s="31" customFormat="1" ht="17.25" customHeight="1">
      <c r="A1339" s="1375" t="s">
        <v>809</v>
      </c>
      <c r="B1339" s="1630" t="s">
        <v>1082</v>
      </c>
      <c r="C1339" s="1433">
        <f>VLOOKUP(B1335,'CNKT '!$C$101:$Z$182,12,0)</f>
        <v>0</v>
      </c>
      <c r="D1339" s="1379">
        <f>76.9*$B$2</f>
        <v>50446.400000000001</v>
      </c>
      <c r="E1339" s="1377">
        <f t="shared" si="155"/>
        <v>0</v>
      </c>
      <c r="F1339" s="1436"/>
      <c r="G1339" s="1375" t="s">
        <v>809</v>
      </c>
      <c r="H1339" s="1630" t="s">
        <v>1082</v>
      </c>
      <c r="I1339" s="1433">
        <f>VLOOKUP(H1335,'CNKT '!$C$101:$Z$182,12,0)</f>
        <v>0</v>
      </c>
      <c r="J1339" s="1379">
        <f>76.9*$B$2</f>
        <v>50446.400000000001</v>
      </c>
      <c r="K1339" s="1377">
        <f t="shared" si="156"/>
        <v>0</v>
      </c>
      <c r="L1339" s="1372"/>
    </row>
    <row r="1340" spans="1:12" s="31" customFormat="1" ht="17.25" customHeight="1">
      <c r="A1340" s="1375" t="s">
        <v>122</v>
      </c>
      <c r="B1340" s="1630" t="s">
        <v>1083</v>
      </c>
      <c r="C1340" s="1433">
        <f>VLOOKUP(B1335,'CNKT '!$C$101:$Z$182,8,0)</f>
        <v>0</v>
      </c>
      <c r="D1340" s="1379">
        <f>IF(C1336="A",6.1,IF(C1336="B",5.8,IF(C1336="C",5.5,IF(C1336="C.",5.5,IF(C1336="D",5.2)))))*$B$2</f>
        <v>4001.6</v>
      </c>
      <c r="E1340" s="1377">
        <f t="shared" si="155"/>
        <v>0</v>
      </c>
      <c r="F1340" s="1436"/>
      <c r="G1340" s="1375" t="s">
        <v>122</v>
      </c>
      <c r="H1340" s="1630" t="s">
        <v>1083</v>
      </c>
      <c r="I1340" s="1433">
        <f>VLOOKUP(H1335,'CNKT '!$C$101:$Z$182,8,0)</f>
        <v>0</v>
      </c>
      <c r="J1340" s="1379">
        <f>IF(I1336="A",6.1,IF(I1336="B",5.8,IF(I1336="C",5.5,IF(I1336="C.",5.5,IF(I1336="D",5.2)))))*$B$2</f>
        <v>4001.6</v>
      </c>
      <c r="K1340" s="1377">
        <f t="shared" si="156"/>
        <v>0</v>
      </c>
      <c r="L1340" s="1372"/>
    </row>
    <row r="1341" spans="1:12" s="31" customFormat="1" ht="17.25" customHeight="1">
      <c r="A1341" s="1375" t="s">
        <v>959</v>
      </c>
      <c r="B1341" s="1630" t="s">
        <v>1084</v>
      </c>
      <c r="C1341" s="1433">
        <f>VLOOKUP(B1335,'CNKT '!$C$101:$Z$182,15,0)</f>
        <v>0</v>
      </c>
      <c r="D1341" s="1380">
        <f>92.2*$B$2</f>
        <v>60483.200000000004</v>
      </c>
      <c r="E1341" s="1377">
        <f t="shared" si="155"/>
        <v>0</v>
      </c>
      <c r="F1341" s="1436"/>
      <c r="G1341" s="1375" t="s">
        <v>959</v>
      </c>
      <c r="H1341" s="1630" t="s">
        <v>1084</v>
      </c>
      <c r="I1341" s="1433">
        <f>VLOOKUP(H1335,'CNKT '!$C$101:$Z$182,15,0)</f>
        <v>0</v>
      </c>
      <c r="J1341" s="1380">
        <f>92.2*$B$2</f>
        <v>60483.200000000004</v>
      </c>
      <c r="K1341" s="1377">
        <f t="shared" si="156"/>
        <v>0</v>
      </c>
      <c r="L1341" s="1372"/>
    </row>
    <row r="1342" spans="1:12" s="31" customFormat="1" ht="17.25" customHeight="1">
      <c r="A1342" s="1375" t="s">
        <v>960</v>
      </c>
      <c r="B1342" s="1630" t="s">
        <v>964</v>
      </c>
      <c r="C1342" s="1433">
        <f>VLOOKUP(B1335,'CNKT '!$C$101:$Z$182,16,0)</f>
        <v>0</v>
      </c>
      <c r="D1342" s="1379">
        <f>153.8*$B$2</f>
        <v>100892.8</v>
      </c>
      <c r="E1342" s="1377">
        <f t="shared" si="155"/>
        <v>0</v>
      </c>
      <c r="F1342" s="1436"/>
      <c r="G1342" s="1375" t="s">
        <v>960</v>
      </c>
      <c r="H1342" s="1630" t="s">
        <v>964</v>
      </c>
      <c r="I1342" s="1433">
        <f>VLOOKUP(H1335,'CNKT '!$C$101:$Z$182,16,0)</f>
        <v>0</v>
      </c>
      <c r="J1342" s="1379">
        <f>153.8*$B$2</f>
        <v>100892.8</v>
      </c>
      <c r="K1342" s="1377">
        <f t="shared" si="156"/>
        <v>0</v>
      </c>
      <c r="L1342" s="1372"/>
    </row>
    <row r="1343" spans="1:12" s="31" customFormat="1" ht="17.25" customHeight="1">
      <c r="A1343" s="1375" t="s">
        <v>899</v>
      </c>
      <c r="B1343" s="1630" t="s">
        <v>965</v>
      </c>
      <c r="C1343" s="1433">
        <f>VLOOKUP(B1335,'CNKT '!$C$101:$Z$188,18,0)</f>
        <v>0</v>
      </c>
      <c r="D1343" s="1379">
        <v>10000</v>
      </c>
      <c r="E1343" s="1377">
        <f>C1343*D1343</f>
        <v>0</v>
      </c>
      <c r="F1343" s="1436"/>
      <c r="G1343" s="1375" t="s">
        <v>899</v>
      </c>
      <c r="H1343" s="1630" t="s">
        <v>965</v>
      </c>
      <c r="I1343" s="1433">
        <f>VLOOKUP(H1335,'CNKT '!$C$101:$Z$188,18,0)</f>
        <v>0</v>
      </c>
      <c r="J1343" s="1379">
        <v>10000</v>
      </c>
      <c r="K1343" s="1377">
        <f>I1343*J1343</f>
        <v>0</v>
      </c>
      <c r="L1343" s="1372"/>
    </row>
    <row r="1344" spans="1:12" s="31" customFormat="1" ht="17.25" customHeight="1">
      <c r="A1344" s="1375" t="s">
        <v>899</v>
      </c>
      <c r="B1344" s="1630" t="s">
        <v>965</v>
      </c>
      <c r="C1344" s="1433">
        <f>VLOOKUP(B1335,'CNKT '!$C$101:$Z$188,19,0)</f>
        <v>0</v>
      </c>
      <c r="D1344" s="1379">
        <v>20000</v>
      </c>
      <c r="E1344" s="1377">
        <f>C1344*D1344</f>
        <v>0</v>
      </c>
      <c r="F1344" s="1436"/>
      <c r="G1344" s="1375" t="s">
        <v>899</v>
      </c>
      <c r="H1344" s="1630" t="s">
        <v>965</v>
      </c>
      <c r="I1344" s="1433">
        <f>VLOOKUP(H1335,'CNKT '!$C$101:$Z$188,19,0)</f>
        <v>0</v>
      </c>
      <c r="J1344" s="1379">
        <v>20000</v>
      </c>
      <c r="K1344" s="1377">
        <f>I1344*J1344</f>
        <v>0</v>
      </c>
      <c r="L1344" s="1372"/>
    </row>
    <row r="1345" spans="1:12" s="31" customFormat="1" ht="17.25" customHeight="1">
      <c r="A1345" s="1375" t="s">
        <v>995</v>
      </c>
      <c r="B1345" s="1630" t="s">
        <v>997</v>
      </c>
      <c r="C1345" s="1433"/>
      <c r="D1345" s="1379"/>
      <c r="E1345" s="1377"/>
      <c r="F1345" s="1436"/>
      <c r="G1345" s="1375" t="s">
        <v>995</v>
      </c>
      <c r="H1345" s="1630" t="s">
        <v>997</v>
      </c>
      <c r="I1345" s="1433"/>
      <c r="J1345" s="1379"/>
      <c r="K1345" s="1377"/>
      <c r="L1345" s="1372"/>
    </row>
    <row r="1346" spans="1:12" s="31" customFormat="1" ht="17.25" customHeight="1">
      <c r="A1346" s="1381" t="s">
        <v>123</v>
      </c>
      <c r="B1346" s="1631" t="s">
        <v>1085</v>
      </c>
      <c r="C1346" s="1382"/>
      <c r="D1346" s="1383"/>
      <c r="E1346" s="1382"/>
      <c r="F1346" s="1436"/>
      <c r="G1346" s="1381" t="s">
        <v>123</v>
      </c>
      <c r="H1346" s="1631" t="s">
        <v>1085</v>
      </c>
      <c r="I1346" s="1382"/>
      <c r="J1346" s="1383"/>
      <c r="K1346" s="1382"/>
      <c r="L1346" s="1372"/>
    </row>
    <row r="1347" spans="1:12" s="31" customFormat="1" ht="17.25" customHeight="1">
      <c r="A1347" s="1384" t="s">
        <v>124</v>
      </c>
      <c r="B1347" s="1632" t="s">
        <v>1086</v>
      </c>
      <c r="C1347" s="1382"/>
      <c r="D1347" s="1382"/>
      <c r="E1347" s="1382"/>
      <c r="F1347" s="1436"/>
      <c r="G1347" s="1384" t="s">
        <v>124</v>
      </c>
      <c r="H1347" s="1632" t="s">
        <v>1086</v>
      </c>
      <c r="I1347" s="1382"/>
      <c r="J1347" s="1382"/>
      <c r="K1347" s="1382"/>
      <c r="L1347" s="1372"/>
    </row>
    <row r="1348" spans="1:12" s="31" customFormat="1" ht="17.25" customHeight="1">
      <c r="A1348" s="1384" t="s">
        <v>125</v>
      </c>
      <c r="B1348" s="1633" t="s">
        <v>1087</v>
      </c>
      <c r="C1348" s="1382"/>
      <c r="D1348" s="1382"/>
      <c r="E1348" s="1377">
        <f>SUM(E1347)</f>
        <v>0</v>
      </c>
      <c r="F1348" s="1436"/>
      <c r="G1348" s="1384" t="s">
        <v>125</v>
      </c>
      <c r="H1348" s="1633" t="s">
        <v>1087</v>
      </c>
      <c r="I1348" s="1382"/>
      <c r="J1348" s="1382"/>
      <c r="K1348" s="1377">
        <f>SUM(K1347)</f>
        <v>0</v>
      </c>
      <c r="L1348" s="1372"/>
    </row>
    <row r="1349" spans="1:12" s="31" customFormat="1" ht="17.25" customHeight="1">
      <c r="A1349" s="1386" t="s">
        <v>126</v>
      </c>
      <c r="B1349" s="1634" t="s">
        <v>871</v>
      </c>
      <c r="C1349" s="1387"/>
      <c r="D1349" s="1387"/>
      <c r="E1349" s="1387">
        <f>(E1337+E1338+E1339+E1340+E1341+E1342+E1343+E1344+E1345)-E1348</f>
        <v>0</v>
      </c>
      <c r="F1349" s="1436"/>
      <c r="G1349" s="1386" t="s">
        <v>126</v>
      </c>
      <c r="H1349" s="1634" t="s">
        <v>871</v>
      </c>
      <c r="I1349" s="1387"/>
      <c r="J1349" s="1387"/>
      <c r="K1349" s="1387">
        <f>(K1337+K1338+K1339+K1340+K1341+K1342+K1343+K1344+K1345)-K1348</f>
        <v>0</v>
      </c>
      <c r="L1349" s="1389">
        <f>E1349+K1349</f>
        <v>0</v>
      </c>
    </row>
    <row r="1350" spans="1:12" s="31" customFormat="1" ht="17.25" customHeight="1">
      <c r="A1350" s="1449"/>
      <c r="B1350" s="1449"/>
      <c r="C1350" s="1449"/>
      <c r="D1350" s="1449"/>
      <c r="E1350" s="1449"/>
      <c r="F1350" s="1427"/>
      <c r="G1350" s="1449"/>
      <c r="H1350" s="1449"/>
      <c r="I1350" s="1449"/>
      <c r="J1350" s="1449"/>
      <c r="K1350" s="1428"/>
      <c r="L1350" s="1372"/>
    </row>
    <row r="1351" spans="1:12" s="31" customFormat="1" ht="17.25" customHeight="1">
      <c r="A1351" s="1449" t="str">
        <f>A1334</f>
        <v>LƯƠNG THÁNG 01/2025</v>
      </c>
      <c r="B1351" s="1449"/>
      <c r="C1351" s="1449"/>
      <c r="D1351" s="1449"/>
      <c r="E1351" s="1449">
        <f>VLOOKUP(B1352,'CNKT '!$C$101:$AD$188,26,0)</f>
        <v>0</v>
      </c>
      <c r="F1351" s="1427"/>
      <c r="G1351" s="1449" t="str">
        <f>A1351</f>
        <v>LƯƠNG THÁNG 01/2025</v>
      </c>
      <c r="H1351" s="1449"/>
      <c r="I1351" s="1449"/>
      <c r="J1351" s="1449"/>
      <c r="K1351" s="1449">
        <f>VLOOKUP(H1352,'CNKT '!$C$101:$AD$188,26,0)</f>
        <v>0</v>
      </c>
      <c r="L1351" s="1372"/>
    </row>
    <row r="1352" spans="1:12" s="31" customFormat="1" ht="17.25" customHeight="1">
      <c r="A1352" s="1391" t="s">
        <v>29</v>
      </c>
      <c r="B1352" s="1626" t="str">
        <f>'CNKT '!C173</f>
        <v>A Xít</v>
      </c>
      <c r="C1352" s="1376"/>
      <c r="D1352" s="1626" t="s">
        <v>806</v>
      </c>
      <c r="E1352" s="1626" t="s">
        <v>32</v>
      </c>
      <c r="F1352" s="1436"/>
      <c r="G1352" s="1391" t="s">
        <v>29</v>
      </c>
      <c r="H1352" s="1626" t="str">
        <f>'CNKT '!C174</f>
        <v>Bợt</v>
      </c>
      <c r="I1352" s="1376"/>
      <c r="J1352" s="1626" t="s">
        <v>806</v>
      </c>
      <c r="K1352" s="1626" t="s">
        <v>32</v>
      </c>
      <c r="L1352" s="1372"/>
    </row>
    <row r="1353" spans="1:12" s="31" customFormat="1" ht="17.25" customHeight="1">
      <c r="A1353" s="1375" t="s">
        <v>807</v>
      </c>
      <c r="B1353" s="1628" t="s">
        <v>1080</v>
      </c>
      <c r="C1353" s="1376" t="str">
        <f>VLOOKUP(B1352,'BTH mủ tạp'!$C$97:$AL$175,36,0)</f>
        <v>B</v>
      </c>
      <c r="D1353" s="1377"/>
      <c r="E1353" s="1377"/>
      <c r="F1353" s="1436"/>
      <c r="G1353" s="1375" t="s">
        <v>807</v>
      </c>
      <c r="H1353" s="1628" t="s">
        <v>1080</v>
      </c>
      <c r="I1353" s="1376" t="str">
        <f>VLOOKUP(H1352,'BTH mủ tạp'!$C$97:$AL$175,36,0)</f>
        <v>C.</v>
      </c>
      <c r="J1353" s="1377"/>
      <c r="K1353" s="1377"/>
      <c r="L1353" s="1372"/>
    </row>
    <row r="1354" spans="1:12" s="31" customFormat="1" ht="17.25" customHeight="1">
      <c r="A1354" s="1375" t="s">
        <v>121</v>
      </c>
      <c r="B1354" s="1629" t="s">
        <v>865</v>
      </c>
      <c r="C1354" s="1378">
        <f>VLOOKUP(B1352,'CNKT '!$C$101:$Z$182,3,0)</f>
        <v>0</v>
      </c>
      <c r="D1354" s="1379">
        <v>25000</v>
      </c>
      <c r="E1354" s="1377">
        <f t="shared" ref="E1354:E1359" si="157">C1354*D1354</f>
        <v>0</v>
      </c>
      <c r="F1354" s="1436"/>
      <c r="G1354" s="1375" t="s">
        <v>121</v>
      </c>
      <c r="H1354" s="1629" t="s">
        <v>865</v>
      </c>
      <c r="I1354" s="1378">
        <f>VLOOKUP(H1352,'CNKT '!$C$101:$Z$182,3,0)</f>
        <v>0</v>
      </c>
      <c r="J1354" s="1379">
        <v>25000</v>
      </c>
      <c r="K1354" s="1377">
        <f t="shared" ref="K1354:K1359" si="158">I1354*J1354</f>
        <v>0</v>
      </c>
      <c r="L1354" s="1372"/>
    </row>
    <row r="1355" spans="1:12" s="31" customFormat="1" ht="17.25" customHeight="1">
      <c r="A1355" s="1375" t="s">
        <v>628</v>
      </c>
      <c r="B1355" s="1630" t="s">
        <v>1081</v>
      </c>
      <c r="C1355" s="1433">
        <f>VLOOKUP(B1352,'CNKT '!$C$101:$Z$182,11,0)</f>
        <v>0</v>
      </c>
      <c r="D1355" s="1380">
        <f>46.1*$B$2</f>
        <v>30241.600000000002</v>
      </c>
      <c r="E1355" s="1377">
        <f t="shared" si="157"/>
        <v>0</v>
      </c>
      <c r="F1355" s="1436"/>
      <c r="G1355" s="1375" t="s">
        <v>628</v>
      </c>
      <c r="H1355" s="1630" t="s">
        <v>1081</v>
      </c>
      <c r="I1355" s="1433">
        <f>VLOOKUP(H1352,'CNKT '!$C$101:$Z$182,11,0)</f>
        <v>0</v>
      </c>
      <c r="J1355" s="1380">
        <f>46.1*$B$2</f>
        <v>30241.600000000002</v>
      </c>
      <c r="K1355" s="1377">
        <f t="shared" si="158"/>
        <v>0</v>
      </c>
      <c r="L1355" s="1372"/>
    </row>
    <row r="1356" spans="1:12" s="31" customFormat="1" ht="17.25" customHeight="1">
      <c r="A1356" s="1375" t="s">
        <v>809</v>
      </c>
      <c r="B1356" s="1630" t="s">
        <v>1082</v>
      </c>
      <c r="C1356" s="1433">
        <f>VLOOKUP(B1352,'CNKT '!$C$101:$Z$182,12,0)</f>
        <v>0</v>
      </c>
      <c r="D1356" s="1379">
        <f>76.9*$B$2</f>
        <v>50446.400000000001</v>
      </c>
      <c r="E1356" s="1377">
        <f t="shared" si="157"/>
        <v>0</v>
      </c>
      <c r="F1356" s="1436"/>
      <c r="G1356" s="1375" t="s">
        <v>809</v>
      </c>
      <c r="H1356" s="1630" t="s">
        <v>1082</v>
      </c>
      <c r="I1356" s="1433">
        <f>VLOOKUP(H1352,'CNKT '!$C$101:$Z$182,12,0)</f>
        <v>0</v>
      </c>
      <c r="J1356" s="1379">
        <f>76.9*$B$2</f>
        <v>50446.400000000001</v>
      </c>
      <c r="K1356" s="1377">
        <f t="shared" si="158"/>
        <v>0</v>
      </c>
      <c r="L1356" s="1372"/>
    </row>
    <row r="1357" spans="1:12" s="31" customFormat="1" ht="17.25" customHeight="1">
      <c r="A1357" s="1375" t="s">
        <v>122</v>
      </c>
      <c r="B1357" s="1630" t="s">
        <v>1083</v>
      </c>
      <c r="C1357" s="1433">
        <f>VLOOKUP(B1352,'CNKT '!$C$101:$Z$182,8,0)</f>
        <v>0</v>
      </c>
      <c r="D1357" s="1379">
        <f>IF(C1353="A",6.1,IF(C1353="B",5.8,IF(C1353="C",5.5,IF(C1353="C.",5.5,IF(C1353="D",5.2)))))*$B$2</f>
        <v>3804.7999999999997</v>
      </c>
      <c r="E1357" s="1377">
        <f t="shared" si="157"/>
        <v>0</v>
      </c>
      <c r="F1357" s="1436"/>
      <c r="G1357" s="1375" t="s">
        <v>122</v>
      </c>
      <c r="H1357" s="1630" t="s">
        <v>1083</v>
      </c>
      <c r="I1357" s="1433">
        <f>VLOOKUP(H1352,'CNKT '!$C$101:$Z$182,8,0)</f>
        <v>0</v>
      </c>
      <c r="J1357" s="1379">
        <f>IF(I1353="A",6.1,IF(I1353="B",5.8,IF(I1353="C",5.5,IF(I1353="C.",5.5,IF(I1353="D",5.2)))))*$B$2</f>
        <v>3608</v>
      </c>
      <c r="K1357" s="1377">
        <f t="shared" si="158"/>
        <v>0</v>
      </c>
      <c r="L1357" s="1372"/>
    </row>
    <row r="1358" spans="1:12" s="31" customFormat="1" ht="17.25" customHeight="1">
      <c r="A1358" s="1375" t="s">
        <v>959</v>
      </c>
      <c r="B1358" s="1630" t="s">
        <v>1084</v>
      </c>
      <c r="C1358" s="1433">
        <f>VLOOKUP(B1352,'CNKT '!$C$101:$Z$182,15,0)</f>
        <v>0</v>
      </c>
      <c r="D1358" s="1380">
        <f>92.2*$B$2</f>
        <v>60483.200000000004</v>
      </c>
      <c r="E1358" s="1377">
        <f t="shared" si="157"/>
        <v>0</v>
      </c>
      <c r="F1358" s="1436"/>
      <c r="G1358" s="1375" t="s">
        <v>959</v>
      </c>
      <c r="H1358" s="1630" t="s">
        <v>1084</v>
      </c>
      <c r="I1358" s="1433">
        <f>VLOOKUP(H1352,'CNKT '!$C$101:$Z$182,15,0)</f>
        <v>0</v>
      </c>
      <c r="J1358" s="1380">
        <f>92.2*$B$2</f>
        <v>60483.200000000004</v>
      </c>
      <c r="K1358" s="1377">
        <f t="shared" si="158"/>
        <v>0</v>
      </c>
      <c r="L1358" s="1372"/>
    </row>
    <row r="1359" spans="1:12" s="31" customFormat="1" ht="17.25" customHeight="1">
      <c r="A1359" s="1375" t="s">
        <v>960</v>
      </c>
      <c r="B1359" s="1630" t="s">
        <v>964</v>
      </c>
      <c r="C1359" s="1433">
        <f>VLOOKUP(B1352,'CNKT '!$C$101:$Z$182,16,0)</f>
        <v>0</v>
      </c>
      <c r="D1359" s="1379">
        <f>153.8*$B$2</f>
        <v>100892.8</v>
      </c>
      <c r="E1359" s="1377">
        <f t="shared" si="157"/>
        <v>0</v>
      </c>
      <c r="F1359" s="1436"/>
      <c r="G1359" s="1375" t="s">
        <v>960</v>
      </c>
      <c r="H1359" s="1630" t="s">
        <v>964</v>
      </c>
      <c r="I1359" s="1433">
        <f>VLOOKUP(H1352,'CNKT '!$C$101:$Z$182,16,0)</f>
        <v>0</v>
      </c>
      <c r="J1359" s="1379">
        <f>153.8*$B$2</f>
        <v>100892.8</v>
      </c>
      <c r="K1359" s="1377">
        <f t="shared" si="158"/>
        <v>0</v>
      </c>
      <c r="L1359" s="1372"/>
    </row>
    <row r="1360" spans="1:12" s="31" customFormat="1" ht="17.25" customHeight="1">
      <c r="A1360" s="1375" t="s">
        <v>899</v>
      </c>
      <c r="B1360" s="1630" t="s">
        <v>965</v>
      </c>
      <c r="C1360" s="1433">
        <f>VLOOKUP(B1352,'CNKT '!$C$101:$Z$188,18,0)</f>
        <v>0</v>
      </c>
      <c r="D1360" s="1379">
        <v>10000</v>
      </c>
      <c r="E1360" s="1377">
        <f>C1360*D1360</f>
        <v>0</v>
      </c>
      <c r="F1360" s="1436"/>
      <c r="G1360" s="1375" t="s">
        <v>899</v>
      </c>
      <c r="H1360" s="1630" t="s">
        <v>965</v>
      </c>
      <c r="I1360" s="1433">
        <f>VLOOKUP(H1352,'CNKT '!$C$101:$Z$188,18,0)</f>
        <v>0</v>
      </c>
      <c r="J1360" s="1379">
        <v>10000</v>
      </c>
      <c r="K1360" s="1377">
        <f>I1360*J1360</f>
        <v>0</v>
      </c>
      <c r="L1360" s="1372"/>
    </row>
    <row r="1361" spans="1:12" s="31" customFormat="1" ht="17.25" customHeight="1">
      <c r="A1361" s="1375" t="s">
        <v>899</v>
      </c>
      <c r="B1361" s="1630" t="s">
        <v>965</v>
      </c>
      <c r="C1361" s="1433">
        <f>VLOOKUP(B1352,'CNKT '!$C$101:$Z$188,19,0)</f>
        <v>0</v>
      </c>
      <c r="D1361" s="1379">
        <v>20000</v>
      </c>
      <c r="E1361" s="1377">
        <f>C1361*D1361</f>
        <v>0</v>
      </c>
      <c r="F1361" s="1436"/>
      <c r="G1361" s="1375" t="s">
        <v>899</v>
      </c>
      <c r="H1361" s="1630" t="s">
        <v>965</v>
      </c>
      <c r="I1361" s="1433">
        <f>VLOOKUP(H1352,'CNKT '!$C$101:$Z$188,19,0)</f>
        <v>0</v>
      </c>
      <c r="J1361" s="1379">
        <v>20000</v>
      </c>
      <c r="K1361" s="1377">
        <f>I1361*J1361</f>
        <v>0</v>
      </c>
      <c r="L1361" s="1372"/>
    </row>
    <row r="1362" spans="1:12" s="31" customFormat="1" ht="17.25" customHeight="1">
      <c r="A1362" s="1375" t="s">
        <v>995</v>
      </c>
      <c r="B1362" s="1630" t="s">
        <v>997</v>
      </c>
      <c r="C1362" s="1433"/>
      <c r="D1362" s="1379"/>
      <c r="E1362" s="1377"/>
      <c r="F1362" s="1436"/>
      <c r="G1362" s="1375" t="s">
        <v>995</v>
      </c>
      <c r="H1362" s="1630" t="s">
        <v>997</v>
      </c>
      <c r="I1362" s="1433"/>
      <c r="J1362" s="1379"/>
      <c r="K1362" s="1377"/>
      <c r="L1362" s="1372"/>
    </row>
    <row r="1363" spans="1:12" s="31" customFormat="1" ht="17.25" customHeight="1">
      <c r="A1363" s="1381" t="s">
        <v>123</v>
      </c>
      <c r="B1363" s="1631" t="s">
        <v>1085</v>
      </c>
      <c r="C1363" s="1382"/>
      <c r="D1363" s="1383"/>
      <c r="E1363" s="1382"/>
      <c r="F1363" s="1436"/>
      <c r="G1363" s="1381" t="s">
        <v>123</v>
      </c>
      <c r="H1363" s="1631" t="s">
        <v>1085</v>
      </c>
      <c r="I1363" s="1382"/>
      <c r="J1363" s="1383"/>
      <c r="K1363" s="1382"/>
      <c r="L1363" s="1372"/>
    </row>
    <row r="1364" spans="1:12" s="31" customFormat="1" ht="17.25" customHeight="1">
      <c r="A1364" s="1384" t="s">
        <v>124</v>
      </c>
      <c r="B1364" s="1632" t="s">
        <v>1086</v>
      </c>
      <c r="C1364" s="1382"/>
      <c r="D1364" s="1382"/>
      <c r="E1364" s="1382"/>
      <c r="F1364" s="1436"/>
      <c r="G1364" s="1384" t="s">
        <v>124</v>
      </c>
      <c r="H1364" s="1632" t="s">
        <v>1086</v>
      </c>
      <c r="I1364" s="1382"/>
      <c r="J1364" s="1382"/>
      <c r="K1364" s="1382"/>
      <c r="L1364" s="1372"/>
    </row>
    <row r="1365" spans="1:12" s="31" customFormat="1" ht="17.25" customHeight="1">
      <c r="A1365" s="1384" t="s">
        <v>125</v>
      </c>
      <c r="B1365" s="1633" t="s">
        <v>1087</v>
      </c>
      <c r="C1365" s="1382"/>
      <c r="D1365" s="1382"/>
      <c r="E1365" s="1377">
        <f>SUM(E1364)</f>
        <v>0</v>
      </c>
      <c r="F1365" s="1436"/>
      <c r="G1365" s="1384" t="s">
        <v>125</v>
      </c>
      <c r="H1365" s="1633" t="s">
        <v>1087</v>
      </c>
      <c r="I1365" s="1382"/>
      <c r="J1365" s="1382"/>
      <c r="K1365" s="1377">
        <f>SUM(K1364)</f>
        <v>0</v>
      </c>
      <c r="L1365" s="1372"/>
    </row>
    <row r="1366" spans="1:12" s="31" customFormat="1" ht="17.25" customHeight="1">
      <c r="A1366" s="1386" t="s">
        <v>126</v>
      </c>
      <c r="B1366" s="1634" t="s">
        <v>871</v>
      </c>
      <c r="C1366" s="1387"/>
      <c r="D1366" s="1387"/>
      <c r="E1366" s="1387">
        <f>(E1354+E1355+E1356+E1357+E1358+E1359+E1360+E1361+E1362)-E1365</f>
        <v>0</v>
      </c>
      <c r="F1366" s="1436"/>
      <c r="G1366" s="1386" t="s">
        <v>126</v>
      </c>
      <c r="H1366" s="1634" t="s">
        <v>871</v>
      </c>
      <c r="I1366" s="1387"/>
      <c r="J1366" s="1387"/>
      <c r="K1366" s="1387">
        <f>(K1354+K1355+K1356+K1357+K1358+K1359+K1360+K1361+K1362)-K1365</f>
        <v>0</v>
      </c>
      <c r="L1366" s="1389">
        <f>E1366+K1366</f>
        <v>0</v>
      </c>
    </row>
    <row r="1367" spans="1:12" s="31" customFormat="1" ht="69" customHeight="1">
      <c r="A1367" s="1449"/>
      <c r="B1367" s="1449"/>
      <c r="C1367" s="1449"/>
      <c r="D1367" s="1449"/>
      <c r="E1367" s="1449"/>
      <c r="F1367" s="1427"/>
      <c r="G1367" s="1449"/>
      <c r="H1367" s="1449"/>
      <c r="I1367" s="1449"/>
      <c r="J1367" s="1449"/>
      <c r="K1367" s="1428"/>
      <c r="L1367" s="1372"/>
    </row>
    <row r="1368" spans="1:12" s="31" customFormat="1" ht="17.25" customHeight="1">
      <c r="A1368" s="1449" t="str">
        <f>A1351</f>
        <v>LƯƠNG THÁNG 01/2025</v>
      </c>
      <c r="B1368" s="1449"/>
      <c r="C1368" s="1449"/>
      <c r="D1368" s="1449"/>
      <c r="E1368" s="1449">
        <f>VLOOKUP(B1369,'CNKT '!$C$101:$AD$188,26,0)</f>
        <v>0</v>
      </c>
      <c r="F1368" s="1427"/>
      <c r="G1368" s="1449" t="str">
        <f>A1368</f>
        <v>LƯƠNG THÁNG 01/2025</v>
      </c>
      <c r="H1368" s="1449"/>
      <c r="I1368" s="1449"/>
      <c r="J1368" s="1449"/>
      <c r="K1368" s="1449">
        <f>VLOOKUP(H1369,'CNKT '!$C$101:$AD$188,26,0)</f>
        <v>0</v>
      </c>
      <c r="L1368" s="1372"/>
    </row>
    <row r="1369" spans="1:12" s="31" customFormat="1" ht="17.25" customHeight="1">
      <c r="A1369" s="1391" t="s">
        <v>29</v>
      </c>
      <c r="B1369" s="1626" t="str">
        <f>'CNKT '!C175</f>
        <v>Đức Văn</v>
      </c>
      <c r="C1369" s="1376"/>
      <c r="D1369" s="1626" t="s">
        <v>806</v>
      </c>
      <c r="E1369" s="1626" t="s">
        <v>32</v>
      </c>
      <c r="F1369" s="1436"/>
      <c r="G1369" s="1391" t="s">
        <v>29</v>
      </c>
      <c r="H1369" s="1626" t="str">
        <f>'CNKT '!C176</f>
        <v>A Van</v>
      </c>
      <c r="I1369" s="1376"/>
      <c r="J1369" s="1626" t="s">
        <v>806</v>
      </c>
      <c r="K1369" s="1626" t="s">
        <v>32</v>
      </c>
      <c r="L1369" s="1372"/>
    </row>
    <row r="1370" spans="1:12" s="31" customFormat="1" ht="17.25" customHeight="1">
      <c r="A1370" s="1375" t="s">
        <v>807</v>
      </c>
      <c r="B1370" s="1628" t="s">
        <v>1080</v>
      </c>
      <c r="C1370" s="1376" t="str">
        <f>VLOOKUP(B1369,'BTH mủ tạp'!$C$97:$AL$175,36,0)</f>
        <v>C.</v>
      </c>
      <c r="D1370" s="1377"/>
      <c r="E1370" s="1377"/>
      <c r="F1370" s="1436"/>
      <c r="G1370" s="1375" t="s">
        <v>807</v>
      </c>
      <c r="H1370" s="1628" t="s">
        <v>1080</v>
      </c>
      <c r="I1370" s="1376" t="str">
        <f>VLOOKUP(H1369,'BTH mủ tạp'!$C$97:$AL$175,36,0)</f>
        <v>C.</v>
      </c>
      <c r="J1370" s="1377"/>
      <c r="K1370" s="1377"/>
      <c r="L1370" s="1372"/>
    </row>
    <row r="1371" spans="1:12" s="31" customFormat="1" ht="17.25" customHeight="1">
      <c r="A1371" s="1375" t="s">
        <v>121</v>
      </c>
      <c r="B1371" s="1629" t="s">
        <v>865</v>
      </c>
      <c r="C1371" s="1378">
        <f>VLOOKUP(B1369,'CNKT '!$C$101:$Z$182,3,0)</f>
        <v>0</v>
      </c>
      <c r="D1371" s="1379">
        <v>25000</v>
      </c>
      <c r="E1371" s="1377">
        <f t="shared" ref="E1371:E1376" si="159">C1371*D1371</f>
        <v>0</v>
      </c>
      <c r="F1371" s="1436"/>
      <c r="G1371" s="1375" t="s">
        <v>121</v>
      </c>
      <c r="H1371" s="1629" t="s">
        <v>865</v>
      </c>
      <c r="I1371" s="1378">
        <f>VLOOKUP(H1369,'CNKT '!$C$101:$Z$182,3,0)</f>
        <v>0</v>
      </c>
      <c r="J1371" s="1379">
        <v>25000</v>
      </c>
      <c r="K1371" s="1377">
        <f t="shared" ref="K1371:K1376" si="160">I1371*J1371</f>
        <v>0</v>
      </c>
      <c r="L1371" s="1372"/>
    </row>
    <row r="1372" spans="1:12" s="31" customFormat="1" ht="17.25" customHeight="1">
      <c r="A1372" s="1375" t="s">
        <v>628</v>
      </c>
      <c r="B1372" s="1630" t="s">
        <v>1081</v>
      </c>
      <c r="C1372" s="1433">
        <f>VLOOKUP(B1369,'CNKT '!$C$101:$Z$182,11,0)</f>
        <v>0</v>
      </c>
      <c r="D1372" s="1380">
        <f>46.1*$B$2</f>
        <v>30241.600000000002</v>
      </c>
      <c r="E1372" s="1377">
        <f t="shared" si="159"/>
        <v>0</v>
      </c>
      <c r="F1372" s="1436"/>
      <c r="G1372" s="1375" t="s">
        <v>628</v>
      </c>
      <c r="H1372" s="1630" t="s">
        <v>1081</v>
      </c>
      <c r="I1372" s="1433">
        <f>VLOOKUP(H1369,'CNKT '!$C$101:$Z$182,11,0)</f>
        <v>0</v>
      </c>
      <c r="J1372" s="1380">
        <f>46.1*$B$2</f>
        <v>30241.600000000002</v>
      </c>
      <c r="K1372" s="1377">
        <f t="shared" si="160"/>
        <v>0</v>
      </c>
      <c r="L1372" s="1372"/>
    </row>
    <row r="1373" spans="1:12" s="31" customFormat="1" ht="17.25" customHeight="1">
      <c r="A1373" s="1375" t="s">
        <v>809</v>
      </c>
      <c r="B1373" s="1630" t="s">
        <v>1082</v>
      </c>
      <c r="C1373" s="1433">
        <f>VLOOKUP(B1369,'CNKT '!$C$101:$Z$182,12,0)</f>
        <v>0</v>
      </c>
      <c r="D1373" s="1379">
        <f>76.9*$B$2</f>
        <v>50446.400000000001</v>
      </c>
      <c r="E1373" s="1377">
        <f t="shared" si="159"/>
        <v>0</v>
      </c>
      <c r="F1373" s="1436"/>
      <c r="G1373" s="1375" t="s">
        <v>809</v>
      </c>
      <c r="H1373" s="1630" t="s">
        <v>1082</v>
      </c>
      <c r="I1373" s="1433">
        <f>VLOOKUP(H1369,'CNKT '!$C$101:$Z$182,12,0)</f>
        <v>0</v>
      </c>
      <c r="J1373" s="1379">
        <f>76.9*$B$2</f>
        <v>50446.400000000001</v>
      </c>
      <c r="K1373" s="1377">
        <f t="shared" si="160"/>
        <v>0</v>
      </c>
      <c r="L1373" s="1372"/>
    </row>
    <row r="1374" spans="1:12" s="31" customFormat="1" ht="17.25" customHeight="1">
      <c r="A1374" s="1375" t="s">
        <v>122</v>
      </c>
      <c r="B1374" s="1630" t="s">
        <v>1083</v>
      </c>
      <c r="C1374" s="1433">
        <f>VLOOKUP(B1369,'CNKT '!$C$101:$Z$182,8,0)</f>
        <v>0</v>
      </c>
      <c r="D1374" s="1379">
        <f>IF(C1370="A",6.1,IF(C1370="B",5.8,IF(C1370="C",5.5,IF(C1370="C.",5.5,IF(C1370="D",5.2)))))*$B$2</f>
        <v>3608</v>
      </c>
      <c r="E1374" s="1377">
        <f t="shared" si="159"/>
        <v>0</v>
      </c>
      <c r="F1374" s="1436"/>
      <c r="G1374" s="1375" t="s">
        <v>122</v>
      </c>
      <c r="H1374" s="1630" t="s">
        <v>1083</v>
      </c>
      <c r="I1374" s="1433">
        <f>VLOOKUP(H1369,'CNKT '!$C$101:$Z$182,8,0)</f>
        <v>0</v>
      </c>
      <c r="J1374" s="1379">
        <f>IF(I1370="A",6.1,IF(I1370="B",5.8,IF(I1370="C",5.5,IF(I1370="C.",5.5,IF(I1370="D",5.2)))))*$B$2</f>
        <v>3608</v>
      </c>
      <c r="K1374" s="1377">
        <f t="shared" si="160"/>
        <v>0</v>
      </c>
      <c r="L1374" s="1372"/>
    </row>
    <row r="1375" spans="1:12" s="31" customFormat="1" ht="17.25" customHeight="1">
      <c r="A1375" s="1375" t="s">
        <v>959</v>
      </c>
      <c r="B1375" s="1630" t="s">
        <v>1084</v>
      </c>
      <c r="C1375" s="1433">
        <f>VLOOKUP(B1369,'CNKT '!$C$101:$Z$182,15,0)</f>
        <v>0</v>
      </c>
      <c r="D1375" s="1380">
        <f>92.2*$B$2</f>
        <v>60483.200000000004</v>
      </c>
      <c r="E1375" s="1377">
        <f t="shared" si="159"/>
        <v>0</v>
      </c>
      <c r="F1375" s="1436"/>
      <c r="G1375" s="1375" t="s">
        <v>959</v>
      </c>
      <c r="H1375" s="1630" t="s">
        <v>1084</v>
      </c>
      <c r="I1375" s="1433">
        <f>VLOOKUP(H1369,'CNKT '!$C$101:$Z$182,15,0)</f>
        <v>0</v>
      </c>
      <c r="J1375" s="1380">
        <f>92.2*$B$2</f>
        <v>60483.200000000004</v>
      </c>
      <c r="K1375" s="1377">
        <f t="shared" si="160"/>
        <v>0</v>
      </c>
      <c r="L1375" s="1372"/>
    </row>
    <row r="1376" spans="1:12" s="31" customFormat="1" ht="17.25" customHeight="1">
      <c r="A1376" s="1375" t="s">
        <v>960</v>
      </c>
      <c r="B1376" s="1630" t="s">
        <v>964</v>
      </c>
      <c r="C1376" s="1433">
        <f>VLOOKUP(B1369,'CNKT '!$C$101:$Z$182,16,0)</f>
        <v>0</v>
      </c>
      <c r="D1376" s="1379">
        <f>153.8*$B$2</f>
        <v>100892.8</v>
      </c>
      <c r="E1376" s="1377">
        <f t="shared" si="159"/>
        <v>0</v>
      </c>
      <c r="F1376" s="1436"/>
      <c r="G1376" s="1375" t="s">
        <v>960</v>
      </c>
      <c r="H1376" s="1630" t="s">
        <v>964</v>
      </c>
      <c r="I1376" s="1433">
        <f>VLOOKUP(H1369,'CNKT '!$C$101:$Z$182,16,0)</f>
        <v>0</v>
      </c>
      <c r="J1376" s="1379">
        <f>153.8*$B$2</f>
        <v>100892.8</v>
      </c>
      <c r="K1376" s="1377">
        <f t="shared" si="160"/>
        <v>0</v>
      </c>
      <c r="L1376" s="1372"/>
    </row>
    <row r="1377" spans="1:12" s="31" customFormat="1" ht="17.25" customHeight="1">
      <c r="A1377" s="1375" t="s">
        <v>899</v>
      </c>
      <c r="B1377" s="1630" t="s">
        <v>965</v>
      </c>
      <c r="C1377" s="1433">
        <f>VLOOKUP(B1369,'CNKT '!$C$101:$Z$188,18,0)</f>
        <v>0</v>
      </c>
      <c r="D1377" s="1379">
        <v>10000</v>
      </c>
      <c r="E1377" s="1377">
        <f>C1377*D1377</f>
        <v>0</v>
      </c>
      <c r="F1377" s="1436"/>
      <c r="G1377" s="1375" t="s">
        <v>899</v>
      </c>
      <c r="H1377" s="1630" t="s">
        <v>965</v>
      </c>
      <c r="I1377" s="1433">
        <f>VLOOKUP(H1369,'CNKT '!$C$101:$Z$188,18,0)</f>
        <v>0</v>
      </c>
      <c r="J1377" s="1379">
        <v>10000</v>
      </c>
      <c r="K1377" s="1377">
        <f>I1377*J1377</f>
        <v>0</v>
      </c>
      <c r="L1377" s="1372"/>
    </row>
    <row r="1378" spans="1:12" s="31" customFormat="1" ht="17.25" customHeight="1">
      <c r="A1378" s="1375" t="s">
        <v>899</v>
      </c>
      <c r="B1378" s="1630" t="s">
        <v>965</v>
      </c>
      <c r="C1378" s="1433">
        <f>VLOOKUP(B1369,'CNKT '!$C$101:$Z$188,19,0)</f>
        <v>0</v>
      </c>
      <c r="D1378" s="1379">
        <v>20000</v>
      </c>
      <c r="E1378" s="1377">
        <f>C1378*D1378</f>
        <v>0</v>
      </c>
      <c r="F1378" s="1436"/>
      <c r="G1378" s="1375" t="s">
        <v>899</v>
      </c>
      <c r="H1378" s="1630" t="s">
        <v>965</v>
      </c>
      <c r="I1378" s="1433">
        <f>VLOOKUP(H1369,'CNKT '!$C$101:$Z$188,19,0)</f>
        <v>0</v>
      </c>
      <c r="J1378" s="1379">
        <v>20000</v>
      </c>
      <c r="K1378" s="1377">
        <f>I1378*J1378</f>
        <v>0</v>
      </c>
      <c r="L1378" s="1372"/>
    </row>
    <row r="1379" spans="1:12" s="31" customFormat="1" ht="17.25" customHeight="1">
      <c r="A1379" s="1375" t="s">
        <v>995</v>
      </c>
      <c r="B1379" s="1630" t="s">
        <v>997</v>
      </c>
      <c r="C1379" s="1433"/>
      <c r="D1379" s="1379"/>
      <c r="E1379" s="1377"/>
      <c r="F1379" s="1436"/>
      <c r="G1379" s="1375" t="s">
        <v>995</v>
      </c>
      <c r="H1379" s="1630" t="s">
        <v>997</v>
      </c>
      <c r="I1379" s="1433"/>
      <c r="J1379" s="1379"/>
      <c r="K1379" s="1377"/>
      <c r="L1379" s="1372"/>
    </row>
    <row r="1380" spans="1:12" s="31" customFormat="1" ht="17.25" customHeight="1">
      <c r="A1380" s="1381" t="s">
        <v>123</v>
      </c>
      <c r="B1380" s="1631" t="s">
        <v>1085</v>
      </c>
      <c r="C1380" s="1382"/>
      <c r="D1380" s="1383"/>
      <c r="E1380" s="1382"/>
      <c r="F1380" s="1436"/>
      <c r="G1380" s="1381" t="s">
        <v>123</v>
      </c>
      <c r="H1380" s="1631" t="s">
        <v>1085</v>
      </c>
      <c r="I1380" s="1382"/>
      <c r="J1380" s="1383"/>
      <c r="K1380" s="1382"/>
      <c r="L1380" s="1372"/>
    </row>
    <row r="1381" spans="1:12" s="31" customFormat="1" ht="17.25" customHeight="1">
      <c r="A1381" s="1384" t="s">
        <v>124</v>
      </c>
      <c r="B1381" s="1632" t="s">
        <v>1086</v>
      </c>
      <c r="C1381" s="1382"/>
      <c r="D1381" s="1382"/>
      <c r="E1381" s="1382"/>
      <c r="F1381" s="1436"/>
      <c r="G1381" s="1384" t="s">
        <v>124</v>
      </c>
      <c r="H1381" s="1632" t="s">
        <v>1086</v>
      </c>
      <c r="I1381" s="1382"/>
      <c r="J1381" s="1382"/>
      <c r="K1381" s="1382"/>
      <c r="L1381" s="1372"/>
    </row>
    <row r="1382" spans="1:12" s="31" customFormat="1" ht="17.25" customHeight="1">
      <c r="A1382" s="1384" t="s">
        <v>125</v>
      </c>
      <c r="B1382" s="1633" t="s">
        <v>1087</v>
      </c>
      <c r="C1382" s="1382"/>
      <c r="D1382" s="1382"/>
      <c r="E1382" s="1377">
        <f>SUM(E1381)</f>
        <v>0</v>
      </c>
      <c r="F1382" s="1436"/>
      <c r="G1382" s="1384" t="s">
        <v>125</v>
      </c>
      <c r="H1382" s="1633" t="s">
        <v>1087</v>
      </c>
      <c r="I1382" s="1382"/>
      <c r="J1382" s="1382"/>
      <c r="K1382" s="1377">
        <f>SUM(K1381)</f>
        <v>0</v>
      </c>
      <c r="L1382" s="1372"/>
    </row>
    <row r="1383" spans="1:12" s="31" customFormat="1" ht="17.25" customHeight="1">
      <c r="A1383" s="1386" t="s">
        <v>126</v>
      </c>
      <c r="B1383" s="1634" t="s">
        <v>871</v>
      </c>
      <c r="C1383" s="1387"/>
      <c r="D1383" s="1387"/>
      <c r="E1383" s="1387">
        <f>(E1371+E1372+E1373+E1374+E1375+E1376+E1377+E1378+E1379)-E1382</f>
        <v>0</v>
      </c>
      <c r="F1383" s="1436"/>
      <c r="G1383" s="1386" t="s">
        <v>126</v>
      </c>
      <c r="H1383" s="1634" t="s">
        <v>871</v>
      </c>
      <c r="I1383" s="1387"/>
      <c r="J1383" s="1387"/>
      <c r="K1383" s="1387">
        <f>(K1371+K1372+K1373+K1374+K1375+K1376+K1377+K1378+K1379)-K1382</f>
        <v>0</v>
      </c>
      <c r="L1383" s="1389">
        <f>E1383+K1383</f>
        <v>0</v>
      </c>
    </row>
    <row r="1384" spans="1:12" s="31" customFormat="1" ht="17.25" customHeight="1">
      <c r="A1384" s="1449"/>
      <c r="B1384" s="1449"/>
      <c r="C1384" s="1449"/>
      <c r="D1384" s="1449"/>
      <c r="E1384" s="1449"/>
      <c r="F1384" s="1427"/>
      <c r="G1384" s="1449"/>
      <c r="H1384" s="1449"/>
      <c r="I1384" s="1449"/>
      <c r="J1384" s="1449"/>
      <c r="K1384" s="1428"/>
      <c r="L1384" s="1372"/>
    </row>
    <row r="1385" spans="1:12" s="31" customFormat="1" ht="17.25" customHeight="1">
      <c r="A1385" s="1449" t="str">
        <f>A1368</f>
        <v>LƯƠNG THÁNG 01/2025</v>
      </c>
      <c r="B1385" s="1449"/>
      <c r="C1385" s="1449"/>
      <c r="D1385" s="1449"/>
      <c r="E1385" s="1449">
        <f>VLOOKUP(B1386,'CNKT '!$C$101:$AD$188,26,0)</f>
        <v>0</v>
      </c>
      <c r="F1385" s="1427"/>
      <c r="G1385" s="1449" t="str">
        <f>A1385</f>
        <v>LƯƠNG THÁNG 01/2025</v>
      </c>
      <c r="H1385" s="1449"/>
      <c r="I1385" s="1449"/>
      <c r="J1385" s="1449"/>
      <c r="K1385" s="1449">
        <f>VLOOKUP(H1386,'CNKT '!$C$101:$AD$188,26,0)</f>
        <v>0</v>
      </c>
      <c r="L1385" s="1372"/>
    </row>
    <row r="1386" spans="1:12" s="31" customFormat="1" ht="17.25" customHeight="1">
      <c r="A1386" s="1391" t="s">
        <v>29</v>
      </c>
      <c r="B1386" s="1626" t="str">
        <f>'CNKT '!C177</f>
        <v>A thít</v>
      </c>
      <c r="C1386" s="1376"/>
      <c r="D1386" s="1626" t="s">
        <v>806</v>
      </c>
      <c r="E1386" s="1626" t="s">
        <v>32</v>
      </c>
      <c r="F1386" s="1436"/>
      <c r="G1386" s="1391" t="s">
        <v>29</v>
      </c>
      <c r="H1386" s="1626" t="str">
        <f>'CNKT '!C178</f>
        <v>Món</v>
      </c>
      <c r="I1386" s="1376"/>
      <c r="J1386" s="1626" t="s">
        <v>806</v>
      </c>
      <c r="K1386" s="1626" t="s">
        <v>32</v>
      </c>
      <c r="L1386" s="1372"/>
    </row>
    <row r="1387" spans="1:12" s="31" customFormat="1" ht="17.25" customHeight="1">
      <c r="A1387" s="1375" t="s">
        <v>807</v>
      </c>
      <c r="B1387" s="1628" t="s">
        <v>1080</v>
      </c>
      <c r="C1387" s="1376" t="str">
        <f>VLOOKUP(B1386,'BTH mủ tạp'!$C$97:$AL$175,36,0)</f>
        <v>C.</v>
      </c>
      <c r="D1387" s="1377"/>
      <c r="E1387" s="1377"/>
      <c r="F1387" s="1436"/>
      <c r="G1387" s="1375" t="s">
        <v>807</v>
      </c>
      <c r="H1387" s="1628" t="s">
        <v>1080</v>
      </c>
      <c r="I1387" s="1376" t="str">
        <f>VLOOKUP(H1386,'BTH mủ tạp'!$C$97:$AL$175,36,0)</f>
        <v>C.</v>
      </c>
      <c r="J1387" s="1377"/>
      <c r="K1387" s="1377"/>
      <c r="L1387" s="1372"/>
    </row>
    <row r="1388" spans="1:12" s="31" customFormat="1" ht="17.25" customHeight="1">
      <c r="A1388" s="1375" t="s">
        <v>121</v>
      </c>
      <c r="B1388" s="1629" t="s">
        <v>865</v>
      </c>
      <c r="C1388" s="1378">
        <f>VLOOKUP(B1386,'CNKT '!$C$101:$Z$182,3,0)</f>
        <v>0</v>
      </c>
      <c r="D1388" s="1379">
        <v>25000</v>
      </c>
      <c r="E1388" s="1377">
        <f t="shared" ref="E1388:E1393" si="161">C1388*D1388</f>
        <v>0</v>
      </c>
      <c r="F1388" s="1436"/>
      <c r="G1388" s="1375" t="s">
        <v>121</v>
      </c>
      <c r="H1388" s="1629" t="s">
        <v>865</v>
      </c>
      <c r="I1388" s="1378">
        <f>VLOOKUP(H1386,'CNKT '!$C$101:$Z$182,3,0)</f>
        <v>0</v>
      </c>
      <c r="J1388" s="1379">
        <v>25000</v>
      </c>
      <c r="K1388" s="1377">
        <f t="shared" ref="K1388:K1393" si="162">I1388*J1388</f>
        <v>0</v>
      </c>
      <c r="L1388" s="1372"/>
    </row>
    <row r="1389" spans="1:12" s="31" customFormat="1" ht="17.25" customHeight="1">
      <c r="A1389" s="1375" t="s">
        <v>628</v>
      </c>
      <c r="B1389" s="1630" t="s">
        <v>1081</v>
      </c>
      <c r="C1389" s="1433">
        <f>VLOOKUP(B1386,'CNKT '!$C$101:$Z$182,11,0)</f>
        <v>0</v>
      </c>
      <c r="D1389" s="1380">
        <f>46.1*$B$2</f>
        <v>30241.600000000002</v>
      </c>
      <c r="E1389" s="1377">
        <f t="shared" si="161"/>
        <v>0</v>
      </c>
      <c r="F1389" s="1436"/>
      <c r="G1389" s="1375" t="s">
        <v>628</v>
      </c>
      <c r="H1389" s="1630" t="s">
        <v>1081</v>
      </c>
      <c r="I1389" s="1433">
        <f>VLOOKUP(H1386,'CNKT '!$C$101:$Z$182,11,0)</f>
        <v>0</v>
      </c>
      <c r="J1389" s="1380">
        <f>46.1*$B$2</f>
        <v>30241.600000000002</v>
      </c>
      <c r="K1389" s="1377">
        <f t="shared" si="162"/>
        <v>0</v>
      </c>
      <c r="L1389" s="1372"/>
    </row>
    <row r="1390" spans="1:12" s="31" customFormat="1" ht="17.25" customHeight="1">
      <c r="A1390" s="1375" t="s">
        <v>809</v>
      </c>
      <c r="B1390" s="1630" t="s">
        <v>1082</v>
      </c>
      <c r="C1390" s="1433">
        <f>VLOOKUP(B1386,'CNKT '!$C$101:$Z$182,12,0)</f>
        <v>0</v>
      </c>
      <c r="D1390" s="1379">
        <f>76.9*$B$2</f>
        <v>50446.400000000001</v>
      </c>
      <c r="E1390" s="1377">
        <f t="shared" si="161"/>
        <v>0</v>
      </c>
      <c r="F1390" s="1436"/>
      <c r="G1390" s="1375" t="s">
        <v>809</v>
      </c>
      <c r="H1390" s="1630" t="s">
        <v>1082</v>
      </c>
      <c r="I1390" s="1433">
        <f>VLOOKUP(H1386,'CNKT '!$C$101:$Z$182,12,0)</f>
        <v>0</v>
      </c>
      <c r="J1390" s="1379">
        <f>76.9*$B$2</f>
        <v>50446.400000000001</v>
      </c>
      <c r="K1390" s="1377">
        <f t="shared" si="162"/>
        <v>0</v>
      </c>
      <c r="L1390" s="1372"/>
    </row>
    <row r="1391" spans="1:12" s="31" customFormat="1" ht="17.25" customHeight="1">
      <c r="A1391" s="1375" t="s">
        <v>122</v>
      </c>
      <c r="B1391" s="1630" t="s">
        <v>1083</v>
      </c>
      <c r="C1391" s="1433">
        <f>VLOOKUP(B1386,'CNKT '!$C$101:$Z$182,8,0)</f>
        <v>0</v>
      </c>
      <c r="D1391" s="1379">
        <f>IF(C1387="A",6.1,IF(C1387="B",5.8,IF(C1387="C",5.5,IF(C1387="C.",5.5,IF(C1387="D",5.2)))))*$B$2</f>
        <v>3608</v>
      </c>
      <c r="E1391" s="1377">
        <f t="shared" si="161"/>
        <v>0</v>
      </c>
      <c r="F1391" s="1436"/>
      <c r="G1391" s="1375" t="s">
        <v>122</v>
      </c>
      <c r="H1391" s="1630" t="s">
        <v>1083</v>
      </c>
      <c r="I1391" s="1433">
        <f>VLOOKUP(H1386,'CNKT '!$C$101:$Z$182,8,0)</f>
        <v>0</v>
      </c>
      <c r="J1391" s="1379">
        <f>IF(I1387="A",6.1,IF(I1387="B",5.8,IF(I1387="C",5.5,IF(I1387="C.",5.5,IF(I1387="D",5.2)))))*$B$2</f>
        <v>3608</v>
      </c>
      <c r="K1391" s="1377">
        <f t="shared" si="162"/>
        <v>0</v>
      </c>
      <c r="L1391" s="1372"/>
    </row>
    <row r="1392" spans="1:12" s="31" customFormat="1" ht="17.25" customHeight="1">
      <c r="A1392" s="1375" t="s">
        <v>959</v>
      </c>
      <c r="B1392" s="1630" t="s">
        <v>1084</v>
      </c>
      <c r="C1392" s="1433">
        <f>VLOOKUP(B1386,'CNKT '!$C$101:$Z$182,15,0)</f>
        <v>0</v>
      </c>
      <c r="D1392" s="1380">
        <f>92.2*$B$2</f>
        <v>60483.200000000004</v>
      </c>
      <c r="E1392" s="1377">
        <f t="shared" si="161"/>
        <v>0</v>
      </c>
      <c r="F1392" s="1436"/>
      <c r="G1392" s="1375" t="s">
        <v>959</v>
      </c>
      <c r="H1392" s="1630" t="s">
        <v>1084</v>
      </c>
      <c r="I1392" s="1433">
        <f>VLOOKUP(H1386,'CNKT '!$C$101:$Z$182,15,0)</f>
        <v>0</v>
      </c>
      <c r="J1392" s="1380">
        <f>92.2*$B$2</f>
        <v>60483.200000000004</v>
      </c>
      <c r="K1392" s="1377">
        <f t="shared" si="162"/>
        <v>0</v>
      </c>
      <c r="L1392" s="1372"/>
    </row>
    <row r="1393" spans="1:12" s="31" customFormat="1" ht="17.25" customHeight="1">
      <c r="A1393" s="1375" t="s">
        <v>960</v>
      </c>
      <c r="B1393" s="1630" t="s">
        <v>964</v>
      </c>
      <c r="C1393" s="1433">
        <f>VLOOKUP(B1386,'CNKT '!$C$101:$Z$182,16,0)</f>
        <v>0</v>
      </c>
      <c r="D1393" s="1379">
        <f>153.8*$B$2</f>
        <v>100892.8</v>
      </c>
      <c r="E1393" s="1377">
        <f t="shared" si="161"/>
        <v>0</v>
      </c>
      <c r="F1393" s="1436"/>
      <c r="G1393" s="1375" t="s">
        <v>960</v>
      </c>
      <c r="H1393" s="1630" t="s">
        <v>964</v>
      </c>
      <c r="I1393" s="1433">
        <f>VLOOKUP(H1386,'CNKT '!$C$101:$Z$182,16,0)</f>
        <v>0</v>
      </c>
      <c r="J1393" s="1379">
        <f>153.8*$B$2</f>
        <v>100892.8</v>
      </c>
      <c r="K1393" s="1377">
        <f t="shared" si="162"/>
        <v>0</v>
      </c>
      <c r="L1393" s="1372"/>
    </row>
    <row r="1394" spans="1:12" s="31" customFormat="1" ht="17.25" customHeight="1">
      <c r="A1394" s="1375" t="s">
        <v>899</v>
      </c>
      <c r="B1394" s="1630" t="s">
        <v>965</v>
      </c>
      <c r="C1394" s="1433">
        <f>VLOOKUP(B1386,'CNKT '!$C$101:$Z$188,18,0)</f>
        <v>0</v>
      </c>
      <c r="D1394" s="1379">
        <v>10000</v>
      </c>
      <c r="E1394" s="1377">
        <f>C1394*D1394</f>
        <v>0</v>
      </c>
      <c r="F1394" s="1436"/>
      <c r="G1394" s="1375" t="s">
        <v>899</v>
      </c>
      <c r="H1394" s="1630" t="s">
        <v>965</v>
      </c>
      <c r="I1394" s="1433">
        <f>VLOOKUP(H1386,'CNKT '!$C$101:$Z$188,18,0)</f>
        <v>0</v>
      </c>
      <c r="J1394" s="1379">
        <v>10000</v>
      </c>
      <c r="K1394" s="1377">
        <f>I1394*J1394</f>
        <v>0</v>
      </c>
      <c r="L1394" s="1372"/>
    </row>
    <row r="1395" spans="1:12" s="31" customFormat="1" ht="17.25" customHeight="1">
      <c r="A1395" s="1375" t="s">
        <v>899</v>
      </c>
      <c r="B1395" s="1630" t="s">
        <v>965</v>
      </c>
      <c r="C1395" s="1433">
        <f>VLOOKUP(B1386,'CNKT '!$C$101:$Z$188,19,0)</f>
        <v>0</v>
      </c>
      <c r="D1395" s="1379">
        <v>20000</v>
      </c>
      <c r="E1395" s="1377">
        <f>C1395*D1395</f>
        <v>0</v>
      </c>
      <c r="F1395" s="1436"/>
      <c r="G1395" s="1375" t="s">
        <v>899</v>
      </c>
      <c r="H1395" s="1630" t="s">
        <v>965</v>
      </c>
      <c r="I1395" s="1433">
        <f>VLOOKUP(H1386,'CNKT '!$C$101:$Z$188,19,0)</f>
        <v>0</v>
      </c>
      <c r="J1395" s="1379">
        <v>20000</v>
      </c>
      <c r="K1395" s="1377">
        <f>I1395*J1395</f>
        <v>0</v>
      </c>
      <c r="L1395" s="1372"/>
    </row>
    <row r="1396" spans="1:12" s="31" customFormat="1" ht="17.25" customHeight="1">
      <c r="A1396" s="1375" t="s">
        <v>995</v>
      </c>
      <c r="B1396" s="1630" t="s">
        <v>997</v>
      </c>
      <c r="C1396" s="1433"/>
      <c r="D1396" s="1379"/>
      <c r="E1396" s="1377"/>
      <c r="F1396" s="1436"/>
      <c r="G1396" s="1375" t="s">
        <v>995</v>
      </c>
      <c r="H1396" s="1630" t="s">
        <v>997</v>
      </c>
      <c r="I1396" s="1433"/>
      <c r="J1396" s="1379"/>
      <c r="K1396" s="1377"/>
      <c r="L1396" s="1372"/>
    </row>
    <row r="1397" spans="1:12" s="31" customFormat="1" ht="17.25" customHeight="1">
      <c r="A1397" s="1381" t="s">
        <v>123</v>
      </c>
      <c r="B1397" s="1631" t="s">
        <v>1085</v>
      </c>
      <c r="C1397" s="1382"/>
      <c r="D1397" s="1383"/>
      <c r="E1397" s="1382"/>
      <c r="F1397" s="1436"/>
      <c r="G1397" s="1381" t="s">
        <v>123</v>
      </c>
      <c r="H1397" s="1631" t="s">
        <v>1085</v>
      </c>
      <c r="I1397" s="1382"/>
      <c r="J1397" s="1383"/>
      <c r="K1397" s="1382"/>
      <c r="L1397" s="1372"/>
    </row>
    <row r="1398" spans="1:12" s="31" customFormat="1" ht="17.25" customHeight="1">
      <c r="A1398" s="1384" t="s">
        <v>124</v>
      </c>
      <c r="B1398" s="1632" t="s">
        <v>1086</v>
      </c>
      <c r="C1398" s="1382"/>
      <c r="D1398" s="1382"/>
      <c r="E1398" s="1382"/>
      <c r="F1398" s="1436"/>
      <c r="G1398" s="1384" t="s">
        <v>124</v>
      </c>
      <c r="H1398" s="1632" t="s">
        <v>1086</v>
      </c>
      <c r="I1398" s="1382"/>
      <c r="J1398" s="1382"/>
      <c r="K1398" s="1382"/>
      <c r="L1398" s="1372"/>
    </row>
    <row r="1399" spans="1:12" s="31" customFormat="1" ht="17.25" customHeight="1">
      <c r="A1399" s="1384" t="s">
        <v>125</v>
      </c>
      <c r="B1399" s="1633" t="s">
        <v>1087</v>
      </c>
      <c r="C1399" s="1382"/>
      <c r="D1399" s="1382"/>
      <c r="E1399" s="1377">
        <f>SUM(E1398)</f>
        <v>0</v>
      </c>
      <c r="F1399" s="1436"/>
      <c r="G1399" s="1384" t="s">
        <v>125</v>
      </c>
      <c r="H1399" s="1633" t="s">
        <v>1087</v>
      </c>
      <c r="I1399" s="1382"/>
      <c r="J1399" s="1382"/>
      <c r="K1399" s="1377">
        <f>SUM(K1398)</f>
        <v>0</v>
      </c>
      <c r="L1399" s="1372"/>
    </row>
    <row r="1400" spans="1:12" s="31" customFormat="1" ht="17.25" customHeight="1">
      <c r="A1400" s="1386" t="s">
        <v>126</v>
      </c>
      <c r="B1400" s="1634" t="s">
        <v>871</v>
      </c>
      <c r="C1400" s="1387"/>
      <c r="D1400" s="1387"/>
      <c r="E1400" s="1387">
        <f>(E1388+E1389+E1390+E1391+E1392+E1393+E1394+E1395+E1396)-E1399</f>
        <v>0</v>
      </c>
      <c r="F1400" s="1436"/>
      <c r="G1400" s="1386" t="s">
        <v>126</v>
      </c>
      <c r="H1400" s="1634" t="s">
        <v>871</v>
      </c>
      <c r="I1400" s="1387"/>
      <c r="J1400" s="1387"/>
      <c r="K1400" s="1387">
        <f>(K1388+K1389+K1390+K1391+K1392+K1393+K1394+K1395+K1396)-K1399</f>
        <v>0</v>
      </c>
      <c r="L1400" s="1389">
        <f>E1400+K1400</f>
        <v>0</v>
      </c>
    </row>
    <row r="1401" spans="1:12" s="31" customFormat="1" ht="226.5" customHeight="1">
      <c r="A1401" s="1449"/>
      <c r="B1401" s="1449"/>
      <c r="C1401" s="1449"/>
      <c r="D1401" s="1449"/>
      <c r="E1401" s="1449"/>
      <c r="F1401" s="1427"/>
      <c r="G1401" s="1449"/>
      <c r="H1401" s="1449"/>
      <c r="I1401" s="1449"/>
      <c r="J1401" s="1449"/>
      <c r="K1401" s="1428"/>
      <c r="L1401" s="1372"/>
    </row>
    <row r="1402" spans="1:12" s="31" customFormat="1" ht="17.25" customHeight="1">
      <c r="A1402" s="1449" t="str">
        <f>A1385</f>
        <v>LƯƠNG THÁNG 01/2025</v>
      </c>
      <c r="B1402" s="1449"/>
      <c r="C1402" s="1449"/>
      <c r="D1402" s="1449"/>
      <c r="E1402" s="1449">
        <f>VLOOKUP(B1403,'CNKT '!$C$101:$AD$188,26,0)</f>
        <v>0</v>
      </c>
      <c r="F1402" s="1427"/>
      <c r="G1402" s="1449" t="str">
        <f>A1402</f>
        <v>LƯƠNG THÁNG 01/2025</v>
      </c>
      <c r="H1402" s="1449"/>
      <c r="I1402" s="1449"/>
      <c r="J1402" s="1449"/>
      <c r="K1402" s="1449">
        <f>VLOOKUP(H1403,'CNKT '!$C$101:$AD$188,26,0)</f>
        <v>0</v>
      </c>
      <c r="L1402" s="1372"/>
    </row>
    <row r="1403" spans="1:12" s="31" customFormat="1" ht="17.25" customHeight="1">
      <c r="A1403" s="1391" t="s">
        <v>29</v>
      </c>
      <c r="B1403" s="1626" t="str">
        <f>'CNKT '!C179</f>
        <v>A tèng</v>
      </c>
      <c r="C1403" s="1376"/>
      <c r="D1403" s="1626" t="s">
        <v>806</v>
      </c>
      <c r="E1403" s="1626" t="s">
        <v>32</v>
      </c>
      <c r="F1403" s="1436"/>
      <c r="G1403" s="1391" t="s">
        <v>29</v>
      </c>
      <c r="H1403" s="1626" t="str">
        <f>'CNKT '!C180</f>
        <v xml:space="preserve">Đao </v>
      </c>
      <c r="I1403" s="1376"/>
      <c r="J1403" s="1626" t="s">
        <v>806</v>
      </c>
      <c r="K1403" s="1626" t="s">
        <v>32</v>
      </c>
      <c r="L1403" s="1372"/>
    </row>
    <row r="1404" spans="1:12" s="31" customFormat="1" ht="17.25" customHeight="1">
      <c r="A1404" s="1375" t="s">
        <v>807</v>
      </c>
      <c r="B1404" s="1628" t="s">
        <v>1080</v>
      </c>
      <c r="C1404" s="1376" t="str">
        <f>VLOOKUP(B1403,'BTH mủ tạp'!$C$97:$AL$175,36,0)</f>
        <v>C.</v>
      </c>
      <c r="D1404" s="1377"/>
      <c r="E1404" s="1377"/>
      <c r="F1404" s="1436"/>
      <c r="G1404" s="1375" t="s">
        <v>807</v>
      </c>
      <c r="H1404" s="1628" t="s">
        <v>1080</v>
      </c>
      <c r="I1404" s="1376" t="str">
        <f>VLOOKUP(H1403,'BTH mủ tạp'!$C$97:$AL$185,36,0)</f>
        <v>C.</v>
      </c>
      <c r="J1404" s="1377"/>
      <c r="K1404" s="1377"/>
      <c r="L1404" s="1372"/>
    </row>
    <row r="1405" spans="1:12" s="31" customFormat="1" ht="17.25" customHeight="1">
      <c r="A1405" s="1375" t="s">
        <v>121</v>
      </c>
      <c r="B1405" s="1629" t="s">
        <v>865</v>
      </c>
      <c r="C1405" s="1378">
        <f>VLOOKUP(B1403,'CNKT '!$C$101:$Z$182,3,0)</f>
        <v>0</v>
      </c>
      <c r="D1405" s="1379">
        <v>25000</v>
      </c>
      <c r="E1405" s="1377">
        <f t="shared" ref="E1405:E1410" si="163">C1405*D1405</f>
        <v>0</v>
      </c>
      <c r="F1405" s="1436"/>
      <c r="G1405" s="1375" t="s">
        <v>121</v>
      </c>
      <c r="H1405" s="1629" t="s">
        <v>865</v>
      </c>
      <c r="I1405" s="1378">
        <f>VLOOKUP(H1403,'CNKT '!$C$101:$Z$182,3,0)</f>
        <v>0</v>
      </c>
      <c r="J1405" s="1379">
        <v>25000</v>
      </c>
      <c r="K1405" s="1377">
        <f t="shared" ref="K1405:K1410" si="164">I1405*J1405</f>
        <v>0</v>
      </c>
      <c r="L1405" s="1372"/>
    </row>
    <row r="1406" spans="1:12" s="31" customFormat="1" ht="17.25" customHeight="1">
      <c r="A1406" s="1375" t="s">
        <v>628</v>
      </c>
      <c r="B1406" s="1630" t="s">
        <v>1081</v>
      </c>
      <c r="C1406" s="1433">
        <f>VLOOKUP(B1403,'CNKT '!$C$101:$Z$182,11,0)</f>
        <v>0</v>
      </c>
      <c r="D1406" s="1380">
        <f>46.1*$B$2</f>
        <v>30241.600000000002</v>
      </c>
      <c r="E1406" s="1377">
        <f t="shared" si="163"/>
        <v>0</v>
      </c>
      <c r="F1406" s="1436"/>
      <c r="G1406" s="1375" t="s">
        <v>628</v>
      </c>
      <c r="H1406" s="1630" t="s">
        <v>1081</v>
      </c>
      <c r="I1406" s="1433">
        <f>VLOOKUP(H1403,'CNKT '!$C$101:$Z$182,11,0)</f>
        <v>0</v>
      </c>
      <c r="J1406" s="1380">
        <f>46.1*$B$2</f>
        <v>30241.600000000002</v>
      </c>
      <c r="K1406" s="1377">
        <f t="shared" si="164"/>
        <v>0</v>
      </c>
      <c r="L1406" s="1372"/>
    </row>
    <row r="1407" spans="1:12" s="31" customFormat="1" ht="17.25" customHeight="1">
      <c r="A1407" s="1375" t="s">
        <v>809</v>
      </c>
      <c r="B1407" s="1630" t="s">
        <v>1082</v>
      </c>
      <c r="C1407" s="1433">
        <f>VLOOKUP(B1403,'CNKT '!$C$101:$Z$182,12,0)</f>
        <v>0</v>
      </c>
      <c r="D1407" s="1379">
        <f>76.9*$B$2</f>
        <v>50446.400000000001</v>
      </c>
      <c r="E1407" s="1377">
        <f t="shared" si="163"/>
        <v>0</v>
      </c>
      <c r="F1407" s="1436"/>
      <c r="G1407" s="1375" t="s">
        <v>809</v>
      </c>
      <c r="H1407" s="1630" t="s">
        <v>1082</v>
      </c>
      <c r="I1407" s="1433">
        <f>VLOOKUP(H1403,'CNKT '!$C$101:$Z$182,12,0)</f>
        <v>0</v>
      </c>
      <c r="J1407" s="1379">
        <f>76.9*$B$2</f>
        <v>50446.400000000001</v>
      </c>
      <c r="K1407" s="1377">
        <f t="shared" si="164"/>
        <v>0</v>
      </c>
      <c r="L1407" s="1372"/>
    </row>
    <row r="1408" spans="1:12" s="31" customFormat="1" ht="17.25" customHeight="1">
      <c r="A1408" s="1375" t="s">
        <v>122</v>
      </c>
      <c r="B1408" s="1630" t="s">
        <v>1083</v>
      </c>
      <c r="C1408" s="1433">
        <f>VLOOKUP(B1403,'CNKT '!$C$101:$Z$182,8,0)</f>
        <v>0</v>
      </c>
      <c r="D1408" s="1379">
        <f>IF(C1404="A",6.1,IF(C1404="B",5.8,IF(C1404="C",5.5,IF(C1404="C.",5.5,IF(C1404="D",5.2)))))*$B$2</f>
        <v>3608</v>
      </c>
      <c r="E1408" s="1377">
        <f t="shared" si="163"/>
        <v>0</v>
      </c>
      <c r="F1408" s="1436"/>
      <c r="G1408" s="1375" t="s">
        <v>122</v>
      </c>
      <c r="H1408" s="1630" t="s">
        <v>1083</v>
      </c>
      <c r="I1408" s="1433">
        <f>VLOOKUP(H1403,'CNKT '!$C$101:$Z$182,8,0)</f>
        <v>0</v>
      </c>
      <c r="J1408" s="1379">
        <f>IF(I1404="A",6.1,IF(I1404="B",5.8,IF(I1404="C",5.5,IF(I1404="C.",5.5,IF(I1404="D",5.2)))))*$B$2</f>
        <v>3608</v>
      </c>
      <c r="K1408" s="1377">
        <f t="shared" si="164"/>
        <v>0</v>
      </c>
      <c r="L1408" s="1372"/>
    </row>
    <row r="1409" spans="1:12" s="31" customFormat="1" ht="17.25" customHeight="1">
      <c r="A1409" s="1375" t="s">
        <v>959</v>
      </c>
      <c r="B1409" s="1630" t="s">
        <v>1084</v>
      </c>
      <c r="C1409" s="1433">
        <f>VLOOKUP(B1403,'CNKT '!$C$101:$Z$182,15,0)</f>
        <v>0</v>
      </c>
      <c r="D1409" s="1380">
        <f>92.2*$B$2</f>
        <v>60483.200000000004</v>
      </c>
      <c r="E1409" s="1377">
        <f t="shared" si="163"/>
        <v>0</v>
      </c>
      <c r="F1409" s="1436"/>
      <c r="G1409" s="1375" t="s">
        <v>959</v>
      </c>
      <c r="H1409" s="1630" t="s">
        <v>1084</v>
      </c>
      <c r="I1409" s="1433">
        <f>VLOOKUP(H1403,'CNKT '!$C$101:$Z$182,15,0)</f>
        <v>0</v>
      </c>
      <c r="J1409" s="1380">
        <f>92.2*$B$2</f>
        <v>60483.200000000004</v>
      </c>
      <c r="K1409" s="1377">
        <f t="shared" si="164"/>
        <v>0</v>
      </c>
      <c r="L1409" s="1372"/>
    </row>
    <row r="1410" spans="1:12" s="31" customFormat="1" ht="17.25" customHeight="1">
      <c r="A1410" s="1375" t="s">
        <v>960</v>
      </c>
      <c r="B1410" s="1630" t="s">
        <v>964</v>
      </c>
      <c r="C1410" s="1433">
        <f>VLOOKUP(B1403,'CNKT '!$C$101:$Z$182,16,0)</f>
        <v>0</v>
      </c>
      <c r="D1410" s="1379">
        <f>153.8*$B$2</f>
        <v>100892.8</v>
      </c>
      <c r="E1410" s="1377">
        <f t="shared" si="163"/>
        <v>0</v>
      </c>
      <c r="F1410" s="1436"/>
      <c r="G1410" s="1375" t="s">
        <v>960</v>
      </c>
      <c r="H1410" s="1630" t="s">
        <v>964</v>
      </c>
      <c r="I1410" s="1433">
        <f>VLOOKUP(H1403,'CNKT '!$C$101:$Z$182,16,0)</f>
        <v>0</v>
      </c>
      <c r="J1410" s="1379">
        <f>153.8*$B$2</f>
        <v>100892.8</v>
      </c>
      <c r="K1410" s="1377">
        <f t="shared" si="164"/>
        <v>0</v>
      </c>
      <c r="L1410" s="1372"/>
    </row>
    <row r="1411" spans="1:12" s="31" customFormat="1" ht="17.25" customHeight="1">
      <c r="A1411" s="1375" t="s">
        <v>899</v>
      </c>
      <c r="B1411" s="1630" t="s">
        <v>965</v>
      </c>
      <c r="C1411" s="1433">
        <f>VLOOKUP(B1403,'CNKT '!$C$101:$Z$188,18,0)</f>
        <v>0</v>
      </c>
      <c r="D1411" s="1379">
        <v>10000</v>
      </c>
      <c r="E1411" s="1377">
        <f>C1411*D1411</f>
        <v>0</v>
      </c>
      <c r="F1411" s="1436"/>
      <c r="G1411" s="1375" t="s">
        <v>899</v>
      </c>
      <c r="H1411" s="1630" t="s">
        <v>965</v>
      </c>
      <c r="I1411" s="1433">
        <f>VLOOKUP(H1403,'CNKT '!$C$101:$Z$188,18,0)</f>
        <v>0</v>
      </c>
      <c r="J1411" s="1379">
        <v>10000</v>
      </c>
      <c r="K1411" s="1377">
        <f>I1411*J1411</f>
        <v>0</v>
      </c>
      <c r="L1411" s="1372"/>
    </row>
    <row r="1412" spans="1:12" s="31" customFormat="1" ht="17.25" customHeight="1">
      <c r="A1412" s="1375" t="s">
        <v>899</v>
      </c>
      <c r="B1412" s="1630" t="s">
        <v>965</v>
      </c>
      <c r="C1412" s="1433">
        <f>VLOOKUP(B1403,'CNKT '!$C$101:$Z$188,19,0)</f>
        <v>0</v>
      </c>
      <c r="D1412" s="1379">
        <v>20000</v>
      </c>
      <c r="E1412" s="1377">
        <f>C1412*D1412</f>
        <v>0</v>
      </c>
      <c r="F1412" s="1436"/>
      <c r="G1412" s="1375" t="s">
        <v>899</v>
      </c>
      <c r="H1412" s="1630" t="s">
        <v>965</v>
      </c>
      <c r="I1412" s="1433">
        <f>VLOOKUP(H1403,'CNKT '!$C$101:$Z$188,19,0)</f>
        <v>0</v>
      </c>
      <c r="J1412" s="1379">
        <v>20000</v>
      </c>
      <c r="K1412" s="1377">
        <f>I1412*J1412</f>
        <v>0</v>
      </c>
      <c r="L1412" s="1372"/>
    </row>
    <row r="1413" spans="1:12" s="31" customFormat="1" ht="17.25" customHeight="1">
      <c r="A1413" s="1375" t="s">
        <v>995</v>
      </c>
      <c r="B1413" s="1630" t="s">
        <v>997</v>
      </c>
      <c r="C1413" s="1433"/>
      <c r="D1413" s="1379"/>
      <c r="E1413" s="1377"/>
      <c r="F1413" s="1436"/>
      <c r="G1413" s="1375" t="s">
        <v>995</v>
      </c>
      <c r="H1413" s="1630" t="s">
        <v>997</v>
      </c>
      <c r="I1413" s="1433"/>
      <c r="J1413" s="1379"/>
      <c r="K1413" s="1377"/>
      <c r="L1413" s="1372"/>
    </row>
    <row r="1414" spans="1:12" s="31" customFormat="1" ht="17.25" customHeight="1">
      <c r="A1414" s="1381" t="s">
        <v>123</v>
      </c>
      <c r="B1414" s="1631" t="s">
        <v>1085</v>
      </c>
      <c r="C1414" s="1382"/>
      <c r="D1414" s="1383"/>
      <c r="E1414" s="1382"/>
      <c r="F1414" s="1436"/>
      <c r="G1414" s="1381" t="s">
        <v>123</v>
      </c>
      <c r="H1414" s="1631" t="s">
        <v>1085</v>
      </c>
      <c r="I1414" s="1382"/>
      <c r="J1414" s="1383"/>
      <c r="K1414" s="1382"/>
      <c r="L1414" s="1372"/>
    </row>
    <row r="1415" spans="1:12" s="31" customFormat="1" ht="17.25" customHeight="1">
      <c r="A1415" s="1384" t="s">
        <v>124</v>
      </c>
      <c r="B1415" s="1632" t="s">
        <v>1086</v>
      </c>
      <c r="C1415" s="1382"/>
      <c r="D1415" s="1382"/>
      <c r="E1415" s="1382"/>
      <c r="F1415" s="1436"/>
      <c r="G1415" s="1384" t="s">
        <v>124</v>
      </c>
      <c r="H1415" s="1632" t="s">
        <v>1086</v>
      </c>
      <c r="I1415" s="1382"/>
      <c r="J1415" s="1382"/>
      <c r="K1415" s="1382"/>
      <c r="L1415" s="1372"/>
    </row>
    <row r="1416" spans="1:12" s="31" customFormat="1" ht="17.25" customHeight="1">
      <c r="A1416" s="1384" t="s">
        <v>125</v>
      </c>
      <c r="B1416" s="1633" t="s">
        <v>1087</v>
      </c>
      <c r="C1416" s="1382"/>
      <c r="D1416" s="1382"/>
      <c r="E1416" s="1377">
        <f>SUM(E1415)</f>
        <v>0</v>
      </c>
      <c r="F1416" s="1436"/>
      <c r="G1416" s="1384" t="s">
        <v>125</v>
      </c>
      <c r="H1416" s="1633" t="s">
        <v>1087</v>
      </c>
      <c r="I1416" s="1382"/>
      <c r="J1416" s="1382"/>
      <c r="K1416" s="1377">
        <f>SUM(K1415)</f>
        <v>0</v>
      </c>
      <c r="L1416" s="1372"/>
    </row>
    <row r="1417" spans="1:12" s="31" customFormat="1" ht="17.25" customHeight="1">
      <c r="A1417" s="1386" t="s">
        <v>126</v>
      </c>
      <c r="B1417" s="1634" t="s">
        <v>871</v>
      </c>
      <c r="C1417" s="1387"/>
      <c r="D1417" s="1387"/>
      <c r="E1417" s="1387">
        <f>(E1405+E1406+E1407+E1408+E1409+E1410+E1411+E1412+E1413)-E1416</f>
        <v>0</v>
      </c>
      <c r="F1417" s="1436"/>
      <c r="G1417" s="1386" t="s">
        <v>126</v>
      </c>
      <c r="H1417" s="1634" t="s">
        <v>871</v>
      </c>
      <c r="I1417" s="1387"/>
      <c r="J1417" s="1387"/>
      <c r="K1417" s="1387">
        <f>(K1405+K1406+K1407+K1408+K1409+K1410+K1411+K1412+K1413)-K1416</f>
        <v>0</v>
      </c>
      <c r="L1417" s="1389">
        <f>E1417+K1417</f>
        <v>0</v>
      </c>
    </row>
    <row r="1418" spans="1:12" s="31" customFormat="1" ht="17.25" customHeight="1">
      <c r="A1418" s="1449"/>
      <c r="B1418" s="1449"/>
      <c r="C1418" s="1449"/>
      <c r="D1418" s="1449"/>
      <c r="E1418" s="1449"/>
      <c r="F1418" s="1427"/>
      <c r="G1418" s="1449"/>
      <c r="H1418" s="1449"/>
      <c r="I1418" s="1449"/>
      <c r="J1418" s="1449"/>
      <c r="K1418" s="1428"/>
      <c r="L1418" s="1372"/>
    </row>
    <row r="1419" spans="1:12" s="31" customFormat="1" ht="17.25" customHeight="1">
      <c r="A1419" s="1449" t="str">
        <f>A1402</f>
        <v>LƯƠNG THÁNG 01/2025</v>
      </c>
      <c r="B1419" s="1449"/>
      <c r="C1419" s="1449"/>
      <c r="D1419" s="1449"/>
      <c r="E1419" s="1449">
        <f>VLOOKUP(B1420,'CNKT '!$C$101:$AD$188,26,0)</f>
        <v>0</v>
      </c>
      <c r="F1419" s="1427"/>
      <c r="G1419" s="1449" t="str">
        <f>A1419</f>
        <v>LƯƠNG THÁNG 01/2025</v>
      </c>
      <c r="H1419" s="1449"/>
      <c r="I1419" s="1449"/>
      <c r="J1419" s="1449"/>
      <c r="K1419" s="1449">
        <f>VLOOKUP(H1420,'CNKT '!$C$101:$AD$188,26,0)</f>
        <v>0</v>
      </c>
      <c r="L1419" s="1372"/>
    </row>
    <row r="1420" spans="1:12" s="31" customFormat="1" ht="17.25" customHeight="1">
      <c r="A1420" s="1391" t="s">
        <v>29</v>
      </c>
      <c r="B1420" s="1626" t="str">
        <f>'CNKT '!C182</f>
        <v>Phay</v>
      </c>
      <c r="C1420" s="1376"/>
      <c r="D1420" s="1626" t="s">
        <v>806</v>
      </c>
      <c r="E1420" s="1626" t="s">
        <v>32</v>
      </c>
      <c r="F1420" s="1436"/>
      <c r="G1420" s="1391" t="s">
        <v>29</v>
      </c>
      <c r="H1420" s="1626" t="str">
        <f>'CNKT '!C181</f>
        <v>Lôn</v>
      </c>
      <c r="I1420" s="1376"/>
      <c r="J1420" s="1626" t="s">
        <v>806</v>
      </c>
      <c r="K1420" s="1626" t="s">
        <v>32</v>
      </c>
      <c r="L1420" s="1372"/>
    </row>
    <row r="1421" spans="1:12" s="31" customFormat="1" ht="17.25" customHeight="1">
      <c r="A1421" s="1375" t="s">
        <v>807</v>
      </c>
      <c r="B1421" s="1628" t="s">
        <v>1080</v>
      </c>
      <c r="C1421" s="1376" t="str">
        <f>VLOOKUP(B1420,'BTH mủ tạp'!$C$97:$AL$185,36,0)</f>
        <v>C.</v>
      </c>
      <c r="D1421" s="1377"/>
      <c r="E1421" s="1377"/>
      <c r="F1421" s="1436"/>
      <c r="G1421" s="1375" t="s">
        <v>807</v>
      </c>
      <c r="H1421" s="1628" t="s">
        <v>1080</v>
      </c>
      <c r="I1421" s="1376" t="str">
        <f>VLOOKUP(H1420,'BTH mủ tạp'!$C$97:$AL$185,36,0)</f>
        <v>C.</v>
      </c>
      <c r="J1421" s="1377"/>
      <c r="K1421" s="1377"/>
      <c r="L1421" s="1372"/>
    </row>
    <row r="1422" spans="1:12" s="31" customFormat="1" ht="17.25" customHeight="1">
      <c r="A1422" s="1375" t="s">
        <v>121</v>
      </c>
      <c r="B1422" s="1629" t="s">
        <v>865</v>
      </c>
      <c r="C1422" s="1378">
        <f>VLOOKUP(B1420,'CNKT '!$C$101:$Z$182,3,0)</f>
        <v>0</v>
      </c>
      <c r="D1422" s="1379">
        <v>25000</v>
      </c>
      <c r="E1422" s="1377">
        <f t="shared" ref="E1422:E1427" si="165">C1422*D1422</f>
        <v>0</v>
      </c>
      <c r="F1422" s="1436"/>
      <c r="G1422" s="1375" t="s">
        <v>121</v>
      </c>
      <c r="H1422" s="1629" t="s">
        <v>865</v>
      </c>
      <c r="I1422" s="1378">
        <f>VLOOKUP(H1420,'CNKT '!$C$101:$Z$182,3,0)</f>
        <v>0</v>
      </c>
      <c r="J1422" s="1379">
        <v>25000</v>
      </c>
      <c r="K1422" s="1377">
        <f t="shared" ref="K1422:K1427" si="166">I1422*J1422</f>
        <v>0</v>
      </c>
      <c r="L1422" s="1372"/>
    </row>
    <row r="1423" spans="1:12" s="31" customFormat="1" ht="17.25" customHeight="1">
      <c r="A1423" s="1375" t="s">
        <v>628</v>
      </c>
      <c r="B1423" s="1630" t="s">
        <v>1081</v>
      </c>
      <c r="C1423" s="1433">
        <f>VLOOKUP(B1420,'CNKT '!$C$101:$Z$182,11,0)</f>
        <v>0</v>
      </c>
      <c r="D1423" s="1380">
        <f>46.1*$B$2</f>
        <v>30241.600000000002</v>
      </c>
      <c r="E1423" s="1377">
        <f t="shared" si="165"/>
        <v>0</v>
      </c>
      <c r="F1423" s="1436"/>
      <c r="G1423" s="1375" t="s">
        <v>628</v>
      </c>
      <c r="H1423" s="1630" t="s">
        <v>1081</v>
      </c>
      <c r="I1423" s="1433">
        <f>VLOOKUP(H1420,'CNKT '!$C$101:$Z$182,11,0)</f>
        <v>0</v>
      </c>
      <c r="J1423" s="1380">
        <f>46.1*$B$2</f>
        <v>30241.600000000002</v>
      </c>
      <c r="K1423" s="1377">
        <f t="shared" si="166"/>
        <v>0</v>
      </c>
      <c r="L1423" s="1372"/>
    </row>
    <row r="1424" spans="1:12" s="31" customFormat="1" ht="17.25" customHeight="1">
      <c r="A1424" s="1375" t="s">
        <v>809</v>
      </c>
      <c r="B1424" s="1630" t="s">
        <v>1082</v>
      </c>
      <c r="C1424" s="1433">
        <f>VLOOKUP(B1420,'CNKT '!$C$101:$Z$182,12,0)</f>
        <v>0</v>
      </c>
      <c r="D1424" s="1379">
        <f>76.9*$B$2</f>
        <v>50446.400000000001</v>
      </c>
      <c r="E1424" s="1377">
        <f t="shared" si="165"/>
        <v>0</v>
      </c>
      <c r="F1424" s="1436"/>
      <c r="G1424" s="1375" t="s">
        <v>809</v>
      </c>
      <c r="H1424" s="1630" t="s">
        <v>1082</v>
      </c>
      <c r="I1424" s="1433">
        <f>VLOOKUP(H1420,'CNKT '!$C$101:$Z$182,12,0)</f>
        <v>0</v>
      </c>
      <c r="J1424" s="1379">
        <f>76.9*$B$2</f>
        <v>50446.400000000001</v>
      </c>
      <c r="K1424" s="1377">
        <f t="shared" si="166"/>
        <v>0</v>
      </c>
      <c r="L1424" s="1372"/>
    </row>
    <row r="1425" spans="1:12" s="31" customFormat="1" ht="17.25" customHeight="1">
      <c r="A1425" s="1375" t="s">
        <v>122</v>
      </c>
      <c r="B1425" s="1630" t="s">
        <v>1083</v>
      </c>
      <c r="C1425" s="1433">
        <f>VLOOKUP(B1420,'CNKT '!$C$101:$Z$182,8,0)</f>
        <v>0</v>
      </c>
      <c r="D1425" s="1379">
        <f>IF(C1421="A",6.1,IF(C1421="B",5.8,IF(C1421="C",5.5,IF(C1421="C.",5.5,IF(C1421="D",5.2)))))*$B$2</f>
        <v>3608</v>
      </c>
      <c r="E1425" s="1377">
        <f t="shared" si="165"/>
        <v>0</v>
      </c>
      <c r="F1425" s="1436"/>
      <c r="G1425" s="1375" t="s">
        <v>122</v>
      </c>
      <c r="H1425" s="1630" t="s">
        <v>1083</v>
      </c>
      <c r="I1425" s="1433">
        <f>VLOOKUP(H1420,'CNKT '!$C$101:$Z$182,8,0)</f>
        <v>0</v>
      </c>
      <c r="J1425" s="1379">
        <f>IF(I1421="A",6.1,IF(I1421="B",5.8,IF(I1421="C",5.5,IF(I1421="C.",5.5,IF(I1421="D",5.2)))))*$B$2</f>
        <v>3608</v>
      </c>
      <c r="K1425" s="1377">
        <f t="shared" si="166"/>
        <v>0</v>
      </c>
      <c r="L1425" s="1372"/>
    </row>
    <row r="1426" spans="1:12" s="31" customFormat="1" ht="17.25" customHeight="1">
      <c r="A1426" s="1375" t="s">
        <v>959</v>
      </c>
      <c r="B1426" s="1630" t="s">
        <v>1084</v>
      </c>
      <c r="C1426" s="1433">
        <f>VLOOKUP(B1420,'CNKT '!$C$101:$Z$182,15,0)</f>
        <v>0</v>
      </c>
      <c r="D1426" s="1380">
        <f>92.2*$B$2</f>
        <v>60483.200000000004</v>
      </c>
      <c r="E1426" s="1377">
        <f t="shared" si="165"/>
        <v>0</v>
      </c>
      <c r="F1426" s="1436"/>
      <c r="G1426" s="1375" t="s">
        <v>959</v>
      </c>
      <c r="H1426" s="1630" t="s">
        <v>1084</v>
      </c>
      <c r="I1426" s="1433">
        <f>VLOOKUP(H1420,'CNKT '!$C$101:$Z$182,15,0)</f>
        <v>0</v>
      </c>
      <c r="J1426" s="1380">
        <f>92.2*$B$2</f>
        <v>60483.200000000004</v>
      </c>
      <c r="K1426" s="1377">
        <f t="shared" si="166"/>
        <v>0</v>
      </c>
      <c r="L1426" s="1372"/>
    </row>
    <row r="1427" spans="1:12" s="31" customFormat="1" ht="17.25" customHeight="1">
      <c r="A1427" s="1375" t="s">
        <v>960</v>
      </c>
      <c r="B1427" s="1630" t="s">
        <v>964</v>
      </c>
      <c r="C1427" s="1433">
        <f>VLOOKUP(B1420,'CNKT '!$C$101:$Z$182,16,0)</f>
        <v>0</v>
      </c>
      <c r="D1427" s="1379">
        <f>153.8*$B$2</f>
        <v>100892.8</v>
      </c>
      <c r="E1427" s="1377">
        <f t="shared" si="165"/>
        <v>0</v>
      </c>
      <c r="F1427" s="1436"/>
      <c r="G1427" s="1375" t="s">
        <v>960</v>
      </c>
      <c r="H1427" s="1630" t="s">
        <v>964</v>
      </c>
      <c r="I1427" s="1433">
        <f>VLOOKUP(H1420,'CNKT '!$C$101:$Z$182,16,0)</f>
        <v>0</v>
      </c>
      <c r="J1427" s="1379">
        <f>153.8*$B$2</f>
        <v>100892.8</v>
      </c>
      <c r="K1427" s="1377">
        <f t="shared" si="166"/>
        <v>0</v>
      </c>
      <c r="L1427" s="1372"/>
    </row>
    <row r="1428" spans="1:12" s="31" customFormat="1" ht="17.25" customHeight="1">
      <c r="A1428" s="1375" t="s">
        <v>899</v>
      </c>
      <c r="B1428" s="1630" t="s">
        <v>965</v>
      </c>
      <c r="C1428" s="1433">
        <f>VLOOKUP(B1420,'CNKT '!$C$101:$Z$188,18,0)</f>
        <v>0</v>
      </c>
      <c r="D1428" s="1379">
        <v>10000</v>
      </c>
      <c r="E1428" s="1377">
        <f>C1428*D1428</f>
        <v>0</v>
      </c>
      <c r="F1428" s="1436"/>
      <c r="G1428" s="1375" t="s">
        <v>899</v>
      </c>
      <c r="H1428" s="1630" t="s">
        <v>965</v>
      </c>
      <c r="I1428" s="1433">
        <f>VLOOKUP(H1420,'CNKT '!$C$101:$Z$188,18,0)</f>
        <v>0</v>
      </c>
      <c r="J1428" s="1379">
        <v>10000</v>
      </c>
      <c r="K1428" s="1377">
        <f>I1428*J1428</f>
        <v>0</v>
      </c>
      <c r="L1428" s="1372"/>
    </row>
    <row r="1429" spans="1:12" s="31" customFormat="1" ht="17.25" customHeight="1">
      <c r="A1429" s="1375" t="s">
        <v>899</v>
      </c>
      <c r="B1429" s="1630" t="s">
        <v>965</v>
      </c>
      <c r="C1429" s="1433">
        <f>VLOOKUP(B1420,'CNKT '!$C$101:$Z$188,19,0)</f>
        <v>0</v>
      </c>
      <c r="D1429" s="1379">
        <v>20000</v>
      </c>
      <c r="E1429" s="1377">
        <f>C1429*D1429</f>
        <v>0</v>
      </c>
      <c r="F1429" s="1436"/>
      <c r="G1429" s="1375" t="s">
        <v>899</v>
      </c>
      <c r="H1429" s="1630" t="s">
        <v>965</v>
      </c>
      <c r="I1429" s="1433">
        <f>VLOOKUP(H1420,'CNKT '!$C$101:$Z$188,19,0)</f>
        <v>0</v>
      </c>
      <c r="J1429" s="1379">
        <v>20000</v>
      </c>
      <c r="K1429" s="1377">
        <f>I1429*J1429</f>
        <v>0</v>
      </c>
      <c r="L1429" s="1372"/>
    </row>
    <row r="1430" spans="1:12" s="31" customFormat="1" ht="17.25" customHeight="1">
      <c r="A1430" s="1375" t="s">
        <v>995</v>
      </c>
      <c r="B1430" s="1630" t="s">
        <v>997</v>
      </c>
      <c r="C1430" s="1433"/>
      <c r="D1430" s="1379"/>
      <c r="E1430" s="1377"/>
      <c r="F1430" s="1436"/>
      <c r="G1430" s="1375" t="s">
        <v>995</v>
      </c>
      <c r="H1430" s="1630" t="s">
        <v>997</v>
      </c>
      <c r="I1430" s="1433"/>
      <c r="J1430" s="1379"/>
      <c r="K1430" s="1377"/>
      <c r="L1430" s="1372"/>
    </row>
    <row r="1431" spans="1:12" s="31" customFormat="1" ht="17.25" customHeight="1">
      <c r="A1431" s="1381" t="s">
        <v>123</v>
      </c>
      <c r="B1431" s="1631" t="s">
        <v>1085</v>
      </c>
      <c r="C1431" s="1382"/>
      <c r="D1431" s="1383"/>
      <c r="E1431" s="1382"/>
      <c r="F1431" s="1436"/>
      <c r="G1431" s="1381" t="s">
        <v>123</v>
      </c>
      <c r="H1431" s="1631" t="s">
        <v>1085</v>
      </c>
      <c r="I1431" s="1382"/>
      <c r="J1431" s="1383"/>
      <c r="K1431" s="1382"/>
      <c r="L1431" s="1372"/>
    </row>
    <row r="1432" spans="1:12" s="31" customFormat="1" ht="17.25" customHeight="1">
      <c r="A1432" s="1384" t="s">
        <v>124</v>
      </c>
      <c r="B1432" s="1632" t="s">
        <v>1086</v>
      </c>
      <c r="C1432" s="1382"/>
      <c r="D1432" s="1382"/>
      <c r="E1432" s="1382"/>
      <c r="F1432" s="1436"/>
      <c r="G1432" s="1384" t="s">
        <v>124</v>
      </c>
      <c r="H1432" s="1632" t="s">
        <v>1086</v>
      </c>
      <c r="I1432" s="1382"/>
      <c r="J1432" s="1382"/>
      <c r="K1432" s="1382"/>
      <c r="L1432" s="1372"/>
    </row>
    <row r="1433" spans="1:12" s="31" customFormat="1" ht="17.25" customHeight="1">
      <c r="A1433" s="1384" t="s">
        <v>125</v>
      </c>
      <c r="B1433" s="1633" t="s">
        <v>1087</v>
      </c>
      <c r="C1433" s="1382"/>
      <c r="D1433" s="1382"/>
      <c r="E1433" s="1377">
        <f>SUM(E1432)</f>
        <v>0</v>
      </c>
      <c r="F1433" s="1436"/>
      <c r="G1433" s="1384" t="s">
        <v>125</v>
      </c>
      <c r="H1433" s="1633" t="s">
        <v>1087</v>
      </c>
      <c r="I1433" s="1382"/>
      <c r="J1433" s="1382"/>
      <c r="K1433" s="1377">
        <f>SUM(K1432)</f>
        <v>0</v>
      </c>
      <c r="L1433" s="1372"/>
    </row>
    <row r="1434" spans="1:12" s="31" customFormat="1" ht="17.25" customHeight="1">
      <c r="A1434" s="1386" t="s">
        <v>126</v>
      </c>
      <c r="B1434" s="1634" t="s">
        <v>871</v>
      </c>
      <c r="C1434" s="1387"/>
      <c r="D1434" s="1387"/>
      <c r="E1434" s="1387">
        <f>(E1422+E1423+E1424+E1425+E1426+E1427+E1428+E1429+E1430)-E1433</f>
        <v>0</v>
      </c>
      <c r="F1434" s="1436"/>
      <c r="G1434" s="1386" t="s">
        <v>126</v>
      </c>
      <c r="H1434" s="1634" t="s">
        <v>871</v>
      </c>
      <c r="I1434" s="1387"/>
      <c r="J1434" s="1387"/>
      <c r="K1434" s="1387">
        <f>(K1422+K1423+K1424+K1425+K1426+K1427+K1428+K1429+K1430)-K1433</f>
        <v>0</v>
      </c>
      <c r="L1434" s="1389">
        <f>E1434+K1434</f>
        <v>0</v>
      </c>
    </row>
    <row r="1435" spans="1:12" s="31" customFormat="1" ht="17.25" customHeight="1">
      <c r="A1435" s="1449"/>
      <c r="B1435" s="1449"/>
      <c r="C1435" s="1449"/>
      <c r="D1435" s="1449"/>
      <c r="E1435" s="1449"/>
      <c r="F1435" s="1427"/>
      <c r="G1435" s="1449"/>
      <c r="H1435" s="1449"/>
      <c r="I1435" s="1449"/>
      <c r="J1435" s="1449"/>
      <c r="K1435" s="1428"/>
      <c r="L1435" s="1372"/>
    </row>
    <row r="1436" spans="1:12" s="31" customFormat="1" ht="17.25" customHeight="1">
      <c r="A1436" s="1449" t="str">
        <f>A1419</f>
        <v>LƯƠNG THÁNG 01/2025</v>
      </c>
      <c r="B1436" s="1449"/>
      <c r="C1436" s="1449"/>
      <c r="D1436" s="1449"/>
      <c r="E1436" s="1449">
        <f>VLOOKUP(B1437,'CNKT '!$C$101:$AD$188,26,0)</f>
        <v>0</v>
      </c>
      <c r="F1436" s="1427"/>
      <c r="G1436" s="1449" t="str">
        <f>A1436</f>
        <v>LƯƠNG THÁNG 01/2025</v>
      </c>
      <c r="H1436" s="1449"/>
      <c r="I1436" s="1449"/>
      <c r="J1436" s="1449"/>
      <c r="K1436" s="1449">
        <f>VLOOKUP(H1437,'CNKT '!$C$101:$AD$188,26,0)</f>
        <v>0</v>
      </c>
      <c r="L1436" s="1372"/>
    </row>
    <row r="1437" spans="1:12" s="31" customFormat="1" ht="17.25" customHeight="1">
      <c r="A1437" s="1391" t="s">
        <v>29</v>
      </c>
      <c r="B1437" s="1626" t="str">
        <f>'CNKT '!C183</f>
        <v xml:space="preserve">Chày </v>
      </c>
      <c r="C1437" s="1376"/>
      <c r="D1437" s="1626" t="s">
        <v>806</v>
      </c>
      <c r="E1437" s="1626" t="s">
        <v>32</v>
      </c>
      <c r="F1437" s="1436"/>
      <c r="G1437" s="1391" t="s">
        <v>29</v>
      </c>
      <c r="H1437" s="1626" t="str">
        <f>'CNKT '!C187</f>
        <v>Kỷ</v>
      </c>
      <c r="I1437" s="1376"/>
      <c r="J1437" s="1626" t="s">
        <v>806</v>
      </c>
      <c r="K1437" s="1626" t="s">
        <v>32</v>
      </c>
      <c r="L1437" s="1372"/>
    </row>
    <row r="1438" spans="1:12" s="31" customFormat="1" ht="17.25" customHeight="1">
      <c r="A1438" s="1375" t="s">
        <v>807</v>
      </c>
      <c r="B1438" s="1628" t="s">
        <v>1080</v>
      </c>
      <c r="C1438" s="1376" t="str">
        <f>VLOOKUP(B1437,'BTH mủ tạp'!$C$97:$AL$185,36,0)</f>
        <v>C.</v>
      </c>
      <c r="D1438" s="1377"/>
      <c r="E1438" s="1377"/>
      <c r="F1438" s="1436"/>
      <c r="G1438" s="1375" t="s">
        <v>807</v>
      </c>
      <c r="H1438" s="1628" t="s">
        <v>1080</v>
      </c>
      <c r="I1438" s="1376"/>
      <c r="J1438" s="1377"/>
      <c r="K1438" s="1377"/>
      <c r="L1438" s="1372"/>
    </row>
    <row r="1439" spans="1:12" s="31" customFormat="1" ht="17.25" customHeight="1">
      <c r="A1439" s="1375" t="s">
        <v>121</v>
      </c>
      <c r="B1439" s="1629" t="s">
        <v>865</v>
      </c>
      <c r="C1439" s="1378">
        <f>VLOOKUP(B1437,'CNKT '!$C$101:$Z$188,3,0)</f>
        <v>0</v>
      </c>
      <c r="D1439" s="1379">
        <v>25000</v>
      </c>
      <c r="E1439" s="1377">
        <f t="shared" ref="E1439:E1444" si="167">C1439*D1439</f>
        <v>0</v>
      </c>
      <c r="F1439" s="1436"/>
      <c r="G1439" s="1375" t="s">
        <v>121</v>
      </c>
      <c r="H1439" s="1629" t="s">
        <v>865</v>
      </c>
      <c r="I1439" s="1378">
        <f>VLOOKUP(H1437,'CNKT '!$C$101:$Z$188,3,0)</f>
        <v>3852.99</v>
      </c>
      <c r="J1439" s="1379">
        <v>25000</v>
      </c>
      <c r="K1439" s="1377">
        <f t="shared" ref="K1439:K1444" si="168">I1439*J1439</f>
        <v>96324750</v>
      </c>
      <c r="L1439" s="1372"/>
    </row>
    <row r="1440" spans="1:12" s="31" customFormat="1" ht="17.25" customHeight="1">
      <c r="A1440" s="1375" t="s">
        <v>628</v>
      </c>
      <c r="B1440" s="1630" t="s">
        <v>1081</v>
      </c>
      <c r="C1440" s="1433">
        <f>VLOOKUP(B1437,'CNKT '!$C$101:$Z$188,11,0)</f>
        <v>0</v>
      </c>
      <c r="D1440" s="1380">
        <f>46.1*$B$2</f>
        <v>30241.600000000002</v>
      </c>
      <c r="E1440" s="1377">
        <f t="shared" si="167"/>
        <v>0</v>
      </c>
      <c r="F1440" s="1436"/>
      <c r="G1440" s="1375" t="s">
        <v>628</v>
      </c>
      <c r="H1440" s="1630" t="s">
        <v>1081</v>
      </c>
      <c r="I1440" s="1433">
        <f>VLOOKUP(H1437,'CNKT '!$C$101:$Z$188,11,0)</f>
        <v>0</v>
      </c>
      <c r="J1440" s="1380">
        <f>46.1*$B$2</f>
        <v>30241.600000000002</v>
      </c>
      <c r="K1440" s="1377">
        <f t="shared" si="168"/>
        <v>0</v>
      </c>
      <c r="L1440" s="1372"/>
    </row>
    <row r="1441" spans="1:13" s="31" customFormat="1" ht="17.25" customHeight="1">
      <c r="A1441" s="1375" t="s">
        <v>809</v>
      </c>
      <c r="B1441" s="1630" t="s">
        <v>1082</v>
      </c>
      <c r="C1441" s="1433">
        <f>VLOOKUP(B1437,'CNKT '!$C$101:$Z$188,12,0)</f>
        <v>0</v>
      </c>
      <c r="D1441" s="1379">
        <f>76.9*$B$2</f>
        <v>50446.400000000001</v>
      </c>
      <c r="E1441" s="1377">
        <f t="shared" si="167"/>
        <v>0</v>
      </c>
      <c r="F1441" s="1436"/>
      <c r="G1441" s="1375" t="s">
        <v>809</v>
      </c>
      <c r="H1441" s="1630" t="s">
        <v>1082</v>
      </c>
      <c r="I1441" s="1433">
        <f>VLOOKUP(H1437,'CNKT '!$C$101:$Z$188,12,0)</f>
        <v>0</v>
      </c>
      <c r="J1441" s="1379">
        <f>76.9*$B$2</f>
        <v>50446.400000000001</v>
      </c>
      <c r="K1441" s="1377">
        <f t="shared" si="168"/>
        <v>0</v>
      </c>
      <c r="L1441" s="1372"/>
    </row>
    <row r="1442" spans="1:13" s="31" customFormat="1" ht="17.25" customHeight="1">
      <c r="A1442" s="1375" t="s">
        <v>122</v>
      </c>
      <c r="B1442" s="1630" t="s">
        <v>1083</v>
      </c>
      <c r="C1442" s="1433">
        <f>VLOOKUP(B1437,'CNKT '!$C$101:$Z$188,8,0)</f>
        <v>0</v>
      </c>
      <c r="D1442" s="1379">
        <f>IF(C1438="A",6.1,IF(C1438="B",5.8,IF(C1438="C",5.5,IF(C1438="C.",5.5,IF(C1438="D",5.2)))))*$B$2</f>
        <v>3608</v>
      </c>
      <c r="E1442" s="1377">
        <f t="shared" si="167"/>
        <v>0</v>
      </c>
      <c r="F1442" s="1436"/>
      <c r="G1442" s="1375" t="s">
        <v>122</v>
      </c>
      <c r="H1442" s="1630" t="s">
        <v>1083</v>
      </c>
      <c r="I1442" s="1433">
        <f>VLOOKUP(H1437,'CNKT '!$C$101:$Z$188,8,0)</f>
        <v>0</v>
      </c>
      <c r="J1442" s="1379">
        <f>IF(I1438="A",6.1,IF(I1438="B",5.8,IF(I1438="C",5.5,IF(I1438="C.",5.5,IF(I1438="D",5.2)))))*$B$2</f>
        <v>0</v>
      </c>
      <c r="K1442" s="1377">
        <f t="shared" si="168"/>
        <v>0</v>
      </c>
      <c r="L1442" s="1372"/>
    </row>
    <row r="1443" spans="1:13" s="31" customFormat="1" ht="17.25" customHeight="1">
      <c r="A1443" s="1375" t="s">
        <v>959</v>
      </c>
      <c r="B1443" s="1630" t="s">
        <v>1084</v>
      </c>
      <c r="C1443" s="1433">
        <f>VLOOKUP(B1437,'CNKT '!$C$101:$Z$188,15,0)</f>
        <v>0</v>
      </c>
      <c r="D1443" s="1380">
        <f>92.2*$B$2</f>
        <v>60483.200000000004</v>
      </c>
      <c r="E1443" s="1377">
        <f t="shared" si="167"/>
        <v>0</v>
      </c>
      <c r="F1443" s="1436"/>
      <c r="G1443" s="1375" t="s">
        <v>959</v>
      </c>
      <c r="H1443" s="1630" t="s">
        <v>1084</v>
      </c>
      <c r="I1443" s="1433">
        <f>VLOOKUP(H1437,'CNKT '!$C$101:$Z$188,15,0)</f>
        <v>0</v>
      </c>
      <c r="J1443" s="1380">
        <f>92.2*$B$2</f>
        <v>60483.200000000004</v>
      </c>
      <c r="K1443" s="1377">
        <f t="shared" si="168"/>
        <v>0</v>
      </c>
      <c r="L1443" s="1372"/>
    </row>
    <row r="1444" spans="1:13" s="31" customFormat="1" ht="17.25" customHeight="1">
      <c r="A1444" s="1375" t="s">
        <v>960</v>
      </c>
      <c r="B1444" s="1630" t="s">
        <v>964</v>
      </c>
      <c r="C1444" s="1433">
        <f>VLOOKUP(B1437,'CNKT '!$C$101:$Z$188,16,0)</f>
        <v>0</v>
      </c>
      <c r="D1444" s="1379">
        <f>153.8*$B$2</f>
        <v>100892.8</v>
      </c>
      <c r="E1444" s="1377">
        <f t="shared" si="167"/>
        <v>0</v>
      </c>
      <c r="F1444" s="1436"/>
      <c r="G1444" s="1375" t="s">
        <v>960</v>
      </c>
      <c r="H1444" s="1630" t="s">
        <v>964</v>
      </c>
      <c r="I1444" s="1433">
        <f>VLOOKUP(H1437,'CNKT '!$C$101:$Z$188,16,0)</f>
        <v>0</v>
      </c>
      <c r="J1444" s="1379">
        <f>153.8*$B$2</f>
        <v>100892.8</v>
      </c>
      <c r="K1444" s="1377">
        <f t="shared" si="168"/>
        <v>0</v>
      </c>
      <c r="L1444" s="1372"/>
    </row>
    <row r="1445" spans="1:13" s="31" customFormat="1" ht="17.25" customHeight="1">
      <c r="A1445" s="1375" t="s">
        <v>899</v>
      </c>
      <c r="B1445" s="1630" t="s">
        <v>965</v>
      </c>
      <c r="C1445" s="1433">
        <f>VLOOKUP(B1437,'CNKT '!$C$101:$Z$188,18,0)</f>
        <v>0</v>
      </c>
      <c r="D1445" s="1379">
        <v>10000</v>
      </c>
      <c r="E1445" s="1377">
        <f>C1445*D1445</f>
        <v>0</v>
      </c>
      <c r="F1445" s="1436"/>
      <c r="G1445" s="1375" t="s">
        <v>899</v>
      </c>
      <c r="H1445" s="1630" t="s">
        <v>965</v>
      </c>
      <c r="I1445" s="1433">
        <f>VLOOKUP(H1437,'CNKT '!$C$101:$Z$188,18,0)</f>
        <v>0</v>
      </c>
      <c r="J1445" s="1379">
        <v>10000</v>
      </c>
      <c r="K1445" s="1377">
        <f>I1445*J1445</f>
        <v>0</v>
      </c>
      <c r="L1445" s="1372"/>
    </row>
    <row r="1446" spans="1:13" s="31" customFormat="1" ht="17.25" customHeight="1">
      <c r="A1446" s="1375" t="s">
        <v>899</v>
      </c>
      <c r="B1446" s="1630" t="s">
        <v>965</v>
      </c>
      <c r="C1446" s="1433">
        <f>VLOOKUP(B1437,'CNKT '!$C$101:$Z$188,19,0)</f>
        <v>0</v>
      </c>
      <c r="D1446" s="1379">
        <v>20000</v>
      </c>
      <c r="E1446" s="1377">
        <f>C1446*D1446</f>
        <v>0</v>
      </c>
      <c r="F1446" s="1436"/>
      <c r="G1446" s="1375"/>
      <c r="H1446" s="1630" t="s">
        <v>965</v>
      </c>
      <c r="I1446" s="1433">
        <f>VLOOKUP(H1437,'CNKT '!$C$101:$Z$188,19,0)</f>
        <v>0</v>
      </c>
      <c r="J1446" s="1379">
        <v>20000</v>
      </c>
      <c r="K1446" s="1377">
        <f>I1446*J1446</f>
        <v>0</v>
      </c>
      <c r="L1446" s="1372"/>
    </row>
    <row r="1447" spans="1:13" s="31" customFormat="1" ht="17.25" customHeight="1">
      <c r="A1447" s="1375" t="s">
        <v>995</v>
      </c>
      <c r="B1447" s="1630" t="s">
        <v>997</v>
      </c>
      <c r="C1447" s="1433"/>
      <c r="D1447" s="1379"/>
      <c r="E1447" s="1377"/>
      <c r="F1447" s="1436"/>
      <c r="G1447" s="1375" t="s">
        <v>995</v>
      </c>
      <c r="H1447" s="1630" t="s">
        <v>997</v>
      </c>
      <c r="I1447" s="1433"/>
      <c r="J1447" s="1379"/>
      <c r="K1447" s="1377"/>
      <c r="L1447" s="1372"/>
    </row>
    <row r="1448" spans="1:13" s="31" customFormat="1" ht="17.25" customHeight="1">
      <c r="A1448" s="1381" t="s">
        <v>123</v>
      </c>
      <c r="B1448" s="1631" t="s">
        <v>1085</v>
      </c>
      <c r="C1448" s="1382"/>
      <c r="D1448" s="1383"/>
      <c r="E1448" s="1382"/>
      <c r="F1448" s="1436"/>
      <c r="G1448" s="1381" t="s">
        <v>123</v>
      </c>
      <c r="H1448" s="1631" t="s">
        <v>1085</v>
      </c>
      <c r="I1448" s="1382"/>
      <c r="J1448" s="1383"/>
      <c r="K1448" s="1382"/>
      <c r="L1448" s="1372"/>
    </row>
    <row r="1449" spans="1:13" s="31" customFormat="1" ht="17.25" customHeight="1">
      <c r="A1449" s="1384" t="s">
        <v>124</v>
      </c>
      <c r="B1449" s="1632" t="s">
        <v>1086</v>
      </c>
      <c r="C1449" s="1382"/>
      <c r="D1449" s="1382"/>
      <c r="E1449" s="1382"/>
      <c r="F1449" s="1436"/>
      <c r="G1449" s="1384" t="s">
        <v>124</v>
      </c>
      <c r="H1449" s="1632" t="s">
        <v>1086</v>
      </c>
      <c r="I1449" s="1382"/>
      <c r="J1449" s="1382"/>
      <c r="K1449" s="1382"/>
      <c r="L1449" s="1372"/>
    </row>
    <row r="1450" spans="1:13" s="31" customFormat="1" ht="17.25" customHeight="1">
      <c r="A1450" s="1384" t="s">
        <v>125</v>
      </c>
      <c r="B1450" s="1633" t="s">
        <v>1087</v>
      </c>
      <c r="C1450" s="1382"/>
      <c r="D1450" s="1382"/>
      <c r="E1450" s="1377">
        <f>SUM(E1449)</f>
        <v>0</v>
      </c>
      <c r="F1450" s="1436"/>
      <c r="G1450" s="1384" t="s">
        <v>125</v>
      </c>
      <c r="H1450" s="1633" t="s">
        <v>1087</v>
      </c>
      <c r="I1450" s="1382"/>
      <c r="J1450" s="1382"/>
      <c r="K1450" s="1377">
        <f>SUM(K1449)</f>
        <v>0</v>
      </c>
      <c r="L1450" s="1372"/>
    </row>
    <row r="1451" spans="1:13" s="31" customFormat="1" ht="17.25" customHeight="1">
      <c r="A1451" s="1386" t="s">
        <v>126</v>
      </c>
      <c r="B1451" s="1634" t="s">
        <v>871</v>
      </c>
      <c r="C1451" s="1387"/>
      <c r="D1451" s="1387"/>
      <c r="E1451" s="1387">
        <f>(E1439+E1440+E1441+E1442+E1443+E1444+E1445+E1446+E1447)-E1450</f>
        <v>0</v>
      </c>
      <c r="F1451" s="1436"/>
      <c r="G1451" s="1386" t="s">
        <v>126</v>
      </c>
      <c r="H1451" s="1634" t="s">
        <v>871</v>
      </c>
      <c r="I1451" s="1387"/>
      <c r="J1451" s="1387"/>
      <c r="K1451" s="1387">
        <f>(K1439+K1440+K1441+K1442+K1443+K1444+K1445+K1446+K1447)-K1450</f>
        <v>96324750</v>
      </c>
      <c r="L1451" s="1389">
        <f>E1451+K1451</f>
        <v>96324750</v>
      </c>
    </row>
    <row r="1452" spans="1:13" s="31" customFormat="1" ht="17.25" customHeight="1">
      <c r="A1452" s="1449"/>
      <c r="B1452" s="1449"/>
      <c r="C1452" s="1449"/>
      <c r="D1452" s="1449"/>
      <c r="E1452" s="1449"/>
      <c r="F1452" s="1427"/>
      <c r="G1452" s="1449"/>
      <c r="H1452" s="1449"/>
      <c r="I1452" s="1449"/>
      <c r="J1452" s="1449"/>
      <c r="K1452" s="1428"/>
      <c r="L1452" s="1372"/>
      <c r="M1452" s="31">
        <f>SUM(M743:M1450)</f>
        <v>0</v>
      </c>
    </row>
    <row r="1453" spans="1:13" s="31" customFormat="1" ht="51.75" customHeight="1">
      <c r="A1453" s="1392"/>
      <c r="B1453" s="1398"/>
      <c r="C1453" s="1399"/>
      <c r="D1453" s="1399"/>
      <c r="E1453" s="1397"/>
      <c r="F1453" s="1409"/>
      <c r="G1453" s="1392"/>
      <c r="H1453" s="1398"/>
      <c r="I1453" s="1399"/>
      <c r="J1453" s="1397"/>
      <c r="K1453" s="1624"/>
      <c r="L1453" s="1372"/>
    </row>
    <row r="1454" spans="1:13" s="31" customFormat="1" ht="19.5" customHeight="1">
      <c r="A1454" s="1449" t="str">
        <f>A1436</f>
        <v>LƯƠNG THÁNG 01/2025</v>
      </c>
      <c r="B1454" s="1449"/>
      <c r="C1454" s="1449"/>
      <c r="D1454" s="1449"/>
      <c r="E1454" s="1449">
        <f>VLOOKUP(B1455,'CNKT '!$C$101:$AD$188,26,0)</f>
        <v>0</v>
      </c>
      <c r="F1454" s="1409"/>
      <c r="G1454" s="1449" t="str">
        <f>A1454</f>
        <v>LƯƠNG THÁNG 01/2025</v>
      </c>
      <c r="H1454" s="1449"/>
      <c r="I1454" s="1449"/>
      <c r="J1454" s="1449"/>
      <c r="K1454" s="1449">
        <f>VLOOKUP(H1455,'CNKT '!$C$101:$AD$188,26,0)</f>
        <v>0</v>
      </c>
      <c r="L1454" s="1372"/>
    </row>
    <row r="1455" spans="1:13" s="31" customFormat="1" ht="19.5" customHeight="1">
      <c r="A1455" s="1391" t="s">
        <v>29</v>
      </c>
      <c r="B1455" s="1626" t="str">
        <f>'CNKT '!C184</f>
        <v>Mày</v>
      </c>
      <c r="C1455" s="1376"/>
      <c r="D1455" s="1626" t="s">
        <v>806</v>
      </c>
      <c r="E1455" s="1626" t="s">
        <v>32</v>
      </c>
      <c r="F1455" s="1409"/>
      <c r="G1455" s="1391" t="s">
        <v>29</v>
      </c>
      <c r="H1455" s="1626" t="str">
        <f>'CNKT '!C185</f>
        <v>Mủ Xi Rum</v>
      </c>
      <c r="I1455" s="1376"/>
      <c r="J1455" s="1626" t="s">
        <v>806</v>
      </c>
      <c r="K1455" s="1626" t="s">
        <v>32</v>
      </c>
      <c r="L1455" s="1372"/>
    </row>
    <row r="1456" spans="1:13" s="31" customFormat="1" ht="19.5" customHeight="1">
      <c r="A1456" s="1375" t="s">
        <v>807</v>
      </c>
      <c r="B1456" s="1628" t="s">
        <v>1080</v>
      </c>
      <c r="C1456" s="1376" t="str">
        <f>VLOOKUP(B1455,'BTH mủ tạp'!$C$97:$AL$187,36,0)</f>
        <v>C.</v>
      </c>
      <c r="D1456" s="1377"/>
      <c r="E1456" s="1377"/>
      <c r="F1456" s="1409"/>
      <c r="G1456" s="1375" t="s">
        <v>807</v>
      </c>
      <c r="H1456" s="1628" t="s">
        <v>1080</v>
      </c>
      <c r="I1456" s="1376" t="s">
        <v>54</v>
      </c>
      <c r="J1456" s="1377"/>
      <c r="K1456" s="1377"/>
      <c r="L1456" s="1372"/>
    </row>
    <row r="1457" spans="1:12" s="31" customFormat="1" ht="15.75" customHeight="1">
      <c r="A1457" s="1375" t="s">
        <v>121</v>
      </c>
      <c r="B1457" s="1629" t="s">
        <v>865</v>
      </c>
      <c r="C1457" s="1378">
        <f>VLOOKUP(B1455,'CNKT '!$C$101:$Z$185,3,0)</f>
        <v>0</v>
      </c>
      <c r="D1457" s="1379">
        <v>25000</v>
      </c>
      <c r="E1457" s="1377">
        <f t="shared" ref="E1457:E1462" si="169">C1457*D1457</f>
        <v>0</v>
      </c>
      <c r="F1457" s="1409"/>
      <c r="G1457" s="1375" t="s">
        <v>121</v>
      </c>
      <c r="H1457" s="1629" t="s">
        <v>865</v>
      </c>
      <c r="I1457" s="1378">
        <f>VLOOKUP(H1455,'CNKT '!$C$101:$Z$185,3,0)</f>
        <v>0</v>
      </c>
      <c r="J1457" s="1379">
        <v>25000</v>
      </c>
      <c r="K1457" s="1377">
        <f t="shared" ref="K1457:K1462" si="170">I1457*J1457</f>
        <v>0</v>
      </c>
      <c r="L1457" s="1372"/>
    </row>
    <row r="1458" spans="1:12" s="31" customFormat="1" ht="15.75" customHeight="1">
      <c r="A1458" s="1375" t="s">
        <v>628</v>
      </c>
      <c r="B1458" s="1630" t="s">
        <v>1081</v>
      </c>
      <c r="C1458" s="1433">
        <f>VLOOKUP(B1455,'CNKT '!$C$101:$Z$185,11,0)</f>
        <v>0</v>
      </c>
      <c r="D1458" s="1380">
        <f>46.1*$B$2</f>
        <v>30241.600000000002</v>
      </c>
      <c r="E1458" s="1377">
        <f t="shared" si="169"/>
        <v>0</v>
      </c>
      <c r="F1458" s="1409"/>
      <c r="G1458" s="1375" t="s">
        <v>628</v>
      </c>
      <c r="H1458" s="1630" t="s">
        <v>1081</v>
      </c>
      <c r="I1458" s="1433">
        <f>VLOOKUP(H1455,'CNKT '!$C$101:$Z$185,11,0)</f>
        <v>0</v>
      </c>
      <c r="J1458" s="1380">
        <f>46.1*$B$2</f>
        <v>30241.600000000002</v>
      </c>
      <c r="K1458" s="1377">
        <f t="shared" si="170"/>
        <v>0</v>
      </c>
      <c r="L1458" s="1372"/>
    </row>
    <row r="1459" spans="1:12" s="31" customFormat="1" ht="15.75" customHeight="1">
      <c r="A1459" s="1375" t="s">
        <v>809</v>
      </c>
      <c r="B1459" s="1630" t="s">
        <v>1082</v>
      </c>
      <c r="C1459" s="1433">
        <f>VLOOKUP(B1455,'CNKT '!$C$101:$Z$185,12,0)</f>
        <v>0</v>
      </c>
      <c r="D1459" s="1379">
        <f>76.9*$B$2</f>
        <v>50446.400000000001</v>
      </c>
      <c r="E1459" s="1377">
        <f t="shared" si="169"/>
        <v>0</v>
      </c>
      <c r="F1459" s="1409"/>
      <c r="G1459" s="1375" t="s">
        <v>809</v>
      </c>
      <c r="H1459" s="1630" t="s">
        <v>1082</v>
      </c>
      <c r="I1459" s="1433">
        <f>VLOOKUP(H1455,'CNKT '!$C$101:$Z$185,12,0)</f>
        <v>0</v>
      </c>
      <c r="J1459" s="1379">
        <f>76.9*$B$2</f>
        <v>50446.400000000001</v>
      </c>
      <c r="K1459" s="1377">
        <f t="shared" si="170"/>
        <v>0</v>
      </c>
      <c r="L1459" s="1372"/>
    </row>
    <row r="1460" spans="1:12" s="31" customFormat="1" ht="15.75" customHeight="1">
      <c r="A1460" s="1375" t="s">
        <v>122</v>
      </c>
      <c r="B1460" s="1630" t="s">
        <v>1083</v>
      </c>
      <c r="C1460" s="1433">
        <f>VLOOKUP(B1455,'CNKT '!$C$101:$Z$185,8,0)</f>
        <v>0</v>
      </c>
      <c r="D1460" s="1379">
        <f>IF(C1456="A",6.1,IF(C1456="B",5.8,IF(C1456="C",5.5,IF(C1456="C.",5.5,IF(C1456="D",5.2)))))*$B$2</f>
        <v>3608</v>
      </c>
      <c r="E1460" s="1377">
        <f t="shared" si="169"/>
        <v>0</v>
      </c>
      <c r="F1460" s="1409"/>
      <c r="G1460" s="1375" t="s">
        <v>122</v>
      </c>
      <c r="H1460" s="1630" t="s">
        <v>1083</v>
      </c>
      <c r="I1460" s="1433">
        <f>VLOOKUP(H1455,'CNKT '!$C$101:$Z$185,8,0)</f>
        <v>0</v>
      </c>
      <c r="J1460" s="1379">
        <f>IF(I1456="A",6.1,IF(I1456="B",5.8,IF(I1456="C",5.5,IF(I1456="C.",5.5,IF(I1456="D",5.2)))))*$B$2</f>
        <v>4001.6</v>
      </c>
      <c r="K1460" s="1377">
        <f t="shared" si="170"/>
        <v>0</v>
      </c>
      <c r="L1460" s="1372"/>
    </row>
    <row r="1461" spans="1:12" s="31" customFormat="1" ht="15.75" customHeight="1">
      <c r="A1461" s="1375" t="s">
        <v>959</v>
      </c>
      <c r="B1461" s="1630" t="s">
        <v>1084</v>
      </c>
      <c r="C1461" s="1433">
        <f>VLOOKUP(B1455,'CNKT '!$C$101:$Z$185,15,0)</f>
        <v>0</v>
      </c>
      <c r="D1461" s="1380">
        <f>92.2*$B$2</f>
        <v>60483.200000000004</v>
      </c>
      <c r="E1461" s="1377">
        <f t="shared" si="169"/>
        <v>0</v>
      </c>
      <c r="F1461" s="1409"/>
      <c r="G1461" s="1375" t="s">
        <v>959</v>
      </c>
      <c r="H1461" s="1630" t="s">
        <v>1084</v>
      </c>
      <c r="I1461" s="1433">
        <f>VLOOKUP(H1455,'CNKT '!$C$101:$Z$185,15,0)</f>
        <v>0</v>
      </c>
      <c r="J1461" s="1380">
        <f>92.2*$B$2</f>
        <v>60483.200000000004</v>
      </c>
      <c r="K1461" s="1377">
        <f t="shared" si="170"/>
        <v>0</v>
      </c>
      <c r="L1461" s="1372"/>
    </row>
    <row r="1462" spans="1:12" s="31" customFormat="1" ht="15.75" customHeight="1">
      <c r="A1462" s="1375" t="s">
        <v>960</v>
      </c>
      <c r="B1462" s="1630" t="s">
        <v>964</v>
      </c>
      <c r="C1462" s="1433">
        <f>VLOOKUP(B1455,'CNKT '!$C$101:$Z$185,16,0)</f>
        <v>0</v>
      </c>
      <c r="D1462" s="1379">
        <f>153.8*$B$2</f>
        <v>100892.8</v>
      </c>
      <c r="E1462" s="1377">
        <f t="shared" si="169"/>
        <v>0</v>
      </c>
      <c r="F1462" s="1409"/>
      <c r="G1462" s="1375" t="s">
        <v>960</v>
      </c>
      <c r="H1462" s="1630" t="s">
        <v>964</v>
      </c>
      <c r="I1462" s="1433">
        <f>VLOOKUP(H1455,'CNKT '!$C$101:$Z$185,16,0)</f>
        <v>0</v>
      </c>
      <c r="J1462" s="1379">
        <f>153.8*$B$2</f>
        <v>100892.8</v>
      </c>
      <c r="K1462" s="1377">
        <f t="shared" si="170"/>
        <v>0</v>
      </c>
      <c r="L1462" s="1372"/>
    </row>
    <row r="1463" spans="1:12" s="31" customFormat="1" ht="15.75" customHeight="1">
      <c r="A1463" s="1375" t="s">
        <v>899</v>
      </c>
      <c r="B1463" s="1630" t="s">
        <v>965</v>
      </c>
      <c r="C1463" s="1433">
        <f>VLOOKUP(B1455,'CNKT '!$C$101:$Z$188,18,0)</f>
        <v>0</v>
      </c>
      <c r="D1463" s="1379">
        <v>10000</v>
      </c>
      <c r="E1463" s="1377">
        <f>C1463*D1463</f>
        <v>0</v>
      </c>
      <c r="F1463" s="1409"/>
      <c r="G1463" s="1375" t="s">
        <v>899</v>
      </c>
      <c r="H1463" s="1630" t="s">
        <v>965</v>
      </c>
      <c r="I1463" s="1433">
        <f>VLOOKUP(H1455,'CNKT '!$C$101:$Z$188,18,0)</f>
        <v>0</v>
      </c>
      <c r="J1463" s="1379">
        <v>10000</v>
      </c>
      <c r="K1463" s="1377">
        <f>I1463*J1463</f>
        <v>0</v>
      </c>
      <c r="L1463" s="1372"/>
    </row>
    <row r="1464" spans="1:12" s="31" customFormat="1" ht="15.75" customHeight="1">
      <c r="A1464" s="1375" t="s">
        <v>899</v>
      </c>
      <c r="B1464" s="1630" t="s">
        <v>965</v>
      </c>
      <c r="C1464" s="1433">
        <f>VLOOKUP(B1455,'CNKT '!$C$101:$Z$188,19,0)</f>
        <v>0</v>
      </c>
      <c r="D1464" s="1379">
        <v>20000</v>
      </c>
      <c r="E1464" s="1377">
        <f>C1464*D1464</f>
        <v>0</v>
      </c>
      <c r="F1464" s="1409"/>
      <c r="G1464" s="1375" t="s">
        <v>899</v>
      </c>
      <c r="H1464" s="1630" t="s">
        <v>965</v>
      </c>
      <c r="I1464" s="1433">
        <f>VLOOKUP(H1455,'CNKT '!$C$101:$Z$188,19,0)</f>
        <v>0</v>
      </c>
      <c r="J1464" s="1379">
        <v>20000</v>
      </c>
      <c r="K1464" s="1377">
        <f>I1464*J1464</f>
        <v>0</v>
      </c>
      <c r="L1464" s="1372"/>
    </row>
    <row r="1465" spans="1:12" s="31" customFormat="1" ht="15.75" customHeight="1">
      <c r="A1465" s="1375" t="s">
        <v>995</v>
      </c>
      <c r="B1465" s="1630" t="s">
        <v>997</v>
      </c>
      <c r="C1465" s="1433"/>
      <c r="D1465" s="1379">
        <v>100000</v>
      </c>
      <c r="E1465" s="1377">
        <f>C1465*D1465</f>
        <v>0</v>
      </c>
      <c r="F1465" s="1409"/>
      <c r="G1465" s="1375" t="s">
        <v>995</v>
      </c>
      <c r="H1465" s="1630" t="s">
        <v>997</v>
      </c>
      <c r="I1465" s="1433"/>
      <c r="J1465" s="1379">
        <v>100000</v>
      </c>
      <c r="K1465" s="1377">
        <f>I1465*J1465</f>
        <v>0</v>
      </c>
      <c r="L1465" s="1372"/>
    </row>
    <row r="1466" spans="1:12" s="31" customFormat="1" ht="15.75" customHeight="1">
      <c r="A1466" s="1381" t="s">
        <v>123</v>
      </c>
      <c r="B1466" s="1631" t="s">
        <v>1085</v>
      </c>
      <c r="C1466" s="1382"/>
      <c r="D1466" s="1383"/>
      <c r="E1466" s="1382"/>
      <c r="F1466" s="1409"/>
      <c r="G1466" s="1381" t="s">
        <v>123</v>
      </c>
      <c r="H1466" s="1631" t="s">
        <v>1085</v>
      </c>
      <c r="I1466" s="1382"/>
      <c r="J1466" s="1383"/>
      <c r="K1466" s="1382"/>
      <c r="L1466" s="1372"/>
    </row>
    <row r="1467" spans="1:12" s="31" customFormat="1" ht="15.75" customHeight="1">
      <c r="A1467" s="1384" t="s">
        <v>124</v>
      </c>
      <c r="B1467" s="1632" t="s">
        <v>1086</v>
      </c>
      <c r="C1467" s="1382"/>
      <c r="D1467" s="1382"/>
      <c r="E1467" s="1382"/>
      <c r="F1467" s="1409"/>
      <c r="G1467" s="1384" t="s">
        <v>124</v>
      </c>
      <c r="H1467" s="1632" t="s">
        <v>1086</v>
      </c>
      <c r="I1467" s="1382"/>
      <c r="J1467" s="1382"/>
      <c r="K1467" s="1382"/>
      <c r="L1467" s="1372"/>
    </row>
    <row r="1468" spans="1:12" s="31" customFormat="1" ht="15.75" customHeight="1">
      <c r="A1468" s="1384" t="s">
        <v>125</v>
      </c>
      <c r="B1468" s="1633" t="s">
        <v>1087</v>
      </c>
      <c r="C1468" s="1382"/>
      <c r="D1468" s="1382"/>
      <c r="E1468" s="1377">
        <f>SUM(E1467)</f>
        <v>0</v>
      </c>
      <c r="F1468" s="1409"/>
      <c r="G1468" s="1384" t="s">
        <v>125</v>
      </c>
      <c r="H1468" s="1633" t="s">
        <v>1087</v>
      </c>
      <c r="I1468" s="1382"/>
      <c r="J1468" s="1382"/>
      <c r="K1468" s="1377">
        <f>SUM(K1467)</f>
        <v>0</v>
      </c>
      <c r="L1468" s="1372"/>
    </row>
    <row r="1469" spans="1:12" s="31" customFormat="1" ht="15.75" customHeight="1">
      <c r="A1469" s="1386" t="s">
        <v>126</v>
      </c>
      <c r="B1469" s="1634" t="s">
        <v>871</v>
      </c>
      <c r="C1469" s="1387"/>
      <c r="D1469" s="1387"/>
      <c r="E1469" s="1387">
        <f>(E1457+E1458+E1459+E1460+E1461+E1462+E1463+E1464+E1465)-E1468</f>
        <v>0</v>
      </c>
      <c r="F1469" s="1409"/>
      <c r="G1469" s="1386" t="s">
        <v>126</v>
      </c>
      <c r="H1469" s="1634" t="s">
        <v>871</v>
      </c>
      <c r="I1469" s="1387"/>
      <c r="J1469" s="1387"/>
      <c r="K1469" s="1387">
        <f>(K1457+K1458+K1459+K1460+K1461+K1462+K1463+K1464+K1465)-K1468</f>
        <v>0</v>
      </c>
      <c r="L1469" s="1389">
        <f>E1469+K1469</f>
        <v>0</v>
      </c>
    </row>
    <row r="1470" spans="1:12" s="31" customFormat="1" ht="15.75" customHeight="1">
      <c r="A1470" s="1392"/>
      <c r="B1470" s="1398"/>
      <c r="C1470" s="1399"/>
      <c r="D1470" s="1399"/>
      <c r="E1470" s="1397"/>
      <c r="F1470" s="1409"/>
      <c r="G1470" s="1392"/>
      <c r="H1470" s="1398"/>
      <c r="I1470" s="1399"/>
      <c r="J1470" s="1397"/>
      <c r="K1470" s="1624"/>
      <c r="L1470" s="1372"/>
    </row>
    <row r="1471" spans="1:12" s="31" customFormat="1" ht="220.5" customHeight="1">
      <c r="A1471" s="1392"/>
      <c r="B1471" s="1398"/>
      <c r="C1471" s="1399"/>
      <c r="D1471" s="1399"/>
      <c r="E1471" s="1397"/>
      <c r="F1471" s="1409"/>
      <c r="G1471" s="1392"/>
      <c r="H1471" s="1398"/>
      <c r="I1471" s="1399"/>
      <c r="J1471" s="1397"/>
      <c r="K1471" s="1624"/>
      <c r="L1471" s="1372"/>
    </row>
    <row r="1472" spans="1:12" s="31" customFormat="1" ht="17.25" customHeight="1">
      <c r="A1472" s="1449" t="str">
        <f>G1436</f>
        <v>LƯƠNG THÁNG 01/2025</v>
      </c>
      <c r="B1472" s="1449"/>
      <c r="C1472" s="1449"/>
      <c r="D1472" s="1449"/>
      <c r="E1472" s="1449">
        <f>VLOOKUP(B1473,'CNKT '!$C$101:$AD$188,26,0)</f>
        <v>0</v>
      </c>
      <c r="F1472" s="1409"/>
      <c r="G1472" s="1449" t="str">
        <f>A1472</f>
        <v>LƯƠNG THÁNG 01/2025</v>
      </c>
      <c r="H1472" s="1449"/>
      <c r="I1472" s="1449"/>
      <c r="J1472" s="1449"/>
      <c r="K1472" s="1449">
        <f>VLOOKUP(H1473,'CNKT '!$C$101:$AD$188,26,0)</f>
        <v>0</v>
      </c>
      <c r="L1472" s="1372"/>
    </row>
    <row r="1473" spans="1:13" s="31" customFormat="1" ht="17.25" customHeight="1">
      <c r="A1473" s="1391" t="s">
        <v>29</v>
      </c>
      <c r="B1473" s="1626" t="str">
        <f>'CNKT '!C188</f>
        <v>Say</v>
      </c>
      <c r="C1473" s="1376"/>
      <c r="D1473" s="1626" t="s">
        <v>806</v>
      </c>
      <c r="E1473" s="1626" t="s">
        <v>32</v>
      </c>
      <c r="F1473" s="1397"/>
      <c r="G1473" s="1391" t="s">
        <v>29</v>
      </c>
      <c r="H1473" s="1626" t="str">
        <f>'CNKT '!C186</f>
        <v>Say ủi</v>
      </c>
      <c r="I1473" s="1376"/>
      <c r="J1473" s="1626" t="s">
        <v>806</v>
      </c>
      <c r="K1473" s="1626" t="s">
        <v>32</v>
      </c>
      <c r="L1473" s="1372"/>
    </row>
    <row r="1474" spans="1:13" s="31" customFormat="1" ht="17.25" customHeight="1">
      <c r="A1474" s="1375" t="s">
        <v>807</v>
      </c>
      <c r="B1474" s="1628" t="s">
        <v>1080</v>
      </c>
      <c r="C1474" s="1376"/>
      <c r="D1474" s="1377"/>
      <c r="E1474" s="1377"/>
      <c r="F1474" s="1397"/>
      <c r="G1474" s="1375" t="s">
        <v>807</v>
      </c>
      <c r="H1474" s="1188" t="s">
        <v>864</v>
      </c>
      <c r="I1474" s="1376"/>
      <c r="J1474" s="1377"/>
      <c r="K1474" s="1377"/>
      <c r="L1474" s="1372"/>
    </row>
    <row r="1475" spans="1:13" s="31" customFormat="1" ht="17.25" customHeight="1">
      <c r="A1475" s="1375" t="s">
        <v>121</v>
      </c>
      <c r="B1475" s="1629" t="s">
        <v>865</v>
      </c>
      <c r="C1475" s="1378">
        <f>VLOOKUP(B1473,'CNKT '!$C$101:$Z$190,3,0)</f>
        <v>0</v>
      </c>
      <c r="D1475" s="1379">
        <v>25000</v>
      </c>
      <c r="E1475" s="1377">
        <f t="shared" ref="E1475:E1480" si="171">C1475*D1475</f>
        <v>0</v>
      </c>
      <c r="F1475" s="1397"/>
      <c r="G1475" s="1375" t="s">
        <v>121</v>
      </c>
      <c r="H1475" s="1189" t="s">
        <v>865</v>
      </c>
      <c r="I1475" s="1378">
        <f>VLOOKUP(H1473,'CNKT '!$C$101:$Z$190,3,0)</f>
        <v>0</v>
      </c>
      <c r="J1475" s="1379">
        <v>25000</v>
      </c>
      <c r="K1475" s="1377">
        <f t="shared" ref="K1475:K1480" si="172">I1475*J1475</f>
        <v>0</v>
      </c>
      <c r="L1475" s="1372"/>
    </row>
    <row r="1476" spans="1:13" s="31" customFormat="1" ht="17.25" customHeight="1">
      <c r="A1476" s="1375" t="s">
        <v>628</v>
      </c>
      <c r="B1476" s="1630" t="s">
        <v>1081</v>
      </c>
      <c r="C1476" s="1433">
        <f>VLOOKUP(B1473,'CNKT '!$C$101:$Z$190,11,0)</f>
        <v>0</v>
      </c>
      <c r="D1476" s="1380">
        <f>46.1*$B$2</f>
        <v>30241.600000000002</v>
      </c>
      <c r="E1476" s="1377">
        <f t="shared" si="171"/>
        <v>0</v>
      </c>
      <c r="F1476" s="1397"/>
      <c r="G1476" s="1375" t="s">
        <v>628</v>
      </c>
      <c r="H1476" s="1190" t="s">
        <v>866</v>
      </c>
      <c r="I1476" s="1433">
        <f>VLOOKUP(H1473,'CNKT '!$C$101:$Z$190,11,0)</f>
        <v>0</v>
      </c>
      <c r="J1476" s="1380">
        <f>46.1*$B$2</f>
        <v>30241.600000000002</v>
      </c>
      <c r="K1476" s="1377">
        <f t="shared" si="172"/>
        <v>0</v>
      </c>
      <c r="L1476" s="1372"/>
    </row>
    <row r="1477" spans="1:13" s="31" customFormat="1" ht="17.25" customHeight="1">
      <c r="A1477" s="1375" t="s">
        <v>809</v>
      </c>
      <c r="B1477" s="1630" t="s">
        <v>1082</v>
      </c>
      <c r="C1477" s="1433">
        <f>VLOOKUP(B1473,'CNKT '!$C$101:$Z$190,12,0)</f>
        <v>0</v>
      </c>
      <c r="D1477" s="1379">
        <f>76.9*$B$2</f>
        <v>50446.400000000001</v>
      </c>
      <c r="E1477" s="1377">
        <f t="shared" si="171"/>
        <v>0</v>
      </c>
      <c r="F1477" s="1397"/>
      <c r="G1477" s="1375" t="s">
        <v>809</v>
      </c>
      <c r="H1477" s="1190" t="s">
        <v>962</v>
      </c>
      <c r="I1477" s="1433">
        <f>VLOOKUP(H1473,'CNKT '!$C$101:$Z$190,12,0)</f>
        <v>0</v>
      </c>
      <c r="J1477" s="1379">
        <f>76.9*$B$2</f>
        <v>50446.400000000001</v>
      </c>
      <c r="K1477" s="1377">
        <f t="shared" si="172"/>
        <v>0</v>
      </c>
      <c r="L1477" s="1372"/>
    </row>
    <row r="1478" spans="1:13" s="31" customFormat="1" ht="17.25" customHeight="1">
      <c r="A1478" s="1375" t="s">
        <v>122</v>
      </c>
      <c r="B1478" s="1630" t="s">
        <v>1083</v>
      </c>
      <c r="C1478" s="1433">
        <f>VLOOKUP(B1473,'CNKT '!$C$101:$Z$190,8,0)</f>
        <v>0</v>
      </c>
      <c r="D1478" s="1379">
        <f>IF(C1474="A",6.1,IF(C1474="B",5.8,IF(C1474="C",5.5,IF(C1474="C.",5.5,IF(C1474="D",5.2)))))*$B$2</f>
        <v>0</v>
      </c>
      <c r="E1478" s="1377">
        <f t="shared" si="171"/>
        <v>0</v>
      </c>
      <c r="F1478" s="1397"/>
      <c r="G1478" s="1375" t="s">
        <v>122</v>
      </c>
      <c r="H1478" s="1190" t="s">
        <v>867</v>
      </c>
      <c r="I1478" s="1433">
        <f>VLOOKUP(H1473,'CNKT '!$C$101:$Z$190,8,0)</f>
        <v>0</v>
      </c>
      <c r="J1478" s="1379">
        <f>IF(I1474="A",6.1,IF(I1474="B",5.8,IF(I1474="C",5.5,IF(I1474="C.",5.5,IF(I1474="D",5.2)))))*$B$2</f>
        <v>0</v>
      </c>
      <c r="K1478" s="1377">
        <f t="shared" si="172"/>
        <v>0</v>
      </c>
      <c r="L1478" s="1372"/>
    </row>
    <row r="1479" spans="1:13" s="31" customFormat="1" ht="17.25" customHeight="1">
      <c r="A1479" s="1375" t="s">
        <v>959</v>
      </c>
      <c r="B1479" s="1630" t="s">
        <v>1084</v>
      </c>
      <c r="C1479" s="1433">
        <f>VLOOKUP(B1473,'CNKT '!$C$101:$Z$190,15,0)</f>
        <v>0</v>
      </c>
      <c r="D1479" s="1380">
        <f>92.2*$B$2</f>
        <v>60483.200000000004</v>
      </c>
      <c r="E1479" s="1377">
        <f t="shared" si="171"/>
        <v>0</v>
      </c>
      <c r="F1479" s="1397"/>
      <c r="G1479" s="1375" t="s">
        <v>959</v>
      </c>
      <c r="H1479" s="1190" t="s">
        <v>963</v>
      </c>
      <c r="I1479" s="1433">
        <f>VLOOKUP(H1473,'CNKT '!$C$101:$Z$190,15,0)</f>
        <v>0</v>
      </c>
      <c r="J1479" s="1380">
        <f>92.2*$B$2</f>
        <v>60483.200000000004</v>
      </c>
      <c r="K1479" s="1377">
        <f t="shared" si="172"/>
        <v>0</v>
      </c>
      <c r="L1479" s="1372"/>
    </row>
    <row r="1480" spans="1:13" s="31" customFormat="1" ht="17.25" customHeight="1">
      <c r="A1480" s="1375" t="s">
        <v>960</v>
      </c>
      <c r="B1480" s="1630" t="s">
        <v>964</v>
      </c>
      <c r="C1480" s="1433">
        <f>VLOOKUP(B1473,'CNKT '!$C$101:$Z$190,16,0)</f>
        <v>0</v>
      </c>
      <c r="D1480" s="1379">
        <f>153.6*$B$2</f>
        <v>100761.59999999999</v>
      </c>
      <c r="E1480" s="1377">
        <f t="shared" si="171"/>
        <v>0</v>
      </c>
      <c r="F1480" s="1397"/>
      <c r="G1480" s="1375" t="s">
        <v>960</v>
      </c>
      <c r="H1480" s="1190" t="s">
        <v>964</v>
      </c>
      <c r="I1480" s="1433">
        <f>VLOOKUP(H1473,'CNKT '!$C$101:$Z$190,16,0)</f>
        <v>0</v>
      </c>
      <c r="J1480" s="1379">
        <f>153.6*$B$2</f>
        <v>100761.59999999999</v>
      </c>
      <c r="K1480" s="1377">
        <f t="shared" si="172"/>
        <v>0</v>
      </c>
      <c r="L1480" s="1372"/>
    </row>
    <row r="1481" spans="1:13" s="31" customFormat="1" ht="17.25" customHeight="1">
      <c r="A1481" s="1375" t="s">
        <v>899</v>
      </c>
      <c r="B1481" s="1630" t="s">
        <v>965</v>
      </c>
      <c r="C1481" s="1433">
        <f>VLOOKUP(B1473,'CNKT '!$C$101:$Z$188,18,0)</f>
        <v>0</v>
      </c>
      <c r="D1481" s="1379">
        <v>10000</v>
      </c>
      <c r="E1481" s="1377">
        <f>C1481*D1481</f>
        <v>0</v>
      </c>
      <c r="F1481" s="1397"/>
      <c r="G1481" s="1375" t="s">
        <v>899</v>
      </c>
      <c r="H1481" s="1190" t="s">
        <v>965</v>
      </c>
      <c r="I1481" s="1433">
        <f>VLOOKUP(H1473,'CNKT '!$C$101:$Z$188,18,0)</f>
        <v>0</v>
      </c>
      <c r="J1481" s="1379">
        <v>10000</v>
      </c>
      <c r="K1481" s="1377">
        <f>I1481*J1481</f>
        <v>0</v>
      </c>
      <c r="L1481" s="1372"/>
    </row>
    <row r="1482" spans="1:13" s="31" customFormat="1" ht="17.25" customHeight="1">
      <c r="A1482" s="1375" t="s">
        <v>995</v>
      </c>
      <c r="B1482" s="1630" t="s">
        <v>965</v>
      </c>
      <c r="C1482" s="1433"/>
      <c r="D1482" s="1379"/>
      <c r="E1482" s="1377"/>
      <c r="F1482" s="1397"/>
      <c r="G1482" s="1375" t="s">
        <v>995</v>
      </c>
      <c r="H1482" s="1190"/>
      <c r="I1482" s="1433"/>
      <c r="J1482" s="1379"/>
      <c r="K1482" s="1377"/>
      <c r="L1482" s="1372"/>
    </row>
    <row r="1483" spans="1:13" s="31" customFormat="1" ht="17.25" customHeight="1">
      <c r="A1483" s="1381" t="s">
        <v>123</v>
      </c>
      <c r="B1483" s="1630" t="s">
        <v>997</v>
      </c>
      <c r="C1483" s="1382"/>
      <c r="D1483" s="1383"/>
      <c r="E1483" s="1382"/>
      <c r="F1483" s="1397"/>
      <c r="G1483" s="1381" t="s">
        <v>123</v>
      </c>
      <c r="H1483" s="1191" t="s">
        <v>868</v>
      </c>
      <c r="I1483" s="1382"/>
      <c r="J1483" s="1383"/>
      <c r="K1483" s="1382"/>
      <c r="L1483" s="1372"/>
    </row>
    <row r="1484" spans="1:13" s="31" customFormat="1" ht="17.25" customHeight="1">
      <c r="A1484" s="1384" t="s">
        <v>124</v>
      </c>
      <c r="B1484" s="1631" t="s">
        <v>1085</v>
      </c>
      <c r="C1484" s="1382"/>
      <c r="D1484" s="1382"/>
      <c r="E1484" s="1382"/>
      <c r="F1484" s="1397"/>
      <c r="G1484" s="1384" t="s">
        <v>124</v>
      </c>
      <c r="H1484" s="1192" t="s">
        <v>869</v>
      </c>
      <c r="I1484" s="1382"/>
      <c r="J1484" s="1382"/>
      <c r="K1484" s="1382"/>
      <c r="L1484" s="1372"/>
    </row>
    <row r="1485" spans="1:13" s="31" customFormat="1" ht="17.25" customHeight="1">
      <c r="A1485" s="1384" t="s">
        <v>125</v>
      </c>
      <c r="B1485" s="1632" t="s">
        <v>1086</v>
      </c>
      <c r="C1485" s="1382"/>
      <c r="D1485" s="1382"/>
      <c r="E1485" s="1377">
        <f>SUM(E1484)</f>
        <v>0</v>
      </c>
      <c r="F1485" s="1397"/>
      <c r="G1485" s="1384" t="s">
        <v>125</v>
      </c>
      <c r="H1485" s="1193" t="s">
        <v>870</v>
      </c>
      <c r="I1485" s="1382"/>
      <c r="J1485" s="1382"/>
      <c r="K1485" s="1377">
        <f>SUM(K1484)</f>
        <v>0</v>
      </c>
      <c r="L1485" s="1372"/>
    </row>
    <row r="1486" spans="1:13" s="31" customFormat="1" ht="17.25" customHeight="1">
      <c r="A1486" s="1386" t="s">
        <v>126</v>
      </c>
      <c r="B1486" s="1633" t="s">
        <v>1087</v>
      </c>
      <c r="C1486" s="1387"/>
      <c r="D1486" s="1387"/>
      <c r="E1486" s="1387">
        <f>(E1475+E1476+E1477+E1478+E1479+E1480+E1481+E1482)-E1485</f>
        <v>0</v>
      </c>
      <c r="F1486" s="1397"/>
      <c r="G1486" s="1386" t="s">
        <v>126</v>
      </c>
      <c r="H1486" s="1248" t="s">
        <v>871</v>
      </c>
      <c r="I1486" s="1387"/>
      <c r="J1486" s="1387"/>
      <c r="K1486" s="1387">
        <f>(K1475+K1476+K1477+K1478+K1479+K1480+K1481+K1482)-K1485</f>
        <v>0</v>
      </c>
      <c r="L1486" s="1389">
        <f>E1486+K1486</f>
        <v>0</v>
      </c>
      <c r="M1486" s="1411"/>
    </row>
    <row r="1487" spans="1:13" s="31" customFormat="1" ht="17.25" customHeight="1">
      <c r="A1487" s="1449"/>
      <c r="B1487" s="1634" t="s">
        <v>871</v>
      </c>
      <c r="C1487" s="1449"/>
      <c r="D1487" s="1449"/>
      <c r="E1487" s="1428"/>
      <c r="F1487" s="1397"/>
      <c r="G1487" s="1392"/>
      <c r="H1487" s="1398"/>
      <c r="I1487" s="1399"/>
      <c r="J1487" s="1397"/>
      <c r="K1487" s="1624"/>
      <c r="L1487" s="1372"/>
      <c r="M1487" s="1411"/>
    </row>
    <row r="1488" spans="1:13" s="31" customFormat="1" ht="17.25" customHeight="1">
      <c r="A1488" s="1392"/>
      <c r="B1488" s="1398"/>
      <c r="C1488" s="1399"/>
      <c r="D1488" s="1399"/>
      <c r="E1488" s="1397"/>
      <c r="F1488" s="1397"/>
      <c r="G1488" s="1392"/>
      <c r="H1488" s="1398"/>
      <c r="I1488" s="1399"/>
      <c r="J1488" s="1397"/>
      <c r="K1488" s="1624"/>
      <c r="L1488" s="1372"/>
    </row>
    <row r="1489" spans="1:15" s="31" customFormat="1" ht="17.25" customHeight="1">
      <c r="A1489" s="1390" t="s">
        <v>220</v>
      </c>
      <c r="B1489" s="1390"/>
      <c r="C1489" s="1390"/>
      <c r="D1489" s="1390"/>
      <c r="E1489" s="1390"/>
      <c r="F1489" s="1390"/>
      <c r="G1489" s="1390"/>
      <c r="H1489" s="1390"/>
      <c r="I1489" s="1390"/>
      <c r="J1489" s="1390"/>
      <c r="L1489" s="1389"/>
      <c r="M1489" s="1411">
        <f>SUM(L740:L1486)</f>
        <v>96324750</v>
      </c>
      <c r="N1489" s="1411">
        <v>526735269</v>
      </c>
      <c r="O1489" s="1421">
        <f>M1489-N1489</f>
        <v>-430410519</v>
      </c>
    </row>
    <row r="1490" spans="1:15" s="31" customFormat="1" ht="17.25" customHeight="1">
      <c r="A1490" s="1624"/>
      <c r="B1490" s="1624"/>
      <c r="C1490" s="1624"/>
      <c r="D1490" s="1624"/>
      <c r="E1490" s="1624"/>
      <c r="F1490" s="1624"/>
      <c r="G1490" s="1624"/>
      <c r="H1490" s="1624"/>
      <c r="I1490" s="1624"/>
      <c r="J1490" s="1624"/>
      <c r="L1490" s="1389"/>
      <c r="M1490" s="1411"/>
      <c r="N1490" s="1411"/>
      <c r="O1490" s="1421"/>
    </row>
    <row r="1491" spans="1:15" s="31" customFormat="1" ht="17.25" customHeight="1">
      <c r="A1491" s="1450" t="str">
        <f>A1436</f>
        <v>LƯƠNG THÁNG 01/2025</v>
      </c>
      <c r="B1491" s="1451"/>
      <c r="C1491" s="1451"/>
      <c r="D1491" s="1451"/>
      <c r="E1491" s="1458">
        <f>VLOOKUP(B1492,'CNKT '!$C$190:$AD$254,26,0)</f>
        <v>0</v>
      </c>
      <c r="F1491" s="1621"/>
      <c r="G1491" s="1450" t="str">
        <f>A1491</f>
        <v>LƯƠNG THÁNG 01/2025</v>
      </c>
      <c r="H1491" s="1451"/>
      <c r="I1491" s="1451"/>
      <c r="J1491" s="1451"/>
      <c r="K1491" s="1458">
        <f>VLOOKUP(H1492,'CNKT '!$C$190:$AD$254,26,0)</f>
        <v>0</v>
      </c>
      <c r="L1491" s="1389"/>
      <c r="M1491" s="1411"/>
      <c r="N1491" s="1411"/>
      <c r="O1491" s="1421"/>
    </row>
    <row r="1492" spans="1:15" s="31" customFormat="1" ht="17.25" customHeight="1">
      <c r="A1492" s="1391" t="s">
        <v>29</v>
      </c>
      <c r="B1492" s="1626" t="str">
        <f>'CNKT '!C190</f>
        <v>T.Son say A</v>
      </c>
      <c r="C1492" s="1376"/>
      <c r="D1492" s="1626" t="s">
        <v>806</v>
      </c>
      <c r="E1492" s="1626" t="s">
        <v>32</v>
      </c>
      <c r="F1492" s="1436"/>
      <c r="G1492" s="1391" t="s">
        <v>29</v>
      </c>
      <c r="H1492" s="1626" t="str">
        <f>'CNKT '!C191</f>
        <v>N. Keo</v>
      </c>
      <c r="I1492" s="1376"/>
      <c r="J1492" s="1626" t="s">
        <v>806</v>
      </c>
      <c r="K1492" s="1626" t="s">
        <v>32</v>
      </c>
      <c r="L1492" s="1434"/>
    </row>
    <row r="1493" spans="1:15" s="31" customFormat="1" ht="17.25" customHeight="1">
      <c r="A1493" s="1375" t="s">
        <v>807</v>
      </c>
      <c r="B1493" s="1628" t="s">
        <v>1080</v>
      </c>
      <c r="C1493" s="1376" t="str">
        <f>VLOOKUP(B1492,'BTH mủ tạp'!$C$182:$AL$244,36,0)</f>
        <v>B</v>
      </c>
      <c r="D1493" s="1377"/>
      <c r="E1493" s="1377"/>
      <c r="F1493" s="1436"/>
      <c r="G1493" s="1375" t="s">
        <v>807</v>
      </c>
      <c r="H1493" s="1628" t="s">
        <v>1080</v>
      </c>
      <c r="I1493" s="1376" t="str">
        <f>VLOOKUP(H1492,'BTH mủ tạp'!$C$182:$AL$244,36,0)</f>
        <v>B</v>
      </c>
      <c r="J1493" s="1377"/>
      <c r="K1493" s="1377"/>
      <c r="L1493" s="1372"/>
      <c r="M1493" s="1421"/>
    </row>
    <row r="1494" spans="1:15" s="31" customFormat="1" ht="17.25" customHeight="1">
      <c r="A1494" s="1375" t="s">
        <v>121</v>
      </c>
      <c r="B1494" s="1629" t="s">
        <v>865</v>
      </c>
      <c r="C1494" s="1378">
        <f>VLOOKUP(B1492,'CNKT '!$C$189:$Z$254,3,0)</f>
        <v>0</v>
      </c>
      <c r="D1494" s="1379">
        <v>25000</v>
      </c>
      <c r="E1494" s="1377">
        <f t="shared" ref="E1494:E1499" si="173">C1494*D1494</f>
        <v>0</v>
      </c>
      <c r="F1494" s="1436"/>
      <c r="G1494" s="1375" t="s">
        <v>121</v>
      </c>
      <c r="H1494" s="1629" t="s">
        <v>865</v>
      </c>
      <c r="I1494" s="1378">
        <f>VLOOKUP(H1492,'CNKT '!$C$189:$Z$254,3,0)</f>
        <v>0</v>
      </c>
      <c r="J1494" s="1379">
        <v>25000</v>
      </c>
      <c r="K1494" s="1377">
        <f t="shared" ref="K1494:K1499" si="174">I1494*J1494</f>
        <v>0</v>
      </c>
      <c r="L1494" s="1372"/>
    </row>
    <row r="1495" spans="1:15" s="31" customFormat="1" ht="17.25" customHeight="1">
      <c r="A1495" s="1375" t="s">
        <v>628</v>
      </c>
      <c r="B1495" s="1630" t="s">
        <v>1081</v>
      </c>
      <c r="C1495" s="1433">
        <f>VLOOKUP(B1492,'CNKT '!$C$189:$Z$254,11,0)</f>
        <v>0</v>
      </c>
      <c r="D1495" s="1380">
        <f>46.1*$B$2</f>
        <v>30241.600000000002</v>
      </c>
      <c r="E1495" s="1377">
        <f t="shared" si="173"/>
        <v>0</v>
      </c>
      <c r="F1495" s="1436"/>
      <c r="G1495" s="1375" t="s">
        <v>628</v>
      </c>
      <c r="H1495" s="1630" t="s">
        <v>1081</v>
      </c>
      <c r="I1495" s="1433">
        <f>VLOOKUP(H1492,'CNKT '!$C$189:$Z$254,11,0)</f>
        <v>0</v>
      </c>
      <c r="J1495" s="1380">
        <f>46.1*$B$2</f>
        <v>30241.600000000002</v>
      </c>
      <c r="K1495" s="1377">
        <f t="shared" si="174"/>
        <v>0</v>
      </c>
      <c r="L1495" s="1372"/>
    </row>
    <row r="1496" spans="1:15" s="31" customFormat="1" ht="17.25" customHeight="1">
      <c r="A1496" s="1375" t="s">
        <v>809</v>
      </c>
      <c r="B1496" s="1630" t="s">
        <v>1082</v>
      </c>
      <c r="C1496" s="1433">
        <f>VLOOKUP(B1492,'CNKT '!$C$189:$Z$254,12,0)</f>
        <v>0</v>
      </c>
      <c r="D1496" s="1379">
        <f>76.9*$B$2</f>
        <v>50446.400000000001</v>
      </c>
      <c r="E1496" s="1377">
        <f t="shared" si="173"/>
        <v>0</v>
      </c>
      <c r="F1496" s="1436"/>
      <c r="G1496" s="1375" t="s">
        <v>809</v>
      </c>
      <c r="H1496" s="1630" t="s">
        <v>1082</v>
      </c>
      <c r="I1496" s="1433">
        <f>VLOOKUP(H1492,'CNKT '!$C$189:$Z$254,12,0)</f>
        <v>0</v>
      </c>
      <c r="J1496" s="1379">
        <f>76.9*$B$2</f>
        <v>50446.400000000001</v>
      </c>
      <c r="K1496" s="1377">
        <f t="shared" si="174"/>
        <v>0</v>
      </c>
      <c r="L1496" s="1372"/>
    </row>
    <row r="1497" spans="1:15" s="31" customFormat="1" ht="17.25" customHeight="1">
      <c r="A1497" s="1375" t="s">
        <v>122</v>
      </c>
      <c r="B1497" s="1630" t="s">
        <v>1083</v>
      </c>
      <c r="C1497" s="1433">
        <f>VLOOKUP(B1492,'CNKT '!$C$189:$Z$254,8,0)</f>
        <v>0</v>
      </c>
      <c r="D1497" s="1379">
        <f>IF(C1493="A",6.1,IF(C1493="B",5.8,IF(C1493="C",5.5,IF(C1493="C.",5.5,IF(C1493="D",5.2)))))*$B$2</f>
        <v>3804.7999999999997</v>
      </c>
      <c r="E1497" s="1377">
        <f t="shared" si="173"/>
        <v>0</v>
      </c>
      <c r="F1497" s="1436"/>
      <c r="G1497" s="1375" t="s">
        <v>122</v>
      </c>
      <c r="H1497" s="1630" t="s">
        <v>1083</v>
      </c>
      <c r="I1497" s="1433">
        <f>VLOOKUP(H1492,'CNKT '!$C$189:$Z$254,8,0)</f>
        <v>0</v>
      </c>
      <c r="J1497" s="1379">
        <f>IF(I1493="A",6.1,IF(I1493="B",5.8,IF(I1493="C",5.5,IF(I1493="C.",5.5,IF(I1493="D",5.2)))))*$B$2</f>
        <v>3804.7999999999997</v>
      </c>
      <c r="K1497" s="1377">
        <f t="shared" si="174"/>
        <v>0</v>
      </c>
      <c r="L1497" s="1372"/>
    </row>
    <row r="1498" spans="1:15" s="31" customFormat="1" ht="17.25" customHeight="1">
      <c r="A1498" s="1375" t="s">
        <v>961</v>
      </c>
      <c r="B1498" s="1630" t="s">
        <v>1084</v>
      </c>
      <c r="C1498" s="1433">
        <f>VLOOKUP(B1492,'CNKT '!$C$101:$Z$254,13,0)</f>
        <v>0</v>
      </c>
      <c r="D1498" s="1380">
        <f>92.2*$B$2</f>
        <v>60483.200000000004</v>
      </c>
      <c r="E1498" s="1377">
        <f t="shared" si="173"/>
        <v>0</v>
      </c>
      <c r="F1498" s="1436"/>
      <c r="G1498" s="1375" t="s">
        <v>961</v>
      </c>
      <c r="H1498" s="1630" t="s">
        <v>1084</v>
      </c>
      <c r="I1498" s="1433">
        <f>VLOOKUP(H1492,'CNKT '!$C$101:$Z$254,13,0)</f>
        <v>0</v>
      </c>
      <c r="J1498" s="1380">
        <f>92.2*$B$2</f>
        <v>60483.200000000004</v>
      </c>
      <c r="K1498" s="1377">
        <f t="shared" si="174"/>
        <v>0</v>
      </c>
      <c r="L1498" s="1372"/>
    </row>
    <row r="1499" spans="1:15" s="31" customFormat="1" ht="19.5" customHeight="1">
      <c r="A1499" s="1375" t="s">
        <v>886</v>
      </c>
      <c r="B1499" s="1630" t="s">
        <v>964</v>
      </c>
      <c r="C1499" s="1433">
        <f>VLOOKUP(B1492,'CNKT '!$C$189:$Z$254,14,0)</f>
        <v>0</v>
      </c>
      <c r="D1499" s="1379">
        <f>153.6*$B$2</f>
        <v>100761.59999999999</v>
      </c>
      <c r="E1499" s="1377">
        <f t="shared" si="173"/>
        <v>0</v>
      </c>
      <c r="F1499" s="1436"/>
      <c r="G1499" s="1375" t="s">
        <v>886</v>
      </c>
      <c r="H1499" s="1630" t="s">
        <v>964</v>
      </c>
      <c r="I1499" s="1433">
        <f>VLOOKUP(H1492,'CNKT '!$C$189:$Z$254,14,0)</f>
        <v>0</v>
      </c>
      <c r="J1499" s="1379">
        <f>153.6*$B$2</f>
        <v>100761.59999999999</v>
      </c>
      <c r="K1499" s="1377">
        <f t="shared" si="174"/>
        <v>0</v>
      </c>
      <c r="L1499" s="1372"/>
    </row>
    <row r="1500" spans="1:15" s="31" customFormat="1" ht="17.25" customHeight="1">
      <c r="A1500" s="1375" t="s">
        <v>899</v>
      </c>
      <c r="B1500" s="1630" t="s">
        <v>965</v>
      </c>
      <c r="C1500" s="1433">
        <f>VLOOKUP(B1492,'CNKT '!$C$190:$Z$254,18,0)</f>
        <v>0</v>
      </c>
      <c r="D1500" s="1379">
        <v>10000</v>
      </c>
      <c r="E1500" s="1377">
        <f>C1500*D1500</f>
        <v>0</v>
      </c>
      <c r="F1500" s="1436"/>
      <c r="G1500" s="1375" t="s">
        <v>899</v>
      </c>
      <c r="H1500" s="1630" t="s">
        <v>965</v>
      </c>
      <c r="I1500" s="1433">
        <f>VLOOKUP(H1492,'CNKT '!$C$190:$Z$254,18,0)</f>
        <v>0</v>
      </c>
      <c r="J1500" s="1379">
        <v>10000</v>
      </c>
      <c r="K1500" s="1377">
        <f>I1500*J1500</f>
        <v>0</v>
      </c>
      <c r="L1500" s="1372"/>
    </row>
    <row r="1501" spans="1:15" s="31" customFormat="1" ht="17.25" customHeight="1">
      <c r="A1501" s="1375" t="s">
        <v>899</v>
      </c>
      <c r="B1501" s="1630" t="s">
        <v>965</v>
      </c>
      <c r="C1501" s="1433">
        <f>VLOOKUP(B1492,'CNKT '!$C$190:$Z$254,19,0)</f>
        <v>0</v>
      </c>
      <c r="D1501" s="1379">
        <v>20000</v>
      </c>
      <c r="E1501" s="1377">
        <f>C1501*D1501</f>
        <v>0</v>
      </c>
      <c r="F1501" s="1436"/>
      <c r="G1501" s="1375" t="s">
        <v>899</v>
      </c>
      <c r="H1501" s="1630" t="s">
        <v>965</v>
      </c>
      <c r="I1501" s="1433">
        <f>VLOOKUP(H1492,'CNKT '!$C$190:$Z$254,19,0)</f>
        <v>0</v>
      </c>
      <c r="J1501" s="1379">
        <v>20000</v>
      </c>
      <c r="K1501" s="1377">
        <f>I1501*J1501</f>
        <v>0</v>
      </c>
      <c r="L1501" s="1372"/>
    </row>
    <row r="1502" spans="1:15" s="31" customFormat="1" ht="17.25" customHeight="1">
      <c r="A1502" s="1375" t="s">
        <v>995</v>
      </c>
      <c r="B1502" s="1630" t="s">
        <v>997</v>
      </c>
      <c r="C1502" s="1433"/>
      <c r="D1502" s="1379"/>
      <c r="E1502" s="1377"/>
      <c r="F1502" s="1436"/>
      <c r="G1502" s="1375" t="s">
        <v>995</v>
      </c>
      <c r="H1502" s="1630" t="s">
        <v>997</v>
      </c>
      <c r="I1502" s="1433"/>
      <c r="J1502" s="1379"/>
      <c r="K1502" s="1377"/>
      <c r="L1502" s="1372"/>
    </row>
    <row r="1503" spans="1:15" s="31" customFormat="1" ht="17.25" customHeight="1">
      <c r="A1503" s="1381" t="s">
        <v>123</v>
      </c>
      <c r="B1503" s="1631" t="s">
        <v>1085</v>
      </c>
      <c r="C1503" s="1382"/>
      <c r="D1503" s="1383"/>
      <c r="E1503" s="1382"/>
      <c r="F1503" s="1436"/>
      <c r="G1503" s="1381" t="s">
        <v>123</v>
      </c>
      <c r="H1503" s="1631" t="s">
        <v>1085</v>
      </c>
      <c r="I1503" s="1382"/>
      <c r="J1503" s="1383"/>
      <c r="K1503" s="1382"/>
      <c r="L1503" s="1372"/>
    </row>
    <row r="1504" spans="1:15" s="31" customFormat="1" ht="17.25" customHeight="1">
      <c r="A1504" s="1384" t="s">
        <v>124</v>
      </c>
      <c r="B1504" s="1632" t="s">
        <v>1086</v>
      </c>
      <c r="C1504" s="1382"/>
      <c r="D1504" s="1382"/>
      <c r="E1504" s="1382"/>
      <c r="F1504" s="1436"/>
      <c r="G1504" s="1384" t="s">
        <v>124</v>
      </c>
      <c r="H1504" s="1632" t="s">
        <v>1086</v>
      </c>
      <c r="I1504" s="1382"/>
      <c r="J1504" s="1382"/>
      <c r="K1504" s="1382"/>
      <c r="L1504" s="1372"/>
    </row>
    <row r="1505" spans="1:13" s="31" customFormat="1" ht="17.25" customHeight="1">
      <c r="A1505" s="1384" t="s">
        <v>125</v>
      </c>
      <c r="B1505" s="1633" t="s">
        <v>1087</v>
      </c>
      <c r="C1505" s="1382"/>
      <c r="D1505" s="1382"/>
      <c r="E1505" s="1377">
        <f>SUM(E1504)</f>
        <v>0</v>
      </c>
      <c r="F1505" s="1423"/>
      <c r="G1505" s="1384" t="s">
        <v>125</v>
      </c>
      <c r="H1505" s="1633" t="s">
        <v>1087</v>
      </c>
      <c r="I1505" s="1382"/>
      <c r="J1505" s="1382"/>
      <c r="K1505" s="1377">
        <f>SUM(K1504)</f>
        <v>0</v>
      </c>
      <c r="L1505" s="1372"/>
      <c r="M1505" s="1385">
        <f>E1505+K1505</f>
        <v>0</v>
      </c>
    </row>
    <row r="1506" spans="1:13" s="31" customFormat="1" ht="17.25" customHeight="1">
      <c r="A1506" s="1386" t="s">
        <v>126</v>
      </c>
      <c r="B1506" s="1634" t="s">
        <v>871</v>
      </c>
      <c r="C1506" s="1387"/>
      <c r="D1506" s="1387"/>
      <c r="E1506" s="1387">
        <f>(E1494+E1495+E1496+E1497+E1498+E1499+E1500+E1501+E1502)-E1505</f>
        <v>0</v>
      </c>
      <c r="F1506" s="1436"/>
      <c r="G1506" s="1386" t="s">
        <v>126</v>
      </c>
      <c r="H1506" s="1634" t="s">
        <v>871</v>
      </c>
      <c r="I1506" s="1387"/>
      <c r="J1506" s="1387"/>
      <c r="K1506" s="1387">
        <f>(K1494+K1495+K1496+K1497+K1498+K1499+K1500+K1501+K1502)-K1505</f>
        <v>0</v>
      </c>
      <c r="L1506" s="1389">
        <f>E1506+K1506</f>
        <v>0</v>
      </c>
    </row>
    <row r="1507" spans="1:13" s="31" customFormat="1" ht="17.25" customHeight="1">
      <c r="A1507" s="1449"/>
      <c r="B1507" s="1449"/>
      <c r="C1507" s="1449"/>
      <c r="D1507" s="1449"/>
      <c r="E1507" s="1449"/>
      <c r="F1507" s="1449"/>
      <c r="G1507" s="1449"/>
      <c r="H1507" s="1449"/>
      <c r="I1507" s="1449"/>
      <c r="J1507" s="1449"/>
      <c r="K1507" s="1449"/>
      <c r="L1507" s="1372"/>
    </row>
    <row r="1508" spans="1:13" s="31" customFormat="1" ht="17.25" customHeight="1">
      <c r="A1508" s="1445" t="str">
        <f>A1491</f>
        <v>LƯƠNG THÁNG 01/2025</v>
      </c>
      <c r="B1508" s="1449"/>
      <c r="C1508" s="1449"/>
      <c r="D1508" s="1449"/>
      <c r="E1508" s="1458">
        <f>VLOOKUP(B1509,'CNKT '!$C$190:$AD$254,26,0)</f>
        <v>0</v>
      </c>
      <c r="F1508" s="1436"/>
      <c r="G1508" s="1445" t="str">
        <f>G1491</f>
        <v>LƯƠNG THÁNG 01/2025</v>
      </c>
      <c r="H1508" s="1449"/>
      <c r="I1508" s="1449"/>
      <c r="J1508" s="1449"/>
      <c r="K1508" s="1458">
        <f>VLOOKUP(H1509,'CNKT '!$C$190:$AD$254,26,0)</f>
        <v>0</v>
      </c>
      <c r="L1508" s="1372"/>
    </row>
    <row r="1509" spans="1:13" s="31" customFormat="1" ht="17.25" customHeight="1">
      <c r="A1509" s="1391" t="s">
        <v>29</v>
      </c>
      <c r="B1509" s="1626" t="str">
        <f>'CNKT '!C192</f>
        <v>T .Nhum</v>
      </c>
      <c r="C1509" s="1376"/>
      <c r="D1509" s="1626" t="s">
        <v>806</v>
      </c>
      <c r="E1509" s="1626" t="s">
        <v>32</v>
      </c>
      <c r="F1509" s="1436"/>
      <c r="G1509" s="1391" t="s">
        <v>29</v>
      </c>
      <c r="H1509" s="1626" t="str">
        <f>'CNKT '!C193</f>
        <v>N.Vông Ma Ni</v>
      </c>
      <c r="I1509" s="1376"/>
      <c r="J1509" s="1626" t="s">
        <v>806</v>
      </c>
      <c r="K1509" s="1626" t="s">
        <v>32</v>
      </c>
      <c r="L1509" s="1372"/>
    </row>
    <row r="1510" spans="1:13" s="31" customFormat="1" ht="17.25" customHeight="1">
      <c r="A1510" s="1375" t="s">
        <v>807</v>
      </c>
      <c r="B1510" s="1628" t="s">
        <v>1080</v>
      </c>
      <c r="C1510" s="1376" t="str">
        <f>VLOOKUP(B1509,'BTH mủ tạp'!$C$182:$AL$244,36,0)</f>
        <v>B</v>
      </c>
      <c r="D1510" s="1377"/>
      <c r="E1510" s="1377"/>
      <c r="F1510" s="1436"/>
      <c r="G1510" s="1375" t="s">
        <v>807</v>
      </c>
      <c r="H1510" s="1628" t="s">
        <v>1080</v>
      </c>
      <c r="I1510" s="1376" t="str">
        <f>VLOOKUP(H1509,'BTH mủ tạp'!$C$182:$AL$244,36,0)</f>
        <v>A</v>
      </c>
      <c r="J1510" s="1377"/>
      <c r="K1510" s="1377"/>
      <c r="L1510" s="1372"/>
    </row>
    <row r="1511" spans="1:13" s="31" customFormat="1" ht="17.25" customHeight="1">
      <c r="A1511" s="1375" t="s">
        <v>121</v>
      </c>
      <c r="B1511" s="1629" t="s">
        <v>865</v>
      </c>
      <c r="C1511" s="1378">
        <f>VLOOKUP(B1509,'CNKT '!$C$189:$Z$254,3,0)</f>
        <v>0</v>
      </c>
      <c r="D1511" s="1379">
        <v>25000</v>
      </c>
      <c r="E1511" s="1377">
        <f t="shared" ref="E1511:E1516" si="175">C1511*D1511</f>
        <v>0</v>
      </c>
      <c r="F1511" s="1436"/>
      <c r="G1511" s="1375" t="s">
        <v>121</v>
      </c>
      <c r="H1511" s="1629" t="s">
        <v>865</v>
      </c>
      <c r="I1511" s="1378">
        <f>VLOOKUP(H1509,'CNKT '!$C$189:$Z$254,3,0)</f>
        <v>0</v>
      </c>
      <c r="J1511" s="1379">
        <v>25000</v>
      </c>
      <c r="K1511" s="1377">
        <f t="shared" ref="K1511:K1516" si="176">I1511*J1511</f>
        <v>0</v>
      </c>
      <c r="L1511" s="1372"/>
    </row>
    <row r="1512" spans="1:13" s="31" customFormat="1" ht="17.25" customHeight="1">
      <c r="A1512" s="1375" t="s">
        <v>628</v>
      </c>
      <c r="B1512" s="1630" t="s">
        <v>1081</v>
      </c>
      <c r="C1512" s="1433">
        <f>VLOOKUP(B1509,'CNKT '!$C$189:$Z$254,11,0)</f>
        <v>0</v>
      </c>
      <c r="D1512" s="1380">
        <f>46.1*$B$2</f>
        <v>30241.600000000002</v>
      </c>
      <c r="E1512" s="1377">
        <f t="shared" si="175"/>
        <v>0</v>
      </c>
      <c r="F1512" s="1436"/>
      <c r="G1512" s="1375" t="s">
        <v>628</v>
      </c>
      <c r="H1512" s="1630" t="s">
        <v>1081</v>
      </c>
      <c r="I1512" s="1433">
        <f>VLOOKUP(H1509,'CNKT '!$C$189:$Z$254,11,0)</f>
        <v>0</v>
      </c>
      <c r="J1512" s="1380">
        <f>46.1*$B$2</f>
        <v>30241.600000000002</v>
      </c>
      <c r="K1512" s="1377">
        <f t="shared" si="176"/>
        <v>0</v>
      </c>
      <c r="L1512" s="1372"/>
    </row>
    <row r="1513" spans="1:13" s="31" customFormat="1" ht="17.25" customHeight="1">
      <c r="A1513" s="1375" t="s">
        <v>809</v>
      </c>
      <c r="B1513" s="1630" t="s">
        <v>1082</v>
      </c>
      <c r="C1513" s="1433">
        <f>VLOOKUP(B1509,'CNKT '!$C$189:$Z$254,12,0)</f>
        <v>0</v>
      </c>
      <c r="D1513" s="1379">
        <f>76.9*$B$2</f>
        <v>50446.400000000001</v>
      </c>
      <c r="E1513" s="1377">
        <f t="shared" si="175"/>
        <v>0</v>
      </c>
      <c r="F1513" s="1436"/>
      <c r="G1513" s="1375" t="s">
        <v>809</v>
      </c>
      <c r="H1513" s="1630" t="s">
        <v>1082</v>
      </c>
      <c r="I1513" s="1433">
        <f>VLOOKUP(H1509,'CNKT '!$C$189:$Z$254,12,0)</f>
        <v>0</v>
      </c>
      <c r="J1513" s="1379">
        <f>76.9*$B$2</f>
        <v>50446.400000000001</v>
      </c>
      <c r="K1513" s="1377">
        <f t="shared" si="176"/>
        <v>0</v>
      </c>
      <c r="L1513" s="1372"/>
    </row>
    <row r="1514" spans="1:13" s="31" customFormat="1" ht="17.25" customHeight="1">
      <c r="A1514" s="1375" t="s">
        <v>122</v>
      </c>
      <c r="B1514" s="1630" t="s">
        <v>1083</v>
      </c>
      <c r="C1514" s="1433">
        <f>VLOOKUP(B1509,'CNKT '!$C$189:$Z$254,8,0)</f>
        <v>0</v>
      </c>
      <c r="D1514" s="1379">
        <f>IF(C1510="A",6.1,IF(C1510="B",5.8,IF(C1510="C",5.5,IF(C1510="C.",5.5,IF(C1510="D",5.2)))))*$B$2</f>
        <v>3804.7999999999997</v>
      </c>
      <c r="E1514" s="1377">
        <f t="shared" si="175"/>
        <v>0</v>
      </c>
      <c r="F1514" s="1436"/>
      <c r="G1514" s="1375" t="s">
        <v>122</v>
      </c>
      <c r="H1514" s="1630" t="s">
        <v>1083</v>
      </c>
      <c r="I1514" s="1433">
        <f>VLOOKUP(H1509,'CNKT '!$C$189:$Z$254,8,0)</f>
        <v>0</v>
      </c>
      <c r="J1514" s="1379">
        <f>IF(I1510="A",6.1,IF(I1510="B",5.8,IF(I1510="C",5.5,IF(I1510="C.",5.5,IF(I1510="D",5.2)))))*$B$2</f>
        <v>4001.6</v>
      </c>
      <c r="K1514" s="1377">
        <f t="shared" si="176"/>
        <v>0</v>
      </c>
      <c r="L1514" s="1372"/>
    </row>
    <row r="1515" spans="1:13" s="31" customFormat="1" ht="17.25" customHeight="1">
      <c r="A1515" s="1375" t="s">
        <v>961</v>
      </c>
      <c r="B1515" s="1630" t="s">
        <v>1084</v>
      </c>
      <c r="C1515" s="1433">
        <f>VLOOKUP(B1509,'CNKT '!$C$101:$Z$254,13,0)</f>
        <v>0</v>
      </c>
      <c r="D1515" s="1380">
        <f>92.2*$B$2</f>
        <v>60483.200000000004</v>
      </c>
      <c r="E1515" s="1377">
        <f t="shared" si="175"/>
        <v>0</v>
      </c>
      <c r="F1515" s="1436"/>
      <c r="G1515" s="1375" t="s">
        <v>961</v>
      </c>
      <c r="H1515" s="1630" t="s">
        <v>1084</v>
      </c>
      <c r="I1515" s="1433">
        <f>VLOOKUP(H1509,'CNKT '!$C$101:$Z$254,13,0)</f>
        <v>0</v>
      </c>
      <c r="J1515" s="1380">
        <f>92.2*$B$2</f>
        <v>60483.200000000004</v>
      </c>
      <c r="K1515" s="1377">
        <f t="shared" si="176"/>
        <v>0</v>
      </c>
      <c r="L1515" s="1372"/>
    </row>
    <row r="1516" spans="1:13" s="31" customFormat="1" ht="17.25" customHeight="1">
      <c r="A1516" s="1375" t="s">
        <v>886</v>
      </c>
      <c r="B1516" s="1630" t="s">
        <v>964</v>
      </c>
      <c r="C1516" s="1433">
        <f>VLOOKUP(B1509,'CNKT '!$C$189:$Z$254,14,0)</f>
        <v>0</v>
      </c>
      <c r="D1516" s="1379">
        <f>153.6*$B$2</f>
        <v>100761.59999999999</v>
      </c>
      <c r="E1516" s="1377">
        <f t="shared" si="175"/>
        <v>0</v>
      </c>
      <c r="F1516" s="1436"/>
      <c r="G1516" s="1375" t="s">
        <v>886</v>
      </c>
      <c r="H1516" s="1630" t="s">
        <v>964</v>
      </c>
      <c r="I1516" s="1433">
        <f>VLOOKUP(H1509,'CNKT '!$C$189:$Z$254,14,0)</f>
        <v>0</v>
      </c>
      <c r="J1516" s="1379">
        <f>153.6*$B$2</f>
        <v>100761.59999999999</v>
      </c>
      <c r="K1516" s="1377">
        <f t="shared" si="176"/>
        <v>0</v>
      </c>
      <c r="L1516" s="1372"/>
    </row>
    <row r="1517" spans="1:13" s="31" customFormat="1" ht="17.25" customHeight="1">
      <c r="A1517" s="1375" t="s">
        <v>899</v>
      </c>
      <c r="B1517" s="1630" t="s">
        <v>965</v>
      </c>
      <c r="C1517" s="1433">
        <f>VLOOKUP(B1509,'CNKT '!$C$190:$Z$254,18,0)</f>
        <v>0</v>
      </c>
      <c r="D1517" s="1379">
        <v>10000</v>
      </c>
      <c r="E1517" s="1377">
        <f>C1517*D1517</f>
        <v>0</v>
      </c>
      <c r="F1517" s="1436"/>
      <c r="G1517" s="1375" t="s">
        <v>899</v>
      </c>
      <c r="H1517" s="1630" t="s">
        <v>965</v>
      </c>
      <c r="I1517" s="1433">
        <f>VLOOKUP(H1509,'CNKT '!$C$190:$Z$254,18,0)</f>
        <v>0</v>
      </c>
      <c r="J1517" s="1379">
        <v>10000</v>
      </c>
      <c r="K1517" s="1377">
        <f>I1517*J1517</f>
        <v>0</v>
      </c>
      <c r="L1517" s="1372"/>
    </row>
    <row r="1518" spans="1:13" s="31" customFormat="1" ht="17.25" customHeight="1">
      <c r="A1518" s="1375" t="s">
        <v>899</v>
      </c>
      <c r="B1518" s="1630" t="s">
        <v>965</v>
      </c>
      <c r="C1518" s="1433">
        <f>VLOOKUP(B1509,'CNKT '!$C$190:$Z$254,19,0)</f>
        <v>0</v>
      </c>
      <c r="D1518" s="1379">
        <v>20000</v>
      </c>
      <c r="E1518" s="1377">
        <f>C1518*D1518</f>
        <v>0</v>
      </c>
      <c r="F1518" s="1436"/>
      <c r="G1518" s="1375" t="s">
        <v>899</v>
      </c>
      <c r="H1518" s="1630" t="s">
        <v>965</v>
      </c>
      <c r="I1518" s="1433">
        <f>VLOOKUP(H1509,'CNKT '!$C$190:$Z$254,19,0)</f>
        <v>0</v>
      </c>
      <c r="J1518" s="1379">
        <v>20000</v>
      </c>
      <c r="K1518" s="1377">
        <f>I1518*J1518</f>
        <v>0</v>
      </c>
      <c r="L1518" s="1372"/>
    </row>
    <row r="1519" spans="1:13" s="31" customFormat="1" ht="17.25" customHeight="1">
      <c r="A1519" s="1375" t="s">
        <v>995</v>
      </c>
      <c r="B1519" s="1630" t="s">
        <v>997</v>
      </c>
      <c r="C1519" s="1433"/>
      <c r="D1519" s="1379"/>
      <c r="E1519" s="1377"/>
      <c r="F1519" s="1436"/>
      <c r="G1519" s="1375" t="s">
        <v>995</v>
      </c>
      <c r="H1519" s="1630" t="s">
        <v>997</v>
      </c>
      <c r="I1519" s="1433"/>
      <c r="J1519" s="1379"/>
      <c r="K1519" s="1377"/>
      <c r="L1519" s="1372"/>
    </row>
    <row r="1520" spans="1:13" s="31" customFormat="1" ht="17.25" customHeight="1">
      <c r="A1520" s="1381" t="s">
        <v>123</v>
      </c>
      <c r="B1520" s="1631" t="s">
        <v>1085</v>
      </c>
      <c r="C1520" s="1382"/>
      <c r="D1520" s="1383"/>
      <c r="E1520" s="1382"/>
      <c r="F1520" s="1436"/>
      <c r="G1520" s="1381" t="s">
        <v>123</v>
      </c>
      <c r="H1520" s="1631" t="s">
        <v>1085</v>
      </c>
      <c r="I1520" s="1382"/>
      <c r="J1520" s="1383"/>
      <c r="K1520" s="1382"/>
      <c r="L1520" s="1372"/>
    </row>
    <row r="1521" spans="1:12" s="31" customFormat="1" ht="17.25" customHeight="1">
      <c r="A1521" s="1384" t="s">
        <v>124</v>
      </c>
      <c r="B1521" s="1632" t="s">
        <v>1086</v>
      </c>
      <c r="C1521" s="1382"/>
      <c r="D1521" s="1382"/>
      <c r="E1521" s="1382"/>
      <c r="F1521" s="1436"/>
      <c r="G1521" s="1384" t="s">
        <v>124</v>
      </c>
      <c r="H1521" s="1632" t="s">
        <v>1086</v>
      </c>
      <c r="I1521" s="1382"/>
      <c r="J1521" s="1382"/>
      <c r="K1521" s="1382"/>
      <c r="L1521" s="1372"/>
    </row>
    <row r="1522" spans="1:12" s="31" customFormat="1" ht="17.25" customHeight="1">
      <c r="A1522" s="1384" t="s">
        <v>125</v>
      </c>
      <c r="B1522" s="1633" t="s">
        <v>1087</v>
      </c>
      <c r="C1522" s="1382"/>
      <c r="D1522" s="1382"/>
      <c r="E1522" s="1377">
        <f>SUM(E1521)</f>
        <v>0</v>
      </c>
      <c r="F1522" s="1433"/>
      <c r="G1522" s="1384" t="s">
        <v>125</v>
      </c>
      <c r="H1522" s="1633" t="s">
        <v>1087</v>
      </c>
      <c r="I1522" s="1382"/>
      <c r="J1522" s="1382"/>
      <c r="K1522" s="1377">
        <f>SUM(K1521)</f>
        <v>0</v>
      </c>
      <c r="L1522" s="1372"/>
    </row>
    <row r="1523" spans="1:12" s="31" customFormat="1" ht="17.25" customHeight="1">
      <c r="A1523" s="1386" t="s">
        <v>126</v>
      </c>
      <c r="B1523" s="1634" t="s">
        <v>871</v>
      </c>
      <c r="C1523" s="1387"/>
      <c r="D1523" s="1387"/>
      <c r="E1523" s="1387">
        <f>(E1511+E1512+E1513+E1514+E1515+E1516+E1517+E1518+E1519)-E1522</f>
        <v>0</v>
      </c>
      <c r="F1523" s="1436"/>
      <c r="G1523" s="1386" t="s">
        <v>126</v>
      </c>
      <c r="H1523" s="1634" t="s">
        <v>871</v>
      </c>
      <c r="I1523" s="1387"/>
      <c r="J1523" s="1387"/>
      <c r="K1523" s="1387">
        <f>(K1511+K1512+K1513+K1514+K1515+K1516+K1517+K1518+K1519)-K1522</f>
        <v>0</v>
      </c>
      <c r="L1523" s="1389">
        <f>E1523+K1523</f>
        <v>0</v>
      </c>
    </row>
    <row r="1524" spans="1:12" s="31" customFormat="1" ht="17.25" customHeight="1">
      <c r="A1524" s="1449"/>
      <c r="B1524" s="1449"/>
      <c r="C1524" s="1449"/>
      <c r="D1524" s="1449"/>
      <c r="E1524" s="1449"/>
      <c r="F1524" s="1449"/>
      <c r="G1524" s="1449"/>
      <c r="H1524" s="1449"/>
      <c r="I1524" s="1449"/>
      <c r="J1524" s="1449"/>
      <c r="K1524" s="1449"/>
      <c r="L1524" s="1372"/>
    </row>
    <row r="1525" spans="1:12" s="31" customFormat="1" ht="17.25" customHeight="1">
      <c r="A1525" s="1445" t="str">
        <f>A1508</f>
        <v>LƯƠNG THÁNG 01/2025</v>
      </c>
      <c r="B1525" s="1449"/>
      <c r="C1525" s="1449"/>
      <c r="D1525" s="1449"/>
      <c r="E1525" s="1458">
        <f>VLOOKUP(B1526,'CNKT '!$C$190:$AD$254,26,0)</f>
        <v>0</v>
      </c>
      <c r="F1525" s="1436"/>
      <c r="G1525" s="1445" t="str">
        <f>G1508</f>
        <v>LƯƠNG THÁNG 01/2025</v>
      </c>
      <c r="H1525" s="1449"/>
      <c r="I1525" s="1449"/>
      <c r="J1525" s="1449"/>
      <c r="K1525" s="1458">
        <f>VLOOKUP(H1526,'CNKT '!$C$190:$AD$254,26,0)</f>
        <v>0</v>
      </c>
      <c r="L1525" s="1372"/>
    </row>
    <row r="1526" spans="1:12" s="31" customFormat="1" ht="17.25" customHeight="1">
      <c r="A1526" s="1391" t="s">
        <v>29</v>
      </c>
      <c r="B1526" s="1626" t="str">
        <f>'CNKT '!C194</f>
        <v>Đao Hương</v>
      </c>
      <c r="C1526" s="1376"/>
      <c r="D1526" s="1626" t="s">
        <v>806</v>
      </c>
      <c r="E1526" s="1626" t="s">
        <v>32</v>
      </c>
      <c r="F1526" s="1436"/>
      <c r="G1526" s="1391" t="s">
        <v>29</v>
      </c>
      <c r="H1526" s="1626" t="str">
        <f>'CNKT '!C195</f>
        <v>T. Xi Nun</v>
      </c>
      <c r="I1526" s="1376"/>
      <c r="J1526" s="1626" t="s">
        <v>806</v>
      </c>
      <c r="K1526" s="1626" t="s">
        <v>32</v>
      </c>
      <c r="L1526" s="1372"/>
    </row>
    <row r="1527" spans="1:12" s="31" customFormat="1" ht="17.25" customHeight="1">
      <c r="A1527" s="1375" t="s">
        <v>807</v>
      </c>
      <c r="B1527" s="1628" t="s">
        <v>1080</v>
      </c>
      <c r="C1527" s="1376" t="str">
        <f>VLOOKUP(B1526,'BTH mủ tạp'!$C$182:$AL$244,36,0)</f>
        <v>A</v>
      </c>
      <c r="D1527" s="1377"/>
      <c r="E1527" s="1377"/>
      <c r="F1527" s="1436"/>
      <c r="G1527" s="1375" t="s">
        <v>807</v>
      </c>
      <c r="H1527" s="1628" t="s">
        <v>1080</v>
      </c>
      <c r="I1527" s="1376" t="str">
        <f>VLOOKUP(H1526,'BTH mủ tạp'!$C$182:$AL$244,36,0)</f>
        <v>A</v>
      </c>
      <c r="J1527" s="1377"/>
      <c r="K1527" s="1377"/>
      <c r="L1527" s="1372"/>
    </row>
    <row r="1528" spans="1:12" s="31" customFormat="1" ht="17.25" customHeight="1">
      <c r="A1528" s="1375" t="s">
        <v>121</v>
      </c>
      <c r="B1528" s="1629" t="s">
        <v>865</v>
      </c>
      <c r="C1528" s="1378">
        <f>VLOOKUP(B1526,'CNKT '!$C$189:$Z$254,3,0)</f>
        <v>0</v>
      </c>
      <c r="D1528" s="1379">
        <v>25000</v>
      </c>
      <c r="E1528" s="1377">
        <f t="shared" ref="E1528:E1533" si="177">C1528*D1528</f>
        <v>0</v>
      </c>
      <c r="F1528" s="1436"/>
      <c r="G1528" s="1375" t="s">
        <v>121</v>
      </c>
      <c r="H1528" s="1629" t="s">
        <v>865</v>
      </c>
      <c r="I1528" s="1378">
        <f>VLOOKUP(H1526,'CNKT '!$C$189:$Z$254,3,0)</f>
        <v>0</v>
      </c>
      <c r="J1528" s="1379">
        <v>25000</v>
      </c>
      <c r="K1528" s="1377">
        <f t="shared" ref="K1528:K1533" si="178">I1528*J1528</f>
        <v>0</v>
      </c>
      <c r="L1528" s="1372"/>
    </row>
    <row r="1529" spans="1:12" s="31" customFormat="1" ht="17.25" customHeight="1">
      <c r="A1529" s="1375" t="s">
        <v>628</v>
      </c>
      <c r="B1529" s="1630" t="s">
        <v>1081</v>
      </c>
      <c r="C1529" s="1433">
        <f>VLOOKUP(B1526,'CNKT '!$C$189:$Z$254,11,0)</f>
        <v>0</v>
      </c>
      <c r="D1529" s="1380">
        <f>46.1*$B$2</f>
        <v>30241.600000000002</v>
      </c>
      <c r="E1529" s="1377">
        <f t="shared" si="177"/>
        <v>0</v>
      </c>
      <c r="F1529" s="1436"/>
      <c r="G1529" s="1375" t="s">
        <v>628</v>
      </c>
      <c r="H1529" s="1630" t="s">
        <v>1081</v>
      </c>
      <c r="I1529" s="1433">
        <f>VLOOKUP(H1526,'CNKT '!$C$189:$Z$254,11,0)</f>
        <v>0</v>
      </c>
      <c r="J1529" s="1380">
        <f>46.1*$B$2</f>
        <v>30241.600000000002</v>
      </c>
      <c r="K1529" s="1377">
        <f t="shared" si="178"/>
        <v>0</v>
      </c>
      <c r="L1529" s="1372"/>
    </row>
    <row r="1530" spans="1:12" s="31" customFormat="1" ht="17.25" customHeight="1">
      <c r="A1530" s="1375" t="s">
        <v>809</v>
      </c>
      <c r="B1530" s="1630" t="s">
        <v>1082</v>
      </c>
      <c r="C1530" s="1433">
        <f>VLOOKUP(B1526,'CNKT '!$C$189:$Z$254,12,0)</f>
        <v>0</v>
      </c>
      <c r="D1530" s="1379">
        <f>76.9*$B$2</f>
        <v>50446.400000000001</v>
      </c>
      <c r="E1530" s="1377">
        <f t="shared" si="177"/>
        <v>0</v>
      </c>
      <c r="F1530" s="1436"/>
      <c r="G1530" s="1375" t="s">
        <v>809</v>
      </c>
      <c r="H1530" s="1630" t="s">
        <v>1082</v>
      </c>
      <c r="I1530" s="1433">
        <f>VLOOKUP(H1526,'CNKT '!$C$189:$Z$254,12,0)</f>
        <v>0</v>
      </c>
      <c r="J1530" s="1379">
        <f>76.9*$B$2</f>
        <v>50446.400000000001</v>
      </c>
      <c r="K1530" s="1377">
        <f t="shared" si="178"/>
        <v>0</v>
      </c>
      <c r="L1530" s="1372"/>
    </row>
    <row r="1531" spans="1:12" s="31" customFormat="1" ht="17.25" customHeight="1">
      <c r="A1531" s="1375" t="s">
        <v>122</v>
      </c>
      <c r="B1531" s="1630" t="s">
        <v>1083</v>
      </c>
      <c r="C1531" s="1433">
        <f>VLOOKUP(B1526,'CNKT '!$C$189:$Z$254,8,0)</f>
        <v>0</v>
      </c>
      <c r="D1531" s="1379">
        <f>IF(C1527="A",6.1,IF(C1527="B",5.8,IF(C1527="C",5.5,IF(C1527="C.",5.5,IF(C1527="D",5.2)))))*$B$2</f>
        <v>4001.6</v>
      </c>
      <c r="E1531" s="1377">
        <f t="shared" si="177"/>
        <v>0</v>
      </c>
      <c r="F1531" s="1436"/>
      <c r="G1531" s="1375" t="s">
        <v>122</v>
      </c>
      <c r="H1531" s="1630" t="s">
        <v>1083</v>
      </c>
      <c r="I1531" s="1433">
        <f>VLOOKUP(H1526,'CNKT '!$C$189:$Z$254,8,0)</f>
        <v>0</v>
      </c>
      <c r="J1531" s="1379">
        <f>IF(I1527="A",6.1,IF(I1527="B",5.8,IF(I1527="C",5.5,IF(I1527="C.",5.5,IF(I1527="D",5.2)))))*$B$2</f>
        <v>4001.6</v>
      </c>
      <c r="K1531" s="1377">
        <f t="shared" si="178"/>
        <v>0</v>
      </c>
      <c r="L1531" s="1372"/>
    </row>
    <row r="1532" spans="1:12" s="31" customFormat="1" ht="17.25" customHeight="1">
      <c r="A1532" s="1375" t="s">
        <v>961</v>
      </c>
      <c r="B1532" s="1630" t="s">
        <v>1084</v>
      </c>
      <c r="C1532" s="1433">
        <f>VLOOKUP(B1526,'CNKT '!$C$101:$Z$254,13,0)</f>
        <v>0</v>
      </c>
      <c r="D1532" s="1380">
        <f>92.2*$B$2</f>
        <v>60483.200000000004</v>
      </c>
      <c r="E1532" s="1377">
        <f t="shared" si="177"/>
        <v>0</v>
      </c>
      <c r="F1532" s="1436"/>
      <c r="G1532" s="1375" t="s">
        <v>961</v>
      </c>
      <c r="H1532" s="1630" t="s">
        <v>1084</v>
      </c>
      <c r="I1532" s="1433">
        <f>VLOOKUP(H1526,'CNKT '!$C$101:$Z$254,13,0)</f>
        <v>0</v>
      </c>
      <c r="J1532" s="1380">
        <f>92.2*$B$2</f>
        <v>60483.200000000004</v>
      </c>
      <c r="K1532" s="1377">
        <f t="shared" si="178"/>
        <v>0</v>
      </c>
      <c r="L1532" s="1372"/>
    </row>
    <row r="1533" spans="1:12" s="31" customFormat="1" ht="17.25" customHeight="1">
      <c r="A1533" s="1375" t="s">
        <v>886</v>
      </c>
      <c r="B1533" s="1630" t="s">
        <v>964</v>
      </c>
      <c r="C1533" s="1433">
        <f>VLOOKUP(B1526,'CNKT '!$C$189:$Z$254,14,0)</f>
        <v>0</v>
      </c>
      <c r="D1533" s="1379">
        <f>153.6*$B$2</f>
        <v>100761.59999999999</v>
      </c>
      <c r="E1533" s="1377">
        <f t="shared" si="177"/>
        <v>0</v>
      </c>
      <c r="F1533" s="1436"/>
      <c r="G1533" s="1375" t="s">
        <v>886</v>
      </c>
      <c r="H1533" s="1630" t="s">
        <v>964</v>
      </c>
      <c r="I1533" s="1433">
        <f>VLOOKUP(H1526,'CNKT '!$C$189:$Z$254,14,0)</f>
        <v>0</v>
      </c>
      <c r="J1533" s="1379">
        <f>153.6*$B$2</f>
        <v>100761.59999999999</v>
      </c>
      <c r="K1533" s="1377">
        <f t="shared" si="178"/>
        <v>0</v>
      </c>
      <c r="L1533" s="1372"/>
    </row>
    <row r="1534" spans="1:12" s="31" customFormat="1" ht="17.25" customHeight="1">
      <c r="A1534" s="1375" t="s">
        <v>899</v>
      </c>
      <c r="B1534" s="1630" t="s">
        <v>965</v>
      </c>
      <c r="C1534" s="1433">
        <f>VLOOKUP(B1526,'CNKT '!$C$190:$Z$254,18,0)</f>
        <v>0</v>
      </c>
      <c r="D1534" s="1379">
        <v>10000</v>
      </c>
      <c r="E1534" s="1377">
        <f>C1534*D1534</f>
        <v>0</v>
      </c>
      <c r="F1534" s="1436"/>
      <c r="G1534" s="1375" t="s">
        <v>899</v>
      </c>
      <c r="H1534" s="1630" t="s">
        <v>965</v>
      </c>
      <c r="I1534" s="1433">
        <f>VLOOKUP(H1526,'CNKT '!$C$190:$Z$254,18,0)</f>
        <v>0</v>
      </c>
      <c r="J1534" s="1379">
        <v>10000</v>
      </c>
      <c r="K1534" s="1377">
        <f>I1534*J1534</f>
        <v>0</v>
      </c>
      <c r="L1534" s="1372"/>
    </row>
    <row r="1535" spans="1:12" s="31" customFormat="1" ht="17.25" customHeight="1">
      <c r="A1535" s="1375" t="s">
        <v>899</v>
      </c>
      <c r="B1535" s="1630" t="s">
        <v>965</v>
      </c>
      <c r="C1535" s="1433">
        <f>VLOOKUP(B1526,'CNKT '!$C$190:$Z$254,19,0)</f>
        <v>0</v>
      </c>
      <c r="D1535" s="1379">
        <v>20000</v>
      </c>
      <c r="E1535" s="1377">
        <f>C1535*D1535</f>
        <v>0</v>
      </c>
      <c r="F1535" s="1436"/>
      <c r="G1535" s="1375" t="s">
        <v>899</v>
      </c>
      <c r="H1535" s="1630" t="s">
        <v>965</v>
      </c>
      <c r="I1535" s="1433">
        <f>VLOOKUP(H1526,'CNKT '!$C$190:$Z$254,19,0)</f>
        <v>0</v>
      </c>
      <c r="J1535" s="1379">
        <v>20000</v>
      </c>
      <c r="K1535" s="1377">
        <f>I1535*J1535</f>
        <v>0</v>
      </c>
      <c r="L1535" s="1372"/>
    </row>
    <row r="1536" spans="1:12" s="31" customFormat="1" ht="17.25" customHeight="1">
      <c r="A1536" s="1375" t="s">
        <v>995</v>
      </c>
      <c r="B1536" s="1630" t="s">
        <v>997</v>
      </c>
      <c r="C1536" s="1433"/>
      <c r="D1536" s="1379"/>
      <c r="E1536" s="1377"/>
      <c r="F1536" s="1436"/>
      <c r="G1536" s="1375" t="s">
        <v>995</v>
      </c>
      <c r="H1536" s="1630" t="s">
        <v>997</v>
      </c>
      <c r="I1536" s="1433"/>
      <c r="J1536" s="1379"/>
      <c r="K1536" s="1377"/>
      <c r="L1536" s="1372"/>
    </row>
    <row r="1537" spans="1:12" s="31" customFormat="1" ht="17.25" customHeight="1">
      <c r="A1537" s="1381" t="s">
        <v>123</v>
      </c>
      <c r="B1537" s="1631" t="s">
        <v>1085</v>
      </c>
      <c r="C1537" s="1382"/>
      <c r="D1537" s="1383"/>
      <c r="E1537" s="1382"/>
      <c r="F1537" s="1436"/>
      <c r="G1537" s="1381" t="s">
        <v>123</v>
      </c>
      <c r="H1537" s="1631" t="s">
        <v>1085</v>
      </c>
      <c r="I1537" s="1382"/>
      <c r="J1537" s="1383"/>
      <c r="K1537" s="1382"/>
      <c r="L1537" s="1372"/>
    </row>
    <row r="1538" spans="1:12" s="31" customFormat="1" ht="17.25" customHeight="1">
      <c r="A1538" s="1384" t="s">
        <v>124</v>
      </c>
      <c r="B1538" s="1632" t="s">
        <v>1086</v>
      </c>
      <c r="C1538" s="1382"/>
      <c r="D1538" s="1382"/>
      <c r="E1538" s="1382"/>
      <c r="F1538" s="1436"/>
      <c r="G1538" s="1384" t="s">
        <v>124</v>
      </c>
      <c r="H1538" s="1632" t="s">
        <v>1086</v>
      </c>
      <c r="I1538" s="1382"/>
      <c r="J1538" s="1382"/>
      <c r="K1538" s="1382"/>
      <c r="L1538" s="1372"/>
    </row>
    <row r="1539" spans="1:12" s="31" customFormat="1" ht="17.25" customHeight="1">
      <c r="A1539" s="1384" t="s">
        <v>125</v>
      </c>
      <c r="B1539" s="1633" t="s">
        <v>1087</v>
      </c>
      <c r="C1539" s="1382"/>
      <c r="D1539" s="1382"/>
      <c r="E1539" s="1377">
        <f>SUM(E1538)</f>
        <v>0</v>
      </c>
      <c r="F1539" s="1436"/>
      <c r="G1539" s="1384" t="s">
        <v>125</v>
      </c>
      <c r="H1539" s="1633" t="s">
        <v>1087</v>
      </c>
      <c r="I1539" s="1382"/>
      <c r="J1539" s="1382"/>
      <c r="K1539" s="1377">
        <f>SUM(K1538)</f>
        <v>0</v>
      </c>
      <c r="L1539" s="1372"/>
    </row>
    <row r="1540" spans="1:12" s="31" customFormat="1" ht="17.25" customHeight="1">
      <c r="A1540" s="1386" t="s">
        <v>126</v>
      </c>
      <c r="B1540" s="1634" t="s">
        <v>871</v>
      </c>
      <c r="C1540" s="1387"/>
      <c r="D1540" s="1387"/>
      <c r="E1540" s="1387">
        <f>(E1528+E1529+E1530+E1531+E1532+E1533+E1534+E1535+E1536)-E1539</f>
        <v>0</v>
      </c>
      <c r="F1540" s="1435"/>
      <c r="G1540" s="1386" t="s">
        <v>126</v>
      </c>
      <c r="H1540" s="1634" t="s">
        <v>871</v>
      </c>
      <c r="I1540" s="1387"/>
      <c r="J1540" s="1387"/>
      <c r="K1540" s="1387">
        <f>(K1528+K1529+K1530+K1531+K1532+K1533+K1534+K1535+K1536)-K1539</f>
        <v>0</v>
      </c>
      <c r="L1540" s="1389">
        <f>E1540+K1540</f>
        <v>0</v>
      </c>
    </row>
    <row r="1541" spans="1:12" s="31" customFormat="1" ht="237" customHeight="1">
      <c r="A1541" s="1449"/>
      <c r="B1541" s="1449"/>
      <c r="C1541" s="1449"/>
      <c r="D1541" s="1449"/>
      <c r="E1541" s="1449"/>
      <c r="F1541" s="1449"/>
      <c r="G1541" s="1449"/>
      <c r="H1541" s="1449"/>
      <c r="I1541" s="1449"/>
      <c r="J1541" s="1449"/>
      <c r="K1541" s="1449"/>
      <c r="L1541" s="1372"/>
    </row>
    <row r="1542" spans="1:12" s="31" customFormat="1" ht="17.25" customHeight="1">
      <c r="A1542" s="1445" t="str">
        <f>A1525</f>
        <v>LƯƠNG THÁNG 01/2025</v>
      </c>
      <c r="B1542" s="1449"/>
      <c r="C1542" s="1449"/>
      <c r="D1542" s="1449"/>
      <c r="E1542" s="1458">
        <f>VLOOKUP(B1543,'CNKT '!$C$190:$AD$254,26,0)</f>
        <v>0</v>
      </c>
      <c r="F1542" s="1436"/>
      <c r="G1542" s="1445" t="str">
        <f>G1525</f>
        <v>LƯƠNG THÁNG 01/2025</v>
      </c>
      <c r="H1542" s="1449"/>
      <c r="I1542" s="1449"/>
      <c r="J1542" s="1449"/>
      <c r="K1542" s="1458">
        <f>VLOOKUP(H1543,'CNKT '!$C$190:$AD$254,26,0)</f>
        <v>0</v>
      </c>
      <c r="L1542" s="1372"/>
    </row>
    <row r="1543" spans="1:12" s="31" customFormat="1" ht="17.25" customHeight="1">
      <c r="A1543" s="1391" t="s">
        <v>29</v>
      </c>
      <c r="B1543" s="1626" t="str">
        <f>'CNKT '!C196</f>
        <v>T. Bun Hinh</v>
      </c>
      <c r="C1543" s="1376"/>
      <c r="D1543" s="1626" t="s">
        <v>806</v>
      </c>
      <c r="E1543" s="1626" t="s">
        <v>32</v>
      </c>
      <c r="F1543" s="1436"/>
      <c r="G1543" s="1391" t="s">
        <v>29</v>
      </c>
      <c r="H1543" s="1626" t="str">
        <f>'CNKT '!C197</f>
        <v>N. Lăm</v>
      </c>
      <c r="I1543" s="1376"/>
      <c r="J1543" s="1626" t="s">
        <v>806</v>
      </c>
      <c r="K1543" s="1626" t="s">
        <v>32</v>
      </c>
      <c r="L1543" s="1372"/>
    </row>
    <row r="1544" spans="1:12" s="31" customFormat="1" ht="17.25" customHeight="1">
      <c r="A1544" s="1375" t="s">
        <v>807</v>
      </c>
      <c r="B1544" s="1628" t="s">
        <v>1080</v>
      </c>
      <c r="C1544" s="1376" t="str">
        <f>VLOOKUP(B1543,'BTH mủ tạp'!$C$182:$AL$244,36,0)</f>
        <v>A</v>
      </c>
      <c r="D1544" s="1377"/>
      <c r="E1544" s="1377"/>
      <c r="F1544" s="1436"/>
      <c r="G1544" s="1375" t="s">
        <v>807</v>
      </c>
      <c r="H1544" s="1628" t="s">
        <v>1080</v>
      </c>
      <c r="I1544" s="1376" t="str">
        <f>VLOOKUP(H1543,'BTH mủ tạp'!$C$182:$AL$244,36,0)</f>
        <v>A</v>
      </c>
      <c r="J1544" s="1377"/>
      <c r="K1544" s="1377"/>
      <c r="L1544" s="1372"/>
    </row>
    <row r="1545" spans="1:12" s="31" customFormat="1" ht="17.25" customHeight="1">
      <c r="A1545" s="1375" t="s">
        <v>121</v>
      </c>
      <c r="B1545" s="1629" t="s">
        <v>865</v>
      </c>
      <c r="C1545" s="1378">
        <f>VLOOKUP(B1543,'CNKT '!$C$189:$Z$254,3,0)</f>
        <v>0</v>
      </c>
      <c r="D1545" s="1379">
        <v>25000</v>
      </c>
      <c r="E1545" s="1377">
        <f t="shared" ref="E1545:E1550" si="179">C1545*D1545</f>
        <v>0</v>
      </c>
      <c r="F1545" s="1436"/>
      <c r="G1545" s="1375" t="s">
        <v>121</v>
      </c>
      <c r="H1545" s="1629" t="s">
        <v>865</v>
      </c>
      <c r="I1545" s="1378">
        <f>VLOOKUP(H1543,'CNKT '!$C$189:$Z$254,3,0)</f>
        <v>0</v>
      </c>
      <c r="J1545" s="1379">
        <v>25000</v>
      </c>
      <c r="K1545" s="1377">
        <f t="shared" ref="K1545:K1550" si="180">I1545*J1545</f>
        <v>0</v>
      </c>
      <c r="L1545" s="1372"/>
    </row>
    <row r="1546" spans="1:12" s="31" customFormat="1" ht="17.25" customHeight="1">
      <c r="A1546" s="1375" t="s">
        <v>628</v>
      </c>
      <c r="B1546" s="1630" t="s">
        <v>1081</v>
      </c>
      <c r="C1546" s="1433">
        <f>VLOOKUP(B1543,'CNKT '!$C$189:$Z$254,11,0)</f>
        <v>0</v>
      </c>
      <c r="D1546" s="1380">
        <f>46.1*$B$2</f>
        <v>30241.600000000002</v>
      </c>
      <c r="E1546" s="1377">
        <f t="shared" si="179"/>
        <v>0</v>
      </c>
      <c r="F1546" s="1436"/>
      <c r="G1546" s="1375" t="s">
        <v>628</v>
      </c>
      <c r="H1546" s="1630" t="s">
        <v>1081</v>
      </c>
      <c r="I1546" s="1433">
        <f>VLOOKUP(H1543,'CNKT '!$C$189:$Z$254,11,0)</f>
        <v>0</v>
      </c>
      <c r="J1546" s="1380">
        <f>46.1*$B$2</f>
        <v>30241.600000000002</v>
      </c>
      <c r="K1546" s="1377">
        <f t="shared" si="180"/>
        <v>0</v>
      </c>
      <c r="L1546" s="1372"/>
    </row>
    <row r="1547" spans="1:12" s="31" customFormat="1" ht="17.25" customHeight="1">
      <c r="A1547" s="1375" t="s">
        <v>809</v>
      </c>
      <c r="B1547" s="1630" t="s">
        <v>1082</v>
      </c>
      <c r="C1547" s="1433">
        <f>VLOOKUP(B1543,'CNKT '!$C$189:$Z$254,12,0)</f>
        <v>0</v>
      </c>
      <c r="D1547" s="1379">
        <f>76.9*$B$2</f>
        <v>50446.400000000001</v>
      </c>
      <c r="E1547" s="1377">
        <f t="shared" si="179"/>
        <v>0</v>
      </c>
      <c r="F1547" s="1436"/>
      <c r="G1547" s="1375" t="s">
        <v>809</v>
      </c>
      <c r="H1547" s="1630" t="s">
        <v>1082</v>
      </c>
      <c r="I1547" s="1433">
        <f>VLOOKUP(H1543,'CNKT '!$C$189:$Z$254,12,0)</f>
        <v>0</v>
      </c>
      <c r="J1547" s="1379">
        <f>76.9*$B$2</f>
        <v>50446.400000000001</v>
      </c>
      <c r="K1547" s="1377">
        <f t="shared" si="180"/>
        <v>0</v>
      </c>
      <c r="L1547" s="1372"/>
    </row>
    <row r="1548" spans="1:12" s="31" customFormat="1" ht="17.25" customHeight="1">
      <c r="A1548" s="1375" t="s">
        <v>122</v>
      </c>
      <c r="B1548" s="1630" t="s">
        <v>1083</v>
      </c>
      <c r="C1548" s="1433">
        <f>VLOOKUP(B1543,'CNKT '!$C$189:$Z$254,8,0)</f>
        <v>0</v>
      </c>
      <c r="D1548" s="1379">
        <f>IF(C1544="A",6.1,IF(C1544="B",5.8,IF(C1544="C",5.5,IF(C1544="C.",5.5,IF(C1544="D",5.2)))))*$B$2</f>
        <v>4001.6</v>
      </c>
      <c r="E1548" s="1377">
        <f t="shared" si="179"/>
        <v>0</v>
      </c>
      <c r="F1548" s="1436"/>
      <c r="G1548" s="1375" t="s">
        <v>122</v>
      </c>
      <c r="H1548" s="1630" t="s">
        <v>1083</v>
      </c>
      <c r="I1548" s="1433">
        <f>VLOOKUP(H1543,'CNKT '!$C$189:$Z$254,8,0)</f>
        <v>0</v>
      </c>
      <c r="J1548" s="1379">
        <f>IF(I1544="A",6.1,IF(I1544="B",5.8,IF(I1544="C",5.5,IF(I1544="C.",5.5,IF(I1544="D",5.2)))))*$B$2</f>
        <v>4001.6</v>
      </c>
      <c r="K1548" s="1377">
        <f t="shared" si="180"/>
        <v>0</v>
      </c>
      <c r="L1548" s="1372"/>
    </row>
    <row r="1549" spans="1:12" s="31" customFormat="1" ht="17.25" customHeight="1">
      <c r="A1549" s="1375" t="s">
        <v>961</v>
      </c>
      <c r="B1549" s="1630" t="s">
        <v>1084</v>
      </c>
      <c r="C1549" s="1433">
        <f>VLOOKUP(B1543,'CNKT '!$C$101:$Z$254,13,0)</f>
        <v>0</v>
      </c>
      <c r="D1549" s="1380">
        <f>92.2*$B$2</f>
        <v>60483.200000000004</v>
      </c>
      <c r="E1549" s="1377">
        <f t="shared" si="179"/>
        <v>0</v>
      </c>
      <c r="F1549" s="1436"/>
      <c r="G1549" s="1375" t="s">
        <v>961</v>
      </c>
      <c r="H1549" s="1630" t="s">
        <v>1084</v>
      </c>
      <c r="I1549" s="1433">
        <f>VLOOKUP(H1543,'CNKT '!$C$101:$Z$254,13,0)</f>
        <v>0</v>
      </c>
      <c r="J1549" s="1380">
        <f>92.2*$B$2</f>
        <v>60483.200000000004</v>
      </c>
      <c r="K1549" s="1377">
        <f t="shared" si="180"/>
        <v>0</v>
      </c>
      <c r="L1549" s="1372"/>
    </row>
    <row r="1550" spans="1:12" s="31" customFormat="1" ht="17.25" customHeight="1">
      <c r="A1550" s="1375" t="s">
        <v>886</v>
      </c>
      <c r="B1550" s="1630" t="s">
        <v>964</v>
      </c>
      <c r="C1550" s="1433">
        <f>VLOOKUP(B1543,'CNKT '!$C$189:$Z$254,14,0)</f>
        <v>0</v>
      </c>
      <c r="D1550" s="1379">
        <f>153.6*$B$2</f>
        <v>100761.59999999999</v>
      </c>
      <c r="E1550" s="1377">
        <f t="shared" si="179"/>
        <v>0</v>
      </c>
      <c r="F1550" s="1436"/>
      <c r="G1550" s="1375" t="s">
        <v>886</v>
      </c>
      <c r="H1550" s="1630" t="s">
        <v>964</v>
      </c>
      <c r="I1550" s="1433">
        <f>VLOOKUP(H1543,'CNKT '!$C$189:$Z$254,14,0)</f>
        <v>0</v>
      </c>
      <c r="J1550" s="1379">
        <f>153.6*$B$2</f>
        <v>100761.59999999999</v>
      </c>
      <c r="K1550" s="1377">
        <f t="shared" si="180"/>
        <v>0</v>
      </c>
      <c r="L1550" s="1372"/>
    </row>
    <row r="1551" spans="1:12" s="31" customFormat="1" ht="17.25" customHeight="1">
      <c r="A1551" s="1375" t="s">
        <v>899</v>
      </c>
      <c r="B1551" s="1630" t="s">
        <v>965</v>
      </c>
      <c r="C1551" s="1433">
        <f>VLOOKUP(B1543,'CNKT '!$C$190:$Z$254,18,0)</f>
        <v>0</v>
      </c>
      <c r="D1551" s="1379">
        <v>10000</v>
      </c>
      <c r="E1551" s="1377">
        <f>C1551*D1551</f>
        <v>0</v>
      </c>
      <c r="F1551" s="1436"/>
      <c r="G1551" s="1375" t="s">
        <v>899</v>
      </c>
      <c r="H1551" s="1630" t="s">
        <v>965</v>
      </c>
      <c r="I1551" s="1433">
        <f>VLOOKUP(H1543,'CNKT '!$C$190:$Z$254,18,0)</f>
        <v>0</v>
      </c>
      <c r="J1551" s="1379">
        <v>10000</v>
      </c>
      <c r="K1551" s="1377">
        <f>I1551*J1551</f>
        <v>0</v>
      </c>
      <c r="L1551" s="1372"/>
    </row>
    <row r="1552" spans="1:12" s="31" customFormat="1" ht="17.25" customHeight="1">
      <c r="A1552" s="1375" t="s">
        <v>899</v>
      </c>
      <c r="B1552" s="1630" t="s">
        <v>965</v>
      </c>
      <c r="C1552" s="1433">
        <f>VLOOKUP(B1543,'CNKT '!$C$190:$Z$254,19,0)</f>
        <v>0</v>
      </c>
      <c r="D1552" s="1379">
        <v>20000</v>
      </c>
      <c r="E1552" s="1377">
        <f>C1552*D1552</f>
        <v>0</v>
      </c>
      <c r="F1552" s="1436"/>
      <c r="G1552" s="1375" t="s">
        <v>899</v>
      </c>
      <c r="H1552" s="1630" t="s">
        <v>965</v>
      </c>
      <c r="I1552" s="1433">
        <f>VLOOKUP(H1543,'CNKT '!$C$190:$Z$254,19,0)</f>
        <v>0</v>
      </c>
      <c r="J1552" s="1379">
        <v>20000</v>
      </c>
      <c r="K1552" s="1377">
        <f>I1552*J1552</f>
        <v>0</v>
      </c>
      <c r="L1552" s="1372"/>
    </row>
    <row r="1553" spans="1:12" s="31" customFormat="1" ht="17.25" customHeight="1">
      <c r="A1553" s="1375" t="s">
        <v>995</v>
      </c>
      <c r="B1553" s="1630" t="s">
        <v>997</v>
      </c>
      <c r="C1553" s="1433"/>
      <c r="D1553" s="1379"/>
      <c r="E1553" s="1377"/>
      <c r="F1553" s="1436"/>
      <c r="G1553" s="1375" t="s">
        <v>995</v>
      </c>
      <c r="H1553" s="1630" t="s">
        <v>997</v>
      </c>
      <c r="I1553" s="1433"/>
      <c r="J1553" s="1379"/>
      <c r="K1553" s="1377"/>
      <c r="L1553" s="1372"/>
    </row>
    <row r="1554" spans="1:12" s="31" customFormat="1" ht="17.25" customHeight="1">
      <c r="A1554" s="1381" t="s">
        <v>123</v>
      </c>
      <c r="B1554" s="1631" t="s">
        <v>1085</v>
      </c>
      <c r="C1554" s="1382"/>
      <c r="D1554" s="1383"/>
      <c r="E1554" s="1382"/>
      <c r="F1554" s="1436"/>
      <c r="G1554" s="1381" t="s">
        <v>123</v>
      </c>
      <c r="H1554" s="1631" t="s">
        <v>1085</v>
      </c>
      <c r="I1554" s="1382"/>
      <c r="J1554" s="1383"/>
      <c r="K1554" s="1382"/>
      <c r="L1554" s="1372"/>
    </row>
    <row r="1555" spans="1:12" s="31" customFormat="1" ht="17.25" customHeight="1">
      <c r="A1555" s="1384" t="s">
        <v>124</v>
      </c>
      <c r="B1555" s="1632" t="s">
        <v>1086</v>
      </c>
      <c r="C1555" s="1382"/>
      <c r="D1555" s="1382"/>
      <c r="E1555" s="1382"/>
      <c r="F1555" s="1436"/>
      <c r="G1555" s="1384" t="s">
        <v>124</v>
      </c>
      <c r="H1555" s="1632" t="s">
        <v>1086</v>
      </c>
      <c r="I1555" s="1382"/>
      <c r="J1555" s="1382"/>
      <c r="K1555" s="1382"/>
      <c r="L1555" s="1372"/>
    </row>
    <row r="1556" spans="1:12" s="31" customFormat="1" ht="17.25" customHeight="1">
      <c r="A1556" s="1384" t="s">
        <v>125</v>
      </c>
      <c r="B1556" s="1633" t="s">
        <v>1087</v>
      </c>
      <c r="C1556" s="1382"/>
      <c r="D1556" s="1382"/>
      <c r="E1556" s="1377">
        <f>SUM(E1555)</f>
        <v>0</v>
      </c>
      <c r="F1556" s="1436"/>
      <c r="G1556" s="1384" t="s">
        <v>125</v>
      </c>
      <c r="H1556" s="1633" t="s">
        <v>1087</v>
      </c>
      <c r="I1556" s="1382"/>
      <c r="J1556" s="1382"/>
      <c r="K1556" s="1377">
        <f>SUM(K1555)</f>
        <v>0</v>
      </c>
      <c r="L1556" s="1372"/>
    </row>
    <row r="1557" spans="1:12" s="31" customFormat="1" ht="17.25" customHeight="1">
      <c r="A1557" s="1386" t="s">
        <v>126</v>
      </c>
      <c r="B1557" s="1634" t="s">
        <v>871</v>
      </c>
      <c r="C1557" s="1387"/>
      <c r="D1557" s="1387"/>
      <c r="E1557" s="1387">
        <f>(E1545+E1546+E1547+E1548+E1549+E1550+E1551+E1552+E1553)-E1556</f>
        <v>0</v>
      </c>
      <c r="F1557" s="1423"/>
      <c r="G1557" s="1386" t="s">
        <v>126</v>
      </c>
      <c r="H1557" s="1634" t="s">
        <v>871</v>
      </c>
      <c r="I1557" s="1387"/>
      <c r="J1557" s="1387"/>
      <c r="K1557" s="1387">
        <f>(K1545+K1546+K1547+K1548+K1549+K1550+K1551+K1552+K1553)-K1556</f>
        <v>0</v>
      </c>
      <c r="L1557" s="1389">
        <f>E1557+K1557</f>
        <v>0</v>
      </c>
    </row>
    <row r="1558" spans="1:12" s="31" customFormat="1" ht="17.25" customHeight="1">
      <c r="A1558" s="1449"/>
      <c r="B1558" s="1449"/>
      <c r="C1558" s="1449"/>
      <c r="D1558" s="1449"/>
      <c r="E1558" s="1449"/>
      <c r="F1558" s="1449"/>
      <c r="G1558" s="1449"/>
      <c r="H1558" s="1449"/>
      <c r="I1558" s="1449"/>
      <c r="J1558" s="1449"/>
      <c r="K1558" s="1449"/>
      <c r="L1558" s="1372"/>
    </row>
    <row r="1559" spans="1:12" s="31" customFormat="1" ht="17.25" customHeight="1">
      <c r="A1559" s="1445" t="str">
        <f>A1542</f>
        <v>LƯƠNG THÁNG 01/2025</v>
      </c>
      <c r="B1559" s="1449"/>
      <c r="C1559" s="1449"/>
      <c r="D1559" s="1449"/>
      <c r="E1559" s="1458">
        <f>VLOOKUP(B1560,'CNKT '!$C$190:$AD$254,26,0)</f>
        <v>0</v>
      </c>
      <c r="F1559" s="1436"/>
      <c r="G1559" s="1445" t="str">
        <f>A1559</f>
        <v>LƯƠNG THÁNG 01/2025</v>
      </c>
      <c r="H1559" s="1449"/>
      <c r="I1559" s="1449"/>
      <c r="J1559" s="1452"/>
      <c r="K1559" s="1458">
        <f>VLOOKUP(H1560,'CNKT '!$C$190:$AD$254,26,0)</f>
        <v>0</v>
      </c>
      <c r="L1559" s="1372"/>
    </row>
    <row r="1560" spans="1:12" s="31" customFormat="1" ht="17.25" customHeight="1">
      <c r="A1560" s="1391" t="s">
        <v>29</v>
      </c>
      <c r="B1560" s="1626" t="str">
        <f>'CNKT '!C198</f>
        <v>N. Xúc</v>
      </c>
      <c r="C1560" s="1376"/>
      <c r="D1560" s="1626" t="s">
        <v>806</v>
      </c>
      <c r="E1560" s="1626" t="s">
        <v>32</v>
      </c>
      <c r="F1560" s="1436"/>
      <c r="G1560" s="1391" t="s">
        <v>29</v>
      </c>
      <c r="H1560" s="1626" t="str">
        <f>'CNKT '!C199</f>
        <v>N. Lẹ</v>
      </c>
      <c r="I1560" s="1376"/>
      <c r="J1560" s="1626" t="s">
        <v>806</v>
      </c>
      <c r="K1560" s="1626" t="s">
        <v>32</v>
      </c>
      <c r="L1560" s="1372"/>
    </row>
    <row r="1561" spans="1:12" s="31" customFormat="1" ht="17.25" customHeight="1">
      <c r="A1561" s="1375" t="s">
        <v>807</v>
      </c>
      <c r="B1561" s="1628" t="s">
        <v>1080</v>
      </c>
      <c r="C1561" s="1376" t="str">
        <f>VLOOKUP(B1560,'BTH mủ tạp'!$C$182:$AL$244,36,0)</f>
        <v>A</v>
      </c>
      <c r="D1561" s="1377"/>
      <c r="E1561" s="1377"/>
      <c r="F1561" s="1436"/>
      <c r="G1561" s="1375" t="s">
        <v>807</v>
      </c>
      <c r="H1561" s="1628" t="s">
        <v>1080</v>
      </c>
      <c r="I1561" s="1376" t="str">
        <f>VLOOKUP(H1560,'BTH mủ tạp'!$C$182:$AL$244,36,0)</f>
        <v>B</v>
      </c>
      <c r="J1561" s="1377"/>
      <c r="K1561" s="1377"/>
      <c r="L1561" s="1372"/>
    </row>
    <row r="1562" spans="1:12" s="31" customFormat="1" ht="17.25" customHeight="1">
      <c r="A1562" s="1375" t="s">
        <v>121</v>
      </c>
      <c r="B1562" s="1629" t="s">
        <v>865</v>
      </c>
      <c r="C1562" s="1378">
        <f>VLOOKUP(B1560,'CNKT '!$C$189:$Z$254,3,0)</f>
        <v>0</v>
      </c>
      <c r="D1562" s="1379">
        <v>25000</v>
      </c>
      <c r="E1562" s="1377">
        <f t="shared" ref="E1562:E1567" si="181">C1562*D1562</f>
        <v>0</v>
      </c>
      <c r="F1562" s="1436"/>
      <c r="G1562" s="1375" t="s">
        <v>121</v>
      </c>
      <c r="H1562" s="1629" t="s">
        <v>865</v>
      </c>
      <c r="I1562" s="1378">
        <f>VLOOKUP(H1560,'CNKT '!$C$189:$Z$254,3,0)</f>
        <v>0</v>
      </c>
      <c r="J1562" s="1379">
        <v>25000</v>
      </c>
      <c r="K1562" s="1377">
        <f t="shared" ref="K1562:K1567" si="182">I1562*J1562</f>
        <v>0</v>
      </c>
      <c r="L1562" s="1372"/>
    </row>
    <row r="1563" spans="1:12" s="31" customFormat="1" ht="17.25" customHeight="1">
      <c r="A1563" s="1375" t="s">
        <v>628</v>
      </c>
      <c r="B1563" s="1630" t="s">
        <v>1081</v>
      </c>
      <c r="C1563" s="1433">
        <f>VLOOKUP(B1560,'CNKT '!$C$189:$Z$254,11,0)</f>
        <v>0</v>
      </c>
      <c r="D1563" s="1380">
        <f>46.1*$B$2</f>
        <v>30241.600000000002</v>
      </c>
      <c r="E1563" s="1377">
        <f t="shared" si="181"/>
        <v>0</v>
      </c>
      <c r="F1563" s="1436"/>
      <c r="G1563" s="1375" t="s">
        <v>628</v>
      </c>
      <c r="H1563" s="1630" t="s">
        <v>1081</v>
      </c>
      <c r="I1563" s="1433">
        <f>VLOOKUP(H1560,'CNKT '!$C$189:$Z$254,11,0)</f>
        <v>0</v>
      </c>
      <c r="J1563" s="1380">
        <f>46.1*$B$2</f>
        <v>30241.600000000002</v>
      </c>
      <c r="K1563" s="1377">
        <f t="shared" si="182"/>
        <v>0</v>
      </c>
      <c r="L1563" s="1372"/>
    </row>
    <row r="1564" spans="1:12" s="31" customFormat="1" ht="17.25" customHeight="1">
      <c r="A1564" s="1375" t="s">
        <v>809</v>
      </c>
      <c r="B1564" s="1630" t="s">
        <v>1082</v>
      </c>
      <c r="C1564" s="1433">
        <f>VLOOKUP(B1560,'CNKT '!$C$189:$Z$254,12,0)</f>
        <v>0</v>
      </c>
      <c r="D1564" s="1379">
        <f>76.9*$B$2</f>
        <v>50446.400000000001</v>
      </c>
      <c r="E1564" s="1377">
        <f t="shared" si="181"/>
        <v>0</v>
      </c>
      <c r="F1564" s="1436"/>
      <c r="G1564" s="1375" t="s">
        <v>809</v>
      </c>
      <c r="H1564" s="1630" t="s">
        <v>1082</v>
      </c>
      <c r="I1564" s="1433">
        <f>VLOOKUP(H1560,'CNKT '!$C$189:$Z$254,12,0)</f>
        <v>0</v>
      </c>
      <c r="J1564" s="1379">
        <f>76.9*$B$2</f>
        <v>50446.400000000001</v>
      </c>
      <c r="K1564" s="1377">
        <f t="shared" si="182"/>
        <v>0</v>
      </c>
      <c r="L1564" s="1372"/>
    </row>
    <row r="1565" spans="1:12" s="31" customFormat="1" ht="17.25" customHeight="1">
      <c r="A1565" s="1375" t="s">
        <v>122</v>
      </c>
      <c r="B1565" s="1630" t="s">
        <v>1083</v>
      </c>
      <c r="C1565" s="1433">
        <f>VLOOKUP(B1560,'CNKT '!$C$189:$Z$254,8,0)</f>
        <v>0</v>
      </c>
      <c r="D1565" s="1379">
        <f>IF(C1561="A",6.1,IF(C1561="B",5.8,IF(C1561="C",5.5,IF(C1561="C.",5.5,IF(C1561="D",5.2)))))*$B$2</f>
        <v>4001.6</v>
      </c>
      <c r="E1565" s="1377">
        <f t="shared" si="181"/>
        <v>0</v>
      </c>
      <c r="F1565" s="1436"/>
      <c r="G1565" s="1375" t="s">
        <v>122</v>
      </c>
      <c r="H1565" s="1630" t="s">
        <v>1083</v>
      </c>
      <c r="I1565" s="1433">
        <f>VLOOKUP(H1560,'CNKT '!$C$189:$Z$254,8,0)</f>
        <v>0</v>
      </c>
      <c r="J1565" s="1379">
        <f>IF(I1561="A",6.1,IF(I1561="B",5.8,IF(I1561="C",5.5,IF(I1561="C.",5.5,IF(I1561="D",5.2)))))*$B$2</f>
        <v>3804.7999999999997</v>
      </c>
      <c r="K1565" s="1377">
        <f t="shared" si="182"/>
        <v>0</v>
      </c>
      <c r="L1565" s="1372"/>
    </row>
    <row r="1566" spans="1:12" s="31" customFormat="1" ht="17.25" customHeight="1">
      <c r="A1566" s="1375" t="s">
        <v>961</v>
      </c>
      <c r="B1566" s="1630" t="s">
        <v>1084</v>
      </c>
      <c r="C1566" s="1433">
        <f>VLOOKUP(B1560,'CNKT '!$C$101:$Z$254,13,0)</f>
        <v>0</v>
      </c>
      <c r="D1566" s="1380">
        <f>92.2*$B$2</f>
        <v>60483.200000000004</v>
      </c>
      <c r="E1566" s="1377">
        <f t="shared" si="181"/>
        <v>0</v>
      </c>
      <c r="F1566" s="1436"/>
      <c r="G1566" s="1375" t="s">
        <v>961</v>
      </c>
      <c r="H1566" s="1630" t="s">
        <v>1084</v>
      </c>
      <c r="I1566" s="1433">
        <f>VLOOKUP(H1560,'CNKT '!$C$101:$Z$254,13,0)</f>
        <v>0</v>
      </c>
      <c r="J1566" s="1380">
        <f>92.2*$B$2</f>
        <v>60483.200000000004</v>
      </c>
      <c r="K1566" s="1377">
        <f t="shared" si="182"/>
        <v>0</v>
      </c>
      <c r="L1566" s="1372"/>
    </row>
    <row r="1567" spans="1:12" s="31" customFormat="1" ht="17.25" customHeight="1">
      <c r="A1567" s="1375" t="s">
        <v>886</v>
      </c>
      <c r="B1567" s="1630" t="s">
        <v>964</v>
      </c>
      <c r="C1567" s="1433">
        <f>VLOOKUP(B1560,'CNKT '!$C$189:$Z$254,14,0)</f>
        <v>0</v>
      </c>
      <c r="D1567" s="1379">
        <f>153.6*$B$2</f>
        <v>100761.59999999999</v>
      </c>
      <c r="E1567" s="1377">
        <f t="shared" si="181"/>
        <v>0</v>
      </c>
      <c r="F1567" s="1436"/>
      <c r="G1567" s="1375" t="s">
        <v>886</v>
      </c>
      <c r="H1567" s="1630" t="s">
        <v>964</v>
      </c>
      <c r="I1567" s="1433">
        <f>VLOOKUP(H1560,'CNKT '!$C$189:$Z$254,14,0)</f>
        <v>0</v>
      </c>
      <c r="J1567" s="1379">
        <f>153.6*$B$2</f>
        <v>100761.59999999999</v>
      </c>
      <c r="K1567" s="1377">
        <f t="shared" si="182"/>
        <v>0</v>
      </c>
      <c r="L1567" s="1372"/>
    </row>
    <row r="1568" spans="1:12" s="31" customFormat="1" ht="17.25" customHeight="1">
      <c r="A1568" s="1375" t="s">
        <v>899</v>
      </c>
      <c r="B1568" s="1630" t="s">
        <v>965</v>
      </c>
      <c r="C1568" s="1433">
        <f>VLOOKUP(B1560,'CNKT '!$C$190:$Z$254,18,0)</f>
        <v>0</v>
      </c>
      <c r="D1568" s="1379">
        <v>10000</v>
      </c>
      <c r="E1568" s="1377">
        <f>C1568*D1568</f>
        <v>0</v>
      </c>
      <c r="F1568" s="1436"/>
      <c r="G1568" s="1375" t="s">
        <v>899</v>
      </c>
      <c r="H1568" s="1630" t="s">
        <v>965</v>
      </c>
      <c r="I1568" s="1433">
        <f>VLOOKUP(H1560,'CNKT '!$C$190:$Z$254,18,0)</f>
        <v>0</v>
      </c>
      <c r="J1568" s="1379">
        <v>10000</v>
      </c>
      <c r="K1568" s="1377">
        <f>I1568*J1568</f>
        <v>0</v>
      </c>
      <c r="L1568" s="1372"/>
    </row>
    <row r="1569" spans="1:12" s="31" customFormat="1" ht="17.25" customHeight="1">
      <c r="A1569" s="1375" t="s">
        <v>899</v>
      </c>
      <c r="B1569" s="1630" t="s">
        <v>965</v>
      </c>
      <c r="C1569" s="1433">
        <f>VLOOKUP(B1560,'CNKT '!$C$190:$Z$254,19,0)</f>
        <v>0</v>
      </c>
      <c r="D1569" s="1379">
        <v>20000</v>
      </c>
      <c r="E1569" s="1377">
        <f>C1569*D1569</f>
        <v>0</v>
      </c>
      <c r="F1569" s="1436"/>
      <c r="G1569" s="1375" t="s">
        <v>899</v>
      </c>
      <c r="H1569" s="1630" t="s">
        <v>965</v>
      </c>
      <c r="I1569" s="1433">
        <f>VLOOKUP(H1560,'CNKT '!$C$190:$Z$254,19,0)</f>
        <v>0</v>
      </c>
      <c r="J1569" s="1379">
        <v>20000</v>
      </c>
      <c r="K1569" s="1377">
        <f>I1569*J1569</f>
        <v>0</v>
      </c>
      <c r="L1569" s="1372"/>
    </row>
    <row r="1570" spans="1:12" s="31" customFormat="1" ht="17.25" customHeight="1">
      <c r="A1570" s="1375" t="s">
        <v>995</v>
      </c>
      <c r="B1570" s="1630" t="s">
        <v>997</v>
      </c>
      <c r="C1570" s="1433"/>
      <c r="D1570" s="1379"/>
      <c r="E1570" s="1377"/>
      <c r="F1570" s="1436"/>
      <c r="G1570" s="1375" t="s">
        <v>995</v>
      </c>
      <c r="H1570" s="1630" t="s">
        <v>997</v>
      </c>
      <c r="I1570" s="1433"/>
      <c r="J1570" s="1379"/>
      <c r="K1570" s="1377"/>
      <c r="L1570" s="1372"/>
    </row>
    <row r="1571" spans="1:12" s="31" customFormat="1" ht="17.25" customHeight="1">
      <c r="A1571" s="1381" t="s">
        <v>123</v>
      </c>
      <c r="B1571" s="1631" t="s">
        <v>1085</v>
      </c>
      <c r="C1571" s="1382"/>
      <c r="D1571" s="1383"/>
      <c r="E1571" s="1382"/>
      <c r="F1571" s="1436"/>
      <c r="G1571" s="1381" t="s">
        <v>123</v>
      </c>
      <c r="H1571" s="1631" t="s">
        <v>1085</v>
      </c>
      <c r="I1571" s="1382"/>
      <c r="J1571" s="1383"/>
      <c r="K1571" s="1382"/>
      <c r="L1571" s="1372"/>
    </row>
    <row r="1572" spans="1:12" s="31" customFormat="1" ht="17.25" customHeight="1">
      <c r="A1572" s="1384" t="s">
        <v>124</v>
      </c>
      <c r="B1572" s="1632" t="s">
        <v>1086</v>
      </c>
      <c r="C1572" s="1382"/>
      <c r="D1572" s="1382"/>
      <c r="E1572" s="1382"/>
      <c r="F1572" s="1436"/>
      <c r="G1572" s="1384" t="s">
        <v>124</v>
      </c>
      <c r="H1572" s="1632" t="s">
        <v>1086</v>
      </c>
      <c r="I1572" s="1382"/>
      <c r="J1572" s="1382"/>
      <c r="K1572" s="1382"/>
      <c r="L1572" s="1372"/>
    </row>
    <row r="1573" spans="1:12" s="31" customFormat="1" ht="17.25" customHeight="1">
      <c r="A1573" s="1384" t="s">
        <v>125</v>
      </c>
      <c r="B1573" s="1633" t="s">
        <v>1087</v>
      </c>
      <c r="C1573" s="1382"/>
      <c r="D1573" s="1382"/>
      <c r="E1573" s="1377">
        <f>SUM(E1572)</f>
        <v>0</v>
      </c>
      <c r="F1573" s="1436"/>
      <c r="G1573" s="1384" t="s">
        <v>125</v>
      </c>
      <c r="H1573" s="1633" t="s">
        <v>1087</v>
      </c>
      <c r="I1573" s="1382"/>
      <c r="J1573" s="1382"/>
      <c r="K1573" s="1377">
        <f>SUM(K1572)</f>
        <v>0</v>
      </c>
      <c r="L1573" s="1372"/>
    </row>
    <row r="1574" spans="1:12" s="31" customFormat="1" ht="17.25" customHeight="1">
      <c r="A1574" s="1386" t="s">
        <v>126</v>
      </c>
      <c r="B1574" s="1634" t="s">
        <v>871</v>
      </c>
      <c r="C1574" s="1387"/>
      <c r="D1574" s="1387"/>
      <c r="E1574" s="1387">
        <f>(E1562+E1563+E1564+E1565+E1566+E1567+E1568+E1569+E1570)-E1573</f>
        <v>0</v>
      </c>
      <c r="F1574" s="1436"/>
      <c r="G1574" s="1386" t="s">
        <v>126</v>
      </c>
      <c r="H1574" s="1634" t="s">
        <v>871</v>
      </c>
      <c r="I1574" s="1387"/>
      <c r="J1574" s="1387"/>
      <c r="K1574" s="1387">
        <f>(K1562+K1563+K1564+K1565+K1566+K1567+K1568+K1569+K1570)-K1573</f>
        <v>0</v>
      </c>
      <c r="L1574" s="1389">
        <f>E1574+K1574</f>
        <v>0</v>
      </c>
    </row>
    <row r="1575" spans="1:12" s="31" customFormat="1" ht="17.25" customHeight="1">
      <c r="A1575" s="1449"/>
      <c r="B1575" s="1449"/>
      <c r="C1575" s="1449"/>
      <c r="D1575" s="1449"/>
      <c r="E1575" s="1449"/>
      <c r="F1575" s="1449"/>
      <c r="G1575" s="1449"/>
      <c r="H1575" s="1449"/>
      <c r="I1575" s="1449"/>
      <c r="J1575" s="1449"/>
      <c r="K1575" s="1449"/>
      <c r="L1575" s="1372"/>
    </row>
    <row r="1576" spans="1:12" s="31" customFormat="1" ht="17.25" customHeight="1">
      <c r="A1576" s="1445" t="str">
        <f>A1559</f>
        <v>LƯƠNG THÁNG 01/2025</v>
      </c>
      <c r="B1576" s="1449"/>
      <c r="C1576" s="1449"/>
      <c r="D1576" s="1449"/>
      <c r="E1576" s="1458">
        <f>VLOOKUP(B1577,'CNKT '!$C$190:$AD$254,26,0)</f>
        <v>0</v>
      </c>
      <c r="F1576" s="1436"/>
      <c r="G1576" s="1445" t="str">
        <f>A1576</f>
        <v>LƯƠNG THÁNG 01/2025</v>
      </c>
      <c r="H1576" s="1449"/>
      <c r="I1576" s="1449"/>
      <c r="J1576" s="1452"/>
      <c r="K1576" s="1458">
        <f>VLOOKUP(H1577,'CNKT '!$C$190:$AD$254,26,0)</f>
        <v>0</v>
      </c>
      <c r="L1576" s="1372"/>
    </row>
    <row r="1577" spans="1:12" s="31" customFormat="1" ht="17.25" customHeight="1">
      <c r="A1577" s="1391" t="s">
        <v>29</v>
      </c>
      <c r="B1577" s="1626" t="str">
        <f>'CNKT '!C200</f>
        <v>N . Thích</v>
      </c>
      <c r="C1577" s="1376"/>
      <c r="D1577" s="1626" t="s">
        <v>806</v>
      </c>
      <c r="E1577" s="1626" t="s">
        <v>32</v>
      </c>
      <c r="F1577" s="1436"/>
      <c r="G1577" s="1391" t="s">
        <v>29</v>
      </c>
      <c r="H1577" s="1626" t="str">
        <f>'CNKT '!C201</f>
        <v>N. Cong Mi</v>
      </c>
      <c r="I1577" s="1376"/>
      <c r="J1577" s="1626" t="s">
        <v>806</v>
      </c>
      <c r="K1577" s="1626" t="s">
        <v>32</v>
      </c>
      <c r="L1577" s="1372"/>
    </row>
    <row r="1578" spans="1:12" s="31" customFormat="1" ht="17.25" customHeight="1">
      <c r="A1578" s="1375" t="s">
        <v>807</v>
      </c>
      <c r="B1578" s="1628" t="s">
        <v>1080</v>
      </c>
      <c r="C1578" s="1376" t="str">
        <f>VLOOKUP(B1577,'BTH mủ tạp'!$C$182:$AL$244,36,0)</f>
        <v>A</v>
      </c>
      <c r="D1578" s="1377"/>
      <c r="E1578" s="1377"/>
      <c r="F1578" s="1436"/>
      <c r="G1578" s="1375" t="s">
        <v>807</v>
      </c>
      <c r="H1578" s="1628" t="s">
        <v>1080</v>
      </c>
      <c r="I1578" s="1376" t="str">
        <f>VLOOKUP(H1577,'BTH mủ tạp'!$C$182:$AL$244,36,0)</f>
        <v>A</v>
      </c>
      <c r="J1578" s="1377"/>
      <c r="K1578" s="1377"/>
      <c r="L1578" s="1372"/>
    </row>
    <row r="1579" spans="1:12" s="31" customFormat="1" ht="17.25" customHeight="1">
      <c r="A1579" s="1375" t="s">
        <v>121</v>
      </c>
      <c r="B1579" s="1629" t="s">
        <v>865</v>
      </c>
      <c r="C1579" s="1378">
        <f>VLOOKUP(B1577,'CNKT '!$C$189:$Z$254,3,0)</f>
        <v>0</v>
      </c>
      <c r="D1579" s="1379">
        <v>25000</v>
      </c>
      <c r="E1579" s="1377">
        <f t="shared" ref="E1579:E1584" si="183">C1579*D1579</f>
        <v>0</v>
      </c>
      <c r="F1579" s="1436"/>
      <c r="G1579" s="1375" t="s">
        <v>121</v>
      </c>
      <c r="H1579" s="1629" t="s">
        <v>865</v>
      </c>
      <c r="I1579" s="1378">
        <f>VLOOKUP(H1577,'CNKT '!$C$189:$Z$254,3,0)</f>
        <v>0</v>
      </c>
      <c r="J1579" s="1379">
        <v>25000</v>
      </c>
      <c r="K1579" s="1377">
        <f t="shared" ref="K1579:K1584" si="184">I1579*J1579</f>
        <v>0</v>
      </c>
      <c r="L1579" s="1372"/>
    </row>
    <row r="1580" spans="1:12" s="31" customFormat="1" ht="17.25" customHeight="1">
      <c r="A1580" s="1375" t="s">
        <v>628</v>
      </c>
      <c r="B1580" s="1630" t="s">
        <v>1081</v>
      </c>
      <c r="C1580" s="1433">
        <f>VLOOKUP(B1577,'CNKT '!$C$189:$Z$254,11,0)</f>
        <v>0</v>
      </c>
      <c r="D1580" s="1380">
        <f>46.1*$B$2</f>
        <v>30241.600000000002</v>
      </c>
      <c r="E1580" s="1377">
        <f t="shared" si="183"/>
        <v>0</v>
      </c>
      <c r="F1580" s="1436"/>
      <c r="G1580" s="1375" t="s">
        <v>628</v>
      </c>
      <c r="H1580" s="1630" t="s">
        <v>1081</v>
      </c>
      <c r="I1580" s="1433">
        <f>VLOOKUP(H1577,'CNKT '!$C$189:$Z$254,11,0)</f>
        <v>0</v>
      </c>
      <c r="J1580" s="1380">
        <f>46.1*$B$2</f>
        <v>30241.600000000002</v>
      </c>
      <c r="K1580" s="1377">
        <f t="shared" si="184"/>
        <v>0</v>
      </c>
      <c r="L1580" s="1372"/>
    </row>
    <row r="1581" spans="1:12" s="31" customFormat="1" ht="17.25" customHeight="1">
      <c r="A1581" s="1375" t="s">
        <v>809</v>
      </c>
      <c r="B1581" s="1630" t="s">
        <v>1082</v>
      </c>
      <c r="C1581" s="1433">
        <f>VLOOKUP(B1577,'CNKT '!$C$189:$Z$254,12,0)</f>
        <v>0</v>
      </c>
      <c r="D1581" s="1379">
        <f>76.9*$B$2</f>
        <v>50446.400000000001</v>
      </c>
      <c r="E1581" s="1377">
        <f t="shared" si="183"/>
        <v>0</v>
      </c>
      <c r="F1581" s="1436"/>
      <c r="G1581" s="1375" t="s">
        <v>809</v>
      </c>
      <c r="H1581" s="1630" t="s">
        <v>1082</v>
      </c>
      <c r="I1581" s="1433">
        <f>VLOOKUP(H1577,'CNKT '!$C$189:$Z$254,12,0)</f>
        <v>0</v>
      </c>
      <c r="J1581" s="1379">
        <f>76.9*$B$2</f>
        <v>50446.400000000001</v>
      </c>
      <c r="K1581" s="1377">
        <f t="shared" si="184"/>
        <v>0</v>
      </c>
      <c r="L1581" s="1372"/>
    </row>
    <row r="1582" spans="1:12" s="31" customFormat="1" ht="17.25" customHeight="1">
      <c r="A1582" s="1375" t="s">
        <v>122</v>
      </c>
      <c r="B1582" s="1630" t="s">
        <v>1083</v>
      </c>
      <c r="C1582" s="1433">
        <f>VLOOKUP(B1577,'CNKT '!$C$189:$Z$254,8,0)</f>
        <v>0</v>
      </c>
      <c r="D1582" s="1379">
        <f>IF(C1578="A",6.1,IF(C1578="B",5.8,IF(C1578="C",5.5,IF(C1578="C.",5.5,IF(C1578="D",5.2)))))*$B$2</f>
        <v>4001.6</v>
      </c>
      <c r="E1582" s="1377">
        <f t="shared" si="183"/>
        <v>0</v>
      </c>
      <c r="F1582" s="1436"/>
      <c r="G1582" s="1375" t="s">
        <v>122</v>
      </c>
      <c r="H1582" s="1630" t="s">
        <v>1083</v>
      </c>
      <c r="I1582" s="1433">
        <f>VLOOKUP(H1577,'CNKT '!$C$189:$Z$254,8,0)</f>
        <v>0</v>
      </c>
      <c r="J1582" s="1379">
        <f>IF(I1578="A",6.1,IF(I1578="B",5.8,IF(I1578="C",5.5,IF(I1578="C.",5.5,IF(I1578="D",5.2)))))*$B$2</f>
        <v>4001.6</v>
      </c>
      <c r="K1582" s="1377">
        <f t="shared" si="184"/>
        <v>0</v>
      </c>
      <c r="L1582" s="1372"/>
    </row>
    <row r="1583" spans="1:12" s="31" customFormat="1" ht="17.25" customHeight="1">
      <c r="A1583" s="1375" t="s">
        <v>961</v>
      </c>
      <c r="B1583" s="1630" t="s">
        <v>1084</v>
      </c>
      <c r="C1583" s="1433">
        <f>VLOOKUP(B1577,'CNKT '!$C$101:$Z$254,13,0)</f>
        <v>0</v>
      </c>
      <c r="D1583" s="1380">
        <f>92.2*$B$2</f>
        <v>60483.200000000004</v>
      </c>
      <c r="E1583" s="1377">
        <f t="shared" si="183"/>
        <v>0</v>
      </c>
      <c r="F1583" s="1436"/>
      <c r="G1583" s="1375" t="s">
        <v>961</v>
      </c>
      <c r="H1583" s="1630" t="s">
        <v>1084</v>
      </c>
      <c r="I1583" s="1433">
        <f>VLOOKUP(H1577,'CNKT '!$C$101:$Z$254,13,0)</f>
        <v>0</v>
      </c>
      <c r="J1583" s="1380">
        <f>92.2*$B$2</f>
        <v>60483.200000000004</v>
      </c>
      <c r="K1583" s="1377">
        <f t="shared" si="184"/>
        <v>0</v>
      </c>
      <c r="L1583" s="1372"/>
    </row>
    <row r="1584" spans="1:12" s="31" customFormat="1" ht="17.25" customHeight="1">
      <c r="A1584" s="1375" t="s">
        <v>886</v>
      </c>
      <c r="B1584" s="1630" t="s">
        <v>964</v>
      </c>
      <c r="C1584" s="1433">
        <f>VLOOKUP(B1577,'CNKT '!$C$189:$Z$254,14,0)</f>
        <v>0</v>
      </c>
      <c r="D1584" s="1379">
        <f>153.6*$B$2</f>
        <v>100761.59999999999</v>
      </c>
      <c r="E1584" s="1377">
        <f t="shared" si="183"/>
        <v>0</v>
      </c>
      <c r="F1584" s="1436"/>
      <c r="G1584" s="1375" t="s">
        <v>886</v>
      </c>
      <c r="H1584" s="1630" t="s">
        <v>964</v>
      </c>
      <c r="I1584" s="1433">
        <f>VLOOKUP(H1577,'CNKT '!$C$189:$Z$254,14,0)</f>
        <v>0</v>
      </c>
      <c r="J1584" s="1379">
        <f>153.6*$B$2</f>
        <v>100761.59999999999</v>
      </c>
      <c r="K1584" s="1377">
        <f t="shared" si="184"/>
        <v>0</v>
      </c>
      <c r="L1584" s="1372"/>
    </row>
    <row r="1585" spans="1:12" s="31" customFormat="1" ht="17.25" customHeight="1">
      <c r="A1585" s="1375" t="s">
        <v>899</v>
      </c>
      <c r="B1585" s="1630" t="s">
        <v>965</v>
      </c>
      <c r="C1585" s="1433">
        <f>VLOOKUP(B1577,'CNKT '!$C$190:$Z$254,18,0)</f>
        <v>0</v>
      </c>
      <c r="D1585" s="1379">
        <v>10000</v>
      </c>
      <c r="E1585" s="1377">
        <f>C1585*D1585</f>
        <v>0</v>
      </c>
      <c r="F1585" s="1436"/>
      <c r="G1585" s="1375" t="s">
        <v>899</v>
      </c>
      <c r="H1585" s="1630" t="s">
        <v>965</v>
      </c>
      <c r="I1585" s="1433">
        <f>VLOOKUP(H1577,'CNKT '!$C$190:$Z$254,18,0)</f>
        <v>0</v>
      </c>
      <c r="J1585" s="1379">
        <v>10000</v>
      </c>
      <c r="K1585" s="1377">
        <f>I1585*J1585</f>
        <v>0</v>
      </c>
      <c r="L1585" s="1372"/>
    </row>
    <row r="1586" spans="1:12" s="31" customFormat="1" ht="17.25" customHeight="1">
      <c r="A1586" s="1375" t="s">
        <v>899</v>
      </c>
      <c r="B1586" s="1630" t="s">
        <v>965</v>
      </c>
      <c r="C1586" s="1433">
        <f>VLOOKUP(B1577,'CNKT '!$C$190:$Z$254,19,0)</f>
        <v>0</v>
      </c>
      <c r="D1586" s="1379">
        <v>20000</v>
      </c>
      <c r="E1586" s="1377">
        <f>C1586*D1586</f>
        <v>0</v>
      </c>
      <c r="F1586" s="1436"/>
      <c r="G1586" s="1375" t="s">
        <v>899</v>
      </c>
      <c r="H1586" s="1630" t="s">
        <v>965</v>
      </c>
      <c r="I1586" s="1433">
        <f>VLOOKUP(H1577,'CNKT '!$C$190:$Z$254,19,0)</f>
        <v>0</v>
      </c>
      <c r="J1586" s="1379">
        <v>20000</v>
      </c>
      <c r="K1586" s="1377">
        <f>I1586*J1586</f>
        <v>0</v>
      </c>
      <c r="L1586" s="1372"/>
    </row>
    <row r="1587" spans="1:12" s="31" customFormat="1" ht="17.25" customHeight="1">
      <c r="A1587" s="1375" t="s">
        <v>995</v>
      </c>
      <c r="B1587" s="1630" t="s">
        <v>997</v>
      </c>
      <c r="C1587" s="1433"/>
      <c r="D1587" s="1379"/>
      <c r="E1587" s="1377"/>
      <c r="F1587" s="1436"/>
      <c r="G1587" s="1375" t="s">
        <v>995</v>
      </c>
      <c r="H1587" s="1630" t="s">
        <v>997</v>
      </c>
      <c r="I1587" s="1433"/>
      <c r="J1587" s="1379"/>
      <c r="K1587" s="1377"/>
      <c r="L1587" s="1372"/>
    </row>
    <row r="1588" spans="1:12" s="31" customFormat="1" ht="17.25" customHeight="1">
      <c r="A1588" s="1381" t="s">
        <v>123</v>
      </c>
      <c r="B1588" s="1631" t="s">
        <v>1085</v>
      </c>
      <c r="C1588" s="1382"/>
      <c r="D1588" s="1383"/>
      <c r="E1588" s="1382"/>
      <c r="F1588" s="1436"/>
      <c r="G1588" s="1381" t="s">
        <v>123</v>
      </c>
      <c r="H1588" s="1631" t="s">
        <v>1085</v>
      </c>
      <c r="I1588" s="1382"/>
      <c r="J1588" s="1383"/>
      <c r="K1588" s="1382"/>
      <c r="L1588" s="1372"/>
    </row>
    <row r="1589" spans="1:12" s="31" customFormat="1" ht="17.25" customHeight="1">
      <c r="A1589" s="1384" t="s">
        <v>124</v>
      </c>
      <c r="B1589" s="1632" t="s">
        <v>1086</v>
      </c>
      <c r="C1589" s="1382"/>
      <c r="D1589" s="1382"/>
      <c r="E1589" s="1382"/>
      <c r="F1589" s="1436"/>
      <c r="G1589" s="1384" t="s">
        <v>124</v>
      </c>
      <c r="H1589" s="1632" t="s">
        <v>1086</v>
      </c>
      <c r="I1589" s="1382"/>
      <c r="J1589" s="1382"/>
      <c r="K1589" s="1382"/>
      <c r="L1589" s="1372"/>
    </row>
    <row r="1590" spans="1:12" s="31" customFormat="1" ht="17.25" customHeight="1">
      <c r="A1590" s="1384" t="s">
        <v>125</v>
      </c>
      <c r="B1590" s="1633" t="s">
        <v>1087</v>
      </c>
      <c r="C1590" s="1382"/>
      <c r="D1590" s="1382"/>
      <c r="E1590" s="1377">
        <f>SUM(E1589)</f>
        <v>0</v>
      </c>
      <c r="F1590" s="1436"/>
      <c r="G1590" s="1384" t="s">
        <v>125</v>
      </c>
      <c r="H1590" s="1633" t="s">
        <v>1087</v>
      </c>
      <c r="I1590" s="1382"/>
      <c r="J1590" s="1382"/>
      <c r="K1590" s="1377">
        <f>SUM(K1589)</f>
        <v>0</v>
      </c>
      <c r="L1590" s="1372"/>
    </row>
    <row r="1591" spans="1:12" s="31" customFormat="1" ht="17.25" customHeight="1">
      <c r="A1591" s="1386" t="s">
        <v>126</v>
      </c>
      <c r="B1591" s="1634" t="s">
        <v>871</v>
      </c>
      <c r="C1591" s="1387"/>
      <c r="D1591" s="1387"/>
      <c r="E1591" s="1387">
        <f>(E1579+E1580+E1581+E1582+E1583+E1584+E1585+E1586+E1587)-E1590</f>
        <v>0</v>
      </c>
      <c r="F1591" s="1436"/>
      <c r="G1591" s="1386" t="s">
        <v>126</v>
      </c>
      <c r="H1591" s="1634" t="s">
        <v>871</v>
      </c>
      <c r="I1591" s="1387"/>
      <c r="J1591" s="1387"/>
      <c r="K1591" s="1387">
        <f>(K1579+K1580+K1581+K1582+K1583+K1584+K1585+K1586+K1587)-K1590</f>
        <v>0</v>
      </c>
      <c r="L1591" s="1389">
        <f>E1591+K1591</f>
        <v>0</v>
      </c>
    </row>
    <row r="1592" spans="1:12" s="31" customFormat="1" ht="17.25" customHeight="1">
      <c r="A1592" s="1449"/>
      <c r="B1592" s="1449"/>
      <c r="C1592" s="1449"/>
      <c r="D1592" s="1449"/>
      <c r="E1592" s="1449"/>
      <c r="F1592" s="1449"/>
      <c r="G1592" s="1449"/>
      <c r="H1592" s="1449"/>
      <c r="I1592" s="1449"/>
      <c r="J1592" s="1449"/>
      <c r="K1592" s="1449"/>
      <c r="L1592" s="1372"/>
    </row>
    <row r="1593" spans="1:12" s="31" customFormat="1" ht="17.25" customHeight="1">
      <c r="A1593" s="1445" t="str">
        <f>A1576</f>
        <v>LƯƠNG THÁNG 01/2025</v>
      </c>
      <c r="B1593" s="1449"/>
      <c r="C1593" s="1449"/>
      <c r="D1593" s="1449"/>
      <c r="E1593" s="1458">
        <f>VLOOKUP(B1594,'CNKT '!$C$190:$AD$254,26,0)</f>
        <v>0</v>
      </c>
      <c r="F1593" s="1436"/>
      <c r="G1593" s="1445" t="str">
        <f>A1593</f>
        <v>LƯƠNG THÁNG 01/2025</v>
      </c>
      <c r="H1593" s="1449"/>
      <c r="I1593" s="1449"/>
      <c r="J1593" s="1452"/>
      <c r="K1593" s="1458">
        <f>VLOOKUP(H1594,'CNKT '!$C$190:$AD$254,26,0)</f>
        <v>0</v>
      </c>
      <c r="L1593" s="1372"/>
    </row>
    <row r="1594" spans="1:12" s="31" customFormat="1" ht="17.25" customHeight="1">
      <c r="A1594" s="1391" t="s">
        <v>29</v>
      </c>
      <c r="B1594" s="1626" t="str">
        <f>'CNKT '!C202</f>
        <v>T . Vay</v>
      </c>
      <c r="C1594" s="1376"/>
      <c r="D1594" s="1626" t="s">
        <v>806</v>
      </c>
      <c r="E1594" s="1626" t="s">
        <v>32</v>
      </c>
      <c r="F1594" s="1436"/>
      <c r="G1594" s="1391" t="s">
        <v>29</v>
      </c>
      <c r="H1594" s="1626" t="str">
        <f>'CNKT '!C203</f>
        <v>T. Khăm Mặn</v>
      </c>
      <c r="I1594" s="1376"/>
      <c r="J1594" s="1626" t="s">
        <v>806</v>
      </c>
      <c r="K1594" s="1626" t="s">
        <v>32</v>
      </c>
      <c r="L1594" s="1372"/>
    </row>
    <row r="1595" spans="1:12" s="31" customFormat="1" ht="17.25" customHeight="1">
      <c r="A1595" s="1375" t="s">
        <v>807</v>
      </c>
      <c r="B1595" s="1628" t="s">
        <v>1080</v>
      </c>
      <c r="C1595" s="1376" t="str">
        <f>VLOOKUP(B1594,'BTH mủ tạp'!$C$182:$AL$244,36,0)</f>
        <v>A</v>
      </c>
      <c r="D1595" s="1377"/>
      <c r="E1595" s="1377"/>
      <c r="F1595" s="1436"/>
      <c r="G1595" s="1375" t="s">
        <v>807</v>
      </c>
      <c r="H1595" s="1628" t="s">
        <v>1080</v>
      </c>
      <c r="I1595" s="1376" t="str">
        <f>VLOOKUP(H1594,'BTH mủ tạp'!$C$182:$AL$244,36,0)</f>
        <v>A</v>
      </c>
      <c r="J1595" s="1377"/>
      <c r="K1595" s="1377"/>
      <c r="L1595" s="1372"/>
    </row>
    <row r="1596" spans="1:12" s="31" customFormat="1" ht="17.25" customHeight="1">
      <c r="A1596" s="1375" t="s">
        <v>121</v>
      </c>
      <c r="B1596" s="1629" t="s">
        <v>865</v>
      </c>
      <c r="C1596" s="1378">
        <f>VLOOKUP(B1594,'CNKT '!$C$189:$Z$254,3,0)</f>
        <v>0</v>
      </c>
      <c r="D1596" s="1379">
        <v>25000</v>
      </c>
      <c r="E1596" s="1377">
        <f t="shared" ref="E1596:E1601" si="185">C1596*D1596</f>
        <v>0</v>
      </c>
      <c r="F1596" s="1436"/>
      <c r="G1596" s="1375" t="s">
        <v>121</v>
      </c>
      <c r="H1596" s="1629" t="s">
        <v>865</v>
      </c>
      <c r="I1596" s="1378">
        <f>VLOOKUP(H1594,'CNKT '!$C$189:$Z$254,3,0)</f>
        <v>0</v>
      </c>
      <c r="J1596" s="1379">
        <v>25000</v>
      </c>
      <c r="K1596" s="1377">
        <f t="shared" ref="K1596:K1601" si="186">I1596*J1596</f>
        <v>0</v>
      </c>
      <c r="L1596" s="1372"/>
    </row>
    <row r="1597" spans="1:12" s="31" customFormat="1" ht="17.25" customHeight="1">
      <c r="A1597" s="1375" t="s">
        <v>628</v>
      </c>
      <c r="B1597" s="1630" t="s">
        <v>1081</v>
      </c>
      <c r="C1597" s="1433">
        <f>VLOOKUP(B1594,'CNKT '!$C$189:$Z$254,11,0)</f>
        <v>0</v>
      </c>
      <c r="D1597" s="1380">
        <f>46.1*$B$2</f>
        <v>30241.600000000002</v>
      </c>
      <c r="E1597" s="1377">
        <f t="shared" si="185"/>
        <v>0</v>
      </c>
      <c r="F1597" s="1436"/>
      <c r="G1597" s="1375" t="s">
        <v>628</v>
      </c>
      <c r="H1597" s="1630" t="s">
        <v>1081</v>
      </c>
      <c r="I1597" s="1433">
        <f>VLOOKUP(H1594,'CNKT '!$C$189:$Z$254,11,0)</f>
        <v>0</v>
      </c>
      <c r="J1597" s="1380">
        <f>46.1*$B$2</f>
        <v>30241.600000000002</v>
      </c>
      <c r="K1597" s="1377">
        <f t="shared" si="186"/>
        <v>0</v>
      </c>
      <c r="L1597" s="1372"/>
    </row>
    <row r="1598" spans="1:12" s="31" customFormat="1" ht="17.25" customHeight="1">
      <c r="A1598" s="1375" t="s">
        <v>809</v>
      </c>
      <c r="B1598" s="1630" t="s">
        <v>1082</v>
      </c>
      <c r="C1598" s="1433">
        <f>VLOOKUP(B1594,'CNKT '!$C$189:$Z$254,12,0)</f>
        <v>0</v>
      </c>
      <c r="D1598" s="1379">
        <f>76.9*$B$2</f>
        <v>50446.400000000001</v>
      </c>
      <c r="E1598" s="1377">
        <f t="shared" si="185"/>
        <v>0</v>
      </c>
      <c r="F1598" s="1436"/>
      <c r="G1598" s="1375" t="s">
        <v>809</v>
      </c>
      <c r="H1598" s="1630" t="s">
        <v>1082</v>
      </c>
      <c r="I1598" s="1433">
        <f>VLOOKUP(H1594,'CNKT '!$C$189:$Z$254,12,0)</f>
        <v>0</v>
      </c>
      <c r="J1598" s="1379">
        <f>76.9*$B$2</f>
        <v>50446.400000000001</v>
      </c>
      <c r="K1598" s="1377">
        <f t="shared" si="186"/>
        <v>0</v>
      </c>
      <c r="L1598" s="1372"/>
    </row>
    <row r="1599" spans="1:12" s="31" customFormat="1" ht="17.25" customHeight="1">
      <c r="A1599" s="1375" t="s">
        <v>122</v>
      </c>
      <c r="B1599" s="1630" t="s">
        <v>1083</v>
      </c>
      <c r="C1599" s="1433">
        <f>VLOOKUP(B1594,'CNKT '!$C$189:$Z$254,8,0)</f>
        <v>0</v>
      </c>
      <c r="D1599" s="1379">
        <f>IF(C1595="A",6.1,IF(C1595="B",5.8,IF(C1595="C",5.5,IF(C1595="C.",5.5,IF(C1595="D",5.2)))))*$B$2</f>
        <v>4001.6</v>
      </c>
      <c r="E1599" s="1377">
        <f t="shared" si="185"/>
        <v>0</v>
      </c>
      <c r="F1599" s="1436"/>
      <c r="G1599" s="1375" t="s">
        <v>122</v>
      </c>
      <c r="H1599" s="1630" t="s">
        <v>1083</v>
      </c>
      <c r="I1599" s="1433">
        <f>VLOOKUP(H1594,'CNKT '!$C$189:$Z$254,8,0)</f>
        <v>0</v>
      </c>
      <c r="J1599" s="1379">
        <f>IF(I1595="A",6.1,IF(I1595="B",5.8,IF(I1595="C",5.5,IF(I1595="C.",5.5,IF(I1595="D",5.2)))))*$B$2</f>
        <v>4001.6</v>
      </c>
      <c r="K1599" s="1377">
        <f t="shared" si="186"/>
        <v>0</v>
      </c>
      <c r="L1599" s="1372"/>
    </row>
    <row r="1600" spans="1:12" s="31" customFormat="1" ht="17.25" customHeight="1">
      <c r="A1600" s="1375" t="s">
        <v>961</v>
      </c>
      <c r="B1600" s="1630" t="s">
        <v>1084</v>
      </c>
      <c r="C1600" s="1433">
        <f>VLOOKUP(B1594,'CNKT '!$C$101:$Z$254,13,0)</f>
        <v>0</v>
      </c>
      <c r="D1600" s="1380">
        <f>92.2*$B$2</f>
        <v>60483.200000000004</v>
      </c>
      <c r="E1600" s="1377">
        <f t="shared" si="185"/>
        <v>0</v>
      </c>
      <c r="F1600" s="1436"/>
      <c r="G1600" s="1375" t="s">
        <v>961</v>
      </c>
      <c r="H1600" s="1630" t="s">
        <v>1084</v>
      </c>
      <c r="I1600" s="1433">
        <f>VLOOKUP(H1594,'CNKT '!$C$101:$Z$254,13,0)</f>
        <v>0</v>
      </c>
      <c r="J1600" s="1380">
        <f>92.2*$B$2</f>
        <v>60483.200000000004</v>
      </c>
      <c r="K1600" s="1377">
        <f t="shared" si="186"/>
        <v>0</v>
      </c>
      <c r="L1600" s="1372"/>
    </row>
    <row r="1601" spans="1:12" s="31" customFormat="1" ht="17.25" customHeight="1">
      <c r="A1601" s="1375" t="s">
        <v>886</v>
      </c>
      <c r="B1601" s="1630" t="s">
        <v>964</v>
      </c>
      <c r="C1601" s="1433">
        <f>VLOOKUP(B1594,'CNKT '!$C$189:$Z$254,14,0)</f>
        <v>0</v>
      </c>
      <c r="D1601" s="1379">
        <f>153.6*$B$2</f>
        <v>100761.59999999999</v>
      </c>
      <c r="E1601" s="1377">
        <f t="shared" si="185"/>
        <v>0</v>
      </c>
      <c r="F1601" s="1436"/>
      <c r="G1601" s="1375" t="s">
        <v>886</v>
      </c>
      <c r="H1601" s="1630" t="s">
        <v>964</v>
      </c>
      <c r="I1601" s="1433">
        <f>VLOOKUP(H1594,'CNKT '!$C$189:$Z$254,14,0)</f>
        <v>0</v>
      </c>
      <c r="J1601" s="1379">
        <f>153.6*$B$2</f>
        <v>100761.59999999999</v>
      </c>
      <c r="K1601" s="1377">
        <f t="shared" si="186"/>
        <v>0</v>
      </c>
      <c r="L1601" s="1372"/>
    </row>
    <row r="1602" spans="1:12" s="31" customFormat="1" ht="17.25" customHeight="1">
      <c r="A1602" s="1375" t="s">
        <v>899</v>
      </c>
      <c r="B1602" s="1630" t="s">
        <v>965</v>
      </c>
      <c r="C1602" s="1433">
        <f>VLOOKUP(B1594,'CNKT '!$C$190:$Z$254,18,0)</f>
        <v>0</v>
      </c>
      <c r="D1602" s="1379">
        <v>10000</v>
      </c>
      <c r="E1602" s="1377">
        <f>C1602*D1602</f>
        <v>0</v>
      </c>
      <c r="F1602" s="1436"/>
      <c r="G1602" s="1375" t="s">
        <v>899</v>
      </c>
      <c r="H1602" s="1630" t="s">
        <v>965</v>
      </c>
      <c r="I1602" s="1433">
        <f>VLOOKUP(H1594,'CNKT '!$C$190:$Z$254,18,0)</f>
        <v>0</v>
      </c>
      <c r="J1602" s="1379">
        <v>10000</v>
      </c>
      <c r="K1602" s="1377">
        <f>I1602*J1602</f>
        <v>0</v>
      </c>
      <c r="L1602" s="1372"/>
    </row>
    <row r="1603" spans="1:12" s="31" customFormat="1" ht="17.25" customHeight="1">
      <c r="A1603" s="1375" t="s">
        <v>899</v>
      </c>
      <c r="B1603" s="1630" t="s">
        <v>965</v>
      </c>
      <c r="C1603" s="1433">
        <f>VLOOKUP(B1594,'CNKT '!$C$190:$Z$254,19,0)</f>
        <v>0</v>
      </c>
      <c r="D1603" s="1379">
        <v>20000</v>
      </c>
      <c r="E1603" s="1377">
        <f>C1603*D1603</f>
        <v>0</v>
      </c>
      <c r="F1603" s="1436"/>
      <c r="G1603" s="1375" t="s">
        <v>899</v>
      </c>
      <c r="H1603" s="1630" t="s">
        <v>965</v>
      </c>
      <c r="I1603" s="1433">
        <f>VLOOKUP(H1594,'CNKT '!$C$190:$Z$254,19,0)</f>
        <v>0</v>
      </c>
      <c r="J1603" s="1379">
        <v>20000</v>
      </c>
      <c r="K1603" s="1377">
        <f>I1603*J1603</f>
        <v>0</v>
      </c>
      <c r="L1603" s="1372"/>
    </row>
    <row r="1604" spans="1:12" s="31" customFormat="1" ht="17.25" customHeight="1">
      <c r="A1604" s="1375" t="s">
        <v>995</v>
      </c>
      <c r="B1604" s="1630" t="s">
        <v>997</v>
      </c>
      <c r="C1604" s="1433"/>
      <c r="D1604" s="1379"/>
      <c r="E1604" s="1377"/>
      <c r="F1604" s="1436"/>
      <c r="G1604" s="1375" t="s">
        <v>995</v>
      </c>
      <c r="H1604" s="1630" t="s">
        <v>997</v>
      </c>
      <c r="I1604" s="1433"/>
      <c r="J1604" s="1379"/>
      <c r="K1604" s="1377"/>
      <c r="L1604" s="1372"/>
    </row>
    <row r="1605" spans="1:12" s="31" customFormat="1" ht="17.25" customHeight="1">
      <c r="A1605" s="1381" t="s">
        <v>123</v>
      </c>
      <c r="B1605" s="1631" t="s">
        <v>1085</v>
      </c>
      <c r="C1605" s="1382"/>
      <c r="D1605" s="1383"/>
      <c r="E1605" s="1382"/>
      <c r="F1605" s="1436"/>
      <c r="G1605" s="1381" t="s">
        <v>123</v>
      </c>
      <c r="H1605" s="1631" t="s">
        <v>1085</v>
      </c>
      <c r="I1605" s="1382"/>
      <c r="J1605" s="1383"/>
      <c r="K1605" s="1382"/>
      <c r="L1605" s="1372"/>
    </row>
    <row r="1606" spans="1:12" s="31" customFormat="1" ht="17.25" customHeight="1">
      <c r="A1606" s="1384" t="s">
        <v>124</v>
      </c>
      <c r="B1606" s="1632" t="s">
        <v>1086</v>
      </c>
      <c r="C1606" s="1382"/>
      <c r="D1606" s="1382"/>
      <c r="E1606" s="1382"/>
      <c r="F1606" s="1436"/>
      <c r="G1606" s="1384" t="s">
        <v>124</v>
      </c>
      <c r="H1606" s="1632" t="s">
        <v>1086</v>
      </c>
      <c r="I1606" s="1382"/>
      <c r="J1606" s="1382"/>
      <c r="K1606" s="1382"/>
      <c r="L1606" s="1372"/>
    </row>
    <row r="1607" spans="1:12" s="31" customFormat="1" ht="17.25" customHeight="1">
      <c r="A1607" s="1384" t="s">
        <v>125</v>
      </c>
      <c r="B1607" s="1633" t="s">
        <v>1087</v>
      </c>
      <c r="C1607" s="1382"/>
      <c r="D1607" s="1382"/>
      <c r="E1607" s="1377">
        <f>SUM(E1606)</f>
        <v>0</v>
      </c>
      <c r="F1607" s="1423"/>
      <c r="G1607" s="1384" t="s">
        <v>125</v>
      </c>
      <c r="H1607" s="1633" t="s">
        <v>1087</v>
      </c>
      <c r="I1607" s="1382"/>
      <c r="J1607" s="1382"/>
      <c r="K1607" s="1377">
        <f>SUM(K1606)</f>
        <v>0</v>
      </c>
      <c r="L1607" s="1372"/>
    </row>
    <row r="1608" spans="1:12" s="31" customFormat="1" ht="17.25" customHeight="1">
      <c r="A1608" s="1386" t="s">
        <v>126</v>
      </c>
      <c r="B1608" s="1634" t="s">
        <v>871</v>
      </c>
      <c r="C1608" s="1387"/>
      <c r="D1608" s="1387"/>
      <c r="E1608" s="1387">
        <f>(E1596+E1597+E1598+E1599+E1600+E1601+E1602+E1603+E1604)-E1607</f>
        <v>0</v>
      </c>
      <c r="F1608" s="1423"/>
      <c r="G1608" s="1386" t="s">
        <v>126</v>
      </c>
      <c r="H1608" s="1634" t="s">
        <v>871</v>
      </c>
      <c r="I1608" s="1387"/>
      <c r="J1608" s="1387"/>
      <c r="K1608" s="1387">
        <f>(K1596+K1597+K1598+K1599+K1600+K1601+K1602+K1603+K1604)-K1607</f>
        <v>0</v>
      </c>
      <c r="L1608" s="1389">
        <f>E1608+K1608</f>
        <v>0</v>
      </c>
    </row>
    <row r="1609" spans="1:12" s="31" customFormat="1" ht="9.75" customHeight="1">
      <c r="A1609" s="1449"/>
      <c r="B1609" s="1449"/>
      <c r="C1609" s="1449"/>
      <c r="D1609" s="1449"/>
      <c r="E1609" s="1449"/>
      <c r="F1609" s="1449"/>
      <c r="G1609" s="1449"/>
      <c r="H1609" s="1449"/>
      <c r="I1609" s="1449"/>
      <c r="J1609" s="1449"/>
      <c r="K1609" s="1449"/>
      <c r="L1609" s="1372"/>
    </row>
    <row r="1610" spans="1:12" s="31" customFormat="1" ht="17.25" customHeight="1">
      <c r="A1610" s="1445" t="str">
        <f>A1593</f>
        <v>LƯƠNG THÁNG 01/2025</v>
      </c>
      <c r="B1610" s="1449"/>
      <c r="C1610" s="1449"/>
      <c r="D1610" s="1449"/>
      <c r="E1610" s="1458">
        <f>VLOOKUP(B1611,'CNKT '!$C$190:$AD$254,26,0)</f>
        <v>0</v>
      </c>
      <c r="F1610" s="1436"/>
      <c r="G1610" s="1445" t="str">
        <f>A1610</f>
        <v>LƯƠNG THÁNG 01/2025</v>
      </c>
      <c r="H1610" s="1449"/>
      <c r="I1610" s="1449"/>
      <c r="J1610" s="1452"/>
      <c r="K1610" s="1458">
        <f>VLOOKUP(H1611,'CNKT '!$C$190:$AD$254,26,0)</f>
        <v>0</v>
      </c>
      <c r="L1610" s="1372"/>
    </row>
    <row r="1611" spans="1:12" s="31" customFormat="1" ht="17.25" customHeight="1">
      <c r="A1611" s="1391" t="s">
        <v>29</v>
      </c>
      <c r="B1611" s="1626" t="str">
        <f>'CNKT '!C204</f>
        <v>T . In Tong</v>
      </c>
      <c r="C1611" s="1376"/>
      <c r="D1611" s="1626" t="s">
        <v>806</v>
      </c>
      <c r="E1611" s="1626" t="s">
        <v>32</v>
      </c>
      <c r="F1611" s="1436"/>
      <c r="G1611" s="1391" t="s">
        <v>29</v>
      </c>
      <c r="H1611" s="1626" t="str">
        <f>'CNKT '!C205</f>
        <v>T. Sòn</v>
      </c>
      <c r="I1611" s="1376"/>
      <c r="J1611" s="1626" t="s">
        <v>806</v>
      </c>
      <c r="K1611" s="1626" t="s">
        <v>32</v>
      </c>
      <c r="L1611" s="1372"/>
    </row>
    <row r="1612" spans="1:12" s="31" customFormat="1" ht="17.25" customHeight="1">
      <c r="A1612" s="1375" t="s">
        <v>807</v>
      </c>
      <c r="B1612" s="1628" t="s">
        <v>1080</v>
      </c>
      <c r="C1612" s="1376" t="str">
        <f>VLOOKUP(B1611,'BTH mủ tạp'!$C$182:$AL$244,36,0)</f>
        <v>A</v>
      </c>
      <c r="D1612" s="1377"/>
      <c r="E1612" s="1377"/>
      <c r="F1612" s="1436"/>
      <c r="G1612" s="1375" t="s">
        <v>807</v>
      </c>
      <c r="H1612" s="1628" t="s">
        <v>1080</v>
      </c>
      <c r="I1612" s="1376" t="str">
        <f>VLOOKUP(H1611,'BTH mủ tạp'!$C$182:$AL$244,36,0)</f>
        <v>B</v>
      </c>
      <c r="J1612" s="1377"/>
      <c r="K1612" s="1377"/>
      <c r="L1612" s="1372"/>
    </row>
    <row r="1613" spans="1:12" s="31" customFormat="1" ht="17.25" customHeight="1">
      <c r="A1613" s="1375" t="s">
        <v>121</v>
      </c>
      <c r="B1613" s="1629" t="s">
        <v>865</v>
      </c>
      <c r="C1613" s="1378">
        <f>VLOOKUP(B1611,'CNKT '!$C$189:$Z$254,3,0)</f>
        <v>0</v>
      </c>
      <c r="D1613" s="1379">
        <v>25000</v>
      </c>
      <c r="E1613" s="1377">
        <f t="shared" ref="E1613:E1618" si="187">C1613*D1613</f>
        <v>0</v>
      </c>
      <c r="F1613" s="1436"/>
      <c r="G1613" s="1375" t="s">
        <v>121</v>
      </c>
      <c r="H1613" s="1629" t="s">
        <v>865</v>
      </c>
      <c r="I1613" s="1378">
        <f>VLOOKUP(H1611,'CNKT '!$C$189:$Z$254,3,0)</f>
        <v>0</v>
      </c>
      <c r="J1613" s="1379">
        <v>25000</v>
      </c>
      <c r="K1613" s="1377">
        <f t="shared" ref="K1613:K1618" si="188">I1613*J1613</f>
        <v>0</v>
      </c>
      <c r="L1613" s="1372"/>
    </row>
    <row r="1614" spans="1:12" s="31" customFormat="1" ht="17.25" customHeight="1">
      <c r="A1614" s="1375" t="s">
        <v>628</v>
      </c>
      <c r="B1614" s="1630" t="s">
        <v>1081</v>
      </c>
      <c r="C1614" s="1433">
        <f>VLOOKUP(B1611,'CNKT '!$C$189:$Z$254,11,0)</f>
        <v>0</v>
      </c>
      <c r="D1614" s="1380">
        <f>46.1*$B$2</f>
        <v>30241.600000000002</v>
      </c>
      <c r="E1614" s="1377">
        <f t="shared" si="187"/>
        <v>0</v>
      </c>
      <c r="F1614" s="1436"/>
      <c r="G1614" s="1375" t="s">
        <v>628</v>
      </c>
      <c r="H1614" s="1630" t="s">
        <v>1081</v>
      </c>
      <c r="I1614" s="1433">
        <f>VLOOKUP(H1611,'CNKT '!$C$189:$Z$254,11,0)</f>
        <v>0</v>
      </c>
      <c r="J1614" s="1380">
        <f>46.1*$B$2</f>
        <v>30241.600000000002</v>
      </c>
      <c r="K1614" s="1377">
        <f t="shared" si="188"/>
        <v>0</v>
      </c>
      <c r="L1614" s="1372"/>
    </row>
    <row r="1615" spans="1:12" s="31" customFormat="1" ht="17.25" customHeight="1">
      <c r="A1615" s="1375" t="s">
        <v>809</v>
      </c>
      <c r="B1615" s="1630" t="s">
        <v>1082</v>
      </c>
      <c r="C1615" s="1433">
        <f>VLOOKUP(B1611,'CNKT '!$C$189:$Z$254,12,0)</f>
        <v>0</v>
      </c>
      <c r="D1615" s="1379">
        <f>76.9*$B$2</f>
        <v>50446.400000000001</v>
      </c>
      <c r="E1615" s="1377">
        <f t="shared" si="187"/>
        <v>0</v>
      </c>
      <c r="F1615" s="1436"/>
      <c r="G1615" s="1375" t="s">
        <v>809</v>
      </c>
      <c r="H1615" s="1630" t="s">
        <v>1082</v>
      </c>
      <c r="I1615" s="1433">
        <f>VLOOKUP(H1611,'CNKT '!$C$189:$Z$254,12,0)</f>
        <v>0</v>
      </c>
      <c r="J1615" s="1379">
        <f>76.9*$B$2</f>
        <v>50446.400000000001</v>
      </c>
      <c r="K1615" s="1377">
        <f t="shared" si="188"/>
        <v>0</v>
      </c>
      <c r="L1615" s="1372"/>
    </row>
    <row r="1616" spans="1:12" s="31" customFormat="1" ht="17.25" customHeight="1">
      <c r="A1616" s="1375" t="s">
        <v>122</v>
      </c>
      <c r="B1616" s="1630" t="s">
        <v>1083</v>
      </c>
      <c r="C1616" s="1433">
        <f>VLOOKUP(B1611,'CNKT '!$C$189:$Z$254,8,0)</f>
        <v>0</v>
      </c>
      <c r="D1616" s="1379">
        <f>IF(C1612="A",6.1,IF(C1612="B",5.8,IF(C1612="C",5.5,IF(C1612="C.",5.5,IF(C1612="D",5.2)))))*$B$2</f>
        <v>4001.6</v>
      </c>
      <c r="E1616" s="1377">
        <f t="shared" si="187"/>
        <v>0</v>
      </c>
      <c r="F1616" s="1436"/>
      <c r="G1616" s="1375" t="s">
        <v>122</v>
      </c>
      <c r="H1616" s="1630" t="s">
        <v>1083</v>
      </c>
      <c r="I1616" s="1433">
        <f>VLOOKUP(H1611,'CNKT '!$C$189:$Z$254,8,0)</f>
        <v>0</v>
      </c>
      <c r="J1616" s="1379">
        <f>IF(I1612="A",6.1,IF(I1612="B",5.8,IF(I1612="C",5.5,IF(I1612="C.",5.5,IF(I1612="D",5.2)))))*$B$2</f>
        <v>3804.7999999999997</v>
      </c>
      <c r="K1616" s="1377">
        <f t="shared" si="188"/>
        <v>0</v>
      </c>
      <c r="L1616" s="1372"/>
    </row>
    <row r="1617" spans="1:12" s="31" customFormat="1" ht="17.25" customHeight="1">
      <c r="A1617" s="1375" t="s">
        <v>961</v>
      </c>
      <c r="B1617" s="1630" t="s">
        <v>1084</v>
      </c>
      <c r="C1617" s="1433">
        <f>VLOOKUP(B1611,'CNKT '!$C$101:$Z$254,13,0)</f>
        <v>0</v>
      </c>
      <c r="D1617" s="1380">
        <f>92.2*$B$2</f>
        <v>60483.200000000004</v>
      </c>
      <c r="E1617" s="1377">
        <f t="shared" si="187"/>
        <v>0</v>
      </c>
      <c r="F1617" s="1436"/>
      <c r="G1617" s="1375" t="s">
        <v>961</v>
      </c>
      <c r="H1617" s="1630" t="s">
        <v>1084</v>
      </c>
      <c r="I1617" s="1433">
        <f>VLOOKUP(H1611,'CNKT '!$C$101:$Z$254,13,0)</f>
        <v>0</v>
      </c>
      <c r="J1617" s="1380">
        <f>92.2*$B$2</f>
        <v>60483.200000000004</v>
      </c>
      <c r="K1617" s="1377">
        <f t="shared" si="188"/>
        <v>0</v>
      </c>
      <c r="L1617" s="1372"/>
    </row>
    <row r="1618" spans="1:12" s="31" customFormat="1" ht="17.25" customHeight="1">
      <c r="A1618" s="1375" t="s">
        <v>886</v>
      </c>
      <c r="B1618" s="1630" t="s">
        <v>964</v>
      </c>
      <c r="C1618" s="1433">
        <f>VLOOKUP(B1611,'CNKT '!$C$189:$Z$254,14,0)</f>
        <v>0</v>
      </c>
      <c r="D1618" s="1379">
        <f>153.6*$B$2</f>
        <v>100761.59999999999</v>
      </c>
      <c r="E1618" s="1377">
        <f t="shared" si="187"/>
        <v>0</v>
      </c>
      <c r="F1618" s="1436"/>
      <c r="G1618" s="1375" t="s">
        <v>886</v>
      </c>
      <c r="H1618" s="1630" t="s">
        <v>964</v>
      </c>
      <c r="I1618" s="1433">
        <f>VLOOKUP(H1611,'CNKT '!$C$189:$Z$254,14,0)</f>
        <v>0</v>
      </c>
      <c r="J1618" s="1379">
        <f>153.6*$B$2</f>
        <v>100761.59999999999</v>
      </c>
      <c r="K1618" s="1377">
        <f t="shared" si="188"/>
        <v>0</v>
      </c>
      <c r="L1618" s="1372"/>
    </row>
    <row r="1619" spans="1:12" s="31" customFormat="1" ht="17.25" customHeight="1">
      <c r="A1619" s="1375" t="s">
        <v>899</v>
      </c>
      <c r="B1619" s="1630" t="s">
        <v>965</v>
      </c>
      <c r="C1619" s="1433">
        <f>VLOOKUP(B1611,'CNKT '!$C$190:$Z$254,18,0)</f>
        <v>0</v>
      </c>
      <c r="D1619" s="1379">
        <v>10000</v>
      </c>
      <c r="E1619" s="1377">
        <f>C1619*D1619</f>
        <v>0</v>
      </c>
      <c r="F1619" s="1436"/>
      <c r="G1619" s="1375" t="s">
        <v>899</v>
      </c>
      <c r="H1619" s="1630" t="s">
        <v>965</v>
      </c>
      <c r="I1619" s="1433">
        <f>VLOOKUP(H1611,'CNKT '!$C$190:$Z$254,18,0)</f>
        <v>0</v>
      </c>
      <c r="J1619" s="1379">
        <v>10000</v>
      </c>
      <c r="K1619" s="1377">
        <f>I1619*J1619</f>
        <v>0</v>
      </c>
      <c r="L1619" s="1372"/>
    </row>
    <row r="1620" spans="1:12" s="31" customFormat="1" ht="17.25" customHeight="1">
      <c r="A1620" s="1375" t="s">
        <v>899</v>
      </c>
      <c r="B1620" s="1630" t="s">
        <v>965</v>
      </c>
      <c r="C1620" s="1433">
        <f>VLOOKUP(B1611,'CNKT '!$C$190:$Z$254,19,0)</f>
        <v>0</v>
      </c>
      <c r="D1620" s="1379">
        <v>20000</v>
      </c>
      <c r="E1620" s="1377">
        <f>C1620*D1620</f>
        <v>0</v>
      </c>
      <c r="F1620" s="1436"/>
      <c r="G1620" s="1375" t="s">
        <v>899</v>
      </c>
      <c r="H1620" s="1630" t="s">
        <v>965</v>
      </c>
      <c r="I1620" s="1433">
        <f>VLOOKUP(H1611,'CNKT '!$C$190:$Z$254,19,0)</f>
        <v>0</v>
      </c>
      <c r="J1620" s="1379">
        <v>20000</v>
      </c>
      <c r="K1620" s="1377">
        <f>I1620*J1620</f>
        <v>0</v>
      </c>
      <c r="L1620" s="1372"/>
    </row>
    <row r="1621" spans="1:12" s="31" customFormat="1" ht="17.25" customHeight="1">
      <c r="A1621" s="1375" t="s">
        <v>995</v>
      </c>
      <c r="B1621" s="1630" t="s">
        <v>997</v>
      </c>
      <c r="C1621" s="1433"/>
      <c r="D1621" s="1379"/>
      <c r="E1621" s="1377"/>
      <c r="F1621" s="1436"/>
      <c r="G1621" s="1375" t="s">
        <v>995</v>
      </c>
      <c r="H1621" s="1630" t="s">
        <v>997</v>
      </c>
      <c r="I1621" s="1433"/>
      <c r="J1621" s="1379"/>
      <c r="K1621" s="1377"/>
      <c r="L1621" s="1372"/>
    </row>
    <row r="1622" spans="1:12" s="31" customFormat="1" ht="17.25" customHeight="1">
      <c r="A1622" s="1381" t="s">
        <v>123</v>
      </c>
      <c r="B1622" s="1631" t="s">
        <v>1085</v>
      </c>
      <c r="C1622" s="1382"/>
      <c r="D1622" s="1383"/>
      <c r="E1622" s="1382"/>
      <c r="F1622" s="1436"/>
      <c r="G1622" s="1381" t="s">
        <v>123</v>
      </c>
      <c r="H1622" s="1631" t="s">
        <v>1085</v>
      </c>
      <c r="I1622" s="1382"/>
      <c r="J1622" s="1383"/>
      <c r="K1622" s="1382"/>
      <c r="L1622" s="1372"/>
    </row>
    <row r="1623" spans="1:12" s="31" customFormat="1" ht="17.25" customHeight="1">
      <c r="A1623" s="1384" t="s">
        <v>124</v>
      </c>
      <c r="B1623" s="1632" t="s">
        <v>1086</v>
      </c>
      <c r="C1623" s="1382"/>
      <c r="D1623" s="1382"/>
      <c r="E1623" s="1382"/>
      <c r="F1623" s="1436"/>
      <c r="G1623" s="1384" t="s">
        <v>124</v>
      </c>
      <c r="H1623" s="1632" t="s">
        <v>1086</v>
      </c>
      <c r="I1623" s="1382"/>
      <c r="J1623" s="1382"/>
      <c r="K1623" s="1382"/>
      <c r="L1623" s="1372"/>
    </row>
    <row r="1624" spans="1:12" s="31" customFormat="1" ht="17.25" customHeight="1">
      <c r="A1624" s="1384" t="s">
        <v>125</v>
      </c>
      <c r="B1624" s="1633" t="s">
        <v>1087</v>
      </c>
      <c r="C1624" s="1382"/>
      <c r="D1624" s="1382"/>
      <c r="E1624" s="1377">
        <f>SUM(E1623)</f>
        <v>0</v>
      </c>
      <c r="F1624" s="1423"/>
      <c r="G1624" s="1384" t="s">
        <v>125</v>
      </c>
      <c r="H1624" s="1633" t="s">
        <v>1087</v>
      </c>
      <c r="I1624" s="1382"/>
      <c r="J1624" s="1382"/>
      <c r="K1624" s="1377">
        <f>SUM(K1623)</f>
        <v>0</v>
      </c>
      <c r="L1624" s="1372"/>
    </row>
    <row r="1625" spans="1:12" s="31" customFormat="1" ht="17.25" customHeight="1">
      <c r="A1625" s="1386" t="s">
        <v>126</v>
      </c>
      <c r="B1625" s="1634" t="s">
        <v>871</v>
      </c>
      <c r="C1625" s="1387"/>
      <c r="D1625" s="1387"/>
      <c r="E1625" s="1387">
        <f>(E1613+E1614+E1615+E1616+E1617+E1618+E1619+E1620+E1621)-E1624</f>
        <v>0</v>
      </c>
      <c r="F1625" s="1423"/>
      <c r="G1625" s="1386" t="s">
        <v>126</v>
      </c>
      <c r="H1625" s="1634" t="s">
        <v>871</v>
      </c>
      <c r="I1625" s="1387"/>
      <c r="J1625" s="1387"/>
      <c r="K1625" s="1387">
        <f>(K1613+K1614+K1615+K1616+K1617+K1618+K1619+K1620+K1621)-K1624</f>
        <v>0</v>
      </c>
      <c r="L1625" s="1389">
        <f>E1625+K1625</f>
        <v>0</v>
      </c>
    </row>
    <row r="1626" spans="1:12" s="31" customFormat="1" ht="17.25" customHeight="1">
      <c r="A1626" s="1449"/>
      <c r="B1626" s="1449"/>
      <c r="C1626" s="1449"/>
      <c r="D1626" s="1449"/>
      <c r="E1626" s="1449"/>
      <c r="F1626" s="1449"/>
      <c r="G1626" s="1449"/>
      <c r="H1626" s="1449"/>
      <c r="I1626" s="1449"/>
      <c r="J1626" s="1449"/>
      <c r="K1626" s="1449"/>
      <c r="L1626" s="1372"/>
    </row>
    <row r="1627" spans="1:12" s="31" customFormat="1" ht="17.25" customHeight="1">
      <c r="A1627" s="1445" t="str">
        <f>A1610</f>
        <v>LƯƠNG THÁNG 01/2025</v>
      </c>
      <c r="B1627" s="1449"/>
      <c r="C1627" s="1449"/>
      <c r="D1627" s="1449"/>
      <c r="E1627" s="1458">
        <f>VLOOKUP(B1628,'CNKT '!$C$190:$AD$254,26,0)</f>
        <v>0</v>
      </c>
      <c r="F1627" s="1436"/>
      <c r="G1627" s="1445" t="str">
        <f>A1627</f>
        <v>LƯƠNG THÁNG 01/2025</v>
      </c>
      <c r="H1627" s="1449"/>
      <c r="I1627" s="1449"/>
      <c r="J1627" s="1452"/>
      <c r="K1627" s="1458">
        <f>VLOOKUP(H1628,'CNKT '!$C$190:$AD$254,26,0)</f>
        <v>0</v>
      </c>
      <c r="L1627" s="1372"/>
    </row>
    <row r="1628" spans="1:12" s="31" customFormat="1" ht="17.25" customHeight="1">
      <c r="A1628" s="1391" t="s">
        <v>29</v>
      </c>
      <c r="B1628" s="1626" t="str">
        <f>'CNKT '!C206</f>
        <v>T. Lăm Phêng</v>
      </c>
      <c r="C1628" s="1376"/>
      <c r="D1628" s="1626" t="s">
        <v>806</v>
      </c>
      <c r="E1628" s="1626" t="s">
        <v>32</v>
      </c>
      <c r="F1628" s="1436"/>
      <c r="G1628" s="1391" t="s">
        <v>29</v>
      </c>
      <c r="H1628" s="1626" t="str">
        <f>'CNKT '!C207</f>
        <v>T Xèng</v>
      </c>
      <c r="I1628" s="1376"/>
      <c r="J1628" s="1626" t="s">
        <v>806</v>
      </c>
      <c r="K1628" s="1626" t="s">
        <v>32</v>
      </c>
      <c r="L1628" s="1372"/>
    </row>
    <row r="1629" spans="1:12" s="31" customFormat="1" ht="17.25" customHeight="1">
      <c r="A1629" s="1375" t="s">
        <v>807</v>
      </c>
      <c r="B1629" s="1628" t="s">
        <v>1080</v>
      </c>
      <c r="C1629" s="1376" t="str">
        <f>VLOOKUP(B1628,'BTH mủ tạp'!$C$182:$AL$244,36,0)</f>
        <v>A</v>
      </c>
      <c r="D1629" s="1377"/>
      <c r="E1629" s="1377"/>
      <c r="F1629" s="1436"/>
      <c r="G1629" s="1375" t="s">
        <v>807</v>
      </c>
      <c r="H1629" s="1628" t="s">
        <v>1080</v>
      </c>
      <c r="I1629" s="1376" t="str">
        <f>VLOOKUP(H1628,'BTH mủ tạp'!$C$182:$AL$244,36,0)</f>
        <v>A</v>
      </c>
      <c r="J1629" s="1377"/>
      <c r="K1629" s="1377"/>
      <c r="L1629" s="1372"/>
    </row>
    <row r="1630" spans="1:12" s="31" customFormat="1" ht="17.25" customHeight="1">
      <c r="A1630" s="1375" t="s">
        <v>121</v>
      </c>
      <c r="B1630" s="1629" t="s">
        <v>865</v>
      </c>
      <c r="C1630" s="1378">
        <f>VLOOKUP(B1628,'CNKT '!$C$189:$Z$254,3,0)</f>
        <v>0</v>
      </c>
      <c r="D1630" s="1379">
        <v>25000</v>
      </c>
      <c r="E1630" s="1377">
        <f t="shared" ref="E1630:E1635" si="189">C1630*D1630</f>
        <v>0</v>
      </c>
      <c r="F1630" s="1436"/>
      <c r="G1630" s="1375" t="s">
        <v>121</v>
      </c>
      <c r="H1630" s="1629" t="s">
        <v>865</v>
      </c>
      <c r="I1630" s="1378">
        <f>VLOOKUP(H1628,'CNKT '!$C$189:$Z$254,3,0)</f>
        <v>0</v>
      </c>
      <c r="J1630" s="1379">
        <v>25000</v>
      </c>
      <c r="K1630" s="1377">
        <f t="shared" ref="K1630:K1635" si="190">I1630*J1630</f>
        <v>0</v>
      </c>
      <c r="L1630" s="1372"/>
    </row>
    <row r="1631" spans="1:12" s="31" customFormat="1" ht="17.25" customHeight="1">
      <c r="A1631" s="1375" t="s">
        <v>628</v>
      </c>
      <c r="B1631" s="1630" t="s">
        <v>1081</v>
      </c>
      <c r="C1631" s="1433">
        <f>VLOOKUP(B1628,'CNKT '!$C$189:$Z$254,11,0)</f>
        <v>0</v>
      </c>
      <c r="D1631" s="1380">
        <f>46.1*$B$2</f>
        <v>30241.600000000002</v>
      </c>
      <c r="E1631" s="1377">
        <f t="shared" si="189"/>
        <v>0</v>
      </c>
      <c r="F1631" s="1436"/>
      <c r="G1631" s="1375" t="s">
        <v>628</v>
      </c>
      <c r="H1631" s="1630" t="s">
        <v>1081</v>
      </c>
      <c r="I1631" s="1433">
        <f>VLOOKUP(H1628,'CNKT '!$C$189:$Z$254,11,0)</f>
        <v>0</v>
      </c>
      <c r="J1631" s="1380">
        <f>46.1*$B$2</f>
        <v>30241.600000000002</v>
      </c>
      <c r="K1631" s="1377">
        <f t="shared" si="190"/>
        <v>0</v>
      </c>
      <c r="L1631" s="1372"/>
    </row>
    <row r="1632" spans="1:12" s="31" customFormat="1" ht="17.25" customHeight="1">
      <c r="A1632" s="1375" t="s">
        <v>809</v>
      </c>
      <c r="B1632" s="1630" t="s">
        <v>1082</v>
      </c>
      <c r="C1632" s="1433">
        <f>VLOOKUP(B1628,'CNKT '!$C$189:$Z$254,12,0)</f>
        <v>0</v>
      </c>
      <c r="D1632" s="1379">
        <f>76.9*$B$2</f>
        <v>50446.400000000001</v>
      </c>
      <c r="E1632" s="1377">
        <f t="shared" si="189"/>
        <v>0</v>
      </c>
      <c r="F1632" s="1436"/>
      <c r="G1632" s="1375" t="s">
        <v>809</v>
      </c>
      <c r="H1632" s="1630" t="s">
        <v>1082</v>
      </c>
      <c r="I1632" s="1433">
        <f>VLOOKUP(H1628,'CNKT '!$C$189:$Z$254,12,0)</f>
        <v>0</v>
      </c>
      <c r="J1632" s="1379">
        <f>76.9*$B$2</f>
        <v>50446.400000000001</v>
      </c>
      <c r="K1632" s="1377">
        <f t="shared" si="190"/>
        <v>0</v>
      </c>
      <c r="L1632" s="1372"/>
    </row>
    <row r="1633" spans="1:12" s="31" customFormat="1" ht="17.25" customHeight="1">
      <c r="A1633" s="1375" t="s">
        <v>122</v>
      </c>
      <c r="B1633" s="1630" t="s">
        <v>1083</v>
      </c>
      <c r="C1633" s="1433">
        <f>VLOOKUP(B1628,'CNKT '!$C$189:$Z$254,8,0)</f>
        <v>0</v>
      </c>
      <c r="D1633" s="1379">
        <f>IF(C1629="A",6.1,IF(C1629="B",5.8,IF(C1629="C",5.5,IF(C1629="C.",5.5,IF(C1629="D",5.2)))))*$B$2</f>
        <v>4001.6</v>
      </c>
      <c r="E1633" s="1377">
        <f t="shared" si="189"/>
        <v>0</v>
      </c>
      <c r="F1633" s="1436"/>
      <c r="G1633" s="1375" t="s">
        <v>122</v>
      </c>
      <c r="H1633" s="1630" t="s">
        <v>1083</v>
      </c>
      <c r="I1633" s="1433">
        <f>VLOOKUP(H1628,'CNKT '!$C$189:$Z$254,8,0)</f>
        <v>0</v>
      </c>
      <c r="J1633" s="1379">
        <f>IF(I1629="A",6.1,IF(I1629="B",5.8,IF(I1629="C",5.5,IF(I1629="C.",5.5,IF(I1629="D",5.2)))))*$B$2</f>
        <v>4001.6</v>
      </c>
      <c r="K1633" s="1377">
        <f t="shared" si="190"/>
        <v>0</v>
      </c>
      <c r="L1633" s="1372"/>
    </row>
    <row r="1634" spans="1:12" s="31" customFormat="1" ht="17.25" customHeight="1">
      <c r="A1634" s="1375" t="s">
        <v>961</v>
      </c>
      <c r="B1634" s="1630" t="s">
        <v>1084</v>
      </c>
      <c r="C1634" s="1433">
        <f>VLOOKUP(B1628,'CNKT '!$C$101:$Z$254,13,0)</f>
        <v>0</v>
      </c>
      <c r="D1634" s="1380">
        <f>92.2*$B$2</f>
        <v>60483.200000000004</v>
      </c>
      <c r="E1634" s="1377">
        <f t="shared" si="189"/>
        <v>0</v>
      </c>
      <c r="F1634" s="1436"/>
      <c r="G1634" s="1375" t="s">
        <v>961</v>
      </c>
      <c r="H1634" s="1630" t="s">
        <v>1084</v>
      </c>
      <c r="I1634" s="1433">
        <f>VLOOKUP(H1628,'CNKT '!$C$101:$Z$254,13,0)</f>
        <v>0</v>
      </c>
      <c r="J1634" s="1380">
        <f>92.2*$B$2</f>
        <v>60483.200000000004</v>
      </c>
      <c r="K1634" s="1377">
        <f t="shared" si="190"/>
        <v>0</v>
      </c>
      <c r="L1634" s="1372"/>
    </row>
    <row r="1635" spans="1:12" s="31" customFormat="1" ht="17.25" customHeight="1">
      <c r="A1635" s="1375" t="s">
        <v>886</v>
      </c>
      <c r="B1635" s="1630" t="s">
        <v>964</v>
      </c>
      <c r="C1635" s="1433">
        <f>VLOOKUP(B1628,'CNKT '!$C$189:$Z$254,14,0)</f>
        <v>0</v>
      </c>
      <c r="D1635" s="1379">
        <f>153.6*$B$2</f>
        <v>100761.59999999999</v>
      </c>
      <c r="E1635" s="1377">
        <f t="shared" si="189"/>
        <v>0</v>
      </c>
      <c r="F1635" s="1436"/>
      <c r="G1635" s="1375" t="s">
        <v>886</v>
      </c>
      <c r="H1635" s="1630" t="s">
        <v>964</v>
      </c>
      <c r="I1635" s="1433">
        <f>VLOOKUP(H1628,'CNKT '!$C$189:$Z$254,14,0)</f>
        <v>0</v>
      </c>
      <c r="J1635" s="1379">
        <f>153.6*$B$2</f>
        <v>100761.59999999999</v>
      </c>
      <c r="K1635" s="1377">
        <f t="shared" si="190"/>
        <v>0</v>
      </c>
      <c r="L1635" s="1372"/>
    </row>
    <row r="1636" spans="1:12" s="31" customFormat="1" ht="17.25" customHeight="1">
      <c r="A1636" s="1375" t="s">
        <v>899</v>
      </c>
      <c r="B1636" s="1630" t="s">
        <v>965</v>
      </c>
      <c r="C1636" s="1433">
        <f>VLOOKUP(B1628,'CNKT '!$C$190:$Z$254,18,0)</f>
        <v>0</v>
      </c>
      <c r="D1636" s="1379">
        <v>10000</v>
      </c>
      <c r="E1636" s="1377">
        <f>C1636*D1636</f>
        <v>0</v>
      </c>
      <c r="F1636" s="1436"/>
      <c r="G1636" s="1375" t="s">
        <v>899</v>
      </c>
      <c r="H1636" s="1630" t="s">
        <v>965</v>
      </c>
      <c r="I1636" s="1433">
        <f>VLOOKUP(H1628,'CNKT '!$C$190:$Z$254,18,0)</f>
        <v>0</v>
      </c>
      <c r="J1636" s="1379">
        <v>10000</v>
      </c>
      <c r="K1636" s="1377">
        <f>I1636*J1636</f>
        <v>0</v>
      </c>
      <c r="L1636" s="1372"/>
    </row>
    <row r="1637" spans="1:12" s="31" customFormat="1" ht="17.25" customHeight="1">
      <c r="A1637" s="1375" t="s">
        <v>899</v>
      </c>
      <c r="B1637" s="1630" t="s">
        <v>965</v>
      </c>
      <c r="C1637" s="1433">
        <f>VLOOKUP(B1628,'CNKT '!$C$190:$Z$254,19,0)</f>
        <v>0</v>
      </c>
      <c r="D1637" s="1379">
        <v>20000</v>
      </c>
      <c r="E1637" s="1377">
        <f>C1637*D1637</f>
        <v>0</v>
      </c>
      <c r="F1637" s="1436"/>
      <c r="G1637" s="1375" t="s">
        <v>899</v>
      </c>
      <c r="H1637" s="1630" t="s">
        <v>965</v>
      </c>
      <c r="I1637" s="1433">
        <f>VLOOKUP(H1628,'CNKT '!$C$190:$Z$254,19,0)</f>
        <v>0</v>
      </c>
      <c r="J1637" s="1379">
        <v>20000</v>
      </c>
      <c r="K1637" s="1377">
        <f>I1637*J1637</f>
        <v>0</v>
      </c>
      <c r="L1637" s="1372"/>
    </row>
    <row r="1638" spans="1:12" s="31" customFormat="1" ht="17.25" customHeight="1">
      <c r="A1638" s="1375" t="s">
        <v>995</v>
      </c>
      <c r="B1638" s="1630" t="s">
        <v>997</v>
      </c>
      <c r="C1638" s="1433"/>
      <c r="D1638" s="1379"/>
      <c r="E1638" s="1377"/>
      <c r="F1638" s="1436"/>
      <c r="G1638" s="1375" t="s">
        <v>995</v>
      </c>
      <c r="H1638" s="1630" t="s">
        <v>997</v>
      </c>
      <c r="I1638" s="1433"/>
      <c r="J1638" s="1379"/>
      <c r="K1638" s="1377"/>
      <c r="L1638" s="1372"/>
    </row>
    <row r="1639" spans="1:12" s="31" customFormat="1" ht="17.25" customHeight="1">
      <c r="A1639" s="1381" t="s">
        <v>123</v>
      </c>
      <c r="B1639" s="1631" t="s">
        <v>1085</v>
      </c>
      <c r="C1639" s="1382"/>
      <c r="D1639" s="1383"/>
      <c r="E1639" s="1382"/>
      <c r="F1639" s="1436"/>
      <c r="G1639" s="1381" t="s">
        <v>123</v>
      </c>
      <c r="H1639" s="1631" t="s">
        <v>1085</v>
      </c>
      <c r="I1639" s="1382"/>
      <c r="J1639" s="1383"/>
      <c r="K1639" s="1382"/>
      <c r="L1639" s="1372"/>
    </row>
    <row r="1640" spans="1:12" s="31" customFormat="1" ht="17.25" customHeight="1">
      <c r="A1640" s="1384" t="s">
        <v>124</v>
      </c>
      <c r="B1640" s="1632" t="s">
        <v>1086</v>
      </c>
      <c r="C1640" s="1382"/>
      <c r="D1640" s="1382"/>
      <c r="E1640" s="1382"/>
      <c r="F1640" s="1436"/>
      <c r="G1640" s="1384" t="s">
        <v>124</v>
      </c>
      <c r="H1640" s="1632" t="s">
        <v>1086</v>
      </c>
      <c r="I1640" s="1382"/>
      <c r="J1640" s="1382"/>
      <c r="K1640" s="1382"/>
      <c r="L1640" s="1372"/>
    </row>
    <row r="1641" spans="1:12" s="31" customFormat="1" ht="17.25" customHeight="1">
      <c r="A1641" s="1384" t="s">
        <v>125</v>
      </c>
      <c r="B1641" s="1633" t="s">
        <v>1087</v>
      </c>
      <c r="C1641" s="1382"/>
      <c r="D1641" s="1382"/>
      <c r="E1641" s="1377">
        <f>SUM(E1640)</f>
        <v>0</v>
      </c>
      <c r="F1641" s="1432"/>
      <c r="G1641" s="1384" t="s">
        <v>125</v>
      </c>
      <c r="H1641" s="1633" t="s">
        <v>1087</v>
      </c>
      <c r="I1641" s="1382"/>
      <c r="J1641" s="1382"/>
      <c r="K1641" s="1377">
        <f>SUM(K1640)</f>
        <v>0</v>
      </c>
      <c r="L1641" s="1372"/>
    </row>
    <row r="1642" spans="1:12" s="31" customFormat="1" ht="17.25" customHeight="1">
      <c r="A1642" s="1386" t="s">
        <v>126</v>
      </c>
      <c r="B1642" s="1634" t="s">
        <v>871</v>
      </c>
      <c r="C1642" s="1387"/>
      <c r="D1642" s="1387"/>
      <c r="E1642" s="1387">
        <f>(E1630+E1631+E1632+E1633+E1634+E1635+E1636+E1637+E1638)-E1641</f>
        <v>0</v>
      </c>
      <c r="F1642" s="1432"/>
      <c r="G1642" s="1386" t="s">
        <v>126</v>
      </c>
      <c r="H1642" s="1634" t="s">
        <v>871</v>
      </c>
      <c r="I1642" s="1387"/>
      <c r="J1642" s="1387"/>
      <c r="K1642" s="1387">
        <f>(K1630+K1631+K1632+K1633+K1634+K1635+K1636+K1637+K1638)-K1641</f>
        <v>0</v>
      </c>
      <c r="L1642" s="1389">
        <f>E1642+K1642</f>
        <v>0</v>
      </c>
    </row>
    <row r="1643" spans="1:12" s="31" customFormat="1" ht="69.75" customHeight="1">
      <c r="A1643" s="1449"/>
      <c r="B1643" s="1449"/>
      <c r="C1643" s="1449"/>
      <c r="D1643" s="1449"/>
      <c r="E1643" s="1449"/>
      <c r="F1643" s="1449"/>
      <c r="G1643" s="1449"/>
      <c r="H1643" s="1449"/>
      <c r="I1643" s="1449"/>
      <c r="J1643" s="1449"/>
      <c r="K1643" s="1449"/>
      <c r="L1643" s="1372"/>
    </row>
    <row r="1644" spans="1:12" s="31" customFormat="1" ht="17.25" customHeight="1">
      <c r="A1644" s="1445" t="str">
        <f>A1627</f>
        <v>LƯƠNG THÁNG 01/2025</v>
      </c>
      <c r="B1644" s="1449"/>
      <c r="C1644" s="1449"/>
      <c r="D1644" s="1449"/>
      <c r="E1644" s="1458">
        <f>VLOOKUP(B1645,'CNKT '!$C$190:$AD$254,26,0)</f>
        <v>0</v>
      </c>
      <c r="F1644" s="1436"/>
      <c r="G1644" s="1445" t="str">
        <f>A1644</f>
        <v>LƯƠNG THÁNG 01/2025</v>
      </c>
      <c r="H1644" s="1449"/>
      <c r="I1644" s="1449"/>
      <c r="J1644" s="1452"/>
      <c r="K1644" s="1458">
        <f>VLOOKUP(H1645,'CNKT '!$C$190:$AD$254,26,0)</f>
        <v>0</v>
      </c>
      <c r="L1644" s="1372"/>
    </row>
    <row r="1645" spans="1:12" s="31" customFormat="1" ht="17.25" customHeight="1">
      <c r="A1645" s="1391" t="s">
        <v>29</v>
      </c>
      <c r="B1645" s="1626" t="str">
        <f>'CNKT '!C208</f>
        <v>N. Phăn</v>
      </c>
      <c r="C1645" s="1376"/>
      <c r="D1645" s="1626" t="s">
        <v>806</v>
      </c>
      <c r="E1645" s="1626" t="s">
        <v>32</v>
      </c>
      <c r="F1645" s="1436"/>
      <c r="G1645" s="1391" t="s">
        <v>29</v>
      </c>
      <c r="H1645" s="1626" t="str">
        <f>'CNKT '!C209</f>
        <v>T. Huôn</v>
      </c>
      <c r="I1645" s="1376"/>
      <c r="J1645" s="1626" t="s">
        <v>806</v>
      </c>
      <c r="K1645" s="1626" t="s">
        <v>32</v>
      </c>
      <c r="L1645" s="1372"/>
    </row>
    <row r="1646" spans="1:12" s="31" customFormat="1" ht="17.25" customHeight="1">
      <c r="A1646" s="1375" t="s">
        <v>807</v>
      </c>
      <c r="B1646" s="1628" t="s">
        <v>1080</v>
      </c>
      <c r="C1646" s="1376" t="str">
        <f>VLOOKUP(B1645,'BTH mủ tạp'!$C$182:$AL$244,36,0)</f>
        <v>B</v>
      </c>
      <c r="D1646" s="1377"/>
      <c r="E1646" s="1377"/>
      <c r="F1646" s="1436"/>
      <c r="G1646" s="1375" t="s">
        <v>807</v>
      </c>
      <c r="H1646" s="1628" t="s">
        <v>1080</v>
      </c>
      <c r="I1646" s="1376" t="str">
        <f>VLOOKUP(H1645,'BTH mủ tạp'!$C$182:$AL$244,36,0)</f>
        <v>A</v>
      </c>
      <c r="J1646" s="1377"/>
      <c r="K1646" s="1377"/>
      <c r="L1646" s="1372"/>
    </row>
    <row r="1647" spans="1:12" s="31" customFormat="1" ht="17.25" customHeight="1">
      <c r="A1647" s="1375" t="s">
        <v>121</v>
      </c>
      <c r="B1647" s="1629" t="s">
        <v>865</v>
      </c>
      <c r="C1647" s="1378">
        <f>VLOOKUP(B1645,'CNKT '!$C$189:$Z$254,3,0)</f>
        <v>0</v>
      </c>
      <c r="D1647" s="1379">
        <v>25000</v>
      </c>
      <c r="E1647" s="1377">
        <f t="shared" ref="E1647:E1652" si="191">C1647*D1647</f>
        <v>0</v>
      </c>
      <c r="F1647" s="1436"/>
      <c r="G1647" s="1375" t="s">
        <v>121</v>
      </c>
      <c r="H1647" s="1629" t="s">
        <v>865</v>
      </c>
      <c r="I1647" s="1378">
        <f>VLOOKUP(H1645,'CNKT '!$C$189:$Z$254,3,0)</f>
        <v>0</v>
      </c>
      <c r="J1647" s="1379">
        <v>25000</v>
      </c>
      <c r="K1647" s="1377">
        <f t="shared" ref="K1647:K1652" si="192">I1647*J1647</f>
        <v>0</v>
      </c>
      <c r="L1647" s="1372"/>
    </row>
    <row r="1648" spans="1:12" s="31" customFormat="1" ht="17.25" customHeight="1">
      <c r="A1648" s="1375" t="s">
        <v>628</v>
      </c>
      <c r="B1648" s="1630" t="s">
        <v>1081</v>
      </c>
      <c r="C1648" s="1433">
        <f>VLOOKUP(B1645,'CNKT '!$C$189:$Z$254,11,0)</f>
        <v>0</v>
      </c>
      <c r="D1648" s="1380">
        <f>46.1*$B$2</f>
        <v>30241.600000000002</v>
      </c>
      <c r="E1648" s="1377">
        <f t="shared" si="191"/>
        <v>0</v>
      </c>
      <c r="F1648" s="1436"/>
      <c r="G1648" s="1375" t="s">
        <v>628</v>
      </c>
      <c r="H1648" s="1630" t="s">
        <v>1081</v>
      </c>
      <c r="I1648" s="1433">
        <f>VLOOKUP(H1645,'CNKT '!$C$189:$Z$254,11,0)</f>
        <v>0</v>
      </c>
      <c r="J1648" s="1380">
        <f>46.1*$B$2</f>
        <v>30241.600000000002</v>
      </c>
      <c r="K1648" s="1377">
        <f t="shared" si="192"/>
        <v>0</v>
      </c>
      <c r="L1648" s="1372"/>
    </row>
    <row r="1649" spans="1:12" s="31" customFormat="1" ht="17.25" customHeight="1">
      <c r="A1649" s="1375" t="s">
        <v>809</v>
      </c>
      <c r="B1649" s="1630" t="s">
        <v>1082</v>
      </c>
      <c r="C1649" s="1433">
        <f>VLOOKUP(B1645,'CNKT '!$C$189:$Z$254,12,0)</f>
        <v>0</v>
      </c>
      <c r="D1649" s="1379">
        <f>76.9*$B$2</f>
        <v>50446.400000000001</v>
      </c>
      <c r="E1649" s="1377">
        <f t="shared" si="191"/>
        <v>0</v>
      </c>
      <c r="F1649" s="1436"/>
      <c r="G1649" s="1375" t="s">
        <v>809</v>
      </c>
      <c r="H1649" s="1630" t="s">
        <v>1082</v>
      </c>
      <c r="I1649" s="1433">
        <f>VLOOKUP(H1645,'CNKT '!$C$189:$Z$254,12,0)</f>
        <v>0</v>
      </c>
      <c r="J1649" s="1379">
        <f>76.9*$B$2</f>
        <v>50446.400000000001</v>
      </c>
      <c r="K1649" s="1377">
        <f t="shared" si="192"/>
        <v>0</v>
      </c>
      <c r="L1649" s="1372"/>
    </row>
    <row r="1650" spans="1:12" s="31" customFormat="1" ht="17.25" customHeight="1">
      <c r="A1650" s="1375" t="s">
        <v>122</v>
      </c>
      <c r="B1650" s="1630" t="s">
        <v>1083</v>
      </c>
      <c r="C1650" s="1433">
        <f>VLOOKUP(B1645,'CNKT '!$C$189:$Z$254,8,0)</f>
        <v>0</v>
      </c>
      <c r="D1650" s="1379">
        <f>IF(C1646="A",6.1,IF(C1646="B",5.8,IF(C1646="C",5.5,IF(C1646="C.",5.5,IF(C1646="D",5.2)))))*$B$2</f>
        <v>3804.7999999999997</v>
      </c>
      <c r="E1650" s="1377">
        <f t="shared" si="191"/>
        <v>0</v>
      </c>
      <c r="F1650" s="1436"/>
      <c r="G1650" s="1375" t="s">
        <v>122</v>
      </c>
      <c r="H1650" s="1630" t="s">
        <v>1083</v>
      </c>
      <c r="I1650" s="1433">
        <f>VLOOKUP(H1645,'CNKT '!$C$189:$Z$254,8,0)</f>
        <v>0</v>
      </c>
      <c r="J1650" s="1379">
        <f>IF(I1646="A",6.1,IF(I1646="B",5.8,IF(I1646="C",5.5,IF(I1646="C.",5.5,IF(I1646="D",5.2)))))*$B$2</f>
        <v>4001.6</v>
      </c>
      <c r="K1650" s="1377">
        <f t="shared" si="192"/>
        <v>0</v>
      </c>
      <c r="L1650" s="1372"/>
    </row>
    <row r="1651" spans="1:12" s="31" customFormat="1" ht="17.25" customHeight="1">
      <c r="A1651" s="1375" t="s">
        <v>961</v>
      </c>
      <c r="B1651" s="1630" t="s">
        <v>1084</v>
      </c>
      <c r="C1651" s="1433">
        <f>VLOOKUP(B1645,'CNKT '!$C$101:$Z$254,13,0)</f>
        <v>0</v>
      </c>
      <c r="D1651" s="1380">
        <f>92.2*$B$2</f>
        <v>60483.200000000004</v>
      </c>
      <c r="E1651" s="1377">
        <f t="shared" si="191"/>
        <v>0</v>
      </c>
      <c r="F1651" s="1436"/>
      <c r="G1651" s="1375" t="s">
        <v>961</v>
      </c>
      <c r="H1651" s="1630" t="s">
        <v>1084</v>
      </c>
      <c r="I1651" s="1433">
        <f>VLOOKUP(H1645,'CNKT '!$C$101:$Z$254,13,0)</f>
        <v>0</v>
      </c>
      <c r="J1651" s="1380">
        <f>92.2*$B$2</f>
        <v>60483.200000000004</v>
      </c>
      <c r="K1651" s="1377">
        <f t="shared" si="192"/>
        <v>0</v>
      </c>
      <c r="L1651" s="1372"/>
    </row>
    <row r="1652" spans="1:12" s="31" customFormat="1" ht="17.25" customHeight="1">
      <c r="A1652" s="1375" t="s">
        <v>886</v>
      </c>
      <c r="B1652" s="1630" t="s">
        <v>964</v>
      </c>
      <c r="C1652" s="1433">
        <f>VLOOKUP(B1645,'CNKT '!$C$189:$Z$254,14,0)</f>
        <v>0</v>
      </c>
      <c r="D1652" s="1379">
        <f>153.6*$B$2</f>
        <v>100761.59999999999</v>
      </c>
      <c r="E1652" s="1377">
        <f t="shared" si="191"/>
        <v>0</v>
      </c>
      <c r="F1652" s="1436"/>
      <c r="G1652" s="1375" t="s">
        <v>886</v>
      </c>
      <c r="H1652" s="1630" t="s">
        <v>964</v>
      </c>
      <c r="I1652" s="1433">
        <f>VLOOKUP(H1645,'CNKT '!$C$189:$Z$254,14,0)</f>
        <v>0</v>
      </c>
      <c r="J1652" s="1379">
        <f>153.6*$B$2</f>
        <v>100761.59999999999</v>
      </c>
      <c r="K1652" s="1377">
        <f t="shared" si="192"/>
        <v>0</v>
      </c>
      <c r="L1652" s="1372"/>
    </row>
    <row r="1653" spans="1:12" s="31" customFormat="1" ht="17.25" customHeight="1">
      <c r="A1653" s="1375" t="s">
        <v>899</v>
      </c>
      <c r="B1653" s="1630" t="s">
        <v>965</v>
      </c>
      <c r="C1653" s="1433">
        <f>VLOOKUP(B1645,'CNKT '!$C$190:$Z$254,18,0)</f>
        <v>0</v>
      </c>
      <c r="D1653" s="1379">
        <v>10000</v>
      </c>
      <c r="E1653" s="1377">
        <f>C1653*D1653</f>
        <v>0</v>
      </c>
      <c r="F1653" s="1436"/>
      <c r="G1653" s="1375" t="s">
        <v>899</v>
      </c>
      <c r="H1653" s="1630" t="s">
        <v>965</v>
      </c>
      <c r="I1653" s="1433">
        <f>VLOOKUP(H1645,'CNKT '!$C$190:$Z$254,18,0)</f>
        <v>0</v>
      </c>
      <c r="J1653" s="1379">
        <v>10000</v>
      </c>
      <c r="K1653" s="1377">
        <f>I1653*J1653</f>
        <v>0</v>
      </c>
      <c r="L1653" s="1372"/>
    </row>
    <row r="1654" spans="1:12" s="31" customFormat="1" ht="17.25" customHeight="1">
      <c r="A1654" s="1375" t="s">
        <v>899</v>
      </c>
      <c r="B1654" s="1630" t="s">
        <v>965</v>
      </c>
      <c r="C1654" s="1433">
        <f>VLOOKUP(B1645,'CNKT '!$C$190:$Z$254,19,0)</f>
        <v>0</v>
      </c>
      <c r="D1654" s="1379">
        <v>20000</v>
      </c>
      <c r="E1654" s="1377">
        <f>C1654*D1654</f>
        <v>0</v>
      </c>
      <c r="F1654" s="1436"/>
      <c r="G1654" s="1375" t="s">
        <v>899</v>
      </c>
      <c r="H1654" s="1630" t="s">
        <v>965</v>
      </c>
      <c r="I1654" s="1433">
        <f>VLOOKUP(H1645,'CNKT '!$C$190:$Z$254,19,0)</f>
        <v>0</v>
      </c>
      <c r="J1654" s="1379">
        <v>20000</v>
      </c>
      <c r="K1654" s="1377">
        <f>I1654*J1654</f>
        <v>0</v>
      </c>
      <c r="L1654" s="1372"/>
    </row>
    <row r="1655" spans="1:12" s="31" customFormat="1" ht="17.25" customHeight="1">
      <c r="A1655" s="1375" t="s">
        <v>995</v>
      </c>
      <c r="B1655" s="1630" t="s">
        <v>997</v>
      </c>
      <c r="C1655" s="1433"/>
      <c r="D1655" s="1379"/>
      <c r="E1655" s="1377"/>
      <c r="F1655" s="1436"/>
      <c r="G1655" s="1375" t="s">
        <v>995</v>
      </c>
      <c r="H1655" s="1630" t="s">
        <v>997</v>
      </c>
      <c r="I1655" s="1433"/>
      <c r="J1655" s="1379"/>
      <c r="K1655" s="1377"/>
      <c r="L1655" s="1372"/>
    </row>
    <row r="1656" spans="1:12" s="31" customFormat="1" ht="17.25" customHeight="1">
      <c r="A1656" s="1381" t="s">
        <v>123</v>
      </c>
      <c r="B1656" s="1631" t="s">
        <v>1085</v>
      </c>
      <c r="C1656" s="1382"/>
      <c r="D1656" s="1383"/>
      <c r="E1656" s="1382"/>
      <c r="F1656" s="1436"/>
      <c r="G1656" s="1381" t="s">
        <v>123</v>
      </c>
      <c r="H1656" s="1631" t="s">
        <v>1085</v>
      </c>
      <c r="I1656" s="1382"/>
      <c r="J1656" s="1383"/>
      <c r="K1656" s="1382"/>
      <c r="L1656" s="1372"/>
    </row>
    <row r="1657" spans="1:12" s="31" customFormat="1" ht="17.25" customHeight="1">
      <c r="A1657" s="1384" t="s">
        <v>124</v>
      </c>
      <c r="B1657" s="1632" t="s">
        <v>1086</v>
      </c>
      <c r="C1657" s="1382"/>
      <c r="D1657" s="1382"/>
      <c r="E1657" s="1382"/>
      <c r="F1657" s="1436"/>
      <c r="G1657" s="1384" t="s">
        <v>124</v>
      </c>
      <c r="H1657" s="1632" t="s">
        <v>1086</v>
      </c>
      <c r="I1657" s="1382"/>
      <c r="J1657" s="1382"/>
      <c r="K1657" s="1382"/>
      <c r="L1657" s="1372"/>
    </row>
    <row r="1658" spans="1:12" s="31" customFormat="1" ht="17.25" customHeight="1">
      <c r="A1658" s="1384" t="s">
        <v>125</v>
      </c>
      <c r="B1658" s="1633" t="s">
        <v>1087</v>
      </c>
      <c r="C1658" s="1382"/>
      <c r="D1658" s="1382"/>
      <c r="E1658" s="1377">
        <f>SUM(E1657)</f>
        <v>0</v>
      </c>
      <c r="F1658" s="1423"/>
      <c r="G1658" s="1384" t="s">
        <v>125</v>
      </c>
      <c r="H1658" s="1633" t="s">
        <v>1087</v>
      </c>
      <c r="I1658" s="1382"/>
      <c r="J1658" s="1382"/>
      <c r="K1658" s="1377">
        <f>SUM(K1657)</f>
        <v>0</v>
      </c>
      <c r="L1658" s="1372"/>
    </row>
    <row r="1659" spans="1:12" s="31" customFormat="1" ht="17.25" customHeight="1">
      <c r="A1659" s="1386" t="s">
        <v>126</v>
      </c>
      <c r="B1659" s="1634" t="s">
        <v>871</v>
      </c>
      <c r="C1659" s="1387"/>
      <c r="D1659" s="1387"/>
      <c r="E1659" s="1387">
        <f>(E1647+E1648+E1649+E1650+E1651+E1652+E1653+E1654+E1655)-E1658</f>
        <v>0</v>
      </c>
      <c r="F1659" s="1423"/>
      <c r="G1659" s="1386" t="s">
        <v>126</v>
      </c>
      <c r="H1659" s="1634" t="s">
        <v>871</v>
      </c>
      <c r="I1659" s="1387"/>
      <c r="J1659" s="1387"/>
      <c r="K1659" s="1387">
        <f>(K1647+K1648+K1649+K1650+K1651+K1652+K1653+K1654+K1655)-K1658</f>
        <v>0</v>
      </c>
      <c r="L1659" s="1389">
        <f>E1659+K1659</f>
        <v>0</v>
      </c>
    </row>
    <row r="1660" spans="1:12" s="31" customFormat="1" ht="17.25" customHeight="1">
      <c r="A1660" s="1449"/>
      <c r="B1660" s="1449"/>
      <c r="C1660" s="1449"/>
      <c r="D1660" s="1449"/>
      <c r="E1660" s="1449"/>
      <c r="F1660" s="1449"/>
      <c r="G1660" s="1449"/>
      <c r="H1660" s="1449"/>
      <c r="I1660" s="1449"/>
      <c r="J1660" s="1449"/>
      <c r="K1660" s="1449"/>
      <c r="L1660" s="1372"/>
    </row>
    <row r="1661" spans="1:12" s="31" customFormat="1" ht="17.25" customHeight="1">
      <c r="A1661" s="1445" t="str">
        <f>A1644</f>
        <v>LƯƠNG THÁNG 01/2025</v>
      </c>
      <c r="B1661" s="1449"/>
      <c r="C1661" s="1449"/>
      <c r="D1661" s="1449"/>
      <c r="E1661" s="1458">
        <f>VLOOKUP(B1662,'CNKT '!$C$190:$AD$254,26,0)</f>
        <v>0</v>
      </c>
      <c r="F1661" s="1436"/>
      <c r="G1661" s="1445" t="str">
        <f>A1661</f>
        <v>LƯƠNG THÁNG 01/2025</v>
      </c>
      <c r="H1661" s="1449"/>
      <c r="I1661" s="1449"/>
      <c r="J1661" s="1452"/>
      <c r="K1661" s="1458">
        <f>VLOOKUP(H1662,'CNKT '!$C$190:$AD$254,26,0)</f>
        <v>0</v>
      </c>
      <c r="L1661" s="1372"/>
    </row>
    <row r="1662" spans="1:12" s="31" customFormat="1" ht="17.25" customHeight="1">
      <c r="A1662" s="1391" t="s">
        <v>29</v>
      </c>
      <c r="B1662" s="1626" t="str">
        <f>'CNKT '!C210</f>
        <v>N. Lay</v>
      </c>
      <c r="C1662" s="1376"/>
      <c r="D1662" s="1626" t="s">
        <v>806</v>
      </c>
      <c r="E1662" s="1626" t="s">
        <v>32</v>
      </c>
      <c r="F1662" s="1436"/>
      <c r="G1662" s="1391" t="s">
        <v>29</v>
      </c>
      <c r="H1662" s="1626" t="str">
        <f>'CNKT '!C211</f>
        <v>N. Pon</v>
      </c>
      <c r="I1662" s="1376"/>
      <c r="J1662" s="1626" t="s">
        <v>806</v>
      </c>
      <c r="K1662" s="1626" t="s">
        <v>32</v>
      </c>
      <c r="L1662" s="1372"/>
    </row>
    <row r="1663" spans="1:12" s="31" customFormat="1" ht="17.25" customHeight="1">
      <c r="A1663" s="1375" t="s">
        <v>807</v>
      </c>
      <c r="B1663" s="1628" t="s">
        <v>1080</v>
      </c>
      <c r="C1663" s="1376" t="str">
        <f>VLOOKUP(B1662,'BTH mủ tạp'!$C$182:$AL$244,36,0)</f>
        <v>A</v>
      </c>
      <c r="D1663" s="1377"/>
      <c r="E1663" s="1377"/>
      <c r="F1663" s="1436"/>
      <c r="G1663" s="1375" t="s">
        <v>807</v>
      </c>
      <c r="H1663" s="1628" t="s">
        <v>1080</v>
      </c>
      <c r="I1663" s="1376" t="str">
        <f>VLOOKUP(H1662,'BTH mủ tạp'!$C$182:$AL$244,36,0)</f>
        <v>A</v>
      </c>
      <c r="J1663" s="1377"/>
      <c r="K1663" s="1377"/>
      <c r="L1663" s="1372"/>
    </row>
    <row r="1664" spans="1:12" s="31" customFormat="1" ht="17.25" customHeight="1">
      <c r="A1664" s="1375" t="s">
        <v>121</v>
      </c>
      <c r="B1664" s="1629" t="s">
        <v>865</v>
      </c>
      <c r="C1664" s="1378">
        <f>VLOOKUP(B1662,'CNKT '!$C$189:$Z$254,3,0)</f>
        <v>0</v>
      </c>
      <c r="D1664" s="1379">
        <v>25000</v>
      </c>
      <c r="E1664" s="1377">
        <f t="shared" ref="E1664:E1669" si="193">C1664*D1664</f>
        <v>0</v>
      </c>
      <c r="F1664" s="1436"/>
      <c r="G1664" s="1375" t="s">
        <v>121</v>
      </c>
      <c r="H1664" s="1629" t="s">
        <v>865</v>
      </c>
      <c r="I1664" s="1378">
        <f>VLOOKUP(H1662,'CNKT '!$C$189:$Z$254,3,0)</f>
        <v>0</v>
      </c>
      <c r="J1664" s="1379">
        <v>25000</v>
      </c>
      <c r="K1664" s="1377">
        <f t="shared" ref="K1664:K1669" si="194">I1664*J1664</f>
        <v>0</v>
      </c>
      <c r="L1664" s="1372"/>
    </row>
    <row r="1665" spans="1:12" s="31" customFormat="1" ht="17.25" customHeight="1">
      <c r="A1665" s="1375" t="s">
        <v>628</v>
      </c>
      <c r="B1665" s="1630" t="s">
        <v>1081</v>
      </c>
      <c r="C1665" s="1433">
        <f>VLOOKUP(B1662,'CNKT '!$C$189:$Z$254,11,0)</f>
        <v>0</v>
      </c>
      <c r="D1665" s="1380">
        <f>46.1*$B$2</f>
        <v>30241.600000000002</v>
      </c>
      <c r="E1665" s="1377">
        <f t="shared" si="193"/>
        <v>0</v>
      </c>
      <c r="F1665" s="1436"/>
      <c r="G1665" s="1375" t="s">
        <v>628</v>
      </c>
      <c r="H1665" s="1630" t="s">
        <v>1081</v>
      </c>
      <c r="I1665" s="1433">
        <f>VLOOKUP(H1662,'CNKT '!$C$189:$Z$254,11,0)</f>
        <v>0</v>
      </c>
      <c r="J1665" s="1380">
        <f>46.1*$B$2</f>
        <v>30241.600000000002</v>
      </c>
      <c r="K1665" s="1377">
        <f t="shared" si="194"/>
        <v>0</v>
      </c>
      <c r="L1665" s="1372"/>
    </row>
    <row r="1666" spans="1:12" s="31" customFormat="1" ht="17.25" customHeight="1">
      <c r="A1666" s="1375" t="s">
        <v>809</v>
      </c>
      <c r="B1666" s="1630" t="s">
        <v>1082</v>
      </c>
      <c r="C1666" s="1433">
        <f>VLOOKUP(B1662,'CNKT '!$C$189:$Z$254,12,0)</f>
        <v>0</v>
      </c>
      <c r="D1666" s="1379">
        <f>76.9*$B$2</f>
        <v>50446.400000000001</v>
      </c>
      <c r="E1666" s="1377">
        <f t="shared" si="193"/>
        <v>0</v>
      </c>
      <c r="F1666" s="1436"/>
      <c r="G1666" s="1375" t="s">
        <v>809</v>
      </c>
      <c r="H1666" s="1630" t="s">
        <v>1082</v>
      </c>
      <c r="I1666" s="1433">
        <f>VLOOKUP(H1662,'CNKT '!$C$189:$Z$254,12,0)</f>
        <v>0</v>
      </c>
      <c r="J1666" s="1379">
        <f>76.9*$B$2</f>
        <v>50446.400000000001</v>
      </c>
      <c r="K1666" s="1377">
        <f t="shared" si="194"/>
        <v>0</v>
      </c>
      <c r="L1666" s="1372"/>
    </row>
    <row r="1667" spans="1:12" s="31" customFormat="1" ht="17.25" customHeight="1">
      <c r="A1667" s="1375" t="s">
        <v>122</v>
      </c>
      <c r="B1667" s="1630" t="s">
        <v>1083</v>
      </c>
      <c r="C1667" s="1433">
        <f>VLOOKUP(B1662,'CNKT '!$C$189:$Z$254,8,0)</f>
        <v>0</v>
      </c>
      <c r="D1667" s="1379">
        <f>IF(C1663="A",6.1,IF(C1663="B",5.8,IF(C1663="C",5.5,IF(C1663="C.",5.5,IF(C1663="D",5.2)))))*$B$2</f>
        <v>4001.6</v>
      </c>
      <c r="E1667" s="1377">
        <f t="shared" si="193"/>
        <v>0</v>
      </c>
      <c r="F1667" s="1436"/>
      <c r="G1667" s="1375" t="s">
        <v>122</v>
      </c>
      <c r="H1667" s="1630" t="s">
        <v>1083</v>
      </c>
      <c r="I1667" s="1433">
        <f>VLOOKUP(H1662,'CNKT '!$C$189:$Z$254,8,0)</f>
        <v>0</v>
      </c>
      <c r="J1667" s="1379">
        <f>IF(I1663="A",6.1,IF(I1663="B",5.8,IF(I1663="C",5.5,IF(I1663="C.",5.5,IF(I1663="D",5.2)))))*$B$2</f>
        <v>4001.6</v>
      </c>
      <c r="K1667" s="1377">
        <f t="shared" si="194"/>
        <v>0</v>
      </c>
      <c r="L1667" s="1372"/>
    </row>
    <row r="1668" spans="1:12" s="31" customFormat="1" ht="17.25" customHeight="1">
      <c r="A1668" s="1375" t="s">
        <v>961</v>
      </c>
      <c r="B1668" s="1630" t="s">
        <v>1084</v>
      </c>
      <c r="C1668" s="1433">
        <f>VLOOKUP(B1662,'CNKT '!$C$101:$Z$254,13,0)</f>
        <v>0</v>
      </c>
      <c r="D1668" s="1380">
        <f>92.2*$B$2</f>
        <v>60483.200000000004</v>
      </c>
      <c r="E1668" s="1377">
        <f t="shared" si="193"/>
        <v>0</v>
      </c>
      <c r="F1668" s="1436"/>
      <c r="G1668" s="1375" t="s">
        <v>961</v>
      </c>
      <c r="H1668" s="1630" t="s">
        <v>1084</v>
      </c>
      <c r="I1668" s="1433">
        <f>VLOOKUP(H1662,'CNKT '!$C$101:$Z$254,13,0)</f>
        <v>0</v>
      </c>
      <c r="J1668" s="1380">
        <f>92.2*$B$2</f>
        <v>60483.200000000004</v>
      </c>
      <c r="K1668" s="1377">
        <f t="shared" si="194"/>
        <v>0</v>
      </c>
      <c r="L1668" s="1372"/>
    </row>
    <row r="1669" spans="1:12" s="31" customFormat="1" ht="17.25" customHeight="1">
      <c r="A1669" s="1375" t="s">
        <v>886</v>
      </c>
      <c r="B1669" s="1630" t="s">
        <v>964</v>
      </c>
      <c r="C1669" s="1433">
        <f>VLOOKUP(B1662,'CNKT '!$C$189:$Z$254,14,0)</f>
        <v>0</v>
      </c>
      <c r="D1669" s="1379">
        <f>153.6*$B$2</f>
        <v>100761.59999999999</v>
      </c>
      <c r="E1669" s="1377">
        <f t="shared" si="193"/>
        <v>0</v>
      </c>
      <c r="F1669" s="1436"/>
      <c r="G1669" s="1375" t="s">
        <v>886</v>
      </c>
      <c r="H1669" s="1630" t="s">
        <v>964</v>
      </c>
      <c r="I1669" s="1433">
        <f>VLOOKUP(H1662,'CNKT '!$C$189:$Z$254,14,0)</f>
        <v>0</v>
      </c>
      <c r="J1669" s="1379">
        <f>153.6*$B$2</f>
        <v>100761.59999999999</v>
      </c>
      <c r="K1669" s="1377">
        <f t="shared" si="194"/>
        <v>0</v>
      </c>
      <c r="L1669" s="1372"/>
    </row>
    <row r="1670" spans="1:12" s="31" customFormat="1" ht="17.25" customHeight="1">
      <c r="A1670" s="1375" t="s">
        <v>899</v>
      </c>
      <c r="B1670" s="1630" t="s">
        <v>965</v>
      </c>
      <c r="C1670" s="1433">
        <f>VLOOKUP(B1662,'CNKT '!$C$190:$Z$254,18,0)</f>
        <v>0</v>
      </c>
      <c r="D1670" s="1379">
        <v>10000</v>
      </c>
      <c r="E1670" s="1377">
        <f>C1670*D1670</f>
        <v>0</v>
      </c>
      <c r="F1670" s="1436"/>
      <c r="G1670" s="1375" t="s">
        <v>899</v>
      </c>
      <c r="H1670" s="1630" t="s">
        <v>965</v>
      </c>
      <c r="I1670" s="1433">
        <f>VLOOKUP(H1662,'CNKT '!$C$190:$Z$254,18,0)</f>
        <v>0</v>
      </c>
      <c r="J1670" s="1379">
        <v>10000</v>
      </c>
      <c r="K1670" s="1377">
        <f>I1670*J1670</f>
        <v>0</v>
      </c>
      <c r="L1670" s="1372"/>
    </row>
    <row r="1671" spans="1:12" s="31" customFormat="1" ht="17.25" customHeight="1">
      <c r="A1671" s="1375" t="s">
        <v>899</v>
      </c>
      <c r="B1671" s="1630" t="s">
        <v>965</v>
      </c>
      <c r="C1671" s="1433">
        <f>VLOOKUP(B1662,'CNKT '!$C$190:$Z$254,19,0)</f>
        <v>0</v>
      </c>
      <c r="D1671" s="1379">
        <v>20000</v>
      </c>
      <c r="E1671" s="1377">
        <f>C1671*D1671</f>
        <v>0</v>
      </c>
      <c r="F1671" s="1436"/>
      <c r="G1671" s="1375" t="s">
        <v>899</v>
      </c>
      <c r="H1671" s="1630" t="s">
        <v>965</v>
      </c>
      <c r="I1671" s="1433">
        <f>VLOOKUP(H1662,'CNKT '!$C$190:$Z$254,19,0)</f>
        <v>0</v>
      </c>
      <c r="J1671" s="1379">
        <v>20000</v>
      </c>
      <c r="K1671" s="1377">
        <f>I1671*J1671</f>
        <v>0</v>
      </c>
      <c r="L1671" s="1372"/>
    </row>
    <row r="1672" spans="1:12" s="31" customFormat="1" ht="17.25" customHeight="1">
      <c r="A1672" s="1375" t="s">
        <v>995</v>
      </c>
      <c r="B1672" s="1630" t="s">
        <v>997</v>
      </c>
      <c r="C1672" s="1433"/>
      <c r="D1672" s="1379"/>
      <c r="E1672" s="1377"/>
      <c r="F1672" s="1436"/>
      <c r="G1672" s="1375" t="s">
        <v>995</v>
      </c>
      <c r="H1672" s="1630" t="s">
        <v>997</v>
      </c>
      <c r="I1672" s="1433"/>
      <c r="J1672" s="1379"/>
      <c r="K1672" s="1377"/>
      <c r="L1672" s="1372"/>
    </row>
    <row r="1673" spans="1:12" s="31" customFormat="1" ht="17.25" customHeight="1">
      <c r="A1673" s="1381" t="s">
        <v>123</v>
      </c>
      <c r="B1673" s="1631" t="s">
        <v>1085</v>
      </c>
      <c r="C1673" s="1382"/>
      <c r="D1673" s="1383"/>
      <c r="E1673" s="1382"/>
      <c r="F1673" s="1436"/>
      <c r="G1673" s="1381" t="s">
        <v>123</v>
      </c>
      <c r="H1673" s="1631" t="s">
        <v>1085</v>
      </c>
      <c r="I1673" s="1382"/>
      <c r="J1673" s="1383"/>
      <c r="K1673" s="1382"/>
      <c r="L1673" s="1372"/>
    </row>
    <row r="1674" spans="1:12" s="31" customFormat="1" ht="17.25" customHeight="1">
      <c r="A1674" s="1384" t="s">
        <v>124</v>
      </c>
      <c r="B1674" s="1632" t="s">
        <v>1086</v>
      </c>
      <c r="C1674" s="1382"/>
      <c r="D1674" s="1382"/>
      <c r="E1674" s="1382"/>
      <c r="F1674" s="1436"/>
      <c r="G1674" s="1384" t="s">
        <v>124</v>
      </c>
      <c r="H1674" s="1632" t="s">
        <v>1086</v>
      </c>
      <c r="I1674" s="1382"/>
      <c r="J1674" s="1382"/>
      <c r="K1674" s="1382"/>
      <c r="L1674" s="1372"/>
    </row>
    <row r="1675" spans="1:12" s="31" customFormat="1" ht="17.25" customHeight="1">
      <c r="A1675" s="1384" t="s">
        <v>125</v>
      </c>
      <c r="B1675" s="1633" t="s">
        <v>1087</v>
      </c>
      <c r="C1675" s="1382"/>
      <c r="D1675" s="1382"/>
      <c r="E1675" s="1377">
        <f>SUM(E1674)</f>
        <v>0</v>
      </c>
      <c r="F1675" s="1423"/>
      <c r="G1675" s="1384" t="s">
        <v>125</v>
      </c>
      <c r="H1675" s="1633" t="s">
        <v>1087</v>
      </c>
      <c r="I1675" s="1382"/>
      <c r="J1675" s="1382"/>
      <c r="K1675" s="1377">
        <f>SUM(K1674)</f>
        <v>0</v>
      </c>
      <c r="L1675" s="1372"/>
    </row>
    <row r="1676" spans="1:12" s="31" customFormat="1" ht="17.25" customHeight="1">
      <c r="A1676" s="1386" t="s">
        <v>126</v>
      </c>
      <c r="B1676" s="1634" t="s">
        <v>871</v>
      </c>
      <c r="C1676" s="1387"/>
      <c r="D1676" s="1387"/>
      <c r="E1676" s="1387">
        <f>(E1664+E1665+E1666+E1667+E1668+E1669+E1670+E1671+E1672)-E1675</f>
        <v>0</v>
      </c>
      <c r="F1676" s="1423"/>
      <c r="G1676" s="1386" t="s">
        <v>126</v>
      </c>
      <c r="H1676" s="1634" t="s">
        <v>871</v>
      </c>
      <c r="I1676" s="1387"/>
      <c r="J1676" s="1387"/>
      <c r="K1676" s="1387">
        <f>(K1664+K1665+K1666+K1667+K1668+K1669+K1670+K1671+K1672)-K1675</f>
        <v>0</v>
      </c>
      <c r="L1676" s="1389">
        <f>E1676+K1676</f>
        <v>0</v>
      </c>
    </row>
    <row r="1677" spans="1:12" s="31" customFormat="1" ht="17.25" customHeight="1">
      <c r="A1677" s="1449"/>
      <c r="B1677" s="1449"/>
      <c r="C1677" s="1449"/>
      <c r="D1677" s="1449"/>
      <c r="E1677" s="1449"/>
      <c r="F1677" s="1449"/>
      <c r="G1677" s="1449"/>
      <c r="H1677" s="1449"/>
      <c r="I1677" s="1449"/>
      <c r="J1677" s="1449"/>
      <c r="K1677" s="1449"/>
      <c r="L1677" s="1372"/>
    </row>
    <row r="1678" spans="1:12" s="31" customFormat="1" ht="17.25" customHeight="1">
      <c r="A1678" s="1445" t="str">
        <f>A1661</f>
        <v>LƯƠNG THÁNG 01/2025</v>
      </c>
      <c r="B1678" s="1449"/>
      <c r="C1678" s="1449"/>
      <c r="D1678" s="1449"/>
      <c r="E1678" s="1458">
        <f>VLOOKUP(B1679,'CNKT '!$C$190:$AD$254,26,0)</f>
        <v>0</v>
      </c>
      <c r="F1678" s="1436"/>
      <c r="G1678" s="1445" t="str">
        <f>A1678</f>
        <v>LƯƠNG THÁNG 01/2025</v>
      </c>
      <c r="H1678" s="1449"/>
      <c r="I1678" s="1449"/>
      <c r="J1678" s="1452"/>
      <c r="K1678" s="1458">
        <f>VLOOKUP(H1679,'CNKT '!$C$190:$AD$254,26,0)</f>
        <v>0</v>
      </c>
      <c r="L1678" s="1372"/>
    </row>
    <row r="1679" spans="1:12" s="31" customFormat="1" ht="17.25" customHeight="1">
      <c r="A1679" s="1391" t="s">
        <v>29</v>
      </c>
      <c r="B1679" s="1626" t="str">
        <f>'CNKT '!C212</f>
        <v>N. Bun Đi</v>
      </c>
      <c r="C1679" s="1376"/>
      <c r="D1679" s="1626" t="s">
        <v>806</v>
      </c>
      <c r="E1679" s="1626" t="s">
        <v>32</v>
      </c>
      <c r="F1679" s="1436"/>
      <c r="G1679" s="1391" t="s">
        <v>29</v>
      </c>
      <c r="H1679" s="1626" t="str">
        <f>'CNKT '!C213</f>
        <v>N. Phon</v>
      </c>
      <c r="I1679" s="1376"/>
      <c r="J1679" s="1626" t="s">
        <v>806</v>
      </c>
      <c r="K1679" s="1626" t="s">
        <v>32</v>
      </c>
      <c r="L1679" s="1372"/>
    </row>
    <row r="1680" spans="1:12" s="31" customFormat="1" ht="17.25" customHeight="1">
      <c r="A1680" s="1375" t="s">
        <v>807</v>
      </c>
      <c r="B1680" s="1628" t="s">
        <v>1080</v>
      </c>
      <c r="C1680" s="1376" t="str">
        <f>VLOOKUP(B1679,'BTH mủ tạp'!$C$182:$AL$244,36,0)</f>
        <v>A</v>
      </c>
      <c r="D1680" s="1377"/>
      <c r="E1680" s="1377"/>
      <c r="F1680" s="1436"/>
      <c r="G1680" s="1375" t="s">
        <v>807</v>
      </c>
      <c r="H1680" s="1628" t="s">
        <v>1080</v>
      </c>
      <c r="I1680" s="1376" t="str">
        <f>VLOOKUP(H1679,'BTH mủ tạp'!$C$182:$AL$244,36,0)</f>
        <v>A</v>
      </c>
      <c r="J1680" s="1377"/>
      <c r="K1680" s="1377"/>
      <c r="L1680" s="1372"/>
    </row>
    <row r="1681" spans="1:12" s="31" customFormat="1" ht="17.25" customHeight="1">
      <c r="A1681" s="1375" t="s">
        <v>121</v>
      </c>
      <c r="B1681" s="1629" t="s">
        <v>865</v>
      </c>
      <c r="C1681" s="1378">
        <f>VLOOKUP(B1679,'CNKT '!$C$189:$Z$254,3,0)</f>
        <v>0</v>
      </c>
      <c r="D1681" s="1379">
        <v>25000</v>
      </c>
      <c r="E1681" s="1377">
        <f t="shared" ref="E1681:E1686" si="195">C1681*D1681</f>
        <v>0</v>
      </c>
      <c r="F1681" s="1436"/>
      <c r="G1681" s="1375" t="s">
        <v>121</v>
      </c>
      <c r="H1681" s="1629" t="s">
        <v>865</v>
      </c>
      <c r="I1681" s="1378">
        <f>VLOOKUP(H1679,'CNKT '!$C$189:$Z$254,3,0)</f>
        <v>0</v>
      </c>
      <c r="J1681" s="1379">
        <v>25000</v>
      </c>
      <c r="K1681" s="1377">
        <f t="shared" ref="K1681:K1686" si="196">I1681*J1681</f>
        <v>0</v>
      </c>
      <c r="L1681" s="1372"/>
    </row>
    <row r="1682" spans="1:12" s="31" customFormat="1" ht="17.25" customHeight="1">
      <c r="A1682" s="1375" t="s">
        <v>628</v>
      </c>
      <c r="B1682" s="1630" t="s">
        <v>1081</v>
      </c>
      <c r="C1682" s="1433">
        <f>VLOOKUP(B1679,'CNKT '!$C$189:$Z$254,11,0)</f>
        <v>0</v>
      </c>
      <c r="D1682" s="1380">
        <f>46.1*$B$2</f>
        <v>30241.600000000002</v>
      </c>
      <c r="E1682" s="1377">
        <f t="shared" si="195"/>
        <v>0</v>
      </c>
      <c r="F1682" s="1436"/>
      <c r="G1682" s="1375" t="s">
        <v>628</v>
      </c>
      <c r="H1682" s="1630" t="s">
        <v>1081</v>
      </c>
      <c r="I1682" s="1433">
        <f>VLOOKUP(H1679,'CNKT '!$C$189:$Z$254,11,0)</f>
        <v>0</v>
      </c>
      <c r="J1682" s="1380">
        <f>46.1*$B$2</f>
        <v>30241.600000000002</v>
      </c>
      <c r="K1682" s="1377">
        <f t="shared" si="196"/>
        <v>0</v>
      </c>
      <c r="L1682" s="1372"/>
    </row>
    <row r="1683" spans="1:12" s="31" customFormat="1" ht="17.25" customHeight="1">
      <c r="A1683" s="1375" t="s">
        <v>809</v>
      </c>
      <c r="B1683" s="1630" t="s">
        <v>1082</v>
      </c>
      <c r="C1683" s="1433">
        <f>VLOOKUP(B1679,'CNKT '!$C$189:$Z$254,12,0)</f>
        <v>0</v>
      </c>
      <c r="D1683" s="1379">
        <f>76.9*$B$2</f>
        <v>50446.400000000001</v>
      </c>
      <c r="E1683" s="1377">
        <f t="shared" si="195"/>
        <v>0</v>
      </c>
      <c r="F1683" s="1436"/>
      <c r="G1683" s="1375" t="s">
        <v>809</v>
      </c>
      <c r="H1683" s="1630" t="s">
        <v>1082</v>
      </c>
      <c r="I1683" s="1433">
        <f>VLOOKUP(H1679,'CNKT '!$C$189:$Z$254,12,0)</f>
        <v>0</v>
      </c>
      <c r="J1683" s="1379">
        <f>76.9*$B$2</f>
        <v>50446.400000000001</v>
      </c>
      <c r="K1683" s="1377">
        <f t="shared" si="196"/>
        <v>0</v>
      </c>
      <c r="L1683" s="1372"/>
    </row>
    <row r="1684" spans="1:12" s="31" customFormat="1" ht="17.25" customHeight="1">
      <c r="A1684" s="1375" t="s">
        <v>122</v>
      </c>
      <c r="B1684" s="1630" t="s">
        <v>1083</v>
      </c>
      <c r="C1684" s="1433">
        <f>VLOOKUP(B1679,'CNKT '!$C$189:$Z$254,8,0)</f>
        <v>0</v>
      </c>
      <c r="D1684" s="1379">
        <f>IF(C1680="A",6.1,IF(C1680="B",5.8,IF(C1680="C",5.5,IF(C1680="C.",5.5,IF(C1680="D",5.2)))))*$B$2</f>
        <v>4001.6</v>
      </c>
      <c r="E1684" s="1377">
        <f t="shared" si="195"/>
        <v>0</v>
      </c>
      <c r="F1684" s="1436"/>
      <c r="G1684" s="1375" t="s">
        <v>122</v>
      </c>
      <c r="H1684" s="1630" t="s">
        <v>1083</v>
      </c>
      <c r="I1684" s="1433">
        <f>VLOOKUP(H1679,'CNKT '!$C$189:$Z$254,8,0)</f>
        <v>0</v>
      </c>
      <c r="J1684" s="1379">
        <f>IF(I1680="A",6.1,IF(I1680="B",5.8,IF(I1680="C",5.5,IF(I1680="C.",5.5,IF(I1680="D",5.2)))))*$B$2</f>
        <v>4001.6</v>
      </c>
      <c r="K1684" s="1377">
        <f t="shared" si="196"/>
        <v>0</v>
      </c>
      <c r="L1684" s="1372"/>
    </row>
    <row r="1685" spans="1:12" s="31" customFormat="1" ht="17.25" customHeight="1">
      <c r="A1685" s="1375" t="s">
        <v>961</v>
      </c>
      <c r="B1685" s="1630" t="s">
        <v>1084</v>
      </c>
      <c r="C1685" s="1433">
        <f>VLOOKUP(B1679,'CNKT '!$C$101:$Z$254,13,0)</f>
        <v>0</v>
      </c>
      <c r="D1685" s="1380">
        <f>92.2*$B$2</f>
        <v>60483.200000000004</v>
      </c>
      <c r="E1685" s="1377">
        <f t="shared" si="195"/>
        <v>0</v>
      </c>
      <c r="F1685" s="1436"/>
      <c r="G1685" s="1375" t="s">
        <v>961</v>
      </c>
      <c r="H1685" s="1630" t="s">
        <v>1084</v>
      </c>
      <c r="I1685" s="1433">
        <f>VLOOKUP(H1679,'CNKT '!$C$101:$Z$254,13,0)</f>
        <v>0</v>
      </c>
      <c r="J1685" s="1380">
        <f>92.2*$B$2</f>
        <v>60483.200000000004</v>
      </c>
      <c r="K1685" s="1377">
        <f t="shared" si="196"/>
        <v>0</v>
      </c>
      <c r="L1685" s="1372"/>
    </row>
    <row r="1686" spans="1:12" s="31" customFormat="1" ht="17.25" customHeight="1">
      <c r="A1686" s="1375" t="s">
        <v>886</v>
      </c>
      <c r="B1686" s="1630" t="s">
        <v>964</v>
      </c>
      <c r="C1686" s="1433">
        <f>VLOOKUP(B1679,'CNKT '!$C$189:$Z$254,14,0)</f>
        <v>0</v>
      </c>
      <c r="D1686" s="1379">
        <f>153.6*$B$2</f>
        <v>100761.59999999999</v>
      </c>
      <c r="E1686" s="1377">
        <f t="shared" si="195"/>
        <v>0</v>
      </c>
      <c r="F1686" s="1436"/>
      <c r="G1686" s="1375" t="s">
        <v>886</v>
      </c>
      <c r="H1686" s="1630" t="s">
        <v>964</v>
      </c>
      <c r="I1686" s="1433">
        <f>VLOOKUP(H1679,'CNKT '!$C$189:$Z$254,14,0)</f>
        <v>0</v>
      </c>
      <c r="J1686" s="1379">
        <f>153.6*$B$2</f>
        <v>100761.59999999999</v>
      </c>
      <c r="K1686" s="1377">
        <f t="shared" si="196"/>
        <v>0</v>
      </c>
      <c r="L1686" s="1372"/>
    </row>
    <row r="1687" spans="1:12" s="31" customFormat="1" ht="17.25" customHeight="1">
      <c r="A1687" s="1375" t="s">
        <v>899</v>
      </c>
      <c r="B1687" s="1630" t="s">
        <v>965</v>
      </c>
      <c r="C1687" s="1433">
        <f>VLOOKUP(B1679,'CNKT '!$C$190:$Z$254,18,0)</f>
        <v>0</v>
      </c>
      <c r="D1687" s="1379">
        <v>10000</v>
      </c>
      <c r="E1687" s="1377">
        <f>C1687*D1687</f>
        <v>0</v>
      </c>
      <c r="F1687" s="1436"/>
      <c r="G1687" s="1375" t="s">
        <v>899</v>
      </c>
      <c r="H1687" s="1630" t="s">
        <v>965</v>
      </c>
      <c r="I1687" s="1433">
        <f>VLOOKUP(H1679,'CNKT '!$C$190:$Z$254,18,0)</f>
        <v>0</v>
      </c>
      <c r="J1687" s="1379">
        <v>10000</v>
      </c>
      <c r="K1687" s="1377">
        <f>I1687*J1687</f>
        <v>0</v>
      </c>
      <c r="L1687" s="1372"/>
    </row>
    <row r="1688" spans="1:12" s="31" customFormat="1" ht="17.25" customHeight="1">
      <c r="A1688" s="1375" t="s">
        <v>899</v>
      </c>
      <c r="B1688" s="1630" t="s">
        <v>965</v>
      </c>
      <c r="C1688" s="1433">
        <f>VLOOKUP(B1679,'CNKT '!$C$190:$Z$254,19,0)</f>
        <v>0</v>
      </c>
      <c r="D1688" s="1379">
        <v>20000</v>
      </c>
      <c r="E1688" s="1377">
        <f>C1688*D1688</f>
        <v>0</v>
      </c>
      <c r="F1688" s="1436"/>
      <c r="G1688" s="1375" t="s">
        <v>899</v>
      </c>
      <c r="H1688" s="1630" t="s">
        <v>965</v>
      </c>
      <c r="I1688" s="1433">
        <f>VLOOKUP(H1679,'CNKT '!$C$190:$Z$254,19,0)</f>
        <v>0</v>
      </c>
      <c r="J1688" s="1379">
        <v>20000</v>
      </c>
      <c r="K1688" s="1377">
        <f>I1688*J1688</f>
        <v>0</v>
      </c>
      <c r="L1688" s="1372"/>
    </row>
    <row r="1689" spans="1:12" s="31" customFormat="1" ht="17.25" customHeight="1">
      <c r="A1689" s="1375" t="s">
        <v>995</v>
      </c>
      <c r="B1689" s="1630" t="s">
        <v>997</v>
      </c>
      <c r="C1689" s="1433"/>
      <c r="D1689" s="1379"/>
      <c r="E1689" s="1377"/>
      <c r="F1689" s="1436"/>
      <c r="G1689" s="1375" t="s">
        <v>995</v>
      </c>
      <c r="H1689" s="1630" t="s">
        <v>997</v>
      </c>
      <c r="I1689" s="1433"/>
      <c r="J1689" s="1379"/>
      <c r="K1689" s="1377"/>
      <c r="L1689" s="1372"/>
    </row>
    <row r="1690" spans="1:12" s="31" customFormat="1" ht="17.25" customHeight="1">
      <c r="A1690" s="1381" t="s">
        <v>123</v>
      </c>
      <c r="B1690" s="1631" t="s">
        <v>1085</v>
      </c>
      <c r="C1690" s="1382"/>
      <c r="D1690" s="1383"/>
      <c r="E1690" s="1382"/>
      <c r="F1690" s="1436"/>
      <c r="G1690" s="1381" t="s">
        <v>123</v>
      </c>
      <c r="H1690" s="1631" t="s">
        <v>1085</v>
      </c>
      <c r="I1690" s="1382"/>
      <c r="J1690" s="1383"/>
      <c r="K1690" s="1382"/>
      <c r="L1690" s="1372"/>
    </row>
    <row r="1691" spans="1:12" s="31" customFormat="1" ht="17.25" customHeight="1">
      <c r="A1691" s="1384" t="s">
        <v>124</v>
      </c>
      <c r="B1691" s="1632" t="s">
        <v>1086</v>
      </c>
      <c r="C1691" s="1382"/>
      <c r="D1691" s="1382"/>
      <c r="E1691" s="1382"/>
      <c r="F1691" s="1436"/>
      <c r="G1691" s="1384" t="s">
        <v>124</v>
      </c>
      <c r="H1691" s="1632" t="s">
        <v>1086</v>
      </c>
      <c r="I1691" s="1382"/>
      <c r="J1691" s="1382"/>
      <c r="K1691" s="1382"/>
      <c r="L1691" s="1372"/>
    </row>
    <row r="1692" spans="1:12" s="31" customFormat="1" ht="17.25" customHeight="1">
      <c r="A1692" s="1384" t="s">
        <v>125</v>
      </c>
      <c r="B1692" s="1633" t="s">
        <v>1087</v>
      </c>
      <c r="C1692" s="1382"/>
      <c r="D1692" s="1382"/>
      <c r="E1692" s="1377">
        <f>SUM(E1691)</f>
        <v>0</v>
      </c>
      <c r="F1692" s="1432"/>
      <c r="G1692" s="1384" t="s">
        <v>125</v>
      </c>
      <c r="H1692" s="1633" t="s">
        <v>1087</v>
      </c>
      <c r="I1692" s="1382"/>
      <c r="J1692" s="1382"/>
      <c r="K1692" s="1377">
        <f>SUM(K1691)</f>
        <v>0</v>
      </c>
      <c r="L1692" s="1372"/>
    </row>
    <row r="1693" spans="1:12" s="31" customFormat="1" ht="17.25" customHeight="1">
      <c r="A1693" s="1386" t="s">
        <v>126</v>
      </c>
      <c r="B1693" s="1634" t="s">
        <v>871</v>
      </c>
      <c r="C1693" s="1387"/>
      <c r="D1693" s="1387"/>
      <c r="E1693" s="1387">
        <f>(E1681+E1682+E1683+E1684+E1685+E1686+E1687+E1688+E1689)-E1692</f>
        <v>0</v>
      </c>
      <c r="F1693" s="1432"/>
      <c r="G1693" s="1386" t="s">
        <v>126</v>
      </c>
      <c r="H1693" s="1634" t="s">
        <v>871</v>
      </c>
      <c r="I1693" s="1387"/>
      <c r="J1693" s="1387"/>
      <c r="K1693" s="1387">
        <f>(K1681+K1682+K1683+K1684+K1685+K1686+K1687+K1688+K1689)-K1692</f>
        <v>0</v>
      </c>
      <c r="L1693" s="1389">
        <f>E1693+K1693</f>
        <v>0</v>
      </c>
    </row>
    <row r="1694" spans="1:12" s="31" customFormat="1" ht="207" customHeight="1">
      <c r="A1694" s="1449"/>
      <c r="B1694" s="1449"/>
      <c r="C1694" s="1449"/>
      <c r="D1694" s="1449"/>
      <c r="E1694" s="1449"/>
      <c r="F1694" s="1449"/>
      <c r="G1694" s="1449"/>
      <c r="H1694" s="1449"/>
      <c r="I1694" s="1449"/>
      <c r="J1694" s="1449"/>
      <c r="K1694" s="1449"/>
      <c r="L1694" s="1372"/>
    </row>
    <row r="1695" spans="1:12" s="31" customFormat="1" ht="17.25" customHeight="1">
      <c r="A1695" s="1445" t="str">
        <f>A1678</f>
        <v>LƯƠNG THÁNG 01/2025</v>
      </c>
      <c r="B1695" s="1449"/>
      <c r="C1695" s="1449"/>
      <c r="D1695" s="1449"/>
      <c r="E1695" s="1458">
        <f>VLOOKUP(B1696,'CNKT '!$C$190:$AD$254,26,0)</f>
        <v>0</v>
      </c>
      <c r="F1695" s="1436"/>
      <c r="G1695" s="1445" t="str">
        <f>A1695</f>
        <v>LƯƠNG THÁNG 01/2025</v>
      </c>
      <c r="H1695" s="1449"/>
      <c r="I1695" s="1449"/>
      <c r="J1695" s="1452"/>
      <c r="K1695" s="1458">
        <f>VLOOKUP(H1696,'CNKT '!$C$190:$AD$254,26,0)</f>
        <v>0</v>
      </c>
      <c r="L1695" s="1372"/>
    </row>
    <row r="1696" spans="1:12" s="31" customFormat="1" ht="17.25" customHeight="1">
      <c r="A1696" s="1391" t="s">
        <v>29</v>
      </c>
      <c r="B1696" s="1626" t="str">
        <f>'CNKT '!C214</f>
        <v>T. Cỏ</v>
      </c>
      <c r="C1696" s="1376"/>
      <c r="D1696" s="1626" t="s">
        <v>806</v>
      </c>
      <c r="E1696" s="1626" t="s">
        <v>32</v>
      </c>
      <c r="F1696" s="1436"/>
      <c r="G1696" s="1391" t="s">
        <v>29</v>
      </c>
      <c r="H1696" s="1626" t="str">
        <f>'CNKT '!C215</f>
        <v>N. Phu Văn</v>
      </c>
      <c r="I1696" s="1376"/>
      <c r="J1696" s="1626" t="s">
        <v>806</v>
      </c>
      <c r="K1696" s="1626" t="s">
        <v>32</v>
      </c>
      <c r="L1696" s="1372"/>
    </row>
    <row r="1697" spans="1:12" s="31" customFormat="1" ht="17.25" customHeight="1">
      <c r="A1697" s="1375" t="s">
        <v>807</v>
      </c>
      <c r="B1697" s="1628" t="s">
        <v>1080</v>
      </c>
      <c r="C1697" s="1376" t="str">
        <f>VLOOKUP(B1696,'BTH mủ tạp'!$C$182:$AL$244,36,0)</f>
        <v>A</v>
      </c>
      <c r="D1697" s="1377"/>
      <c r="E1697" s="1377"/>
      <c r="F1697" s="1436"/>
      <c r="G1697" s="1375" t="s">
        <v>807</v>
      </c>
      <c r="H1697" s="1628" t="s">
        <v>1080</v>
      </c>
      <c r="I1697" s="1376" t="str">
        <f>VLOOKUP(H1696,'BTH mủ tạp'!$C$182:$AL$244,36,0)</f>
        <v>A</v>
      </c>
      <c r="J1697" s="1377"/>
      <c r="K1697" s="1377"/>
      <c r="L1697" s="1372"/>
    </row>
    <row r="1698" spans="1:12" s="31" customFormat="1" ht="17.25" customHeight="1">
      <c r="A1698" s="1375" t="s">
        <v>121</v>
      </c>
      <c r="B1698" s="1629" t="s">
        <v>865</v>
      </c>
      <c r="C1698" s="1378">
        <f>VLOOKUP(B1696,'CNKT '!$C$189:$Z$254,3,0)</f>
        <v>0</v>
      </c>
      <c r="D1698" s="1379">
        <v>25000</v>
      </c>
      <c r="E1698" s="1377">
        <f t="shared" ref="E1698:E1703" si="197">C1698*D1698</f>
        <v>0</v>
      </c>
      <c r="F1698" s="1436"/>
      <c r="G1698" s="1375" t="s">
        <v>121</v>
      </c>
      <c r="H1698" s="1629" t="s">
        <v>865</v>
      </c>
      <c r="I1698" s="1378">
        <f>VLOOKUP(H1696,'CNKT '!$C$189:$Z$254,3,0)</f>
        <v>0</v>
      </c>
      <c r="J1698" s="1379">
        <v>25000</v>
      </c>
      <c r="K1698" s="1377">
        <f t="shared" ref="K1698:K1703" si="198">I1698*J1698</f>
        <v>0</v>
      </c>
      <c r="L1698" s="1372"/>
    </row>
    <row r="1699" spans="1:12" s="31" customFormat="1" ht="17.25" customHeight="1">
      <c r="A1699" s="1375" t="s">
        <v>628</v>
      </c>
      <c r="B1699" s="1630" t="s">
        <v>1081</v>
      </c>
      <c r="C1699" s="1433">
        <f>VLOOKUP(B1696,'CNKT '!$C$189:$Z$254,11,0)</f>
        <v>0</v>
      </c>
      <c r="D1699" s="1380">
        <f>46.1*$B$2</f>
        <v>30241.600000000002</v>
      </c>
      <c r="E1699" s="1377">
        <f t="shared" si="197"/>
        <v>0</v>
      </c>
      <c r="F1699" s="1436"/>
      <c r="G1699" s="1375" t="s">
        <v>628</v>
      </c>
      <c r="H1699" s="1630" t="s">
        <v>1081</v>
      </c>
      <c r="I1699" s="1433">
        <f>VLOOKUP(H1696,'CNKT '!$C$189:$Z$254,11,0)</f>
        <v>0</v>
      </c>
      <c r="J1699" s="1380">
        <f>46.1*$B$2</f>
        <v>30241.600000000002</v>
      </c>
      <c r="K1699" s="1377">
        <f t="shared" si="198"/>
        <v>0</v>
      </c>
      <c r="L1699" s="1372"/>
    </row>
    <row r="1700" spans="1:12" s="31" customFormat="1" ht="17.25" customHeight="1">
      <c r="A1700" s="1375" t="s">
        <v>809</v>
      </c>
      <c r="B1700" s="1630" t="s">
        <v>1082</v>
      </c>
      <c r="C1700" s="1433">
        <f>VLOOKUP(B1696,'CNKT '!$C$189:$Z$254,12,0)</f>
        <v>0</v>
      </c>
      <c r="D1700" s="1379">
        <f>76.9*$B$2</f>
        <v>50446.400000000001</v>
      </c>
      <c r="E1700" s="1377">
        <f t="shared" si="197"/>
        <v>0</v>
      </c>
      <c r="F1700" s="1436"/>
      <c r="G1700" s="1375" t="s">
        <v>809</v>
      </c>
      <c r="H1700" s="1630" t="s">
        <v>1082</v>
      </c>
      <c r="I1700" s="1433">
        <f>VLOOKUP(H1696,'CNKT '!$C$189:$Z$254,12,0)</f>
        <v>0</v>
      </c>
      <c r="J1700" s="1379">
        <f>76.9*$B$2</f>
        <v>50446.400000000001</v>
      </c>
      <c r="K1700" s="1377">
        <f t="shared" si="198"/>
        <v>0</v>
      </c>
      <c r="L1700" s="1372"/>
    </row>
    <row r="1701" spans="1:12" s="31" customFormat="1" ht="17.25" customHeight="1">
      <c r="A1701" s="1375" t="s">
        <v>122</v>
      </c>
      <c r="B1701" s="1630" t="s">
        <v>1083</v>
      </c>
      <c r="C1701" s="1433">
        <f>VLOOKUP(B1696,'CNKT '!$C$189:$Z$254,8,0)</f>
        <v>0</v>
      </c>
      <c r="D1701" s="1379">
        <f>IF(C1697="A",6.1,IF(C1697="B",5.8,IF(C1697="C",5.5,IF(C1697="C.",5.5,IF(C1697="D",5.2)))))*$B$2</f>
        <v>4001.6</v>
      </c>
      <c r="E1701" s="1377">
        <f t="shared" si="197"/>
        <v>0</v>
      </c>
      <c r="F1701" s="1436"/>
      <c r="G1701" s="1375" t="s">
        <v>122</v>
      </c>
      <c r="H1701" s="1630" t="s">
        <v>1083</v>
      </c>
      <c r="I1701" s="1433">
        <f>VLOOKUP(H1696,'CNKT '!$C$189:$Z$254,8,0)</f>
        <v>0</v>
      </c>
      <c r="J1701" s="1379">
        <f>IF(I1697="A",6.1,IF(I1697="B",5.8,IF(I1697="C",5.5,IF(I1697="C.",5.5,IF(I1697="D",5.2)))))*$B$2</f>
        <v>4001.6</v>
      </c>
      <c r="K1701" s="1377">
        <f t="shared" si="198"/>
        <v>0</v>
      </c>
      <c r="L1701" s="1372"/>
    </row>
    <row r="1702" spans="1:12" s="31" customFormat="1" ht="17.25" customHeight="1">
      <c r="A1702" s="1375" t="s">
        <v>961</v>
      </c>
      <c r="B1702" s="1630" t="s">
        <v>1084</v>
      </c>
      <c r="C1702" s="1433">
        <f>VLOOKUP(B1696,'CNKT '!$C$101:$Z$254,13,0)</f>
        <v>0</v>
      </c>
      <c r="D1702" s="1380">
        <f>92.2*$B$2</f>
        <v>60483.200000000004</v>
      </c>
      <c r="E1702" s="1377">
        <f t="shared" si="197"/>
        <v>0</v>
      </c>
      <c r="F1702" s="1436"/>
      <c r="G1702" s="1375" t="s">
        <v>961</v>
      </c>
      <c r="H1702" s="1630" t="s">
        <v>1084</v>
      </c>
      <c r="I1702" s="1433">
        <f>VLOOKUP(H1696,'CNKT '!$C$101:$Z$254,13,0)</f>
        <v>0</v>
      </c>
      <c r="J1702" s="1380">
        <f>92.2*$B$2</f>
        <v>60483.200000000004</v>
      </c>
      <c r="K1702" s="1377">
        <f t="shared" si="198"/>
        <v>0</v>
      </c>
      <c r="L1702" s="1372"/>
    </row>
    <row r="1703" spans="1:12" s="31" customFormat="1" ht="17.25" customHeight="1">
      <c r="A1703" s="1375" t="s">
        <v>886</v>
      </c>
      <c r="B1703" s="1630" t="s">
        <v>964</v>
      </c>
      <c r="C1703" s="1433">
        <f>VLOOKUP(B1696,'CNKT '!$C$189:$Z$254,14,0)</f>
        <v>0</v>
      </c>
      <c r="D1703" s="1379">
        <f>153.6*$B$2</f>
        <v>100761.59999999999</v>
      </c>
      <c r="E1703" s="1377">
        <f t="shared" si="197"/>
        <v>0</v>
      </c>
      <c r="F1703" s="1436"/>
      <c r="G1703" s="1375" t="s">
        <v>886</v>
      </c>
      <c r="H1703" s="1630" t="s">
        <v>964</v>
      </c>
      <c r="I1703" s="1433">
        <f>VLOOKUP(H1696,'CNKT '!$C$189:$Z$254,14,0)</f>
        <v>0</v>
      </c>
      <c r="J1703" s="1379">
        <f>153.6*$B$2</f>
        <v>100761.59999999999</v>
      </c>
      <c r="K1703" s="1377">
        <f t="shared" si="198"/>
        <v>0</v>
      </c>
      <c r="L1703" s="1372"/>
    </row>
    <row r="1704" spans="1:12" s="31" customFormat="1" ht="17.25" customHeight="1">
      <c r="A1704" s="1375" t="s">
        <v>899</v>
      </c>
      <c r="B1704" s="1630" t="s">
        <v>965</v>
      </c>
      <c r="C1704" s="1433">
        <f>VLOOKUP(B1696,'CNKT '!$C$190:$Z$254,18,0)</f>
        <v>0</v>
      </c>
      <c r="D1704" s="1379">
        <v>10000</v>
      </c>
      <c r="E1704" s="1377">
        <f>C1704*D1704</f>
        <v>0</v>
      </c>
      <c r="F1704" s="1436"/>
      <c r="G1704" s="1375" t="s">
        <v>899</v>
      </c>
      <c r="H1704" s="1630" t="s">
        <v>965</v>
      </c>
      <c r="I1704" s="1433">
        <f>VLOOKUP(H1696,'CNKT '!$C$190:$Z$254,18,0)</f>
        <v>0</v>
      </c>
      <c r="J1704" s="1379">
        <v>10000</v>
      </c>
      <c r="K1704" s="1377">
        <f>I1704*J1704</f>
        <v>0</v>
      </c>
      <c r="L1704" s="1372"/>
    </row>
    <row r="1705" spans="1:12" s="31" customFormat="1" ht="17.25" customHeight="1">
      <c r="A1705" s="1375" t="s">
        <v>899</v>
      </c>
      <c r="B1705" s="1630" t="s">
        <v>965</v>
      </c>
      <c r="C1705" s="1433">
        <f>VLOOKUP(B1696,'CNKT '!$C$190:$Z$254,19,0)</f>
        <v>0</v>
      </c>
      <c r="D1705" s="1379">
        <v>20000</v>
      </c>
      <c r="E1705" s="1377">
        <f>C1705*D1705</f>
        <v>0</v>
      </c>
      <c r="F1705" s="1436"/>
      <c r="G1705" s="1375" t="s">
        <v>899</v>
      </c>
      <c r="H1705" s="1630" t="s">
        <v>965</v>
      </c>
      <c r="I1705" s="1433">
        <f>VLOOKUP(H1696,'CNKT '!$C$190:$Z$254,19,0)</f>
        <v>0</v>
      </c>
      <c r="J1705" s="1379">
        <v>20000</v>
      </c>
      <c r="K1705" s="1377">
        <f>I1705*J1705</f>
        <v>0</v>
      </c>
      <c r="L1705" s="1372"/>
    </row>
    <row r="1706" spans="1:12" s="31" customFormat="1" ht="17.25" customHeight="1">
      <c r="A1706" s="1375" t="s">
        <v>995</v>
      </c>
      <c r="B1706" s="1630" t="s">
        <v>997</v>
      </c>
      <c r="C1706" s="1433"/>
      <c r="D1706" s="1379"/>
      <c r="E1706" s="1377"/>
      <c r="F1706" s="1436"/>
      <c r="G1706" s="1375" t="s">
        <v>995</v>
      </c>
      <c r="H1706" s="1630" t="s">
        <v>997</v>
      </c>
      <c r="I1706" s="1433"/>
      <c r="J1706" s="1379"/>
      <c r="K1706" s="1377"/>
      <c r="L1706" s="1372"/>
    </row>
    <row r="1707" spans="1:12" s="31" customFormat="1" ht="17.25" customHeight="1">
      <c r="A1707" s="1381" t="s">
        <v>123</v>
      </c>
      <c r="B1707" s="1631" t="s">
        <v>1085</v>
      </c>
      <c r="C1707" s="1382"/>
      <c r="D1707" s="1383"/>
      <c r="E1707" s="1382"/>
      <c r="F1707" s="1436"/>
      <c r="G1707" s="1381" t="s">
        <v>123</v>
      </c>
      <c r="H1707" s="1631" t="s">
        <v>1085</v>
      </c>
      <c r="I1707" s="1382"/>
      <c r="J1707" s="1383"/>
      <c r="K1707" s="1382"/>
      <c r="L1707" s="1372"/>
    </row>
    <row r="1708" spans="1:12" s="31" customFormat="1" ht="17.25" customHeight="1">
      <c r="A1708" s="1384" t="s">
        <v>124</v>
      </c>
      <c r="B1708" s="1632" t="s">
        <v>1086</v>
      </c>
      <c r="C1708" s="1382"/>
      <c r="D1708" s="1382"/>
      <c r="E1708" s="1382"/>
      <c r="F1708" s="1436"/>
      <c r="G1708" s="1384" t="s">
        <v>124</v>
      </c>
      <c r="H1708" s="1632" t="s">
        <v>1086</v>
      </c>
      <c r="I1708" s="1382"/>
      <c r="J1708" s="1382"/>
      <c r="K1708" s="1382"/>
      <c r="L1708" s="1372"/>
    </row>
    <row r="1709" spans="1:12" s="31" customFormat="1" ht="17.25" customHeight="1">
      <c r="A1709" s="1384" t="s">
        <v>125</v>
      </c>
      <c r="B1709" s="1633" t="s">
        <v>1087</v>
      </c>
      <c r="C1709" s="1382"/>
      <c r="D1709" s="1382"/>
      <c r="E1709" s="1377">
        <f>SUM(E1708)</f>
        <v>0</v>
      </c>
      <c r="F1709" s="1423"/>
      <c r="G1709" s="1384" t="s">
        <v>125</v>
      </c>
      <c r="H1709" s="1633" t="s">
        <v>1087</v>
      </c>
      <c r="I1709" s="1382"/>
      <c r="J1709" s="1382"/>
      <c r="K1709" s="1377">
        <f>SUM(K1708)</f>
        <v>0</v>
      </c>
      <c r="L1709" s="1372"/>
    </row>
    <row r="1710" spans="1:12" s="31" customFormat="1" ht="17.25" customHeight="1">
      <c r="A1710" s="1386" t="s">
        <v>126</v>
      </c>
      <c r="B1710" s="1634" t="s">
        <v>871</v>
      </c>
      <c r="C1710" s="1387"/>
      <c r="D1710" s="1387"/>
      <c r="E1710" s="1387">
        <f>(E1698+E1699+E1700+E1701+E1702+E1703+E1704+E1705+E1706)-E1709</f>
        <v>0</v>
      </c>
      <c r="F1710" s="1423"/>
      <c r="G1710" s="1386" t="s">
        <v>126</v>
      </c>
      <c r="H1710" s="1634" t="s">
        <v>871</v>
      </c>
      <c r="I1710" s="1387"/>
      <c r="J1710" s="1387"/>
      <c r="K1710" s="1387">
        <f>(K1698+K1699+K1700+K1701+K1702+K1703+K1704+K1705+K1706)-K1709</f>
        <v>0</v>
      </c>
      <c r="L1710" s="1389">
        <f>E1710+K1710</f>
        <v>0</v>
      </c>
    </row>
    <row r="1711" spans="1:12" s="31" customFormat="1" ht="17.25" customHeight="1">
      <c r="A1711" s="1449"/>
      <c r="B1711" s="1449"/>
      <c r="C1711" s="1449"/>
      <c r="D1711" s="1449"/>
      <c r="E1711" s="1449"/>
      <c r="F1711" s="1449"/>
      <c r="G1711" s="1449"/>
      <c r="H1711" s="1449"/>
      <c r="I1711" s="1449"/>
      <c r="J1711" s="1449"/>
      <c r="K1711" s="1449"/>
      <c r="L1711" s="1372"/>
    </row>
    <row r="1712" spans="1:12" s="31" customFormat="1" ht="17.25" customHeight="1">
      <c r="A1712" s="1445" t="str">
        <f>A1695</f>
        <v>LƯƠNG THÁNG 01/2025</v>
      </c>
      <c r="B1712" s="1449"/>
      <c r="C1712" s="1449"/>
      <c r="D1712" s="1449"/>
      <c r="E1712" s="1458">
        <f>VLOOKUP(B1713,'CNKT '!$C$190:$AD$254,26,0)</f>
        <v>0</v>
      </c>
      <c r="F1712" s="1436"/>
      <c r="G1712" s="1445" t="str">
        <f>A1712</f>
        <v>LƯƠNG THÁNG 01/2025</v>
      </c>
      <c r="H1712" s="1449"/>
      <c r="I1712" s="1449"/>
      <c r="J1712" s="1452"/>
      <c r="K1712" s="1458">
        <f>VLOOKUP(H1713,'CNKT '!$C$190:$AD$254,26,0)</f>
        <v>0</v>
      </c>
      <c r="L1712" s="1372"/>
    </row>
    <row r="1713" spans="1:12" s="31" customFormat="1" ht="17.25" customHeight="1">
      <c r="A1713" s="1391" t="s">
        <v>29</v>
      </c>
      <c r="B1713" s="1626" t="str">
        <f>'CNKT '!C216</f>
        <v>N. Lỷ</v>
      </c>
      <c r="C1713" s="1376"/>
      <c r="D1713" s="1626" t="s">
        <v>806</v>
      </c>
      <c r="E1713" s="1626" t="s">
        <v>32</v>
      </c>
      <c r="F1713" s="1436"/>
      <c r="G1713" s="1391" t="s">
        <v>29</v>
      </c>
      <c r="H1713" s="1626" t="str">
        <f>'CNKT '!C217</f>
        <v>T. Vy</v>
      </c>
      <c r="I1713" s="1376"/>
      <c r="J1713" s="1626" t="s">
        <v>806</v>
      </c>
      <c r="K1713" s="1626" t="s">
        <v>32</v>
      </c>
      <c r="L1713" s="1372"/>
    </row>
    <row r="1714" spans="1:12" s="31" customFormat="1" ht="17.25" customHeight="1">
      <c r="A1714" s="1375" t="s">
        <v>807</v>
      </c>
      <c r="B1714" s="1628" t="s">
        <v>1080</v>
      </c>
      <c r="C1714" s="1376" t="str">
        <f>VLOOKUP(B1713,'BTH mủ tạp'!$C$182:$AL$244,36,0)</f>
        <v>A</v>
      </c>
      <c r="D1714" s="1377"/>
      <c r="E1714" s="1377"/>
      <c r="F1714" s="1436"/>
      <c r="G1714" s="1375" t="s">
        <v>807</v>
      </c>
      <c r="H1714" s="1628" t="s">
        <v>1080</v>
      </c>
      <c r="I1714" s="1376" t="str">
        <f>VLOOKUP(H1713,'BTH mủ tạp'!$C$182:$AL$244,36,0)</f>
        <v>A</v>
      </c>
      <c r="J1714" s="1377"/>
      <c r="K1714" s="1377"/>
      <c r="L1714" s="1372"/>
    </row>
    <row r="1715" spans="1:12" s="31" customFormat="1" ht="17.25" customHeight="1">
      <c r="A1715" s="1375" t="s">
        <v>121</v>
      </c>
      <c r="B1715" s="1629" t="s">
        <v>865</v>
      </c>
      <c r="C1715" s="1378">
        <f>VLOOKUP(B1713,'CNKT '!$C$189:$Z$254,3,0)</f>
        <v>0</v>
      </c>
      <c r="D1715" s="1379">
        <v>25000</v>
      </c>
      <c r="E1715" s="1377">
        <f t="shared" ref="E1715:E1720" si="199">C1715*D1715</f>
        <v>0</v>
      </c>
      <c r="F1715" s="1436"/>
      <c r="G1715" s="1375" t="s">
        <v>121</v>
      </c>
      <c r="H1715" s="1629" t="s">
        <v>865</v>
      </c>
      <c r="I1715" s="1378">
        <f>VLOOKUP(H1713,'CNKT '!$C$189:$Z$254,3,0)</f>
        <v>0</v>
      </c>
      <c r="J1715" s="1379">
        <v>25000</v>
      </c>
      <c r="K1715" s="1377">
        <f t="shared" ref="K1715:K1720" si="200">I1715*J1715</f>
        <v>0</v>
      </c>
      <c r="L1715" s="1372"/>
    </row>
    <row r="1716" spans="1:12" s="31" customFormat="1" ht="17.25" customHeight="1">
      <c r="A1716" s="1375" t="s">
        <v>628</v>
      </c>
      <c r="B1716" s="1630" t="s">
        <v>1081</v>
      </c>
      <c r="C1716" s="1433">
        <f>VLOOKUP(B1713,'CNKT '!$C$189:$Z$254,11,0)</f>
        <v>0</v>
      </c>
      <c r="D1716" s="1380">
        <f>46.1*$B$2</f>
        <v>30241.600000000002</v>
      </c>
      <c r="E1716" s="1377">
        <f t="shared" si="199"/>
        <v>0</v>
      </c>
      <c r="F1716" s="1436"/>
      <c r="G1716" s="1375" t="s">
        <v>628</v>
      </c>
      <c r="H1716" s="1630" t="s">
        <v>1081</v>
      </c>
      <c r="I1716" s="1433">
        <f>VLOOKUP(H1713,'CNKT '!$C$189:$Z$254,11,0)</f>
        <v>0</v>
      </c>
      <c r="J1716" s="1380">
        <f>46.1*$B$2</f>
        <v>30241.600000000002</v>
      </c>
      <c r="K1716" s="1377">
        <f t="shared" si="200"/>
        <v>0</v>
      </c>
      <c r="L1716" s="1372"/>
    </row>
    <row r="1717" spans="1:12" s="31" customFormat="1" ht="17.25" customHeight="1">
      <c r="A1717" s="1375" t="s">
        <v>809</v>
      </c>
      <c r="B1717" s="1630" t="s">
        <v>1082</v>
      </c>
      <c r="C1717" s="1433">
        <f>VLOOKUP(B1713,'CNKT '!$C$189:$Z$254,12,0)</f>
        <v>0</v>
      </c>
      <c r="D1717" s="1379">
        <f>76.9*$B$2</f>
        <v>50446.400000000001</v>
      </c>
      <c r="E1717" s="1377">
        <f t="shared" si="199"/>
        <v>0</v>
      </c>
      <c r="F1717" s="1436"/>
      <c r="G1717" s="1375" t="s">
        <v>809</v>
      </c>
      <c r="H1717" s="1630" t="s">
        <v>1082</v>
      </c>
      <c r="I1717" s="1433">
        <f>VLOOKUP(H1713,'CNKT '!$C$189:$Z$254,12,0)</f>
        <v>0</v>
      </c>
      <c r="J1717" s="1379">
        <f>76.9*$B$2</f>
        <v>50446.400000000001</v>
      </c>
      <c r="K1717" s="1377">
        <f t="shared" si="200"/>
        <v>0</v>
      </c>
      <c r="L1717" s="1372"/>
    </row>
    <row r="1718" spans="1:12" s="31" customFormat="1" ht="17.25" customHeight="1">
      <c r="A1718" s="1375" t="s">
        <v>122</v>
      </c>
      <c r="B1718" s="1630" t="s">
        <v>1083</v>
      </c>
      <c r="C1718" s="1433">
        <f>VLOOKUP(B1713,'CNKT '!$C$189:$Z$254,8,0)</f>
        <v>0</v>
      </c>
      <c r="D1718" s="1379">
        <f>IF(C1714="A",6.1,IF(C1714="B",5.8,IF(C1714="C",5.5,IF(C1714="C.",5.5,IF(C1714="D",5.2)))))*$B$2</f>
        <v>4001.6</v>
      </c>
      <c r="E1718" s="1377">
        <f t="shared" si="199"/>
        <v>0</v>
      </c>
      <c r="F1718" s="1436"/>
      <c r="G1718" s="1375" t="s">
        <v>122</v>
      </c>
      <c r="H1718" s="1630" t="s">
        <v>1083</v>
      </c>
      <c r="I1718" s="1433">
        <f>VLOOKUP(H1713,'CNKT '!$C$189:$Z$254,8,0)</f>
        <v>0</v>
      </c>
      <c r="J1718" s="1379">
        <f>IF(I1714="A",6.1,IF(I1714="B",5.8,IF(I1714="C",5.5,IF(I1714="C.",5.5,IF(I1714="D",5.2)))))*$B$2</f>
        <v>4001.6</v>
      </c>
      <c r="K1718" s="1377">
        <f t="shared" si="200"/>
        <v>0</v>
      </c>
      <c r="L1718" s="1372"/>
    </row>
    <row r="1719" spans="1:12" s="31" customFormat="1" ht="17.25" customHeight="1">
      <c r="A1719" s="1375" t="s">
        <v>961</v>
      </c>
      <c r="B1719" s="1630" t="s">
        <v>1084</v>
      </c>
      <c r="C1719" s="1433">
        <f>VLOOKUP(B1713,'CNKT '!$C$101:$Z$254,13,0)</f>
        <v>0</v>
      </c>
      <c r="D1719" s="1380">
        <f>92.2*$B$2</f>
        <v>60483.200000000004</v>
      </c>
      <c r="E1719" s="1377">
        <f t="shared" si="199"/>
        <v>0</v>
      </c>
      <c r="F1719" s="1436"/>
      <c r="G1719" s="1375" t="s">
        <v>961</v>
      </c>
      <c r="H1719" s="1630" t="s">
        <v>1084</v>
      </c>
      <c r="I1719" s="1433">
        <f>VLOOKUP(H1713,'CNKT '!$C$101:$Z$254,13,0)</f>
        <v>0</v>
      </c>
      <c r="J1719" s="1380">
        <f>92.2*$B$2</f>
        <v>60483.200000000004</v>
      </c>
      <c r="K1719" s="1377">
        <f t="shared" si="200"/>
        <v>0</v>
      </c>
      <c r="L1719" s="1372"/>
    </row>
    <row r="1720" spans="1:12" s="31" customFormat="1" ht="17.25" customHeight="1">
      <c r="A1720" s="1375" t="s">
        <v>886</v>
      </c>
      <c r="B1720" s="1630" t="s">
        <v>964</v>
      </c>
      <c r="C1720" s="1433">
        <f>VLOOKUP(B1713,'CNKT '!$C$189:$Z$254,14,0)</f>
        <v>0</v>
      </c>
      <c r="D1720" s="1379">
        <f>153.6*$B$2</f>
        <v>100761.59999999999</v>
      </c>
      <c r="E1720" s="1377">
        <f t="shared" si="199"/>
        <v>0</v>
      </c>
      <c r="F1720" s="1436"/>
      <c r="G1720" s="1375" t="s">
        <v>886</v>
      </c>
      <c r="H1720" s="1630" t="s">
        <v>964</v>
      </c>
      <c r="I1720" s="1433">
        <f>VLOOKUP(H1713,'CNKT '!$C$189:$Z$254,14,0)</f>
        <v>0</v>
      </c>
      <c r="J1720" s="1379">
        <f>153.6*$B$2</f>
        <v>100761.59999999999</v>
      </c>
      <c r="K1720" s="1377">
        <f t="shared" si="200"/>
        <v>0</v>
      </c>
      <c r="L1720" s="1372"/>
    </row>
    <row r="1721" spans="1:12" s="31" customFormat="1" ht="17.25" customHeight="1">
      <c r="A1721" s="1375" t="s">
        <v>899</v>
      </c>
      <c r="B1721" s="1630" t="s">
        <v>965</v>
      </c>
      <c r="C1721" s="1433">
        <f>VLOOKUP(B1713,'CNKT '!$C$190:$Z$254,18,0)</f>
        <v>0</v>
      </c>
      <c r="D1721" s="1379">
        <v>10000</v>
      </c>
      <c r="E1721" s="1377">
        <f>C1721*D1721</f>
        <v>0</v>
      </c>
      <c r="F1721" s="1436"/>
      <c r="G1721" s="1375" t="s">
        <v>899</v>
      </c>
      <c r="H1721" s="1630" t="s">
        <v>965</v>
      </c>
      <c r="I1721" s="1433">
        <f>VLOOKUP(H1713,'CNKT '!$C$190:$Z$254,18,0)</f>
        <v>0</v>
      </c>
      <c r="J1721" s="1379">
        <v>10000</v>
      </c>
      <c r="K1721" s="1377">
        <f>I1721*J1721</f>
        <v>0</v>
      </c>
      <c r="L1721" s="1372"/>
    </row>
    <row r="1722" spans="1:12" s="31" customFormat="1" ht="17.25" customHeight="1">
      <c r="A1722" s="1375" t="s">
        <v>899</v>
      </c>
      <c r="B1722" s="1630" t="s">
        <v>965</v>
      </c>
      <c r="C1722" s="1433">
        <f>VLOOKUP(B1713,'CNKT '!$C$190:$Z$254,19,0)</f>
        <v>0</v>
      </c>
      <c r="D1722" s="1379">
        <v>20000</v>
      </c>
      <c r="E1722" s="1377">
        <f>C1722*D1722</f>
        <v>0</v>
      </c>
      <c r="F1722" s="1436"/>
      <c r="G1722" s="1375" t="s">
        <v>899</v>
      </c>
      <c r="H1722" s="1630" t="s">
        <v>965</v>
      </c>
      <c r="I1722" s="1433">
        <f>VLOOKUP(H1713,'CNKT '!$C$190:$Z$254,19,0)</f>
        <v>0</v>
      </c>
      <c r="J1722" s="1379">
        <v>20000</v>
      </c>
      <c r="K1722" s="1377">
        <f>I1722*J1722</f>
        <v>0</v>
      </c>
      <c r="L1722" s="1372"/>
    </row>
    <row r="1723" spans="1:12" s="31" customFormat="1" ht="17.25" customHeight="1">
      <c r="A1723" s="1375" t="s">
        <v>995</v>
      </c>
      <c r="B1723" s="1630" t="s">
        <v>997</v>
      </c>
      <c r="C1723" s="1433"/>
      <c r="D1723" s="1379"/>
      <c r="E1723" s="1377"/>
      <c r="F1723" s="1436"/>
      <c r="G1723" s="1375" t="s">
        <v>995</v>
      </c>
      <c r="H1723" s="1630" t="s">
        <v>997</v>
      </c>
      <c r="I1723" s="1433"/>
      <c r="J1723" s="1379"/>
      <c r="K1723" s="1377"/>
      <c r="L1723" s="1372"/>
    </row>
    <row r="1724" spans="1:12" s="31" customFormat="1" ht="17.25" customHeight="1">
      <c r="A1724" s="1381" t="s">
        <v>123</v>
      </c>
      <c r="B1724" s="1631" t="s">
        <v>1085</v>
      </c>
      <c r="C1724" s="1382"/>
      <c r="D1724" s="1383"/>
      <c r="E1724" s="1382"/>
      <c r="F1724" s="1436"/>
      <c r="G1724" s="1381" t="s">
        <v>123</v>
      </c>
      <c r="H1724" s="1631" t="s">
        <v>1085</v>
      </c>
      <c r="I1724" s="1382"/>
      <c r="J1724" s="1383"/>
      <c r="K1724" s="1382"/>
      <c r="L1724" s="1372"/>
    </row>
    <row r="1725" spans="1:12" s="31" customFormat="1" ht="17.25" customHeight="1">
      <c r="A1725" s="1384" t="s">
        <v>124</v>
      </c>
      <c r="B1725" s="1632" t="s">
        <v>1086</v>
      </c>
      <c r="C1725" s="1382"/>
      <c r="D1725" s="1382"/>
      <c r="E1725" s="1382"/>
      <c r="F1725" s="1436"/>
      <c r="G1725" s="1384" t="s">
        <v>124</v>
      </c>
      <c r="H1725" s="1632" t="s">
        <v>1086</v>
      </c>
      <c r="I1725" s="1382"/>
      <c r="J1725" s="1382"/>
      <c r="K1725" s="1382"/>
      <c r="L1725" s="1372"/>
    </row>
    <row r="1726" spans="1:12" s="31" customFormat="1" ht="17.25" customHeight="1">
      <c r="A1726" s="1384" t="s">
        <v>125</v>
      </c>
      <c r="B1726" s="1633" t="s">
        <v>1087</v>
      </c>
      <c r="C1726" s="1382"/>
      <c r="D1726" s="1382"/>
      <c r="E1726" s="1377">
        <f>SUM(E1725)</f>
        <v>0</v>
      </c>
      <c r="F1726" s="1423"/>
      <c r="G1726" s="1384" t="s">
        <v>125</v>
      </c>
      <c r="H1726" s="1633" t="s">
        <v>1087</v>
      </c>
      <c r="I1726" s="1382"/>
      <c r="J1726" s="1382"/>
      <c r="K1726" s="1377">
        <f>SUM(K1725)</f>
        <v>0</v>
      </c>
      <c r="L1726" s="1372"/>
    </row>
    <row r="1727" spans="1:12" s="31" customFormat="1" ht="17.25" customHeight="1">
      <c r="A1727" s="1386" t="s">
        <v>126</v>
      </c>
      <c r="B1727" s="1634" t="s">
        <v>871</v>
      </c>
      <c r="C1727" s="1387"/>
      <c r="D1727" s="1387"/>
      <c r="E1727" s="1387">
        <f>(E1715+E1716+E1717+E1718+E1719+E1720+E1721+E1722+E1723)-E1726</f>
        <v>0</v>
      </c>
      <c r="F1727" s="1423"/>
      <c r="G1727" s="1386" t="s">
        <v>126</v>
      </c>
      <c r="H1727" s="1634" t="s">
        <v>871</v>
      </c>
      <c r="I1727" s="1387"/>
      <c r="J1727" s="1387"/>
      <c r="K1727" s="1387">
        <f>(K1715+K1716+K1717+K1718+K1719+K1720+K1721+K1722+K1723)-K1726</f>
        <v>0</v>
      </c>
      <c r="L1727" s="1389">
        <f>E1727+K1727</f>
        <v>0</v>
      </c>
    </row>
    <row r="1728" spans="1:12" s="31" customFormat="1" ht="66.75" customHeight="1">
      <c r="A1728" s="1449"/>
      <c r="B1728" s="1449"/>
      <c r="C1728" s="1449"/>
      <c r="D1728" s="1449"/>
      <c r="E1728" s="1449"/>
      <c r="F1728" s="1449"/>
      <c r="G1728" s="1449"/>
      <c r="H1728" s="1449"/>
      <c r="I1728" s="1449"/>
      <c r="J1728" s="1449"/>
      <c r="K1728" s="1449"/>
      <c r="L1728" s="1372"/>
    </row>
    <row r="1729" spans="1:12" s="31" customFormat="1" ht="17.25" customHeight="1">
      <c r="A1729" s="1445" t="str">
        <f>A1712</f>
        <v>LƯƠNG THÁNG 01/2025</v>
      </c>
      <c r="B1729" s="1449"/>
      <c r="C1729" s="1449"/>
      <c r="D1729" s="1449"/>
      <c r="E1729" s="1458">
        <f>VLOOKUP(B1730,'CNKT '!$C$190:$AD$254,26,0)</f>
        <v>0</v>
      </c>
      <c r="F1729" s="1436"/>
      <c r="G1729" s="1445" t="str">
        <f>A1729</f>
        <v>LƯƠNG THÁNG 01/2025</v>
      </c>
      <c r="H1729" s="1449"/>
      <c r="I1729" s="1449"/>
      <c r="J1729" s="1452"/>
      <c r="K1729" s="1458">
        <f>VLOOKUP(H1730,'CNKT '!$C$190:$AD$254,26,0)</f>
        <v>0</v>
      </c>
      <c r="L1729" s="1372"/>
    </row>
    <row r="1730" spans="1:12" s="31" customFormat="1" ht="17.25" customHeight="1">
      <c r="A1730" s="1391" t="s">
        <v>29</v>
      </c>
      <c r="B1730" s="1626" t="str">
        <f>'CNKT '!C218</f>
        <v>T. Xi Nuôn</v>
      </c>
      <c r="C1730" s="1376"/>
      <c r="D1730" s="1626" t="s">
        <v>806</v>
      </c>
      <c r="E1730" s="1626" t="s">
        <v>32</v>
      </c>
      <c r="F1730" s="1436"/>
      <c r="G1730" s="1391" t="s">
        <v>29</v>
      </c>
      <c r="H1730" s="1626" t="str">
        <f>'CNKT '!C219</f>
        <v>N. Ốc</v>
      </c>
      <c r="I1730" s="1376"/>
      <c r="J1730" s="1626" t="s">
        <v>806</v>
      </c>
      <c r="K1730" s="1626" t="s">
        <v>32</v>
      </c>
      <c r="L1730" s="1372"/>
    </row>
    <row r="1731" spans="1:12" s="31" customFormat="1" ht="17.25" customHeight="1">
      <c r="A1731" s="1375" t="s">
        <v>807</v>
      </c>
      <c r="B1731" s="1628" t="s">
        <v>1080</v>
      </c>
      <c r="C1731" s="1376" t="str">
        <f>VLOOKUP(B1730,'BTH mủ tạp'!$C$182:$AL$244,36,0)</f>
        <v>B</v>
      </c>
      <c r="D1731" s="1377"/>
      <c r="E1731" s="1377"/>
      <c r="F1731" s="1436"/>
      <c r="G1731" s="1375" t="s">
        <v>807</v>
      </c>
      <c r="H1731" s="1628" t="s">
        <v>1080</v>
      </c>
      <c r="I1731" s="1376" t="str">
        <f>VLOOKUP(H1730,'BTH mủ tạp'!$C$182:$AL$244,36,0)</f>
        <v>A</v>
      </c>
      <c r="J1731" s="1377"/>
      <c r="K1731" s="1377"/>
      <c r="L1731" s="1372"/>
    </row>
    <row r="1732" spans="1:12" s="31" customFormat="1" ht="17.25" customHeight="1">
      <c r="A1732" s="1375" t="s">
        <v>121</v>
      </c>
      <c r="B1732" s="1629" t="s">
        <v>865</v>
      </c>
      <c r="C1732" s="1378">
        <f>VLOOKUP(B1730,'CNKT '!$C$189:$Z$254,3,0)</f>
        <v>0</v>
      </c>
      <c r="D1732" s="1379">
        <v>25000</v>
      </c>
      <c r="E1732" s="1377">
        <f t="shared" ref="E1732:E1737" si="201">C1732*D1732</f>
        <v>0</v>
      </c>
      <c r="F1732" s="1436"/>
      <c r="G1732" s="1375" t="s">
        <v>121</v>
      </c>
      <c r="H1732" s="1629" t="s">
        <v>865</v>
      </c>
      <c r="I1732" s="1378">
        <f>VLOOKUP(H1730,'CNKT '!$C$189:$Z$254,3,0)</f>
        <v>0</v>
      </c>
      <c r="J1732" s="1379">
        <v>25000</v>
      </c>
      <c r="K1732" s="1377">
        <f t="shared" ref="K1732:K1737" si="202">I1732*J1732</f>
        <v>0</v>
      </c>
      <c r="L1732" s="1372"/>
    </row>
    <row r="1733" spans="1:12" s="31" customFormat="1" ht="17.25" customHeight="1">
      <c r="A1733" s="1375" t="s">
        <v>628</v>
      </c>
      <c r="B1733" s="1630" t="s">
        <v>1081</v>
      </c>
      <c r="C1733" s="1433">
        <f>VLOOKUP(B1730,'CNKT '!$C$189:$Z$254,11,0)</f>
        <v>0</v>
      </c>
      <c r="D1733" s="1380">
        <f>46.1*$B$2</f>
        <v>30241.600000000002</v>
      </c>
      <c r="E1733" s="1377">
        <f t="shared" si="201"/>
        <v>0</v>
      </c>
      <c r="F1733" s="1436"/>
      <c r="G1733" s="1375" t="s">
        <v>628</v>
      </c>
      <c r="H1733" s="1630" t="s">
        <v>1081</v>
      </c>
      <c r="I1733" s="1433">
        <f>VLOOKUP(H1730,'CNKT '!$C$189:$Z$254,11,0)</f>
        <v>0</v>
      </c>
      <c r="J1733" s="1380">
        <f>46.1*$B$2</f>
        <v>30241.600000000002</v>
      </c>
      <c r="K1733" s="1377">
        <f t="shared" si="202"/>
        <v>0</v>
      </c>
      <c r="L1733" s="1372"/>
    </row>
    <row r="1734" spans="1:12" s="31" customFormat="1" ht="17.25" customHeight="1">
      <c r="A1734" s="1375" t="s">
        <v>809</v>
      </c>
      <c r="B1734" s="1630" t="s">
        <v>1082</v>
      </c>
      <c r="C1734" s="1433">
        <f>VLOOKUP(B1730,'CNKT '!$C$189:$Z$254,12,0)</f>
        <v>0</v>
      </c>
      <c r="D1734" s="1379">
        <f>76.9*$B$2</f>
        <v>50446.400000000001</v>
      </c>
      <c r="E1734" s="1377">
        <f t="shared" si="201"/>
        <v>0</v>
      </c>
      <c r="F1734" s="1436"/>
      <c r="G1734" s="1375" t="s">
        <v>809</v>
      </c>
      <c r="H1734" s="1630" t="s">
        <v>1082</v>
      </c>
      <c r="I1734" s="1433">
        <f>VLOOKUP(H1730,'CNKT '!$C$189:$Z$254,12,0)</f>
        <v>0</v>
      </c>
      <c r="J1734" s="1379">
        <f>76.9*$B$2</f>
        <v>50446.400000000001</v>
      </c>
      <c r="K1734" s="1377">
        <f t="shared" si="202"/>
        <v>0</v>
      </c>
      <c r="L1734" s="1372"/>
    </row>
    <row r="1735" spans="1:12" s="31" customFormat="1" ht="17.25" customHeight="1">
      <c r="A1735" s="1375" t="s">
        <v>122</v>
      </c>
      <c r="B1735" s="1630" t="s">
        <v>1083</v>
      </c>
      <c r="C1735" s="1433">
        <f>VLOOKUP(B1730,'CNKT '!$C$189:$Z$254,8,0)</f>
        <v>0</v>
      </c>
      <c r="D1735" s="1379">
        <f>IF(C1731="A",6.1,IF(C1731="B",5.8,IF(C1731="C",5.5,IF(C1731="C.",5.5,IF(C1731="D",5.2)))))*$B$2</f>
        <v>3804.7999999999997</v>
      </c>
      <c r="E1735" s="1377">
        <f t="shared" si="201"/>
        <v>0</v>
      </c>
      <c r="F1735" s="1436"/>
      <c r="G1735" s="1375" t="s">
        <v>122</v>
      </c>
      <c r="H1735" s="1630" t="s">
        <v>1083</v>
      </c>
      <c r="I1735" s="1433">
        <f>VLOOKUP(H1730,'CNKT '!$C$189:$Z$254,8,0)</f>
        <v>0</v>
      </c>
      <c r="J1735" s="1379">
        <f>IF(I1731="A",6.1,IF(I1731="B",5.8,IF(I1731="C",5.5,IF(I1731="C.",5.5,IF(I1731="D",5.2)))))*$B$2</f>
        <v>4001.6</v>
      </c>
      <c r="K1735" s="1377">
        <f t="shared" si="202"/>
        <v>0</v>
      </c>
      <c r="L1735" s="1372"/>
    </row>
    <row r="1736" spans="1:12" s="31" customFormat="1" ht="17.25" customHeight="1">
      <c r="A1736" s="1375" t="s">
        <v>961</v>
      </c>
      <c r="B1736" s="1630" t="s">
        <v>1084</v>
      </c>
      <c r="C1736" s="1433">
        <f>VLOOKUP(B1730,'CNKT '!$C$101:$Z$254,13,0)</f>
        <v>0</v>
      </c>
      <c r="D1736" s="1380">
        <f>92.2*$B$2</f>
        <v>60483.200000000004</v>
      </c>
      <c r="E1736" s="1377">
        <f t="shared" si="201"/>
        <v>0</v>
      </c>
      <c r="F1736" s="1436"/>
      <c r="G1736" s="1375" t="s">
        <v>961</v>
      </c>
      <c r="H1736" s="1630" t="s">
        <v>1084</v>
      </c>
      <c r="I1736" s="1433">
        <f>VLOOKUP(H1730,'CNKT '!$C$101:$Z$254,13,0)</f>
        <v>0</v>
      </c>
      <c r="J1736" s="1380">
        <f>92.2*$B$2</f>
        <v>60483.200000000004</v>
      </c>
      <c r="K1736" s="1377">
        <f t="shared" si="202"/>
        <v>0</v>
      </c>
      <c r="L1736" s="1372"/>
    </row>
    <row r="1737" spans="1:12" s="31" customFormat="1" ht="17.25" customHeight="1">
      <c r="A1737" s="1375" t="s">
        <v>886</v>
      </c>
      <c r="B1737" s="1630" t="s">
        <v>964</v>
      </c>
      <c r="C1737" s="1433">
        <f>VLOOKUP(B1730,'CNKT '!$C$189:$Z$254,14,0)</f>
        <v>0</v>
      </c>
      <c r="D1737" s="1379">
        <f>153.6*$B$2</f>
        <v>100761.59999999999</v>
      </c>
      <c r="E1737" s="1377">
        <f t="shared" si="201"/>
        <v>0</v>
      </c>
      <c r="F1737" s="1436"/>
      <c r="G1737" s="1375" t="s">
        <v>886</v>
      </c>
      <c r="H1737" s="1630" t="s">
        <v>964</v>
      </c>
      <c r="I1737" s="1433">
        <f>VLOOKUP(H1730,'CNKT '!$C$189:$Z$254,14,0)</f>
        <v>0</v>
      </c>
      <c r="J1737" s="1379">
        <f>153.6*$B$2</f>
        <v>100761.59999999999</v>
      </c>
      <c r="K1737" s="1377">
        <f t="shared" si="202"/>
        <v>0</v>
      </c>
      <c r="L1737" s="1372"/>
    </row>
    <row r="1738" spans="1:12" s="31" customFormat="1" ht="17.25" customHeight="1">
      <c r="A1738" s="1375" t="s">
        <v>899</v>
      </c>
      <c r="B1738" s="1630" t="s">
        <v>965</v>
      </c>
      <c r="C1738" s="1433">
        <f>VLOOKUP(B1730,'CNKT '!$C$190:$Z$254,18,0)</f>
        <v>0</v>
      </c>
      <c r="D1738" s="1379">
        <v>10000</v>
      </c>
      <c r="E1738" s="1377">
        <f>C1738*D1738</f>
        <v>0</v>
      </c>
      <c r="F1738" s="1436"/>
      <c r="G1738" s="1375" t="s">
        <v>899</v>
      </c>
      <c r="H1738" s="1630" t="s">
        <v>965</v>
      </c>
      <c r="I1738" s="1433">
        <f>VLOOKUP(H1730,'CNKT '!$C$190:$Z$254,18,0)</f>
        <v>0</v>
      </c>
      <c r="J1738" s="1379">
        <v>10000</v>
      </c>
      <c r="K1738" s="1377">
        <f>I1738*J1738</f>
        <v>0</v>
      </c>
      <c r="L1738" s="1372"/>
    </row>
    <row r="1739" spans="1:12" s="31" customFormat="1" ht="17.25" customHeight="1">
      <c r="A1739" s="1375" t="s">
        <v>899</v>
      </c>
      <c r="B1739" s="1630" t="s">
        <v>965</v>
      </c>
      <c r="C1739" s="1433">
        <f>VLOOKUP(B1730,'CNKT '!$C$190:$Z$254,19,0)</f>
        <v>0</v>
      </c>
      <c r="D1739" s="1379">
        <v>20000</v>
      </c>
      <c r="E1739" s="1377">
        <f>C1739*D1739</f>
        <v>0</v>
      </c>
      <c r="F1739" s="1436"/>
      <c r="G1739" s="1375" t="s">
        <v>899</v>
      </c>
      <c r="H1739" s="1630" t="s">
        <v>965</v>
      </c>
      <c r="I1739" s="1433">
        <f>VLOOKUP(H1730,'CNKT '!$C$190:$Z$254,19,0)</f>
        <v>0</v>
      </c>
      <c r="J1739" s="1379">
        <v>20000</v>
      </c>
      <c r="K1739" s="1377">
        <f>I1739*J1739</f>
        <v>0</v>
      </c>
      <c r="L1739" s="1372"/>
    </row>
    <row r="1740" spans="1:12" s="31" customFormat="1" ht="17.25" customHeight="1">
      <c r="A1740" s="1375" t="s">
        <v>995</v>
      </c>
      <c r="B1740" s="1630" t="s">
        <v>997</v>
      </c>
      <c r="C1740" s="1433"/>
      <c r="D1740" s="1379"/>
      <c r="E1740" s="1377"/>
      <c r="F1740" s="1436"/>
      <c r="G1740" s="1375" t="s">
        <v>995</v>
      </c>
      <c r="H1740" s="1630" t="s">
        <v>997</v>
      </c>
      <c r="I1740" s="1433"/>
      <c r="J1740" s="1379"/>
      <c r="K1740" s="1377"/>
      <c r="L1740" s="1372"/>
    </row>
    <row r="1741" spans="1:12" s="31" customFormat="1" ht="17.25" customHeight="1">
      <c r="A1741" s="1381" t="s">
        <v>123</v>
      </c>
      <c r="B1741" s="1631" t="s">
        <v>1085</v>
      </c>
      <c r="C1741" s="1382"/>
      <c r="D1741" s="1383"/>
      <c r="E1741" s="1382"/>
      <c r="F1741" s="1436"/>
      <c r="G1741" s="1381" t="s">
        <v>123</v>
      </c>
      <c r="H1741" s="1631" t="s">
        <v>1085</v>
      </c>
      <c r="I1741" s="1382"/>
      <c r="J1741" s="1383"/>
      <c r="K1741" s="1382"/>
      <c r="L1741" s="1372"/>
    </row>
    <row r="1742" spans="1:12" s="31" customFormat="1" ht="17.25" customHeight="1">
      <c r="A1742" s="1384" t="s">
        <v>124</v>
      </c>
      <c r="B1742" s="1632" t="s">
        <v>1086</v>
      </c>
      <c r="C1742" s="1382"/>
      <c r="D1742" s="1382"/>
      <c r="E1742" s="1382"/>
      <c r="F1742" s="1436"/>
      <c r="G1742" s="1384" t="s">
        <v>124</v>
      </c>
      <c r="H1742" s="1632" t="s">
        <v>1086</v>
      </c>
      <c r="I1742" s="1382"/>
      <c r="J1742" s="1382"/>
      <c r="K1742" s="1382"/>
      <c r="L1742" s="1372"/>
    </row>
    <row r="1743" spans="1:12" s="31" customFormat="1" ht="17.25" customHeight="1">
      <c r="A1743" s="1384" t="s">
        <v>125</v>
      </c>
      <c r="B1743" s="1633" t="s">
        <v>1087</v>
      </c>
      <c r="C1743" s="1382"/>
      <c r="D1743" s="1382"/>
      <c r="E1743" s="1377">
        <f>SUM(E1742)</f>
        <v>0</v>
      </c>
      <c r="F1743" s="1432"/>
      <c r="G1743" s="1384" t="s">
        <v>125</v>
      </c>
      <c r="H1743" s="1633" t="s">
        <v>1087</v>
      </c>
      <c r="I1743" s="1382"/>
      <c r="J1743" s="1382"/>
      <c r="K1743" s="1377">
        <f>SUM(K1742)</f>
        <v>0</v>
      </c>
      <c r="L1743" s="1372"/>
    </row>
    <row r="1744" spans="1:12" s="31" customFormat="1" ht="17.25" customHeight="1">
      <c r="A1744" s="1386" t="s">
        <v>126</v>
      </c>
      <c r="B1744" s="1634" t="s">
        <v>871</v>
      </c>
      <c r="C1744" s="1387"/>
      <c r="D1744" s="1387"/>
      <c r="E1744" s="1387">
        <f>(E1732+E1733+E1734+E1735+E1736+E1737+E1738+E1739+E1740)-E1743</f>
        <v>0</v>
      </c>
      <c r="F1744" s="1432"/>
      <c r="G1744" s="1386" t="s">
        <v>126</v>
      </c>
      <c r="H1744" s="1634" t="s">
        <v>871</v>
      </c>
      <c r="I1744" s="1387"/>
      <c r="J1744" s="1387"/>
      <c r="K1744" s="1387">
        <f>(K1732+K1733+K1734+K1735+K1736+K1737+K1738+K1739+K1740)-K1743</f>
        <v>0</v>
      </c>
      <c r="L1744" s="1389">
        <f>E1744+K1744</f>
        <v>0</v>
      </c>
    </row>
    <row r="1745" spans="1:12" s="31" customFormat="1" ht="17.25" customHeight="1">
      <c r="A1745" s="1449"/>
      <c r="B1745" s="1449"/>
      <c r="C1745" s="1449"/>
      <c r="D1745" s="1449"/>
      <c r="E1745" s="1449"/>
      <c r="F1745" s="1449"/>
      <c r="G1745" s="1449"/>
      <c r="H1745" s="1449"/>
      <c r="I1745" s="1449"/>
      <c r="J1745" s="1449"/>
      <c r="K1745" s="1449"/>
      <c r="L1745" s="1372"/>
    </row>
    <row r="1746" spans="1:12" s="31" customFormat="1" ht="17.25" customHeight="1">
      <c r="A1746" s="1445" t="str">
        <f>A1729</f>
        <v>LƯƠNG THÁNG 01/2025</v>
      </c>
      <c r="B1746" s="1449"/>
      <c r="C1746" s="1449"/>
      <c r="D1746" s="1449"/>
      <c r="E1746" s="1458">
        <f>VLOOKUP(B1747,'CNKT '!$C$190:$AD$254,26,0)</f>
        <v>0</v>
      </c>
      <c r="F1746" s="1436"/>
      <c r="G1746" s="1445" t="str">
        <f>A1746</f>
        <v>LƯƠNG THÁNG 01/2025</v>
      </c>
      <c r="H1746" s="1449"/>
      <c r="I1746" s="1449"/>
      <c r="J1746" s="1452"/>
      <c r="K1746" s="1458">
        <f>VLOOKUP(H1747,'CNKT '!$C$190:$AD$254,26,0)</f>
        <v>0</v>
      </c>
      <c r="L1746" s="1372"/>
    </row>
    <row r="1747" spans="1:12" s="31" customFormat="1" ht="17.25" customHeight="1">
      <c r="A1747" s="1391" t="s">
        <v>29</v>
      </c>
      <c r="B1747" s="1626" t="str">
        <f>'CNKT '!C220</f>
        <v>T. Văn Nô</v>
      </c>
      <c r="C1747" s="1376"/>
      <c r="D1747" s="1626" t="s">
        <v>806</v>
      </c>
      <c r="E1747" s="1626" t="s">
        <v>32</v>
      </c>
      <c r="F1747" s="1436"/>
      <c r="G1747" s="1391" t="s">
        <v>29</v>
      </c>
      <c r="H1747" s="1626" t="str">
        <f>'CNKT '!C221</f>
        <v>N. Văn Ta</v>
      </c>
      <c r="I1747" s="1376"/>
      <c r="J1747" s="1626" t="s">
        <v>806</v>
      </c>
      <c r="K1747" s="1626" t="s">
        <v>32</v>
      </c>
      <c r="L1747" s="1372"/>
    </row>
    <row r="1748" spans="1:12" s="31" customFormat="1" ht="17.25" customHeight="1">
      <c r="A1748" s="1375" t="s">
        <v>807</v>
      </c>
      <c r="B1748" s="1628" t="s">
        <v>1080</v>
      </c>
      <c r="C1748" s="1376" t="str">
        <f>VLOOKUP(B1747,'BTH mủ tạp'!$C$182:$AL$244,36,0)</f>
        <v>A</v>
      </c>
      <c r="D1748" s="1377"/>
      <c r="E1748" s="1377"/>
      <c r="F1748" s="1436"/>
      <c r="G1748" s="1375" t="s">
        <v>807</v>
      </c>
      <c r="H1748" s="1628" t="s">
        <v>1080</v>
      </c>
      <c r="I1748" s="1376" t="str">
        <f>VLOOKUP(H1747,'BTH mủ tạp'!$C$182:$AL$244,36,0)</f>
        <v>B</v>
      </c>
      <c r="J1748" s="1377"/>
      <c r="K1748" s="1377"/>
      <c r="L1748" s="1372"/>
    </row>
    <row r="1749" spans="1:12" s="31" customFormat="1" ht="17.25" customHeight="1">
      <c r="A1749" s="1375" t="s">
        <v>121</v>
      </c>
      <c r="B1749" s="1629" t="s">
        <v>865</v>
      </c>
      <c r="C1749" s="1378">
        <f>VLOOKUP(B1747,'CNKT '!$C$189:$Z$254,3,0)</f>
        <v>0</v>
      </c>
      <c r="D1749" s="1379">
        <v>25000</v>
      </c>
      <c r="E1749" s="1377">
        <f t="shared" ref="E1749:E1754" si="203">C1749*D1749</f>
        <v>0</v>
      </c>
      <c r="F1749" s="1436"/>
      <c r="G1749" s="1375" t="s">
        <v>121</v>
      </c>
      <c r="H1749" s="1629" t="s">
        <v>865</v>
      </c>
      <c r="I1749" s="1378">
        <f>VLOOKUP(H1747,'CNKT '!$C$189:$Z$254,3,0)</f>
        <v>0</v>
      </c>
      <c r="J1749" s="1379">
        <v>25000</v>
      </c>
      <c r="K1749" s="1377">
        <f t="shared" ref="K1749:K1754" si="204">I1749*J1749</f>
        <v>0</v>
      </c>
      <c r="L1749" s="1372"/>
    </row>
    <row r="1750" spans="1:12" s="31" customFormat="1" ht="17.25" customHeight="1">
      <c r="A1750" s="1375" t="s">
        <v>628</v>
      </c>
      <c r="B1750" s="1630" t="s">
        <v>1081</v>
      </c>
      <c r="C1750" s="1433">
        <f>VLOOKUP(B1747,'CNKT '!$C$189:$Z$254,11,0)</f>
        <v>0</v>
      </c>
      <c r="D1750" s="1380">
        <f>46.1*$B$2</f>
        <v>30241.600000000002</v>
      </c>
      <c r="E1750" s="1377">
        <f t="shared" si="203"/>
        <v>0</v>
      </c>
      <c r="F1750" s="1436"/>
      <c r="G1750" s="1375" t="s">
        <v>628</v>
      </c>
      <c r="H1750" s="1630" t="s">
        <v>1081</v>
      </c>
      <c r="I1750" s="1433">
        <f>VLOOKUP(H1747,'CNKT '!$C$189:$Z$254,11,0)</f>
        <v>0</v>
      </c>
      <c r="J1750" s="1380">
        <f>46.1*$B$2</f>
        <v>30241.600000000002</v>
      </c>
      <c r="K1750" s="1377">
        <f t="shared" si="204"/>
        <v>0</v>
      </c>
      <c r="L1750" s="1372"/>
    </row>
    <row r="1751" spans="1:12" s="31" customFormat="1" ht="17.25" customHeight="1">
      <c r="A1751" s="1375" t="s">
        <v>809</v>
      </c>
      <c r="B1751" s="1630" t="s">
        <v>1082</v>
      </c>
      <c r="C1751" s="1433">
        <f>VLOOKUP(B1747,'CNKT '!$C$189:$Z$254,12,0)</f>
        <v>0</v>
      </c>
      <c r="D1751" s="1379">
        <f>76.9*$B$2</f>
        <v>50446.400000000001</v>
      </c>
      <c r="E1751" s="1377">
        <f t="shared" si="203"/>
        <v>0</v>
      </c>
      <c r="F1751" s="1436"/>
      <c r="G1751" s="1375" t="s">
        <v>809</v>
      </c>
      <c r="H1751" s="1630" t="s">
        <v>1082</v>
      </c>
      <c r="I1751" s="1433">
        <f>VLOOKUP(H1747,'CNKT '!$C$189:$Z$254,12,0)</f>
        <v>0</v>
      </c>
      <c r="J1751" s="1379">
        <f>76.9*$B$2</f>
        <v>50446.400000000001</v>
      </c>
      <c r="K1751" s="1377">
        <f t="shared" si="204"/>
        <v>0</v>
      </c>
      <c r="L1751" s="1372"/>
    </row>
    <row r="1752" spans="1:12" s="31" customFormat="1" ht="17.25" customHeight="1">
      <c r="A1752" s="1375" t="s">
        <v>122</v>
      </c>
      <c r="B1752" s="1630" t="s">
        <v>1083</v>
      </c>
      <c r="C1752" s="1433">
        <f>VLOOKUP(B1747,'CNKT '!$C$189:$Z$254,8,0)</f>
        <v>0</v>
      </c>
      <c r="D1752" s="1379">
        <f>IF(C1748="A",6.1,IF(C1748="B",5.8,IF(C1748="C",5.5,IF(C1748="C.",5.5,IF(C1748="D",5.2)))))*$B$2</f>
        <v>4001.6</v>
      </c>
      <c r="E1752" s="1377">
        <f t="shared" si="203"/>
        <v>0</v>
      </c>
      <c r="F1752" s="1436"/>
      <c r="G1752" s="1375" t="s">
        <v>122</v>
      </c>
      <c r="H1752" s="1630" t="s">
        <v>1083</v>
      </c>
      <c r="I1752" s="1433">
        <f>VLOOKUP(H1747,'CNKT '!$C$189:$Z$254,8,0)</f>
        <v>0</v>
      </c>
      <c r="J1752" s="1379">
        <f>IF(I1748="A",6.1,IF(I1748="B",5.8,IF(I1748="C",5.5,IF(I1748="C.",5.5,IF(I1748="D",5.2)))))*$B$2</f>
        <v>3804.7999999999997</v>
      </c>
      <c r="K1752" s="1377">
        <f t="shared" si="204"/>
        <v>0</v>
      </c>
      <c r="L1752" s="1372"/>
    </row>
    <row r="1753" spans="1:12" s="31" customFormat="1" ht="17.25" customHeight="1">
      <c r="A1753" s="1375" t="s">
        <v>961</v>
      </c>
      <c r="B1753" s="1630" t="s">
        <v>1084</v>
      </c>
      <c r="C1753" s="1433">
        <f>VLOOKUP(B1747,'CNKT '!$C$101:$Z$254,13,0)</f>
        <v>0</v>
      </c>
      <c r="D1753" s="1380">
        <f>92.2*$B$2</f>
        <v>60483.200000000004</v>
      </c>
      <c r="E1753" s="1377">
        <f t="shared" si="203"/>
        <v>0</v>
      </c>
      <c r="F1753" s="1436"/>
      <c r="G1753" s="1375" t="s">
        <v>961</v>
      </c>
      <c r="H1753" s="1630" t="s">
        <v>1084</v>
      </c>
      <c r="I1753" s="1433">
        <f>VLOOKUP(H1747,'CNKT '!$C$101:$Z$254,13,0)</f>
        <v>0</v>
      </c>
      <c r="J1753" s="1380">
        <f>92.2*$B$2</f>
        <v>60483.200000000004</v>
      </c>
      <c r="K1753" s="1377">
        <f t="shared" si="204"/>
        <v>0</v>
      </c>
      <c r="L1753" s="1372"/>
    </row>
    <row r="1754" spans="1:12" s="31" customFormat="1" ht="17.25" customHeight="1">
      <c r="A1754" s="1375" t="s">
        <v>886</v>
      </c>
      <c r="B1754" s="1630" t="s">
        <v>964</v>
      </c>
      <c r="C1754" s="1433">
        <f>VLOOKUP(B1747,'CNKT '!$C$189:$Z$254,14,0)</f>
        <v>0</v>
      </c>
      <c r="D1754" s="1379">
        <f>153.6*$B$2</f>
        <v>100761.59999999999</v>
      </c>
      <c r="E1754" s="1377">
        <f t="shared" si="203"/>
        <v>0</v>
      </c>
      <c r="F1754" s="1436"/>
      <c r="G1754" s="1375" t="s">
        <v>886</v>
      </c>
      <c r="H1754" s="1630" t="s">
        <v>964</v>
      </c>
      <c r="I1754" s="1433">
        <f>VLOOKUP(H1747,'CNKT '!$C$189:$Z$254,14,0)</f>
        <v>0</v>
      </c>
      <c r="J1754" s="1379">
        <f>153.6*$B$2</f>
        <v>100761.59999999999</v>
      </c>
      <c r="K1754" s="1377">
        <f t="shared" si="204"/>
        <v>0</v>
      </c>
      <c r="L1754" s="1372"/>
    </row>
    <row r="1755" spans="1:12" s="31" customFormat="1" ht="17.25" customHeight="1">
      <c r="A1755" s="1375" t="s">
        <v>899</v>
      </c>
      <c r="B1755" s="1630" t="s">
        <v>965</v>
      </c>
      <c r="C1755" s="1433">
        <f>VLOOKUP(B1747,'CNKT '!$C$190:$Z$254,18,0)</f>
        <v>0</v>
      </c>
      <c r="D1755" s="1379">
        <v>10000</v>
      </c>
      <c r="E1755" s="1377">
        <f>C1755*D1755</f>
        <v>0</v>
      </c>
      <c r="F1755" s="1436"/>
      <c r="G1755" s="1375" t="s">
        <v>899</v>
      </c>
      <c r="H1755" s="1630" t="s">
        <v>965</v>
      </c>
      <c r="I1755" s="1433">
        <f>VLOOKUP(H1747,'CNKT '!$C$190:$Z$254,18,0)</f>
        <v>0</v>
      </c>
      <c r="J1755" s="1379">
        <v>10000</v>
      </c>
      <c r="K1755" s="1377">
        <f>I1755*J1755</f>
        <v>0</v>
      </c>
      <c r="L1755" s="1372"/>
    </row>
    <row r="1756" spans="1:12" s="31" customFormat="1" ht="17.25" customHeight="1">
      <c r="A1756" s="1375" t="s">
        <v>899</v>
      </c>
      <c r="B1756" s="1630" t="s">
        <v>965</v>
      </c>
      <c r="C1756" s="1433">
        <f>VLOOKUP(B1747,'CNKT '!$C$190:$Z$254,19,0)</f>
        <v>0</v>
      </c>
      <c r="D1756" s="1379">
        <v>20000</v>
      </c>
      <c r="E1756" s="1377">
        <f>C1756*D1756</f>
        <v>0</v>
      </c>
      <c r="F1756" s="1436"/>
      <c r="G1756" s="1375" t="s">
        <v>899</v>
      </c>
      <c r="H1756" s="1630" t="s">
        <v>965</v>
      </c>
      <c r="I1756" s="1433">
        <f>VLOOKUP(H1747,'CNKT '!$C$190:$Z$254,19,0)</f>
        <v>0</v>
      </c>
      <c r="J1756" s="1379">
        <v>20000</v>
      </c>
      <c r="K1756" s="1377">
        <f>I1756*J1756</f>
        <v>0</v>
      </c>
      <c r="L1756" s="1372"/>
    </row>
    <row r="1757" spans="1:12" s="31" customFormat="1" ht="17.25" customHeight="1">
      <c r="A1757" s="1375" t="s">
        <v>995</v>
      </c>
      <c r="B1757" s="1630" t="s">
        <v>997</v>
      </c>
      <c r="C1757" s="1433"/>
      <c r="D1757" s="1379"/>
      <c r="E1757" s="1377"/>
      <c r="F1757" s="1436"/>
      <c r="G1757" s="1375" t="s">
        <v>995</v>
      </c>
      <c r="H1757" s="1630" t="s">
        <v>997</v>
      </c>
      <c r="I1757" s="1433"/>
      <c r="J1757" s="1379"/>
      <c r="K1757" s="1377"/>
      <c r="L1757" s="1372"/>
    </row>
    <row r="1758" spans="1:12" s="31" customFormat="1" ht="17.25" customHeight="1">
      <c r="A1758" s="1381" t="s">
        <v>123</v>
      </c>
      <c r="B1758" s="1631" t="s">
        <v>1085</v>
      </c>
      <c r="C1758" s="1382"/>
      <c r="D1758" s="1383"/>
      <c r="E1758" s="1382"/>
      <c r="F1758" s="1436"/>
      <c r="G1758" s="1381" t="s">
        <v>123</v>
      </c>
      <c r="H1758" s="1631" t="s">
        <v>1085</v>
      </c>
      <c r="I1758" s="1382"/>
      <c r="J1758" s="1383"/>
      <c r="K1758" s="1382"/>
      <c r="L1758" s="1372"/>
    </row>
    <row r="1759" spans="1:12" s="31" customFormat="1" ht="17.25" customHeight="1">
      <c r="A1759" s="1384" t="s">
        <v>124</v>
      </c>
      <c r="B1759" s="1632" t="s">
        <v>1086</v>
      </c>
      <c r="C1759" s="1382"/>
      <c r="D1759" s="1382"/>
      <c r="E1759" s="1382"/>
      <c r="F1759" s="1436"/>
      <c r="G1759" s="1384" t="s">
        <v>124</v>
      </c>
      <c r="H1759" s="1632" t="s">
        <v>1086</v>
      </c>
      <c r="I1759" s="1382"/>
      <c r="J1759" s="1382"/>
      <c r="K1759" s="1382"/>
      <c r="L1759" s="1372"/>
    </row>
    <row r="1760" spans="1:12" s="31" customFormat="1" ht="17.25" customHeight="1">
      <c r="A1760" s="1384" t="s">
        <v>125</v>
      </c>
      <c r="B1760" s="1633" t="s">
        <v>1087</v>
      </c>
      <c r="C1760" s="1382"/>
      <c r="D1760" s="1382"/>
      <c r="E1760" s="1377">
        <f>SUM(E1759)</f>
        <v>0</v>
      </c>
      <c r="F1760" s="1423"/>
      <c r="G1760" s="1384" t="s">
        <v>125</v>
      </c>
      <c r="H1760" s="1633" t="s">
        <v>1087</v>
      </c>
      <c r="I1760" s="1382"/>
      <c r="J1760" s="1382"/>
      <c r="K1760" s="1377">
        <f>SUM(K1759)</f>
        <v>0</v>
      </c>
      <c r="L1760" s="1372"/>
    </row>
    <row r="1761" spans="1:12" s="31" customFormat="1" ht="17.25" customHeight="1">
      <c r="A1761" s="1386" t="s">
        <v>126</v>
      </c>
      <c r="B1761" s="1634" t="s">
        <v>871</v>
      </c>
      <c r="C1761" s="1387"/>
      <c r="D1761" s="1387"/>
      <c r="E1761" s="1387">
        <f>(E1749+E1750+E1751+E1752+E1753+E1754+E1755+E1756+E1757)-E1760</f>
        <v>0</v>
      </c>
      <c r="F1761" s="1423"/>
      <c r="G1761" s="1386" t="s">
        <v>126</v>
      </c>
      <c r="H1761" s="1634" t="s">
        <v>871</v>
      </c>
      <c r="I1761" s="1387"/>
      <c r="J1761" s="1387"/>
      <c r="K1761" s="1387">
        <f>(K1749+K1750+K1751+K1752+K1753+K1754+K1755+K1756+K1757)-K1760</f>
        <v>0</v>
      </c>
      <c r="L1761" s="1389">
        <f>E1761+K1761</f>
        <v>0</v>
      </c>
    </row>
    <row r="1762" spans="1:12" s="31" customFormat="1" ht="222" customHeight="1">
      <c r="A1762" s="1449"/>
      <c r="B1762" s="1449"/>
      <c r="C1762" s="1449"/>
      <c r="D1762" s="1449"/>
      <c r="E1762" s="1449"/>
      <c r="F1762" s="1449"/>
      <c r="G1762" s="1449"/>
      <c r="H1762" s="1449"/>
      <c r="I1762" s="1449"/>
      <c r="J1762" s="1449"/>
      <c r="K1762" s="1449"/>
      <c r="L1762" s="1372"/>
    </row>
    <row r="1763" spans="1:12" s="31" customFormat="1" ht="17.25" customHeight="1">
      <c r="A1763" s="1445" t="str">
        <f>A1746</f>
        <v>LƯƠNG THÁNG 01/2025</v>
      </c>
      <c r="B1763" s="1449"/>
      <c r="C1763" s="1449"/>
      <c r="D1763" s="1449"/>
      <c r="E1763" s="1458">
        <f>VLOOKUP(B1764,'CNKT '!$C$190:$AD$254,26,0)</f>
        <v>0</v>
      </c>
      <c r="F1763" s="1436"/>
      <c r="G1763" s="1445" t="str">
        <f>A1763</f>
        <v>LƯƠNG THÁNG 01/2025</v>
      </c>
      <c r="H1763" s="1449"/>
      <c r="I1763" s="1449"/>
      <c r="J1763" s="1452"/>
      <c r="K1763" s="1458">
        <f>VLOOKUP(H1764,'CNKT '!$C$190:$AD$254,26,0)</f>
        <v>0</v>
      </c>
      <c r="L1763" s="1372"/>
    </row>
    <row r="1764" spans="1:12" s="31" customFormat="1" ht="17.25" customHeight="1">
      <c r="A1764" s="1391" t="s">
        <v>29</v>
      </c>
      <c r="B1764" s="1626" t="str">
        <f>'CNKT '!C222</f>
        <v>T. Thon</v>
      </c>
      <c r="C1764" s="1376"/>
      <c r="D1764" s="1626" t="s">
        <v>806</v>
      </c>
      <c r="E1764" s="1626" t="s">
        <v>32</v>
      </c>
      <c r="F1764" s="1436"/>
      <c r="G1764" s="1391" t="s">
        <v>29</v>
      </c>
      <c r="H1764" s="1626" t="str">
        <f>'CNKT '!C223</f>
        <v>Bun Thon</v>
      </c>
      <c r="I1764" s="1376"/>
      <c r="J1764" s="1626" t="s">
        <v>806</v>
      </c>
      <c r="K1764" s="1626" t="s">
        <v>32</v>
      </c>
      <c r="L1764" s="1372"/>
    </row>
    <row r="1765" spans="1:12" s="31" customFormat="1" ht="17.25" customHeight="1">
      <c r="A1765" s="1375" t="s">
        <v>807</v>
      </c>
      <c r="B1765" s="1628" t="s">
        <v>1080</v>
      </c>
      <c r="C1765" s="1376" t="str">
        <f>VLOOKUP(B1764,'BTH mủ tạp'!$C$182:$AL$244,36,0)</f>
        <v>A</v>
      </c>
      <c r="D1765" s="1377"/>
      <c r="E1765" s="1377"/>
      <c r="F1765" s="1436"/>
      <c r="G1765" s="1375" t="s">
        <v>807</v>
      </c>
      <c r="H1765" s="1628" t="s">
        <v>1080</v>
      </c>
      <c r="I1765" s="1376" t="str">
        <f>VLOOKUP(H1764,'BTH mủ tạp'!$C$182:$AL$244,36,0)</f>
        <v>A</v>
      </c>
      <c r="J1765" s="1377"/>
      <c r="K1765" s="1377"/>
      <c r="L1765" s="1372"/>
    </row>
    <row r="1766" spans="1:12" s="31" customFormat="1" ht="17.25" customHeight="1">
      <c r="A1766" s="1375" t="s">
        <v>121</v>
      </c>
      <c r="B1766" s="1629" t="s">
        <v>865</v>
      </c>
      <c r="C1766" s="1378">
        <f>VLOOKUP(B1764,'CNKT '!$C$189:$Z$254,3,0)</f>
        <v>0</v>
      </c>
      <c r="D1766" s="1379">
        <v>25000</v>
      </c>
      <c r="E1766" s="1377">
        <f t="shared" ref="E1766:E1771" si="205">C1766*D1766</f>
        <v>0</v>
      </c>
      <c r="F1766" s="1436"/>
      <c r="G1766" s="1375" t="s">
        <v>121</v>
      </c>
      <c r="H1766" s="1629" t="s">
        <v>865</v>
      </c>
      <c r="I1766" s="1378">
        <f>VLOOKUP(H1764,'CNKT '!$C$189:$Z$254,3,0)</f>
        <v>0</v>
      </c>
      <c r="J1766" s="1379">
        <v>25000</v>
      </c>
      <c r="K1766" s="1377">
        <f t="shared" ref="K1766:K1771" si="206">I1766*J1766</f>
        <v>0</v>
      </c>
      <c r="L1766" s="1372"/>
    </row>
    <row r="1767" spans="1:12" s="31" customFormat="1" ht="17.25" customHeight="1">
      <c r="A1767" s="1375" t="s">
        <v>628</v>
      </c>
      <c r="B1767" s="1630" t="s">
        <v>1081</v>
      </c>
      <c r="C1767" s="1433">
        <f>VLOOKUP(B1764,'CNKT '!$C$189:$Z$254,11,0)</f>
        <v>0</v>
      </c>
      <c r="D1767" s="1380">
        <f>46.1*$B$2</f>
        <v>30241.600000000002</v>
      </c>
      <c r="E1767" s="1377">
        <f t="shared" si="205"/>
        <v>0</v>
      </c>
      <c r="F1767" s="1436"/>
      <c r="G1767" s="1375" t="s">
        <v>628</v>
      </c>
      <c r="H1767" s="1630" t="s">
        <v>1081</v>
      </c>
      <c r="I1767" s="1433">
        <f>VLOOKUP(H1764,'CNKT '!$C$189:$Z$254,11,0)</f>
        <v>0</v>
      </c>
      <c r="J1767" s="1380">
        <f>46.1*$B$2</f>
        <v>30241.600000000002</v>
      </c>
      <c r="K1767" s="1377">
        <f t="shared" si="206"/>
        <v>0</v>
      </c>
      <c r="L1767" s="1372"/>
    </row>
    <row r="1768" spans="1:12" s="31" customFormat="1" ht="17.25" customHeight="1">
      <c r="A1768" s="1375" t="s">
        <v>809</v>
      </c>
      <c r="B1768" s="1630" t="s">
        <v>1082</v>
      </c>
      <c r="C1768" s="1433">
        <f>VLOOKUP(B1764,'CNKT '!$C$189:$Z$254,12,0)</f>
        <v>0</v>
      </c>
      <c r="D1768" s="1379">
        <f>76.9*$B$2</f>
        <v>50446.400000000001</v>
      </c>
      <c r="E1768" s="1377">
        <f t="shared" si="205"/>
        <v>0</v>
      </c>
      <c r="F1768" s="1436"/>
      <c r="G1768" s="1375" t="s">
        <v>809</v>
      </c>
      <c r="H1768" s="1630" t="s">
        <v>1082</v>
      </c>
      <c r="I1768" s="1433">
        <f>VLOOKUP(H1764,'CNKT '!$C$189:$Z$254,12,0)</f>
        <v>0</v>
      </c>
      <c r="J1768" s="1379">
        <f>76.9*$B$2</f>
        <v>50446.400000000001</v>
      </c>
      <c r="K1768" s="1377">
        <f t="shared" si="206"/>
        <v>0</v>
      </c>
      <c r="L1768" s="1372"/>
    </row>
    <row r="1769" spans="1:12" s="31" customFormat="1" ht="17.25" customHeight="1">
      <c r="A1769" s="1375" t="s">
        <v>122</v>
      </c>
      <c r="B1769" s="1630" t="s">
        <v>1083</v>
      </c>
      <c r="C1769" s="1433">
        <f>VLOOKUP(B1764,'CNKT '!$C$189:$Z$254,8,0)</f>
        <v>0</v>
      </c>
      <c r="D1769" s="1379">
        <f>IF(C1765="A",6.1,IF(C1765="B",5.8,IF(C1765="C",5.5,IF(C1765="C.",5.5,IF(C1765="D",5.2)))))*$B$2</f>
        <v>4001.6</v>
      </c>
      <c r="E1769" s="1377">
        <f t="shared" si="205"/>
        <v>0</v>
      </c>
      <c r="F1769" s="1436"/>
      <c r="G1769" s="1375" t="s">
        <v>122</v>
      </c>
      <c r="H1769" s="1630" t="s">
        <v>1083</v>
      </c>
      <c r="I1769" s="1433">
        <f>VLOOKUP(H1764,'CNKT '!$C$189:$Z$254,8,0)</f>
        <v>0</v>
      </c>
      <c r="J1769" s="1379">
        <f>IF(I1765="A",6.1,IF(I1765="B",5.8,IF(I1765="C",5.5,IF(I1765="C.",5.5,IF(I1765="D",5.2)))))*$B$2</f>
        <v>4001.6</v>
      </c>
      <c r="K1769" s="1377">
        <f t="shared" si="206"/>
        <v>0</v>
      </c>
      <c r="L1769" s="1372"/>
    </row>
    <row r="1770" spans="1:12" s="31" customFormat="1" ht="17.25" customHeight="1">
      <c r="A1770" s="1375" t="s">
        <v>961</v>
      </c>
      <c r="B1770" s="1630" t="s">
        <v>1084</v>
      </c>
      <c r="C1770" s="1433">
        <f>VLOOKUP(B1764,'CNKT '!$C$101:$Z$254,13,0)</f>
        <v>0</v>
      </c>
      <c r="D1770" s="1380">
        <f>92.2*$B$2</f>
        <v>60483.200000000004</v>
      </c>
      <c r="E1770" s="1377">
        <f t="shared" si="205"/>
        <v>0</v>
      </c>
      <c r="F1770" s="1436"/>
      <c r="G1770" s="1375" t="s">
        <v>961</v>
      </c>
      <c r="H1770" s="1630" t="s">
        <v>1084</v>
      </c>
      <c r="I1770" s="1433">
        <f>VLOOKUP(H1764,'CNKT '!$C$101:$Z$254,13,0)</f>
        <v>0</v>
      </c>
      <c r="J1770" s="1380">
        <f>92.2*$B$2</f>
        <v>60483.200000000004</v>
      </c>
      <c r="K1770" s="1377">
        <f t="shared" si="206"/>
        <v>0</v>
      </c>
      <c r="L1770" s="1372"/>
    </row>
    <row r="1771" spans="1:12" s="31" customFormat="1" ht="17.25" customHeight="1">
      <c r="A1771" s="1375" t="s">
        <v>886</v>
      </c>
      <c r="B1771" s="1630" t="s">
        <v>964</v>
      </c>
      <c r="C1771" s="1433">
        <f>VLOOKUP(B1764,'CNKT '!$C$189:$Z$254,14,0)</f>
        <v>0</v>
      </c>
      <c r="D1771" s="1379">
        <f>153.6*$B$2</f>
        <v>100761.59999999999</v>
      </c>
      <c r="E1771" s="1377">
        <f t="shared" si="205"/>
        <v>0</v>
      </c>
      <c r="F1771" s="1436"/>
      <c r="G1771" s="1375" t="s">
        <v>886</v>
      </c>
      <c r="H1771" s="1630" t="s">
        <v>964</v>
      </c>
      <c r="I1771" s="1433">
        <f>VLOOKUP(H1764,'CNKT '!$C$189:$Z$254,14,0)</f>
        <v>0</v>
      </c>
      <c r="J1771" s="1379">
        <f>153.6*$B$2</f>
        <v>100761.59999999999</v>
      </c>
      <c r="K1771" s="1377">
        <f t="shared" si="206"/>
        <v>0</v>
      </c>
      <c r="L1771" s="1372"/>
    </row>
    <row r="1772" spans="1:12" s="31" customFormat="1" ht="17.25" customHeight="1">
      <c r="A1772" s="1375" t="s">
        <v>899</v>
      </c>
      <c r="B1772" s="1630" t="s">
        <v>965</v>
      </c>
      <c r="C1772" s="1433">
        <f>VLOOKUP(B1764,'CNKT '!$C$190:$Z$254,18,0)</f>
        <v>0</v>
      </c>
      <c r="D1772" s="1379">
        <v>10000</v>
      </c>
      <c r="E1772" s="1377">
        <f>C1772*D1772</f>
        <v>0</v>
      </c>
      <c r="F1772" s="1436"/>
      <c r="G1772" s="1375" t="s">
        <v>899</v>
      </c>
      <c r="H1772" s="1630" t="s">
        <v>965</v>
      </c>
      <c r="I1772" s="1433">
        <f>VLOOKUP(H1764,'CNKT '!$C$190:$Z$254,18,0)</f>
        <v>0</v>
      </c>
      <c r="J1772" s="1379">
        <v>10000</v>
      </c>
      <c r="K1772" s="1377">
        <f>I1772*J1772</f>
        <v>0</v>
      </c>
      <c r="L1772" s="1372"/>
    </row>
    <row r="1773" spans="1:12" s="31" customFormat="1" ht="17.25" customHeight="1">
      <c r="A1773" s="1375" t="s">
        <v>899</v>
      </c>
      <c r="B1773" s="1630" t="s">
        <v>965</v>
      </c>
      <c r="C1773" s="1433">
        <f>VLOOKUP(B1764,'CNKT '!$C$190:$Z$254,19,0)</f>
        <v>0</v>
      </c>
      <c r="D1773" s="1379">
        <v>20000</v>
      </c>
      <c r="E1773" s="1377">
        <f>C1773*D1773</f>
        <v>0</v>
      </c>
      <c r="F1773" s="1436"/>
      <c r="G1773" s="1375" t="s">
        <v>899</v>
      </c>
      <c r="H1773" s="1630" t="s">
        <v>965</v>
      </c>
      <c r="I1773" s="1433">
        <f>VLOOKUP(H1764,'CNKT '!$C$190:$Z$254,19,0)</f>
        <v>0</v>
      </c>
      <c r="J1773" s="1379">
        <v>20000</v>
      </c>
      <c r="K1773" s="1377">
        <f>I1773*J1773</f>
        <v>0</v>
      </c>
      <c r="L1773" s="1372"/>
    </row>
    <row r="1774" spans="1:12" s="31" customFormat="1" ht="17.25" customHeight="1">
      <c r="A1774" s="1375" t="s">
        <v>995</v>
      </c>
      <c r="B1774" s="1630" t="s">
        <v>997</v>
      </c>
      <c r="C1774" s="1433"/>
      <c r="D1774" s="1379"/>
      <c r="E1774" s="1377"/>
      <c r="F1774" s="1436"/>
      <c r="G1774" s="1375" t="s">
        <v>995</v>
      </c>
      <c r="H1774" s="1630" t="s">
        <v>997</v>
      </c>
      <c r="I1774" s="1433"/>
      <c r="J1774" s="1379"/>
      <c r="K1774" s="1377"/>
      <c r="L1774" s="1372"/>
    </row>
    <row r="1775" spans="1:12" s="31" customFormat="1" ht="17.25" customHeight="1">
      <c r="A1775" s="1381" t="s">
        <v>123</v>
      </c>
      <c r="B1775" s="1631" t="s">
        <v>1085</v>
      </c>
      <c r="C1775" s="1382"/>
      <c r="D1775" s="1383"/>
      <c r="E1775" s="1382"/>
      <c r="F1775" s="1436"/>
      <c r="G1775" s="1381" t="s">
        <v>123</v>
      </c>
      <c r="H1775" s="1631" t="s">
        <v>1085</v>
      </c>
      <c r="I1775" s="1382"/>
      <c r="J1775" s="1383"/>
      <c r="K1775" s="1382"/>
      <c r="L1775" s="1372"/>
    </row>
    <row r="1776" spans="1:12" s="31" customFormat="1" ht="17.25" customHeight="1">
      <c r="A1776" s="1384" t="s">
        <v>124</v>
      </c>
      <c r="B1776" s="1632" t="s">
        <v>1086</v>
      </c>
      <c r="C1776" s="1382"/>
      <c r="D1776" s="1382"/>
      <c r="E1776" s="1382"/>
      <c r="F1776" s="1436"/>
      <c r="G1776" s="1384" t="s">
        <v>124</v>
      </c>
      <c r="H1776" s="1632" t="s">
        <v>1086</v>
      </c>
      <c r="I1776" s="1382"/>
      <c r="J1776" s="1382"/>
      <c r="K1776" s="1382"/>
      <c r="L1776" s="1372"/>
    </row>
    <row r="1777" spans="1:12" s="31" customFormat="1" ht="17.25" customHeight="1">
      <c r="A1777" s="1384" t="s">
        <v>125</v>
      </c>
      <c r="B1777" s="1633" t="s">
        <v>1087</v>
      </c>
      <c r="C1777" s="1382"/>
      <c r="D1777" s="1382"/>
      <c r="E1777" s="1377">
        <f>SUM(E1776)</f>
        <v>0</v>
      </c>
      <c r="F1777" s="1423"/>
      <c r="G1777" s="1384" t="s">
        <v>125</v>
      </c>
      <c r="H1777" s="1633" t="s">
        <v>1087</v>
      </c>
      <c r="I1777" s="1382"/>
      <c r="J1777" s="1382"/>
      <c r="K1777" s="1377">
        <f>SUM(K1776)</f>
        <v>0</v>
      </c>
      <c r="L1777" s="1372"/>
    </row>
    <row r="1778" spans="1:12" s="31" customFormat="1" ht="17.25" customHeight="1">
      <c r="A1778" s="1386" t="s">
        <v>126</v>
      </c>
      <c r="B1778" s="1634" t="s">
        <v>871</v>
      </c>
      <c r="C1778" s="1387"/>
      <c r="D1778" s="1387"/>
      <c r="E1778" s="1387">
        <f>(E1766+E1767+E1768+E1769+E1770+E1771+E1772+E1773+E1774)-E1777</f>
        <v>0</v>
      </c>
      <c r="F1778" s="1423"/>
      <c r="G1778" s="1386" t="s">
        <v>126</v>
      </c>
      <c r="H1778" s="1634" t="s">
        <v>871</v>
      </c>
      <c r="I1778" s="1387"/>
      <c r="J1778" s="1387"/>
      <c r="K1778" s="1387">
        <f>(K1766+K1767+K1768+K1769+K1770+K1771+K1772+K1773+K1774)-K1777</f>
        <v>0</v>
      </c>
      <c r="L1778" s="1389">
        <f>E1778+K1778</f>
        <v>0</v>
      </c>
    </row>
    <row r="1779" spans="1:12" s="31" customFormat="1" ht="17.25" customHeight="1">
      <c r="A1779" s="1449"/>
      <c r="B1779" s="1449"/>
      <c r="C1779" s="1449"/>
      <c r="D1779" s="1449"/>
      <c r="E1779" s="1449"/>
      <c r="F1779" s="1449"/>
      <c r="G1779" s="1449"/>
      <c r="H1779" s="1449"/>
      <c r="I1779" s="1449"/>
      <c r="J1779" s="1449"/>
      <c r="K1779" s="1449"/>
      <c r="L1779" s="1372"/>
    </row>
    <row r="1780" spans="1:12" s="31" customFormat="1" ht="17.25" customHeight="1">
      <c r="A1780" s="1445" t="str">
        <f>A1763</f>
        <v>LƯƠNG THÁNG 01/2025</v>
      </c>
      <c r="B1780" s="1449"/>
      <c r="C1780" s="1449"/>
      <c r="D1780" s="1449"/>
      <c r="E1780" s="1458">
        <f>VLOOKUP(B1781,'CNKT '!$C$190:$AD$254,26,0)</f>
        <v>0</v>
      </c>
      <c r="F1780" s="1436"/>
      <c r="G1780" s="1445" t="str">
        <f>A1780</f>
        <v>LƯƠNG THÁNG 01/2025</v>
      </c>
      <c r="H1780" s="1449"/>
      <c r="I1780" s="1449"/>
      <c r="J1780" s="1452"/>
      <c r="K1780" s="1458">
        <f>VLOOKUP(H1781,'CNKT '!$C$190:$AD$254,26,0)</f>
        <v>0</v>
      </c>
      <c r="L1780" s="1372"/>
    </row>
    <row r="1781" spans="1:12" s="31" customFormat="1" ht="17.25" customHeight="1">
      <c r="A1781" s="1391" t="s">
        <v>29</v>
      </c>
      <c r="B1781" s="1626" t="str">
        <f>'CNKT '!C224</f>
        <v>N. Túc</v>
      </c>
      <c r="C1781" s="1376"/>
      <c r="D1781" s="1626" t="s">
        <v>806</v>
      </c>
      <c r="E1781" s="1626" t="s">
        <v>32</v>
      </c>
      <c r="F1781" s="1436"/>
      <c r="G1781" s="1391" t="s">
        <v>29</v>
      </c>
      <c r="H1781" s="1626" t="str">
        <f>'CNKT '!C225</f>
        <v>N. Xeo Khăm</v>
      </c>
      <c r="I1781" s="1376"/>
      <c r="J1781" s="1626" t="s">
        <v>806</v>
      </c>
      <c r="K1781" s="1626" t="s">
        <v>32</v>
      </c>
      <c r="L1781" s="1372"/>
    </row>
    <row r="1782" spans="1:12" s="31" customFormat="1" ht="17.25" customHeight="1">
      <c r="A1782" s="1375" t="s">
        <v>807</v>
      </c>
      <c r="B1782" s="1628" t="s">
        <v>1080</v>
      </c>
      <c r="C1782" s="1376" t="str">
        <f>VLOOKUP(B1781,'BTH mủ tạp'!$C$182:$AL$244,36,0)</f>
        <v>A</v>
      </c>
      <c r="D1782" s="1377"/>
      <c r="E1782" s="1377"/>
      <c r="F1782" s="1436"/>
      <c r="G1782" s="1375" t="s">
        <v>807</v>
      </c>
      <c r="H1782" s="1628" t="s">
        <v>1080</v>
      </c>
      <c r="I1782" s="1376" t="str">
        <f>VLOOKUP(H1781,'BTH mủ tạp'!$C$182:$AL$244,36,0)</f>
        <v>B</v>
      </c>
      <c r="J1782" s="1377"/>
      <c r="K1782" s="1377"/>
      <c r="L1782" s="1372"/>
    </row>
    <row r="1783" spans="1:12" s="31" customFormat="1" ht="17.25" customHeight="1">
      <c r="A1783" s="1375" t="s">
        <v>121</v>
      </c>
      <c r="B1783" s="1629" t="s">
        <v>865</v>
      </c>
      <c r="C1783" s="1378">
        <f>VLOOKUP(B1781,'CNKT '!$C$189:$Z$254,3,0)</f>
        <v>0</v>
      </c>
      <c r="D1783" s="1379">
        <v>25000</v>
      </c>
      <c r="E1783" s="1377">
        <f t="shared" ref="E1783:E1788" si="207">C1783*D1783</f>
        <v>0</v>
      </c>
      <c r="F1783" s="1436"/>
      <c r="G1783" s="1375" t="s">
        <v>121</v>
      </c>
      <c r="H1783" s="1629" t="s">
        <v>865</v>
      </c>
      <c r="I1783" s="1378">
        <f>VLOOKUP(H1781,'CNKT '!$C$189:$Z$254,3,0)</f>
        <v>0</v>
      </c>
      <c r="J1783" s="1379">
        <v>25000</v>
      </c>
      <c r="K1783" s="1377">
        <f t="shared" ref="K1783:K1788" si="208">I1783*J1783</f>
        <v>0</v>
      </c>
      <c r="L1783" s="1372"/>
    </row>
    <row r="1784" spans="1:12" s="31" customFormat="1" ht="17.25" customHeight="1">
      <c r="A1784" s="1375" t="s">
        <v>628</v>
      </c>
      <c r="B1784" s="1630" t="s">
        <v>1081</v>
      </c>
      <c r="C1784" s="1433">
        <f>VLOOKUP(B1781,'CNKT '!$C$189:$Z$254,11,0)</f>
        <v>0</v>
      </c>
      <c r="D1784" s="1380">
        <f>46.1*$B$2</f>
        <v>30241.600000000002</v>
      </c>
      <c r="E1784" s="1377">
        <f t="shared" si="207"/>
        <v>0</v>
      </c>
      <c r="F1784" s="1436"/>
      <c r="G1784" s="1375" t="s">
        <v>628</v>
      </c>
      <c r="H1784" s="1630" t="s">
        <v>1081</v>
      </c>
      <c r="I1784" s="1433">
        <f>VLOOKUP(H1781,'CNKT '!$C$189:$Z$254,11,0)</f>
        <v>0</v>
      </c>
      <c r="J1784" s="1380">
        <f>46.1*$B$2</f>
        <v>30241.600000000002</v>
      </c>
      <c r="K1784" s="1377">
        <f t="shared" si="208"/>
        <v>0</v>
      </c>
      <c r="L1784" s="1372"/>
    </row>
    <row r="1785" spans="1:12" s="31" customFormat="1" ht="17.25" customHeight="1">
      <c r="A1785" s="1375" t="s">
        <v>809</v>
      </c>
      <c r="B1785" s="1630" t="s">
        <v>1082</v>
      </c>
      <c r="C1785" s="1433">
        <f>VLOOKUP(B1781,'CNKT '!$C$189:$Z$254,12,0)</f>
        <v>0</v>
      </c>
      <c r="D1785" s="1379">
        <f>76.9*$B$2</f>
        <v>50446.400000000001</v>
      </c>
      <c r="E1785" s="1377">
        <f t="shared" si="207"/>
        <v>0</v>
      </c>
      <c r="F1785" s="1436"/>
      <c r="G1785" s="1375" t="s">
        <v>809</v>
      </c>
      <c r="H1785" s="1630" t="s">
        <v>1082</v>
      </c>
      <c r="I1785" s="1433">
        <f>VLOOKUP(H1781,'CNKT '!$C$189:$Z$254,12,0)</f>
        <v>0</v>
      </c>
      <c r="J1785" s="1379">
        <f>76.9*$B$2</f>
        <v>50446.400000000001</v>
      </c>
      <c r="K1785" s="1377">
        <f t="shared" si="208"/>
        <v>0</v>
      </c>
      <c r="L1785" s="1372"/>
    </row>
    <row r="1786" spans="1:12" s="31" customFormat="1" ht="17.25" customHeight="1">
      <c r="A1786" s="1375" t="s">
        <v>122</v>
      </c>
      <c r="B1786" s="1630" t="s">
        <v>1083</v>
      </c>
      <c r="C1786" s="1433">
        <f>VLOOKUP(B1781,'CNKT '!$C$189:$Z$254,8,0)</f>
        <v>0</v>
      </c>
      <c r="D1786" s="1379">
        <f>IF(C1782="A",6.1,IF(C1782="B",5.8,IF(C1782="C",5.5,IF(C1782="C.",5.5,IF(C1782="D",5.2)))))*$B$2</f>
        <v>4001.6</v>
      </c>
      <c r="E1786" s="1377">
        <f t="shared" si="207"/>
        <v>0</v>
      </c>
      <c r="F1786" s="1436"/>
      <c r="G1786" s="1375" t="s">
        <v>122</v>
      </c>
      <c r="H1786" s="1630" t="s">
        <v>1083</v>
      </c>
      <c r="I1786" s="1433">
        <f>VLOOKUP(H1781,'CNKT '!$C$189:$Z$254,8,0)</f>
        <v>0</v>
      </c>
      <c r="J1786" s="1379">
        <f>IF(I1782="A",6.1,IF(I1782="B",5.8,IF(I1782="C",5.5,IF(I1782="C.",5.5,IF(I1782="D",5.2)))))*$B$2</f>
        <v>3804.7999999999997</v>
      </c>
      <c r="K1786" s="1377">
        <f t="shared" si="208"/>
        <v>0</v>
      </c>
      <c r="L1786" s="1372"/>
    </row>
    <row r="1787" spans="1:12" s="31" customFormat="1" ht="17.25" customHeight="1">
      <c r="A1787" s="1375" t="s">
        <v>961</v>
      </c>
      <c r="B1787" s="1630" t="s">
        <v>1084</v>
      </c>
      <c r="C1787" s="1433">
        <f>VLOOKUP(B1781,'CNKT '!$C$101:$Z$254,13,0)</f>
        <v>0</v>
      </c>
      <c r="D1787" s="1380">
        <f>92.2*$B$2</f>
        <v>60483.200000000004</v>
      </c>
      <c r="E1787" s="1377">
        <f t="shared" si="207"/>
        <v>0</v>
      </c>
      <c r="F1787" s="1436"/>
      <c r="G1787" s="1375" t="s">
        <v>961</v>
      </c>
      <c r="H1787" s="1630" t="s">
        <v>1084</v>
      </c>
      <c r="I1787" s="1433">
        <f>VLOOKUP(H1781,'CNKT '!$C$101:$Z$254,13,0)</f>
        <v>0</v>
      </c>
      <c r="J1787" s="1380">
        <f>92.2*$B$2</f>
        <v>60483.200000000004</v>
      </c>
      <c r="K1787" s="1377">
        <f t="shared" si="208"/>
        <v>0</v>
      </c>
      <c r="L1787" s="1372"/>
    </row>
    <row r="1788" spans="1:12" s="31" customFormat="1" ht="17.25" customHeight="1">
      <c r="A1788" s="1375" t="s">
        <v>886</v>
      </c>
      <c r="B1788" s="1630" t="s">
        <v>964</v>
      </c>
      <c r="C1788" s="1433">
        <f>VLOOKUP(B1781,'CNKT '!$C$189:$Z$254,14,0)</f>
        <v>0</v>
      </c>
      <c r="D1788" s="1379">
        <f>153.6*$B$2</f>
        <v>100761.59999999999</v>
      </c>
      <c r="E1788" s="1377">
        <f t="shared" si="207"/>
        <v>0</v>
      </c>
      <c r="F1788" s="1436"/>
      <c r="G1788" s="1375" t="s">
        <v>886</v>
      </c>
      <c r="H1788" s="1630" t="s">
        <v>964</v>
      </c>
      <c r="I1788" s="1433">
        <f>VLOOKUP(H1781,'CNKT '!$C$189:$Z$254,14,0)</f>
        <v>0</v>
      </c>
      <c r="J1788" s="1379">
        <f>153.6*$B$2</f>
        <v>100761.59999999999</v>
      </c>
      <c r="K1788" s="1377">
        <f t="shared" si="208"/>
        <v>0</v>
      </c>
      <c r="L1788" s="1372"/>
    </row>
    <row r="1789" spans="1:12" s="31" customFormat="1" ht="17.25" customHeight="1">
      <c r="A1789" s="1375" t="s">
        <v>899</v>
      </c>
      <c r="B1789" s="1630" t="s">
        <v>965</v>
      </c>
      <c r="C1789" s="1433">
        <f>VLOOKUP(B1781,'CNKT '!$C$190:$Z$254,18,0)</f>
        <v>0</v>
      </c>
      <c r="D1789" s="1379">
        <v>10000</v>
      </c>
      <c r="E1789" s="1377">
        <f>C1789*D1789</f>
        <v>0</v>
      </c>
      <c r="F1789" s="1436"/>
      <c r="G1789" s="1375" t="s">
        <v>899</v>
      </c>
      <c r="H1789" s="1630" t="s">
        <v>965</v>
      </c>
      <c r="I1789" s="1433">
        <f>VLOOKUP(H1781,'CNKT '!$C$190:$Z$254,18,0)</f>
        <v>0</v>
      </c>
      <c r="J1789" s="1379">
        <v>10000</v>
      </c>
      <c r="K1789" s="1377">
        <f>I1789*J1789</f>
        <v>0</v>
      </c>
      <c r="L1789" s="1372"/>
    </row>
    <row r="1790" spans="1:12" s="31" customFormat="1" ht="17.25" customHeight="1">
      <c r="A1790" s="1375" t="s">
        <v>899</v>
      </c>
      <c r="B1790" s="1630" t="s">
        <v>965</v>
      </c>
      <c r="C1790" s="1433">
        <f>VLOOKUP(B1781,'CNKT '!$C$190:$Z$254,19,0)</f>
        <v>0</v>
      </c>
      <c r="D1790" s="1379">
        <v>20000</v>
      </c>
      <c r="E1790" s="1377">
        <f>C1790*D1790</f>
        <v>0</v>
      </c>
      <c r="F1790" s="1436"/>
      <c r="G1790" s="1375" t="s">
        <v>899</v>
      </c>
      <c r="H1790" s="1630" t="s">
        <v>965</v>
      </c>
      <c r="I1790" s="1433">
        <f>VLOOKUP(H1781,'CNKT '!$C$190:$Z$254,19,0)</f>
        <v>0</v>
      </c>
      <c r="J1790" s="1379">
        <v>20000</v>
      </c>
      <c r="K1790" s="1377">
        <f>I1790*J1790</f>
        <v>0</v>
      </c>
      <c r="L1790" s="1372"/>
    </row>
    <row r="1791" spans="1:12" s="31" customFormat="1" ht="17.25" customHeight="1">
      <c r="A1791" s="1375" t="s">
        <v>995</v>
      </c>
      <c r="B1791" s="1630" t="s">
        <v>997</v>
      </c>
      <c r="C1791" s="1433"/>
      <c r="D1791" s="1379"/>
      <c r="E1791" s="1377"/>
      <c r="F1791" s="1436"/>
      <c r="G1791" s="1375" t="s">
        <v>995</v>
      </c>
      <c r="H1791" s="1630" t="s">
        <v>997</v>
      </c>
      <c r="I1791" s="1433"/>
      <c r="J1791" s="1379"/>
      <c r="K1791" s="1377"/>
      <c r="L1791" s="1372"/>
    </row>
    <row r="1792" spans="1:12" s="31" customFormat="1" ht="17.25" customHeight="1">
      <c r="A1792" s="1381" t="s">
        <v>123</v>
      </c>
      <c r="B1792" s="1631" t="s">
        <v>1085</v>
      </c>
      <c r="C1792" s="1382"/>
      <c r="D1792" s="1383"/>
      <c r="E1792" s="1382"/>
      <c r="F1792" s="1436"/>
      <c r="G1792" s="1381" t="s">
        <v>123</v>
      </c>
      <c r="H1792" s="1631" t="s">
        <v>1085</v>
      </c>
      <c r="I1792" s="1382"/>
      <c r="J1792" s="1383"/>
      <c r="K1792" s="1382"/>
      <c r="L1792" s="1372"/>
    </row>
    <row r="1793" spans="1:12" s="31" customFormat="1" ht="17.25" customHeight="1">
      <c r="A1793" s="1384" t="s">
        <v>124</v>
      </c>
      <c r="B1793" s="1632" t="s">
        <v>1086</v>
      </c>
      <c r="C1793" s="1382"/>
      <c r="D1793" s="1382"/>
      <c r="E1793" s="1382"/>
      <c r="F1793" s="1436"/>
      <c r="G1793" s="1384" t="s">
        <v>124</v>
      </c>
      <c r="H1793" s="1632" t="s">
        <v>1086</v>
      </c>
      <c r="I1793" s="1382"/>
      <c r="J1793" s="1382"/>
      <c r="K1793" s="1382"/>
      <c r="L1793" s="1372"/>
    </row>
    <row r="1794" spans="1:12" s="31" customFormat="1" ht="17.25" customHeight="1">
      <c r="A1794" s="1384" t="s">
        <v>125</v>
      </c>
      <c r="B1794" s="1633" t="s">
        <v>1087</v>
      </c>
      <c r="C1794" s="1382"/>
      <c r="D1794" s="1382"/>
      <c r="E1794" s="1377">
        <f>SUM(E1793)</f>
        <v>0</v>
      </c>
      <c r="F1794" s="1433"/>
      <c r="G1794" s="1384" t="s">
        <v>125</v>
      </c>
      <c r="H1794" s="1633" t="s">
        <v>1087</v>
      </c>
      <c r="I1794" s="1382"/>
      <c r="J1794" s="1382"/>
      <c r="K1794" s="1377">
        <f>SUM(K1793)</f>
        <v>0</v>
      </c>
      <c r="L1794" s="1372"/>
    </row>
    <row r="1795" spans="1:12" s="31" customFormat="1" ht="17.25" customHeight="1">
      <c r="A1795" s="1386" t="s">
        <v>126</v>
      </c>
      <c r="B1795" s="1634" t="s">
        <v>871</v>
      </c>
      <c r="C1795" s="1387"/>
      <c r="D1795" s="1387"/>
      <c r="E1795" s="1387">
        <f>(E1783+E1784+E1785+E1786+E1787+E1788+E1789+E1790+E1791)-E1794</f>
        <v>0</v>
      </c>
      <c r="F1795" s="1433"/>
      <c r="G1795" s="1386" t="s">
        <v>126</v>
      </c>
      <c r="H1795" s="1634" t="s">
        <v>871</v>
      </c>
      <c r="I1795" s="1387"/>
      <c r="J1795" s="1387"/>
      <c r="K1795" s="1387">
        <f>(K1783+K1784+K1785+K1786+K1787+K1788+K1789+K1790+K1791)-K1794</f>
        <v>0</v>
      </c>
      <c r="L1795" s="1389">
        <f>E1795+K1795</f>
        <v>0</v>
      </c>
    </row>
    <row r="1796" spans="1:12" s="31" customFormat="1" ht="17.25" customHeight="1">
      <c r="A1796" s="1449"/>
      <c r="B1796" s="1449"/>
      <c r="C1796" s="1449"/>
      <c r="D1796" s="1449"/>
      <c r="E1796" s="1449"/>
      <c r="F1796" s="1449"/>
      <c r="G1796" s="1449"/>
      <c r="H1796" s="1449"/>
      <c r="I1796" s="1449"/>
      <c r="J1796" s="1449"/>
      <c r="K1796" s="1449"/>
      <c r="L1796" s="1372"/>
    </row>
    <row r="1797" spans="1:12" s="31" customFormat="1" ht="17.25" customHeight="1">
      <c r="A1797" s="1445" t="str">
        <f>A1780</f>
        <v>LƯƠNG THÁNG 01/2025</v>
      </c>
      <c r="B1797" s="1449"/>
      <c r="C1797" s="1449"/>
      <c r="D1797" s="1449"/>
      <c r="E1797" s="1458">
        <f>VLOOKUP(B1798,'CNKT '!$C$190:$AD$254,26,0)</f>
        <v>0</v>
      </c>
      <c r="F1797" s="1436"/>
      <c r="G1797" s="1445" t="str">
        <f>A1797</f>
        <v>LƯƠNG THÁNG 01/2025</v>
      </c>
      <c r="H1797" s="1449"/>
      <c r="I1797" s="1449"/>
      <c r="J1797" s="1452"/>
      <c r="K1797" s="1458">
        <f>VLOOKUP(H1798,'CNKT '!$C$190:$AD$254,26,0)</f>
        <v>0</v>
      </c>
      <c r="L1797" s="1372"/>
    </row>
    <row r="1798" spans="1:12" s="31" customFormat="1" ht="17.25" customHeight="1">
      <c r="A1798" s="1391" t="s">
        <v>29</v>
      </c>
      <c r="B1798" s="1626" t="str">
        <f>'CNKT '!C226</f>
        <v>T. Khăm...</v>
      </c>
      <c r="C1798" s="1376"/>
      <c r="D1798" s="1626" t="s">
        <v>806</v>
      </c>
      <c r="E1798" s="1626" t="s">
        <v>32</v>
      </c>
      <c r="F1798" s="1436"/>
      <c r="G1798" s="1391" t="s">
        <v>29</v>
      </c>
      <c r="H1798" s="1626" t="str">
        <f>'CNKT '!C227</f>
        <v>T. Đôn</v>
      </c>
      <c r="I1798" s="1376"/>
      <c r="J1798" s="1626" t="s">
        <v>806</v>
      </c>
      <c r="K1798" s="1626" t="s">
        <v>32</v>
      </c>
      <c r="L1798" s="1372"/>
    </row>
    <row r="1799" spans="1:12" s="31" customFormat="1" ht="17.25" customHeight="1">
      <c r="A1799" s="1375" t="s">
        <v>807</v>
      </c>
      <c r="B1799" s="1628" t="s">
        <v>1080</v>
      </c>
      <c r="C1799" s="1376" t="str">
        <f>VLOOKUP(B1798,'BTH mủ tạp'!$C$182:$AL$244,36,0)</f>
        <v>A</v>
      </c>
      <c r="D1799" s="1377"/>
      <c r="E1799" s="1377"/>
      <c r="F1799" s="1436"/>
      <c r="G1799" s="1375" t="s">
        <v>807</v>
      </c>
      <c r="H1799" s="1628" t="s">
        <v>1080</v>
      </c>
      <c r="I1799" s="1376" t="str">
        <f>VLOOKUP(H1798,'BTH mủ tạp'!$C$182:$AL$244,36,0)</f>
        <v>C</v>
      </c>
      <c r="J1799" s="1377"/>
      <c r="K1799" s="1377"/>
      <c r="L1799" s="1372"/>
    </row>
    <row r="1800" spans="1:12" s="31" customFormat="1" ht="17.25" customHeight="1">
      <c r="A1800" s="1375" t="s">
        <v>121</v>
      </c>
      <c r="B1800" s="1629" t="s">
        <v>865</v>
      </c>
      <c r="C1800" s="1378">
        <f>VLOOKUP(B1798,'CNKT '!$C$189:$Z$254,3,0)</f>
        <v>0</v>
      </c>
      <c r="D1800" s="1379">
        <v>25000</v>
      </c>
      <c r="E1800" s="1377">
        <f t="shared" ref="E1800:E1805" si="209">C1800*D1800</f>
        <v>0</v>
      </c>
      <c r="F1800" s="1436"/>
      <c r="G1800" s="1375" t="s">
        <v>121</v>
      </c>
      <c r="H1800" s="1629" t="s">
        <v>865</v>
      </c>
      <c r="I1800" s="1378">
        <f>VLOOKUP(H1798,'CNKT '!$C$189:$Z$254,3,0)</f>
        <v>0</v>
      </c>
      <c r="J1800" s="1379">
        <v>25000</v>
      </c>
      <c r="K1800" s="1377">
        <f t="shared" ref="K1800:K1805" si="210">I1800*J1800</f>
        <v>0</v>
      </c>
      <c r="L1800" s="1372"/>
    </row>
    <row r="1801" spans="1:12" s="31" customFormat="1" ht="17.25" customHeight="1">
      <c r="A1801" s="1375" t="s">
        <v>628</v>
      </c>
      <c r="B1801" s="1630" t="s">
        <v>1081</v>
      </c>
      <c r="C1801" s="1433">
        <f>VLOOKUP(B1798,'CNKT '!$C$189:$Z$254,11,0)</f>
        <v>0</v>
      </c>
      <c r="D1801" s="1380">
        <f>46.1*$B$2</f>
        <v>30241.600000000002</v>
      </c>
      <c r="E1801" s="1377">
        <f t="shared" si="209"/>
        <v>0</v>
      </c>
      <c r="F1801" s="1436"/>
      <c r="G1801" s="1375" t="s">
        <v>628</v>
      </c>
      <c r="H1801" s="1630" t="s">
        <v>1081</v>
      </c>
      <c r="I1801" s="1433">
        <f>VLOOKUP(H1798,'CNKT '!$C$189:$Z$254,11,0)</f>
        <v>0</v>
      </c>
      <c r="J1801" s="1380">
        <f>46.1*$B$2</f>
        <v>30241.600000000002</v>
      </c>
      <c r="K1801" s="1377">
        <f t="shared" si="210"/>
        <v>0</v>
      </c>
      <c r="L1801" s="1372"/>
    </row>
    <row r="1802" spans="1:12" s="31" customFormat="1" ht="17.25" customHeight="1">
      <c r="A1802" s="1375" t="s">
        <v>809</v>
      </c>
      <c r="B1802" s="1630" t="s">
        <v>1082</v>
      </c>
      <c r="C1802" s="1433">
        <f>VLOOKUP(B1798,'CNKT '!$C$189:$Z$254,12,0)</f>
        <v>0</v>
      </c>
      <c r="D1802" s="1379">
        <f>76.9*$B$2</f>
        <v>50446.400000000001</v>
      </c>
      <c r="E1802" s="1377">
        <f t="shared" si="209"/>
        <v>0</v>
      </c>
      <c r="F1802" s="1436"/>
      <c r="G1802" s="1375" t="s">
        <v>809</v>
      </c>
      <c r="H1802" s="1630" t="s">
        <v>1082</v>
      </c>
      <c r="I1802" s="1433">
        <f>VLOOKUP(H1798,'CNKT '!$C$189:$Z$254,12,0)</f>
        <v>0</v>
      </c>
      <c r="J1802" s="1379">
        <f>76.9*$B$2</f>
        <v>50446.400000000001</v>
      </c>
      <c r="K1802" s="1377">
        <f t="shared" si="210"/>
        <v>0</v>
      </c>
      <c r="L1802" s="1372"/>
    </row>
    <row r="1803" spans="1:12" s="31" customFormat="1" ht="17.25" customHeight="1">
      <c r="A1803" s="1375" t="s">
        <v>122</v>
      </c>
      <c r="B1803" s="1630" t="s">
        <v>1083</v>
      </c>
      <c r="C1803" s="1433">
        <f>VLOOKUP(B1798,'CNKT '!$C$189:$Z$254,8,0)</f>
        <v>0</v>
      </c>
      <c r="D1803" s="1379">
        <f>IF(C1799="A",6.1,IF(C1799="B",5.8,IF(C1799="C",5.5,IF(C1799="C.",5.5,IF(C1799="D",5.2)))))*$B$2</f>
        <v>4001.6</v>
      </c>
      <c r="E1803" s="1377">
        <f t="shared" si="209"/>
        <v>0</v>
      </c>
      <c r="F1803" s="1436"/>
      <c r="G1803" s="1375" t="s">
        <v>122</v>
      </c>
      <c r="H1803" s="1630" t="s">
        <v>1083</v>
      </c>
      <c r="I1803" s="1433">
        <f>VLOOKUP(H1798,'CNKT '!$C$189:$Z$254,8,0)</f>
        <v>0</v>
      </c>
      <c r="J1803" s="1379">
        <f>IF(I1799="A",6.1,IF(I1799="B",5.8,IF(I1799="C",5.5,IF(I1799="C.",5.5,IF(I1799="D",5.2)))))*$B$2</f>
        <v>3608</v>
      </c>
      <c r="K1803" s="1377">
        <f t="shared" si="210"/>
        <v>0</v>
      </c>
      <c r="L1803" s="1372"/>
    </row>
    <row r="1804" spans="1:12" s="31" customFormat="1" ht="17.25" customHeight="1">
      <c r="A1804" s="1375" t="s">
        <v>961</v>
      </c>
      <c r="B1804" s="1630" t="s">
        <v>1084</v>
      </c>
      <c r="C1804" s="1433">
        <f>VLOOKUP(B1798,'CNKT '!$C$101:$Z$254,13,0)</f>
        <v>0</v>
      </c>
      <c r="D1804" s="1380">
        <f>92.2*$B$2</f>
        <v>60483.200000000004</v>
      </c>
      <c r="E1804" s="1377">
        <f t="shared" si="209"/>
        <v>0</v>
      </c>
      <c r="F1804" s="1436"/>
      <c r="G1804" s="1375" t="s">
        <v>961</v>
      </c>
      <c r="H1804" s="1630" t="s">
        <v>1084</v>
      </c>
      <c r="I1804" s="1433">
        <f>VLOOKUP(H1798,'CNKT '!$C$101:$Z$254,13,0)</f>
        <v>0</v>
      </c>
      <c r="J1804" s="1380">
        <f>92.2*$B$2</f>
        <v>60483.200000000004</v>
      </c>
      <c r="K1804" s="1377">
        <f t="shared" si="210"/>
        <v>0</v>
      </c>
      <c r="L1804" s="1372"/>
    </row>
    <row r="1805" spans="1:12" s="31" customFormat="1" ht="17.25" customHeight="1">
      <c r="A1805" s="1375" t="s">
        <v>886</v>
      </c>
      <c r="B1805" s="1630" t="s">
        <v>964</v>
      </c>
      <c r="C1805" s="1433">
        <f>VLOOKUP(B1798,'CNKT '!$C$189:$Z$254,14,0)</f>
        <v>0</v>
      </c>
      <c r="D1805" s="1379">
        <f>153.6*$B$2</f>
        <v>100761.59999999999</v>
      </c>
      <c r="E1805" s="1377">
        <f t="shared" si="209"/>
        <v>0</v>
      </c>
      <c r="F1805" s="1436"/>
      <c r="G1805" s="1375" t="s">
        <v>886</v>
      </c>
      <c r="H1805" s="1630" t="s">
        <v>964</v>
      </c>
      <c r="I1805" s="1433">
        <f>VLOOKUP(H1798,'CNKT '!$C$189:$Z$254,14,0)</f>
        <v>0</v>
      </c>
      <c r="J1805" s="1379">
        <f>153.6*$B$2</f>
        <v>100761.59999999999</v>
      </c>
      <c r="K1805" s="1377">
        <f t="shared" si="210"/>
        <v>0</v>
      </c>
      <c r="L1805" s="1372"/>
    </row>
    <row r="1806" spans="1:12" s="31" customFormat="1" ht="17.25" customHeight="1">
      <c r="A1806" s="1375" t="s">
        <v>899</v>
      </c>
      <c r="B1806" s="1630" t="s">
        <v>965</v>
      </c>
      <c r="C1806" s="1433">
        <f>VLOOKUP(B1798,'CNKT '!$C$190:$Z$254,18,0)</f>
        <v>0</v>
      </c>
      <c r="D1806" s="1379">
        <v>10000</v>
      </c>
      <c r="E1806" s="1377">
        <f>C1806*D1806</f>
        <v>0</v>
      </c>
      <c r="F1806" s="1436"/>
      <c r="G1806" s="1375" t="s">
        <v>899</v>
      </c>
      <c r="H1806" s="1630" t="s">
        <v>965</v>
      </c>
      <c r="I1806" s="1433">
        <f>VLOOKUP(H1798,'CNKT '!$C$190:$Z$254,18,0)</f>
        <v>0</v>
      </c>
      <c r="J1806" s="1379">
        <v>10000</v>
      </c>
      <c r="K1806" s="1377">
        <f>I1806*J1806</f>
        <v>0</v>
      </c>
      <c r="L1806" s="1372"/>
    </row>
    <row r="1807" spans="1:12" s="31" customFormat="1" ht="17.25" customHeight="1">
      <c r="A1807" s="1375" t="s">
        <v>899</v>
      </c>
      <c r="B1807" s="1630" t="s">
        <v>965</v>
      </c>
      <c r="C1807" s="1433">
        <f>VLOOKUP(B1798,'CNKT '!$C$190:$Z$254,19,0)</f>
        <v>0</v>
      </c>
      <c r="D1807" s="1379">
        <v>20000</v>
      </c>
      <c r="E1807" s="1377">
        <f>C1807*D1807</f>
        <v>0</v>
      </c>
      <c r="F1807" s="1436"/>
      <c r="G1807" s="1375" t="s">
        <v>899</v>
      </c>
      <c r="H1807" s="1630" t="s">
        <v>965</v>
      </c>
      <c r="I1807" s="1433">
        <f>VLOOKUP(H1798,'CNKT '!$C$190:$Z$254,19,0)</f>
        <v>0</v>
      </c>
      <c r="J1807" s="1379">
        <v>20000</v>
      </c>
      <c r="K1807" s="1377">
        <f>I1807*J1807</f>
        <v>0</v>
      </c>
      <c r="L1807" s="1372"/>
    </row>
    <row r="1808" spans="1:12" s="31" customFormat="1" ht="17.25" customHeight="1">
      <c r="A1808" s="1375" t="s">
        <v>995</v>
      </c>
      <c r="B1808" s="1630" t="s">
        <v>997</v>
      </c>
      <c r="C1808" s="1433"/>
      <c r="D1808" s="1379"/>
      <c r="E1808" s="1377"/>
      <c r="F1808" s="1436"/>
      <c r="G1808" s="1375" t="s">
        <v>995</v>
      </c>
      <c r="H1808" s="1630" t="s">
        <v>997</v>
      </c>
      <c r="I1808" s="1433"/>
      <c r="J1808" s="1379"/>
      <c r="K1808" s="1377"/>
      <c r="L1808" s="1372"/>
    </row>
    <row r="1809" spans="1:13" s="31" customFormat="1" ht="17.25" customHeight="1">
      <c r="A1809" s="1381" t="s">
        <v>123</v>
      </c>
      <c r="B1809" s="1631" t="s">
        <v>1085</v>
      </c>
      <c r="C1809" s="1382"/>
      <c r="D1809" s="1383"/>
      <c r="E1809" s="1382"/>
      <c r="F1809" s="1436"/>
      <c r="G1809" s="1381" t="s">
        <v>123</v>
      </c>
      <c r="H1809" s="1631" t="s">
        <v>1085</v>
      </c>
      <c r="I1809" s="1382"/>
      <c r="J1809" s="1383"/>
      <c r="K1809" s="1382"/>
      <c r="L1809" s="1372"/>
    </row>
    <row r="1810" spans="1:13" s="31" customFormat="1" ht="17.25" customHeight="1">
      <c r="A1810" s="1384" t="s">
        <v>124</v>
      </c>
      <c r="B1810" s="1632" t="s">
        <v>1086</v>
      </c>
      <c r="C1810" s="1382"/>
      <c r="D1810" s="1382"/>
      <c r="E1810" s="1382"/>
      <c r="F1810" s="1436"/>
      <c r="G1810" s="1384" t="s">
        <v>124</v>
      </c>
      <c r="H1810" s="1632" t="s">
        <v>1086</v>
      </c>
      <c r="I1810" s="1382"/>
      <c r="J1810" s="1382"/>
      <c r="K1810" s="1382"/>
      <c r="L1810" s="1372"/>
    </row>
    <row r="1811" spans="1:13" s="31" customFormat="1" ht="17.25" customHeight="1">
      <c r="A1811" s="1384" t="s">
        <v>125</v>
      </c>
      <c r="B1811" s="1633" t="s">
        <v>1087</v>
      </c>
      <c r="C1811" s="1382"/>
      <c r="D1811" s="1382"/>
      <c r="E1811" s="1377">
        <f>SUM(E1810)</f>
        <v>0</v>
      </c>
      <c r="F1811" s="1432"/>
      <c r="G1811" s="1384" t="s">
        <v>125</v>
      </c>
      <c r="H1811" s="1633" t="s">
        <v>1087</v>
      </c>
      <c r="I1811" s="1382"/>
      <c r="J1811" s="1382"/>
      <c r="K1811" s="1377">
        <f>SUM(K1810)</f>
        <v>0</v>
      </c>
      <c r="L1811" s="1389"/>
      <c r="M1811" s="1385"/>
    </row>
    <row r="1812" spans="1:13" s="31" customFormat="1" ht="17.25" customHeight="1">
      <c r="A1812" s="1386" t="s">
        <v>126</v>
      </c>
      <c r="B1812" s="1634" t="s">
        <v>871</v>
      </c>
      <c r="C1812" s="1387"/>
      <c r="D1812" s="1387"/>
      <c r="E1812" s="1387">
        <f>(E1800+E1801+E1802+E1803+E1804+E1805+E1806+E1807+E1808)-E1811</f>
        <v>0</v>
      </c>
      <c r="F1812" s="1432"/>
      <c r="G1812" s="1386" t="s">
        <v>126</v>
      </c>
      <c r="H1812" s="1634" t="s">
        <v>871</v>
      </c>
      <c r="I1812" s="1387"/>
      <c r="J1812" s="1387"/>
      <c r="K1812" s="1387">
        <f>(K1800+K1801+K1802+K1803+K1804+K1805+K1806+K1807+K1808)-K1811</f>
        <v>0</v>
      </c>
      <c r="L1812" s="1389">
        <f>E1812+K1812</f>
        <v>0</v>
      </c>
      <c r="M1812" s="1385"/>
    </row>
    <row r="1813" spans="1:13" s="31" customFormat="1" ht="66.75" customHeight="1">
      <c r="A1813" s="1449"/>
      <c r="B1813" s="1449"/>
      <c r="C1813" s="1449"/>
      <c r="D1813" s="1449"/>
      <c r="E1813" s="1449"/>
      <c r="F1813" s="1449"/>
      <c r="G1813" s="1449"/>
      <c r="H1813" s="1449"/>
      <c r="I1813" s="1449"/>
      <c r="J1813" s="1449"/>
      <c r="K1813" s="1449"/>
      <c r="L1813" s="1389"/>
      <c r="M1813" s="1385"/>
    </row>
    <row r="1814" spans="1:13" s="31" customFormat="1" ht="17.25" customHeight="1">
      <c r="A1814" s="1445" t="str">
        <f>A1797</f>
        <v>LƯƠNG THÁNG 01/2025</v>
      </c>
      <c r="B1814" s="1449"/>
      <c r="C1814" s="1449"/>
      <c r="D1814" s="1449"/>
      <c r="E1814" s="1458">
        <f>VLOOKUP(B1815,'CNKT '!$C$190:$AD$254,26,0)</f>
        <v>0</v>
      </c>
      <c r="F1814" s="1436"/>
      <c r="G1814" s="1445" t="str">
        <f>A1814</f>
        <v>LƯƠNG THÁNG 01/2025</v>
      </c>
      <c r="H1814" s="1449"/>
      <c r="I1814" s="1449"/>
      <c r="J1814" s="1452"/>
      <c r="K1814" s="1458">
        <f>VLOOKUP(H1815,'CNKT '!$C$190:$AD$254,26,0)</f>
        <v>0</v>
      </c>
      <c r="L1814" s="1389"/>
      <c r="M1814" s="1385"/>
    </row>
    <row r="1815" spans="1:13" s="31" customFormat="1" ht="17.25" customHeight="1">
      <c r="A1815" s="1391" t="s">
        <v>29</v>
      </c>
      <c r="B1815" s="1626" t="str">
        <f>'CNKT '!C228</f>
        <v>N. Pheng</v>
      </c>
      <c r="C1815" s="1376"/>
      <c r="D1815" s="1626" t="s">
        <v>806</v>
      </c>
      <c r="E1815" s="1626" t="s">
        <v>32</v>
      </c>
      <c r="F1815" s="1436"/>
      <c r="G1815" s="1391" t="s">
        <v>29</v>
      </c>
      <c r="H1815" s="1626" t="str">
        <f>'CNKT '!C229</f>
        <v>N. Mom</v>
      </c>
      <c r="I1815" s="1376"/>
      <c r="J1815" s="1626" t="s">
        <v>806</v>
      </c>
      <c r="K1815" s="1626" t="s">
        <v>32</v>
      </c>
      <c r="L1815" s="1389"/>
      <c r="M1815" s="1385"/>
    </row>
    <row r="1816" spans="1:13" s="31" customFormat="1" ht="17.25" customHeight="1">
      <c r="A1816" s="1375" t="s">
        <v>807</v>
      </c>
      <c r="B1816" s="1628" t="s">
        <v>1080</v>
      </c>
      <c r="C1816" s="1376" t="str">
        <f>VLOOKUP(B1815,'BTH mủ tạp'!$C$182:$AL$244,36,0)</f>
        <v>A</v>
      </c>
      <c r="D1816" s="1377"/>
      <c r="E1816" s="1377"/>
      <c r="F1816" s="1436"/>
      <c r="G1816" s="1375" t="s">
        <v>807</v>
      </c>
      <c r="H1816" s="1628" t="s">
        <v>1080</v>
      </c>
      <c r="I1816" s="1376" t="str">
        <f>VLOOKUP(H1815,'BTH mủ tạp'!$C$182:$AL$244,36,0)</f>
        <v>A</v>
      </c>
      <c r="J1816" s="1377"/>
      <c r="K1816" s="1377"/>
      <c r="L1816" s="1389"/>
      <c r="M1816" s="1385"/>
    </row>
    <row r="1817" spans="1:13" s="31" customFormat="1" ht="17.25" customHeight="1">
      <c r="A1817" s="1375" t="s">
        <v>121</v>
      </c>
      <c r="B1817" s="1629" t="s">
        <v>865</v>
      </c>
      <c r="C1817" s="1378">
        <f>VLOOKUP(B1815,'CNKT '!$C$189:$Z$254,3,0)</f>
        <v>0</v>
      </c>
      <c r="D1817" s="1379">
        <v>25000</v>
      </c>
      <c r="E1817" s="1377">
        <f t="shared" ref="E1817:E1822" si="211">C1817*D1817</f>
        <v>0</v>
      </c>
      <c r="F1817" s="1436"/>
      <c r="G1817" s="1375" t="s">
        <v>121</v>
      </c>
      <c r="H1817" s="1629" t="s">
        <v>865</v>
      </c>
      <c r="I1817" s="1378">
        <f>VLOOKUP(H1815,'CNKT '!$C$189:$Z$254,3,0)</f>
        <v>0</v>
      </c>
      <c r="J1817" s="1379">
        <v>25000</v>
      </c>
      <c r="K1817" s="1377">
        <f t="shared" ref="K1817:K1822" si="212">I1817*J1817</f>
        <v>0</v>
      </c>
      <c r="L1817" s="1389"/>
      <c r="M1817" s="1385"/>
    </row>
    <row r="1818" spans="1:13" s="31" customFormat="1" ht="17.25" customHeight="1">
      <c r="A1818" s="1375" t="s">
        <v>628</v>
      </c>
      <c r="B1818" s="1630" t="s">
        <v>1081</v>
      </c>
      <c r="C1818" s="1433">
        <f>VLOOKUP(B1815,'CNKT '!$C$189:$Z$254,11,0)</f>
        <v>0</v>
      </c>
      <c r="D1818" s="1380">
        <f>46.1*$B$2</f>
        <v>30241.600000000002</v>
      </c>
      <c r="E1818" s="1377">
        <f t="shared" si="211"/>
        <v>0</v>
      </c>
      <c r="F1818" s="1436"/>
      <c r="G1818" s="1375" t="s">
        <v>628</v>
      </c>
      <c r="H1818" s="1630" t="s">
        <v>1081</v>
      </c>
      <c r="I1818" s="1433">
        <f>VLOOKUP(H1815,'CNKT '!$C$189:$Z$254,11,0)</f>
        <v>0</v>
      </c>
      <c r="J1818" s="1380">
        <f>46.1*$B$2</f>
        <v>30241.600000000002</v>
      </c>
      <c r="K1818" s="1377">
        <f t="shared" si="212"/>
        <v>0</v>
      </c>
      <c r="L1818" s="1389"/>
      <c r="M1818" s="1385"/>
    </row>
    <row r="1819" spans="1:13" s="31" customFormat="1" ht="17.25" customHeight="1">
      <c r="A1819" s="1375" t="s">
        <v>809</v>
      </c>
      <c r="B1819" s="1630" t="s">
        <v>1082</v>
      </c>
      <c r="C1819" s="1433">
        <f>VLOOKUP(B1815,'CNKT '!$C$189:$Z$254,12,0)</f>
        <v>0</v>
      </c>
      <c r="D1819" s="1379">
        <f>76.9*$B$2</f>
        <v>50446.400000000001</v>
      </c>
      <c r="E1819" s="1377">
        <f t="shared" si="211"/>
        <v>0</v>
      </c>
      <c r="F1819" s="1436"/>
      <c r="G1819" s="1375" t="s">
        <v>809</v>
      </c>
      <c r="H1819" s="1630" t="s">
        <v>1082</v>
      </c>
      <c r="I1819" s="1433">
        <f>VLOOKUP(H1815,'CNKT '!$C$189:$Z$254,12,0)</f>
        <v>0</v>
      </c>
      <c r="J1819" s="1379">
        <f>76.9*$B$2</f>
        <v>50446.400000000001</v>
      </c>
      <c r="K1819" s="1377">
        <f t="shared" si="212"/>
        <v>0</v>
      </c>
      <c r="L1819" s="1389"/>
      <c r="M1819" s="1385"/>
    </row>
    <row r="1820" spans="1:13" s="31" customFormat="1" ht="17.25" customHeight="1">
      <c r="A1820" s="1375" t="s">
        <v>122</v>
      </c>
      <c r="B1820" s="1630" t="s">
        <v>1083</v>
      </c>
      <c r="C1820" s="1433">
        <f>VLOOKUP(B1815,'CNKT '!$C$189:$Z$254,8,0)</f>
        <v>0</v>
      </c>
      <c r="D1820" s="1379">
        <f>IF(C1816="A",6.1,IF(C1816="B",5.8,IF(C1816="C",5.5,IF(C1816="C.",5.5,IF(C1816="D",5.2)))))*$B$2</f>
        <v>4001.6</v>
      </c>
      <c r="E1820" s="1377">
        <f t="shared" si="211"/>
        <v>0</v>
      </c>
      <c r="F1820" s="1436"/>
      <c r="G1820" s="1375" t="s">
        <v>122</v>
      </c>
      <c r="H1820" s="1630" t="s">
        <v>1083</v>
      </c>
      <c r="I1820" s="1433">
        <f>VLOOKUP(H1815,'CNKT '!$C$189:$Z$254,8,0)</f>
        <v>0</v>
      </c>
      <c r="J1820" s="1379">
        <f>IF(I1816="A",6.1,IF(I1816="B",5.8,IF(I1816="C",5.5,IF(I1816="C.",5.5,IF(I1816="D",5.2)))))*$B$2</f>
        <v>4001.6</v>
      </c>
      <c r="K1820" s="1377">
        <f t="shared" si="212"/>
        <v>0</v>
      </c>
      <c r="L1820" s="1389"/>
      <c r="M1820" s="1385"/>
    </row>
    <row r="1821" spans="1:13" s="31" customFormat="1" ht="17.25" customHeight="1">
      <c r="A1821" s="1375" t="s">
        <v>961</v>
      </c>
      <c r="B1821" s="1630" t="s">
        <v>1084</v>
      </c>
      <c r="C1821" s="1433">
        <f>VLOOKUP(B1815,'CNKT '!$C$101:$Z$254,13,0)</f>
        <v>0</v>
      </c>
      <c r="D1821" s="1380">
        <f>92.2*$B$2</f>
        <v>60483.200000000004</v>
      </c>
      <c r="E1821" s="1377">
        <f t="shared" si="211"/>
        <v>0</v>
      </c>
      <c r="F1821" s="1436"/>
      <c r="G1821" s="1375" t="s">
        <v>961</v>
      </c>
      <c r="H1821" s="1630" t="s">
        <v>1084</v>
      </c>
      <c r="I1821" s="1433">
        <f>VLOOKUP(H1815,'CNKT '!$C$101:$Z$254,13,0)</f>
        <v>0</v>
      </c>
      <c r="J1821" s="1380">
        <f>92.2*$B$2</f>
        <v>60483.200000000004</v>
      </c>
      <c r="K1821" s="1377">
        <f t="shared" si="212"/>
        <v>0</v>
      </c>
      <c r="L1821" s="1389"/>
      <c r="M1821" s="1385"/>
    </row>
    <row r="1822" spans="1:13" s="31" customFormat="1" ht="17.25" customHeight="1">
      <c r="A1822" s="1375" t="s">
        <v>886</v>
      </c>
      <c r="B1822" s="1630" t="s">
        <v>964</v>
      </c>
      <c r="C1822" s="1433">
        <f>VLOOKUP(B1815,'CNKT '!$C$189:$Z$254,14,0)</f>
        <v>0</v>
      </c>
      <c r="D1822" s="1379">
        <f>153.6*$B$2</f>
        <v>100761.59999999999</v>
      </c>
      <c r="E1822" s="1377">
        <f t="shared" si="211"/>
        <v>0</v>
      </c>
      <c r="F1822" s="1436"/>
      <c r="G1822" s="1375" t="s">
        <v>886</v>
      </c>
      <c r="H1822" s="1630" t="s">
        <v>964</v>
      </c>
      <c r="I1822" s="1433">
        <f>VLOOKUP(H1815,'CNKT '!$C$189:$Z$254,14,0)</f>
        <v>0</v>
      </c>
      <c r="J1822" s="1379">
        <f>153.6*$B$2</f>
        <v>100761.59999999999</v>
      </c>
      <c r="K1822" s="1377">
        <f t="shared" si="212"/>
        <v>0</v>
      </c>
      <c r="L1822" s="1389"/>
      <c r="M1822" s="1385"/>
    </row>
    <row r="1823" spans="1:13" s="31" customFormat="1" ht="17.25" customHeight="1">
      <c r="A1823" s="1375" t="s">
        <v>899</v>
      </c>
      <c r="B1823" s="1630" t="s">
        <v>965</v>
      </c>
      <c r="C1823" s="1433">
        <f>VLOOKUP(B1815,'CNKT '!$C$190:$Z$254,18,0)</f>
        <v>0</v>
      </c>
      <c r="D1823" s="1379">
        <v>10000</v>
      </c>
      <c r="E1823" s="1377">
        <f>C1823*D1823</f>
        <v>0</v>
      </c>
      <c r="F1823" s="1436"/>
      <c r="G1823" s="1375" t="s">
        <v>899</v>
      </c>
      <c r="H1823" s="1630" t="s">
        <v>965</v>
      </c>
      <c r="I1823" s="1433">
        <f>VLOOKUP(H1815,'CNKT '!$C$190:$Z$254,18,0)</f>
        <v>0</v>
      </c>
      <c r="J1823" s="1379">
        <v>10000</v>
      </c>
      <c r="K1823" s="1377">
        <f>I1823*J1823</f>
        <v>0</v>
      </c>
      <c r="L1823" s="1389"/>
      <c r="M1823" s="1385"/>
    </row>
    <row r="1824" spans="1:13" s="31" customFormat="1" ht="17.25" customHeight="1">
      <c r="A1824" s="1375" t="s">
        <v>899</v>
      </c>
      <c r="B1824" s="1630" t="s">
        <v>965</v>
      </c>
      <c r="C1824" s="1433">
        <f>VLOOKUP(B1815,'CNKT '!$C$190:$Z$254,19,0)</f>
        <v>0</v>
      </c>
      <c r="D1824" s="1379">
        <v>20000</v>
      </c>
      <c r="E1824" s="1377">
        <f>C1824*D1824</f>
        <v>0</v>
      </c>
      <c r="F1824" s="1436"/>
      <c r="G1824" s="1375" t="s">
        <v>899</v>
      </c>
      <c r="H1824" s="1630" t="s">
        <v>965</v>
      </c>
      <c r="I1824" s="1433">
        <f>VLOOKUP(H1815,'CNKT '!$C$190:$Z$254,19,0)</f>
        <v>0</v>
      </c>
      <c r="J1824" s="1379">
        <v>20000</v>
      </c>
      <c r="K1824" s="1377">
        <f>I1824*J1824</f>
        <v>0</v>
      </c>
      <c r="L1824" s="1389"/>
      <c r="M1824" s="1385"/>
    </row>
    <row r="1825" spans="1:13" s="31" customFormat="1" ht="17.25" customHeight="1">
      <c r="A1825" s="1375" t="s">
        <v>995</v>
      </c>
      <c r="B1825" s="1630" t="s">
        <v>997</v>
      </c>
      <c r="C1825" s="1433"/>
      <c r="D1825" s="1379"/>
      <c r="E1825" s="1377"/>
      <c r="F1825" s="1436"/>
      <c r="G1825" s="1375" t="s">
        <v>995</v>
      </c>
      <c r="H1825" s="1630" t="s">
        <v>997</v>
      </c>
      <c r="I1825" s="1433"/>
      <c r="J1825" s="1379"/>
      <c r="K1825" s="1377"/>
      <c r="L1825" s="1389"/>
      <c r="M1825" s="1385"/>
    </row>
    <row r="1826" spans="1:13" s="31" customFormat="1" ht="17.25" customHeight="1">
      <c r="A1826" s="1381" t="s">
        <v>123</v>
      </c>
      <c r="B1826" s="1631" t="s">
        <v>1085</v>
      </c>
      <c r="C1826" s="1382"/>
      <c r="D1826" s="1383"/>
      <c r="E1826" s="1382"/>
      <c r="F1826" s="1436"/>
      <c r="G1826" s="1381" t="s">
        <v>123</v>
      </c>
      <c r="H1826" s="1631" t="s">
        <v>1085</v>
      </c>
      <c r="I1826" s="1382"/>
      <c r="J1826" s="1383"/>
      <c r="K1826" s="1382"/>
      <c r="L1826" s="1389"/>
      <c r="M1826" s="1385"/>
    </row>
    <row r="1827" spans="1:13" s="31" customFormat="1" ht="17.25" customHeight="1">
      <c r="A1827" s="1384" t="s">
        <v>124</v>
      </c>
      <c r="B1827" s="1632" t="s">
        <v>1086</v>
      </c>
      <c r="C1827" s="1382"/>
      <c r="D1827" s="1382"/>
      <c r="E1827" s="1382"/>
      <c r="F1827" s="1436"/>
      <c r="G1827" s="1384" t="s">
        <v>124</v>
      </c>
      <c r="H1827" s="1632" t="s">
        <v>1086</v>
      </c>
      <c r="I1827" s="1382"/>
      <c r="J1827" s="1382"/>
      <c r="K1827" s="1382"/>
      <c r="L1827" s="1389"/>
      <c r="M1827" s="1385"/>
    </row>
    <row r="1828" spans="1:13" s="31" customFormat="1" ht="17.25" customHeight="1">
      <c r="A1828" s="1384" t="s">
        <v>125</v>
      </c>
      <c r="B1828" s="1633" t="s">
        <v>1087</v>
      </c>
      <c r="C1828" s="1382"/>
      <c r="D1828" s="1382"/>
      <c r="E1828" s="1377">
        <f>SUM(E1827)</f>
        <v>0</v>
      </c>
      <c r="F1828" s="1432"/>
      <c r="G1828" s="1384" t="s">
        <v>125</v>
      </c>
      <c r="H1828" s="1633" t="s">
        <v>1087</v>
      </c>
      <c r="I1828" s="1382"/>
      <c r="J1828" s="1382"/>
      <c r="K1828" s="1377">
        <f>SUM(K1827)</f>
        <v>0</v>
      </c>
      <c r="L1828" s="1389"/>
      <c r="M1828" s="1385"/>
    </row>
    <row r="1829" spans="1:13" s="31" customFormat="1" ht="17.25" customHeight="1">
      <c r="A1829" s="1386" t="s">
        <v>126</v>
      </c>
      <c r="B1829" s="1634" t="s">
        <v>871</v>
      </c>
      <c r="C1829" s="1387"/>
      <c r="D1829" s="1387"/>
      <c r="E1829" s="1387">
        <f>(E1817+E1818+E1819+E1820+E1821+E1822+E1823+E1824+E1825)-E1828</f>
        <v>0</v>
      </c>
      <c r="F1829" s="1432"/>
      <c r="G1829" s="1386" t="s">
        <v>126</v>
      </c>
      <c r="H1829" s="1634" t="s">
        <v>871</v>
      </c>
      <c r="I1829" s="1387"/>
      <c r="J1829" s="1387"/>
      <c r="K1829" s="1387">
        <f>(K1817+K1818+K1819+K1820+K1821+K1822+K1823+K1824+K1825)-K1828</f>
        <v>0</v>
      </c>
      <c r="L1829" s="1389">
        <f>E1829+K1829</f>
        <v>0</v>
      </c>
      <c r="M1829" s="1385"/>
    </row>
    <row r="1830" spans="1:13" s="31" customFormat="1" ht="238.5" customHeight="1">
      <c r="A1830" s="1449"/>
      <c r="B1830" s="1449"/>
      <c r="C1830" s="1449"/>
      <c r="D1830" s="1449"/>
      <c r="E1830" s="1449"/>
      <c r="F1830" s="1449"/>
      <c r="G1830" s="1449"/>
      <c r="H1830" s="1449"/>
      <c r="I1830" s="1449"/>
      <c r="J1830" s="1449"/>
      <c r="K1830" s="1449"/>
      <c r="L1830" s="1389"/>
      <c r="M1830" s="1385"/>
    </row>
    <row r="1831" spans="1:13" s="31" customFormat="1" ht="17.25" customHeight="1">
      <c r="A1831" s="1445" t="str">
        <f>A1814</f>
        <v>LƯƠNG THÁNG 01/2025</v>
      </c>
      <c r="B1831" s="1449"/>
      <c r="C1831" s="1449"/>
      <c r="D1831" s="1449"/>
      <c r="E1831" s="1458">
        <f>VLOOKUP(B1832,'CNKT '!$C$190:$AD$254,26,0)</f>
        <v>0</v>
      </c>
      <c r="F1831" s="1436"/>
      <c r="G1831" s="1445" t="str">
        <f>A1831</f>
        <v>LƯƠNG THÁNG 01/2025</v>
      </c>
      <c r="H1831" s="1449"/>
      <c r="I1831" s="1449"/>
      <c r="J1831" s="1452"/>
      <c r="K1831" s="1458">
        <f>VLOOKUP(H1832,'CNKT '!$C$190:$AD$254,26,0)</f>
        <v>0</v>
      </c>
      <c r="L1831" s="1389"/>
      <c r="M1831" s="1385"/>
    </row>
    <row r="1832" spans="1:13" s="31" customFormat="1" ht="17.25" customHeight="1">
      <c r="A1832" s="1391" t="s">
        <v>29</v>
      </c>
      <c r="B1832" s="1626" t="str">
        <f>'CNKT '!C230</f>
        <v>Phắt Ta Na</v>
      </c>
      <c r="C1832" s="1376"/>
      <c r="D1832" s="1626" t="s">
        <v>806</v>
      </c>
      <c r="E1832" s="1626" t="s">
        <v>32</v>
      </c>
      <c r="F1832" s="1436"/>
      <c r="G1832" s="1391" t="s">
        <v>29</v>
      </c>
      <c r="H1832" s="1626" t="str">
        <f>'CNKT '!C231</f>
        <v>Khăn Hạ</v>
      </c>
      <c r="I1832" s="1376"/>
      <c r="J1832" s="1626" t="s">
        <v>806</v>
      </c>
      <c r="K1832" s="1626" t="s">
        <v>32</v>
      </c>
      <c r="L1832" s="1389"/>
      <c r="M1832" s="1385"/>
    </row>
    <row r="1833" spans="1:13" s="31" customFormat="1" ht="17.25" customHeight="1">
      <c r="A1833" s="1375" t="s">
        <v>807</v>
      </c>
      <c r="B1833" s="1628" t="s">
        <v>1080</v>
      </c>
      <c r="C1833" s="1376" t="str">
        <f>VLOOKUP(B1832,'BTH mủ tạp'!$C$182:$AL$244,36,0)</f>
        <v>B</v>
      </c>
      <c r="D1833" s="1377"/>
      <c r="E1833" s="1377"/>
      <c r="F1833" s="1436"/>
      <c r="G1833" s="1375" t="s">
        <v>807</v>
      </c>
      <c r="H1833" s="1628" t="s">
        <v>1080</v>
      </c>
      <c r="I1833" s="1376" t="str">
        <f>VLOOKUP(H1832,'BTH mủ tạp'!$C$182:$AL$244,36,0)</f>
        <v>A</v>
      </c>
      <c r="J1833" s="1377"/>
      <c r="K1833" s="1377"/>
      <c r="L1833" s="1389"/>
      <c r="M1833" s="1385"/>
    </row>
    <row r="1834" spans="1:13" s="31" customFormat="1" ht="17.25" customHeight="1">
      <c r="A1834" s="1375" t="s">
        <v>121</v>
      </c>
      <c r="B1834" s="1629" t="s">
        <v>865</v>
      </c>
      <c r="C1834" s="1378">
        <f>VLOOKUP(B1832,'CNKT '!$C$189:$Z$254,3,0)</f>
        <v>0</v>
      </c>
      <c r="D1834" s="1379">
        <v>25000</v>
      </c>
      <c r="E1834" s="1377">
        <f t="shared" ref="E1834:E1839" si="213">C1834*D1834</f>
        <v>0</v>
      </c>
      <c r="F1834" s="1436"/>
      <c r="G1834" s="1375" t="s">
        <v>121</v>
      </c>
      <c r="H1834" s="1629" t="s">
        <v>865</v>
      </c>
      <c r="I1834" s="1378">
        <f>VLOOKUP(H1832,'CNKT '!$C$189:$Z$254,3,0)</f>
        <v>0</v>
      </c>
      <c r="J1834" s="1379">
        <v>25000</v>
      </c>
      <c r="K1834" s="1377">
        <f t="shared" ref="K1834:K1839" si="214">I1834*J1834</f>
        <v>0</v>
      </c>
      <c r="L1834" s="1389"/>
      <c r="M1834" s="1385"/>
    </row>
    <row r="1835" spans="1:13" s="31" customFormat="1" ht="17.25" customHeight="1">
      <c r="A1835" s="1375" t="s">
        <v>628</v>
      </c>
      <c r="B1835" s="1630" t="s">
        <v>1081</v>
      </c>
      <c r="C1835" s="1433">
        <f>VLOOKUP(B1832,'CNKT '!$C$189:$Z$254,11,0)</f>
        <v>0</v>
      </c>
      <c r="D1835" s="1380">
        <f>46.1*$B$2</f>
        <v>30241.600000000002</v>
      </c>
      <c r="E1835" s="1377">
        <f t="shared" si="213"/>
        <v>0</v>
      </c>
      <c r="F1835" s="1436"/>
      <c r="G1835" s="1375" t="s">
        <v>628</v>
      </c>
      <c r="H1835" s="1630" t="s">
        <v>1081</v>
      </c>
      <c r="I1835" s="1433">
        <f>VLOOKUP(H1832,'CNKT '!$C$189:$Z$254,11,0)</f>
        <v>0</v>
      </c>
      <c r="J1835" s="1380">
        <f>46.1*$B$2</f>
        <v>30241.600000000002</v>
      </c>
      <c r="K1835" s="1377">
        <f t="shared" si="214"/>
        <v>0</v>
      </c>
      <c r="L1835" s="1389"/>
      <c r="M1835" s="1385"/>
    </row>
    <row r="1836" spans="1:13" s="31" customFormat="1" ht="17.25" customHeight="1">
      <c r="A1836" s="1375" t="s">
        <v>809</v>
      </c>
      <c r="B1836" s="1630" t="s">
        <v>1082</v>
      </c>
      <c r="C1836" s="1433">
        <f>VLOOKUP(B1832,'CNKT '!$C$189:$Z$254,12,0)</f>
        <v>0</v>
      </c>
      <c r="D1836" s="1379">
        <f>76.9*$B$2</f>
        <v>50446.400000000001</v>
      </c>
      <c r="E1836" s="1377">
        <f t="shared" si="213"/>
        <v>0</v>
      </c>
      <c r="F1836" s="1436"/>
      <c r="G1836" s="1375" t="s">
        <v>809</v>
      </c>
      <c r="H1836" s="1630" t="s">
        <v>1082</v>
      </c>
      <c r="I1836" s="1433">
        <f>VLOOKUP(H1832,'CNKT '!$C$189:$Z$254,12,0)</f>
        <v>0</v>
      </c>
      <c r="J1836" s="1379">
        <f>76.9*$B$2</f>
        <v>50446.400000000001</v>
      </c>
      <c r="K1836" s="1377">
        <f t="shared" si="214"/>
        <v>0</v>
      </c>
      <c r="L1836" s="1389"/>
      <c r="M1836" s="1385"/>
    </row>
    <row r="1837" spans="1:13" s="31" customFormat="1" ht="17.25" customHeight="1">
      <c r="A1837" s="1375" t="s">
        <v>122</v>
      </c>
      <c r="B1837" s="1630" t="s">
        <v>1083</v>
      </c>
      <c r="C1837" s="1433">
        <f>VLOOKUP(B1832,'CNKT '!$C$189:$Z$254,8,0)</f>
        <v>0</v>
      </c>
      <c r="D1837" s="1379">
        <f>IF(C1833="A",6.1,IF(C1833="B",5.8,IF(C1833="C",5.5,IF(C1833="C.",5.5,IF(C1833="D",5.2)))))*$B$2</f>
        <v>3804.7999999999997</v>
      </c>
      <c r="E1837" s="1377">
        <f t="shared" si="213"/>
        <v>0</v>
      </c>
      <c r="F1837" s="1436"/>
      <c r="G1837" s="1375" t="s">
        <v>122</v>
      </c>
      <c r="H1837" s="1630" t="s">
        <v>1083</v>
      </c>
      <c r="I1837" s="1433">
        <f>VLOOKUP(H1832,'CNKT '!$C$189:$Z$254,8,0)</f>
        <v>0</v>
      </c>
      <c r="J1837" s="1379">
        <f>IF(I1833="A",6.1,IF(I1833="B",5.8,IF(I1833="C",5.5,IF(I1833="C.",5.5,IF(I1833="D",5.2)))))*$B$2</f>
        <v>4001.6</v>
      </c>
      <c r="K1837" s="1377">
        <f t="shared" si="214"/>
        <v>0</v>
      </c>
      <c r="L1837" s="1389"/>
      <c r="M1837" s="1385"/>
    </row>
    <row r="1838" spans="1:13" s="31" customFormat="1" ht="17.25" customHeight="1">
      <c r="A1838" s="1375" t="s">
        <v>961</v>
      </c>
      <c r="B1838" s="1630" t="s">
        <v>1084</v>
      </c>
      <c r="C1838" s="1433">
        <f>VLOOKUP(B1832,'CNKT '!$C$101:$Z$254,13,0)</f>
        <v>0</v>
      </c>
      <c r="D1838" s="1380">
        <f>92.2*$B$2</f>
        <v>60483.200000000004</v>
      </c>
      <c r="E1838" s="1377">
        <f t="shared" si="213"/>
        <v>0</v>
      </c>
      <c r="F1838" s="1436"/>
      <c r="G1838" s="1375" t="s">
        <v>961</v>
      </c>
      <c r="H1838" s="1630" t="s">
        <v>1084</v>
      </c>
      <c r="I1838" s="1433">
        <f>VLOOKUP(H1832,'CNKT '!$C$101:$Z$254,13,0)</f>
        <v>0</v>
      </c>
      <c r="J1838" s="1380">
        <f>92.2*$B$2</f>
        <v>60483.200000000004</v>
      </c>
      <c r="K1838" s="1377">
        <f t="shared" si="214"/>
        <v>0</v>
      </c>
      <c r="L1838" s="1389"/>
      <c r="M1838" s="1385"/>
    </row>
    <row r="1839" spans="1:13" s="31" customFormat="1" ht="17.25" customHeight="1">
      <c r="A1839" s="1375" t="s">
        <v>886</v>
      </c>
      <c r="B1839" s="1630" t="s">
        <v>964</v>
      </c>
      <c r="C1839" s="1433">
        <f>VLOOKUP(B1832,'CNKT '!$C$189:$Z$254,14,0)</f>
        <v>0</v>
      </c>
      <c r="D1839" s="1379">
        <f>153.6*$B$2</f>
        <v>100761.59999999999</v>
      </c>
      <c r="E1839" s="1377">
        <f t="shared" si="213"/>
        <v>0</v>
      </c>
      <c r="F1839" s="1436"/>
      <c r="G1839" s="1375" t="s">
        <v>886</v>
      </c>
      <c r="H1839" s="1630" t="s">
        <v>964</v>
      </c>
      <c r="I1839" s="1433">
        <f>VLOOKUP(H1832,'CNKT '!$C$189:$Z$254,14,0)</f>
        <v>0</v>
      </c>
      <c r="J1839" s="1379">
        <f>153.6*$B$2</f>
        <v>100761.59999999999</v>
      </c>
      <c r="K1839" s="1377">
        <f t="shared" si="214"/>
        <v>0</v>
      </c>
      <c r="L1839" s="1389"/>
      <c r="M1839" s="1385"/>
    </row>
    <row r="1840" spans="1:13" s="31" customFormat="1" ht="17.25" customHeight="1">
      <c r="A1840" s="1375" t="s">
        <v>899</v>
      </c>
      <c r="B1840" s="1630" t="s">
        <v>965</v>
      </c>
      <c r="C1840" s="1433">
        <f>VLOOKUP(B1832,'CNKT '!$C$190:$Z$254,18,0)</f>
        <v>0</v>
      </c>
      <c r="D1840" s="1379">
        <v>10000</v>
      </c>
      <c r="E1840" s="1377">
        <f>C1840*D1840</f>
        <v>0</v>
      </c>
      <c r="F1840" s="1436"/>
      <c r="G1840" s="1375" t="s">
        <v>899</v>
      </c>
      <c r="H1840" s="1630" t="s">
        <v>965</v>
      </c>
      <c r="I1840" s="1433">
        <f>VLOOKUP(H1832,'CNKT '!$C$190:$Z$254,18,0)</f>
        <v>0</v>
      </c>
      <c r="J1840" s="1379">
        <v>10000</v>
      </c>
      <c r="K1840" s="1377">
        <f>I1840*J1840</f>
        <v>0</v>
      </c>
      <c r="L1840" s="1389"/>
      <c r="M1840" s="1385"/>
    </row>
    <row r="1841" spans="1:13" s="31" customFormat="1" ht="17.25" customHeight="1">
      <c r="A1841" s="1375" t="s">
        <v>899</v>
      </c>
      <c r="B1841" s="1630" t="s">
        <v>965</v>
      </c>
      <c r="C1841" s="1433">
        <f>VLOOKUP(B1832,'CNKT '!$C$190:$Z$254,19,0)</f>
        <v>0</v>
      </c>
      <c r="D1841" s="1379">
        <v>20000</v>
      </c>
      <c r="E1841" s="1377">
        <f>C1841*D1841</f>
        <v>0</v>
      </c>
      <c r="F1841" s="1436"/>
      <c r="G1841" s="1375" t="s">
        <v>899</v>
      </c>
      <c r="H1841" s="1630" t="s">
        <v>965</v>
      </c>
      <c r="I1841" s="1433">
        <f>VLOOKUP(H1832,'CNKT '!$C$190:$Z$254,19,0)</f>
        <v>0</v>
      </c>
      <c r="J1841" s="1379">
        <v>20000</v>
      </c>
      <c r="K1841" s="1377">
        <f>I1841*J1841</f>
        <v>0</v>
      </c>
      <c r="L1841" s="1389"/>
      <c r="M1841" s="1385"/>
    </row>
    <row r="1842" spans="1:13" s="31" customFormat="1" ht="17.25" customHeight="1">
      <c r="A1842" s="1375" t="s">
        <v>995</v>
      </c>
      <c r="B1842" s="1630" t="s">
        <v>997</v>
      </c>
      <c r="C1842" s="1433"/>
      <c r="D1842" s="1379"/>
      <c r="E1842" s="1377"/>
      <c r="F1842" s="1436"/>
      <c r="G1842" s="1375" t="s">
        <v>995</v>
      </c>
      <c r="H1842" s="1630" t="s">
        <v>997</v>
      </c>
      <c r="I1842" s="1433"/>
      <c r="J1842" s="1379"/>
      <c r="K1842" s="1377"/>
      <c r="L1842" s="1389"/>
      <c r="M1842" s="1385"/>
    </row>
    <row r="1843" spans="1:13" s="31" customFormat="1" ht="17.25" customHeight="1">
      <c r="A1843" s="1381" t="s">
        <v>123</v>
      </c>
      <c r="B1843" s="1631" t="s">
        <v>1085</v>
      </c>
      <c r="C1843" s="1382"/>
      <c r="D1843" s="1383"/>
      <c r="E1843" s="1382"/>
      <c r="F1843" s="1436"/>
      <c r="G1843" s="1381" t="s">
        <v>123</v>
      </c>
      <c r="H1843" s="1631" t="s">
        <v>1085</v>
      </c>
      <c r="I1843" s="1382"/>
      <c r="J1843" s="1383"/>
      <c r="K1843" s="1382"/>
      <c r="L1843" s="1389"/>
      <c r="M1843" s="1385"/>
    </row>
    <row r="1844" spans="1:13" s="31" customFormat="1" ht="17.25" customHeight="1">
      <c r="A1844" s="1384" t="s">
        <v>124</v>
      </c>
      <c r="B1844" s="1632" t="s">
        <v>1086</v>
      </c>
      <c r="C1844" s="1382"/>
      <c r="D1844" s="1382"/>
      <c r="E1844" s="1382"/>
      <c r="F1844" s="1436"/>
      <c r="G1844" s="1384" t="s">
        <v>124</v>
      </c>
      <c r="H1844" s="1632" t="s">
        <v>1086</v>
      </c>
      <c r="I1844" s="1382"/>
      <c r="J1844" s="1382"/>
      <c r="K1844" s="1382"/>
      <c r="L1844" s="1389"/>
      <c r="M1844" s="1385"/>
    </row>
    <row r="1845" spans="1:13" s="31" customFormat="1" ht="17.25" customHeight="1">
      <c r="A1845" s="1384" t="s">
        <v>125</v>
      </c>
      <c r="B1845" s="1633" t="s">
        <v>1087</v>
      </c>
      <c r="C1845" s="1382"/>
      <c r="D1845" s="1382"/>
      <c r="E1845" s="1377">
        <f>SUM(E1844)</f>
        <v>0</v>
      </c>
      <c r="F1845" s="1432"/>
      <c r="G1845" s="1384" t="s">
        <v>125</v>
      </c>
      <c r="H1845" s="1633" t="s">
        <v>1087</v>
      </c>
      <c r="I1845" s="1382"/>
      <c r="J1845" s="1382"/>
      <c r="K1845" s="1377">
        <f>SUM(K1844)</f>
        <v>0</v>
      </c>
      <c r="L1845" s="1389"/>
      <c r="M1845" s="1385"/>
    </row>
    <row r="1846" spans="1:13" s="31" customFormat="1" ht="17.25" customHeight="1">
      <c r="A1846" s="1386" t="s">
        <v>126</v>
      </c>
      <c r="B1846" s="1634" t="s">
        <v>871</v>
      </c>
      <c r="C1846" s="1387"/>
      <c r="D1846" s="1387"/>
      <c r="E1846" s="1387">
        <f>(E1834+E1835+E1836+E1837+E1838+E1839+E1840+E1841+E1842)-E1845</f>
        <v>0</v>
      </c>
      <c r="F1846" s="1432"/>
      <c r="G1846" s="1386" t="s">
        <v>126</v>
      </c>
      <c r="H1846" s="1634" t="s">
        <v>871</v>
      </c>
      <c r="I1846" s="1387"/>
      <c r="J1846" s="1387"/>
      <c r="K1846" s="1387">
        <f>(K1834+K1835+K1836+K1837+K1838+K1839+K1840+K1841+K1842)-K1845</f>
        <v>0</v>
      </c>
      <c r="L1846" s="1389">
        <f>E1846+K1846</f>
        <v>0</v>
      </c>
      <c r="M1846" s="1385"/>
    </row>
    <row r="1847" spans="1:13" s="31" customFormat="1" ht="17.25" customHeight="1">
      <c r="A1847" s="1449"/>
      <c r="B1847" s="1449"/>
      <c r="C1847" s="1449"/>
      <c r="D1847" s="1449"/>
      <c r="E1847" s="1449"/>
      <c r="F1847" s="1449"/>
      <c r="G1847" s="1449"/>
      <c r="H1847" s="1449"/>
      <c r="I1847" s="1449"/>
      <c r="J1847" s="1449"/>
      <c r="K1847" s="1449"/>
      <c r="L1847" s="1389"/>
      <c r="M1847" s="1385"/>
    </row>
    <row r="1848" spans="1:13" s="31" customFormat="1" ht="17.25" customHeight="1">
      <c r="A1848" s="1445" t="str">
        <f>A1831</f>
        <v>LƯƠNG THÁNG 01/2025</v>
      </c>
      <c r="B1848" s="1449"/>
      <c r="C1848" s="1449"/>
      <c r="D1848" s="1449"/>
      <c r="E1848" s="1458">
        <f>VLOOKUP(B1849,'CNKT '!$C$190:$AD$254,26,0)</f>
        <v>0</v>
      </c>
      <c r="F1848" s="1436"/>
      <c r="G1848" s="1445" t="str">
        <f>A1848</f>
        <v>LƯƠNG THÁNG 01/2025</v>
      </c>
      <c r="H1848" s="1449"/>
      <c r="I1848" s="1449"/>
      <c r="J1848" s="1452"/>
      <c r="K1848" s="1458">
        <f>VLOOKUP(H1849,'CNKT '!$C$190:$AD$254,26,0)</f>
        <v>0</v>
      </c>
      <c r="L1848" s="1389"/>
      <c r="M1848" s="1385"/>
    </row>
    <row r="1849" spans="1:13" s="31" customFormat="1" ht="17.25" customHeight="1">
      <c r="A1849" s="1391" t="s">
        <v>29</v>
      </c>
      <c r="B1849" s="1626" t="str">
        <f>'CNKT '!C232</f>
        <v>T. Chăn La .</v>
      </c>
      <c r="C1849" s="1376"/>
      <c r="D1849" s="1626" t="s">
        <v>806</v>
      </c>
      <c r="E1849" s="1626" t="s">
        <v>32</v>
      </c>
      <c r="F1849" s="1436"/>
      <c r="G1849" s="1391" t="s">
        <v>29</v>
      </c>
      <c r="H1849" s="1626" t="str">
        <f>'CNKT '!C233</f>
        <v>T. Nú</v>
      </c>
      <c r="I1849" s="1376"/>
      <c r="J1849" s="1626" t="s">
        <v>806</v>
      </c>
      <c r="K1849" s="1626" t="s">
        <v>32</v>
      </c>
      <c r="L1849" s="1389"/>
      <c r="M1849" s="1385"/>
    </row>
    <row r="1850" spans="1:13" s="31" customFormat="1" ht="17.25" customHeight="1">
      <c r="A1850" s="1375" t="s">
        <v>807</v>
      </c>
      <c r="B1850" s="1628" t="s">
        <v>1080</v>
      </c>
      <c r="C1850" s="1376" t="str">
        <f>VLOOKUP(B1849,'BTH mủ tạp'!$C$182:$AL$244,36,0)</f>
        <v>A</v>
      </c>
      <c r="D1850" s="1377"/>
      <c r="E1850" s="1377"/>
      <c r="F1850" s="1436"/>
      <c r="G1850" s="1375" t="s">
        <v>807</v>
      </c>
      <c r="H1850" s="1628" t="s">
        <v>1080</v>
      </c>
      <c r="I1850" s="1376" t="str">
        <f>VLOOKUP(H1849,'BTH mủ tạp'!$C$182:$AL$244,36,0)</f>
        <v>A</v>
      </c>
      <c r="J1850" s="1377"/>
      <c r="K1850" s="1377"/>
      <c r="L1850" s="1389"/>
      <c r="M1850" s="1385"/>
    </row>
    <row r="1851" spans="1:13" s="31" customFormat="1" ht="17.25" customHeight="1">
      <c r="A1851" s="1375" t="s">
        <v>121</v>
      </c>
      <c r="B1851" s="1629" t="s">
        <v>865</v>
      </c>
      <c r="C1851" s="1378">
        <f>VLOOKUP(B1849,'CNKT '!$C$189:$Z$254,3,0)</f>
        <v>0</v>
      </c>
      <c r="D1851" s="1379">
        <v>25000</v>
      </c>
      <c r="E1851" s="1377">
        <f t="shared" ref="E1851:E1856" si="215">C1851*D1851</f>
        <v>0</v>
      </c>
      <c r="F1851" s="1436"/>
      <c r="G1851" s="1375" t="s">
        <v>121</v>
      </c>
      <c r="H1851" s="1629" t="s">
        <v>865</v>
      </c>
      <c r="I1851" s="1378">
        <f>VLOOKUP(H1849,'CNKT '!$C$189:$Z$254,3,0)</f>
        <v>0</v>
      </c>
      <c r="J1851" s="1379">
        <v>25000</v>
      </c>
      <c r="K1851" s="1377">
        <f t="shared" ref="K1851:K1856" si="216">I1851*J1851</f>
        <v>0</v>
      </c>
      <c r="L1851" s="1389"/>
      <c r="M1851" s="1385"/>
    </row>
    <row r="1852" spans="1:13" s="31" customFormat="1" ht="17.25" customHeight="1">
      <c r="A1852" s="1375" t="s">
        <v>628</v>
      </c>
      <c r="B1852" s="1630" t="s">
        <v>1081</v>
      </c>
      <c r="C1852" s="1433">
        <f>VLOOKUP(B1849,'CNKT '!$C$189:$Z$254,11,0)</f>
        <v>0</v>
      </c>
      <c r="D1852" s="1380">
        <f>46.1*$B$2</f>
        <v>30241.600000000002</v>
      </c>
      <c r="E1852" s="1377">
        <f t="shared" si="215"/>
        <v>0</v>
      </c>
      <c r="F1852" s="1436"/>
      <c r="G1852" s="1375" t="s">
        <v>628</v>
      </c>
      <c r="H1852" s="1630" t="s">
        <v>1081</v>
      </c>
      <c r="I1852" s="1433">
        <f>VLOOKUP(H1849,'CNKT '!$C$189:$Z$254,11,0)</f>
        <v>0</v>
      </c>
      <c r="J1852" s="1380">
        <f>46.1*$B$2</f>
        <v>30241.600000000002</v>
      </c>
      <c r="K1852" s="1377">
        <f t="shared" si="216"/>
        <v>0</v>
      </c>
      <c r="L1852" s="1389"/>
      <c r="M1852" s="1385"/>
    </row>
    <row r="1853" spans="1:13" s="31" customFormat="1" ht="17.25" customHeight="1">
      <c r="A1853" s="1375" t="s">
        <v>809</v>
      </c>
      <c r="B1853" s="1630" t="s">
        <v>1082</v>
      </c>
      <c r="C1853" s="1433">
        <f>VLOOKUP(B1849,'CNKT '!$C$189:$Z$254,12,0)</f>
        <v>0</v>
      </c>
      <c r="D1853" s="1379">
        <f>76.9*$B$2</f>
        <v>50446.400000000001</v>
      </c>
      <c r="E1853" s="1377">
        <f t="shared" si="215"/>
        <v>0</v>
      </c>
      <c r="F1853" s="1436"/>
      <c r="G1853" s="1375" t="s">
        <v>809</v>
      </c>
      <c r="H1853" s="1630" t="s">
        <v>1082</v>
      </c>
      <c r="I1853" s="1433">
        <f>VLOOKUP(H1849,'CNKT '!$C$189:$Z$254,12,0)</f>
        <v>0</v>
      </c>
      <c r="J1853" s="1379">
        <f>76.9*$B$2</f>
        <v>50446.400000000001</v>
      </c>
      <c r="K1853" s="1377">
        <f t="shared" si="216"/>
        <v>0</v>
      </c>
      <c r="L1853" s="1389"/>
      <c r="M1853" s="1385"/>
    </row>
    <row r="1854" spans="1:13" s="31" customFormat="1" ht="17.25" customHeight="1">
      <c r="A1854" s="1375" t="s">
        <v>122</v>
      </c>
      <c r="B1854" s="1630" t="s">
        <v>1083</v>
      </c>
      <c r="C1854" s="1433">
        <f>VLOOKUP(B1849,'CNKT '!$C$189:$Z$254,8,0)</f>
        <v>0</v>
      </c>
      <c r="D1854" s="1379">
        <f>IF(C1850="A",6.1,IF(C1850="B",5.8,IF(C1850="C",5.5,IF(C1850="C.",5.5,IF(C1850="D",5.2)))))*$B$2</f>
        <v>4001.6</v>
      </c>
      <c r="E1854" s="1377">
        <f t="shared" si="215"/>
        <v>0</v>
      </c>
      <c r="F1854" s="1436"/>
      <c r="G1854" s="1375" t="s">
        <v>122</v>
      </c>
      <c r="H1854" s="1630" t="s">
        <v>1083</v>
      </c>
      <c r="I1854" s="1433">
        <f>VLOOKUP(H1849,'CNKT '!$C$189:$Z$254,8,0)</f>
        <v>0</v>
      </c>
      <c r="J1854" s="1379">
        <f>IF(I1850="A",6.1,IF(I1850="B",5.8,IF(I1850="C",5.5,IF(I1850="C.",5.5,IF(I1850="D",5.2)))))*$B$2</f>
        <v>4001.6</v>
      </c>
      <c r="K1854" s="1377">
        <f t="shared" si="216"/>
        <v>0</v>
      </c>
      <c r="L1854" s="1389"/>
      <c r="M1854" s="1385"/>
    </row>
    <row r="1855" spans="1:13" s="31" customFormat="1" ht="17.25" customHeight="1">
      <c r="A1855" s="1375" t="s">
        <v>961</v>
      </c>
      <c r="B1855" s="1630" t="s">
        <v>1084</v>
      </c>
      <c r="C1855" s="1433">
        <f>VLOOKUP(B1849,'CNKT '!$C$101:$Z$254,13,0)</f>
        <v>0</v>
      </c>
      <c r="D1855" s="1380">
        <f>92.2*$B$2</f>
        <v>60483.200000000004</v>
      </c>
      <c r="E1855" s="1377">
        <f t="shared" si="215"/>
        <v>0</v>
      </c>
      <c r="F1855" s="1436"/>
      <c r="G1855" s="1375" t="s">
        <v>961</v>
      </c>
      <c r="H1855" s="1630" t="s">
        <v>1084</v>
      </c>
      <c r="I1855" s="1433">
        <f>VLOOKUP(H1849,'CNKT '!$C$101:$Z$254,13,0)</f>
        <v>0</v>
      </c>
      <c r="J1855" s="1380">
        <f>92.2*$B$2</f>
        <v>60483.200000000004</v>
      </c>
      <c r="K1855" s="1377">
        <f t="shared" si="216"/>
        <v>0</v>
      </c>
      <c r="L1855" s="1389"/>
      <c r="M1855" s="1385"/>
    </row>
    <row r="1856" spans="1:13" s="31" customFormat="1" ht="17.25" customHeight="1">
      <c r="A1856" s="1375" t="s">
        <v>886</v>
      </c>
      <c r="B1856" s="1630" t="s">
        <v>964</v>
      </c>
      <c r="C1856" s="1433">
        <f>VLOOKUP(B1849,'CNKT '!$C$189:$Z$254,14,0)</f>
        <v>0</v>
      </c>
      <c r="D1856" s="1379">
        <f>153.6*$B$2</f>
        <v>100761.59999999999</v>
      </c>
      <c r="E1856" s="1377">
        <f t="shared" si="215"/>
        <v>0</v>
      </c>
      <c r="F1856" s="1436"/>
      <c r="G1856" s="1375" t="s">
        <v>886</v>
      </c>
      <c r="H1856" s="1630" t="s">
        <v>964</v>
      </c>
      <c r="I1856" s="1433">
        <f>VLOOKUP(H1849,'CNKT '!$C$189:$Z$254,14,0)</f>
        <v>0</v>
      </c>
      <c r="J1856" s="1379">
        <f>153.6*$B$2</f>
        <v>100761.59999999999</v>
      </c>
      <c r="K1856" s="1377">
        <f t="shared" si="216"/>
        <v>0</v>
      </c>
      <c r="L1856" s="1389"/>
      <c r="M1856" s="1385"/>
    </row>
    <row r="1857" spans="1:13" s="31" customFormat="1" ht="17.25" customHeight="1">
      <c r="A1857" s="1375" t="s">
        <v>899</v>
      </c>
      <c r="B1857" s="1630" t="s">
        <v>965</v>
      </c>
      <c r="C1857" s="1433">
        <f>VLOOKUP(B1849,'CNKT '!$C$190:$Z$254,18,0)</f>
        <v>0</v>
      </c>
      <c r="D1857" s="1379">
        <v>10000</v>
      </c>
      <c r="E1857" s="1377">
        <f>C1857*D1857</f>
        <v>0</v>
      </c>
      <c r="F1857" s="1436"/>
      <c r="G1857" s="1375" t="s">
        <v>899</v>
      </c>
      <c r="H1857" s="1630" t="s">
        <v>965</v>
      </c>
      <c r="I1857" s="1433">
        <f>VLOOKUP(H1849,'CNKT '!$C$190:$Z$254,18,0)</f>
        <v>0</v>
      </c>
      <c r="J1857" s="1379">
        <v>10000</v>
      </c>
      <c r="K1857" s="1377">
        <f>I1857*J1857</f>
        <v>0</v>
      </c>
      <c r="L1857" s="1389"/>
      <c r="M1857" s="1385"/>
    </row>
    <row r="1858" spans="1:13" s="31" customFormat="1" ht="17.25" customHeight="1">
      <c r="A1858" s="1375" t="s">
        <v>899</v>
      </c>
      <c r="B1858" s="1630" t="s">
        <v>965</v>
      </c>
      <c r="C1858" s="1433">
        <f>VLOOKUP(B1849,'CNKT '!$C$190:$Z$254,19,0)</f>
        <v>0</v>
      </c>
      <c r="D1858" s="1379">
        <v>20000</v>
      </c>
      <c r="E1858" s="1377">
        <f>C1858*D1858</f>
        <v>0</v>
      </c>
      <c r="F1858" s="1436"/>
      <c r="G1858" s="1375" t="s">
        <v>899</v>
      </c>
      <c r="H1858" s="1630" t="s">
        <v>965</v>
      </c>
      <c r="I1858" s="1433">
        <f>VLOOKUP(H1849,'CNKT '!$C$190:$Z$254,19,0)</f>
        <v>0</v>
      </c>
      <c r="J1858" s="1379">
        <v>20000</v>
      </c>
      <c r="K1858" s="1377">
        <f>I1858*J1858</f>
        <v>0</v>
      </c>
      <c r="L1858" s="1389"/>
      <c r="M1858" s="1385"/>
    </row>
    <row r="1859" spans="1:13" s="31" customFormat="1" ht="17.25" customHeight="1">
      <c r="A1859" s="1375" t="s">
        <v>995</v>
      </c>
      <c r="B1859" s="1630" t="s">
        <v>997</v>
      </c>
      <c r="C1859" s="1433"/>
      <c r="D1859" s="1379"/>
      <c r="E1859" s="1377"/>
      <c r="F1859" s="1436"/>
      <c r="G1859" s="1375" t="s">
        <v>995</v>
      </c>
      <c r="H1859" s="1630" t="s">
        <v>997</v>
      </c>
      <c r="I1859" s="1433"/>
      <c r="J1859" s="1379"/>
      <c r="K1859" s="1377"/>
      <c r="L1859" s="1389"/>
      <c r="M1859" s="1385"/>
    </row>
    <row r="1860" spans="1:13" s="31" customFormat="1" ht="17.25" customHeight="1">
      <c r="A1860" s="1381" t="s">
        <v>123</v>
      </c>
      <c r="B1860" s="1631" t="s">
        <v>1085</v>
      </c>
      <c r="C1860" s="1382"/>
      <c r="D1860" s="1383"/>
      <c r="E1860" s="1382"/>
      <c r="F1860" s="1436"/>
      <c r="G1860" s="1381" t="s">
        <v>123</v>
      </c>
      <c r="H1860" s="1631" t="s">
        <v>1085</v>
      </c>
      <c r="I1860" s="1382"/>
      <c r="J1860" s="1383"/>
      <c r="K1860" s="1382"/>
      <c r="L1860" s="1389"/>
      <c r="M1860" s="1385"/>
    </row>
    <row r="1861" spans="1:13" s="31" customFormat="1" ht="17.25" customHeight="1">
      <c r="A1861" s="1384" t="s">
        <v>124</v>
      </c>
      <c r="B1861" s="1632" t="s">
        <v>1086</v>
      </c>
      <c r="C1861" s="1382"/>
      <c r="D1861" s="1382"/>
      <c r="E1861" s="1382"/>
      <c r="F1861" s="1436"/>
      <c r="G1861" s="1384" t="s">
        <v>124</v>
      </c>
      <c r="H1861" s="1632" t="s">
        <v>1086</v>
      </c>
      <c r="I1861" s="1382"/>
      <c r="J1861" s="1382"/>
      <c r="K1861" s="1382"/>
      <c r="L1861" s="1389"/>
      <c r="M1861" s="1385"/>
    </row>
    <row r="1862" spans="1:13" s="31" customFormat="1" ht="17.25" customHeight="1">
      <c r="A1862" s="1384" t="s">
        <v>125</v>
      </c>
      <c r="B1862" s="1633" t="s">
        <v>1087</v>
      </c>
      <c r="C1862" s="1382"/>
      <c r="D1862" s="1382"/>
      <c r="E1862" s="1377">
        <f>SUM(E1861)</f>
        <v>0</v>
      </c>
      <c r="F1862" s="1432"/>
      <c r="G1862" s="1384" t="s">
        <v>125</v>
      </c>
      <c r="H1862" s="1633" t="s">
        <v>1087</v>
      </c>
      <c r="I1862" s="1382"/>
      <c r="J1862" s="1382"/>
      <c r="K1862" s="1377">
        <f>SUM(K1861)</f>
        <v>0</v>
      </c>
      <c r="L1862" s="1389"/>
      <c r="M1862" s="1385"/>
    </row>
    <row r="1863" spans="1:13" s="31" customFormat="1" ht="17.25" customHeight="1">
      <c r="A1863" s="1386" t="s">
        <v>126</v>
      </c>
      <c r="B1863" s="1634" t="s">
        <v>871</v>
      </c>
      <c r="C1863" s="1387"/>
      <c r="D1863" s="1387"/>
      <c r="E1863" s="1387">
        <f>(E1851+E1852+E1853+E1854+E1855+E1856+E1857+E1858+E1859)-E1862</f>
        <v>0</v>
      </c>
      <c r="F1863" s="1432"/>
      <c r="G1863" s="1386" t="s">
        <v>126</v>
      </c>
      <c r="H1863" s="1634" t="s">
        <v>871</v>
      </c>
      <c r="I1863" s="1387"/>
      <c r="J1863" s="1387"/>
      <c r="K1863" s="1387">
        <f>(K1851+K1852+K1853+K1854+K1855+K1856+K1857+K1858+K1859)-K1862</f>
        <v>0</v>
      </c>
      <c r="L1863" s="1389">
        <f>E1863+K1863</f>
        <v>0</v>
      </c>
      <c r="M1863" s="1385"/>
    </row>
    <row r="1864" spans="1:13" s="31" customFormat="1" ht="17.25" customHeight="1">
      <c r="A1864" s="1449"/>
      <c r="B1864" s="1449"/>
      <c r="C1864" s="1449"/>
      <c r="D1864" s="1449"/>
      <c r="E1864" s="1449"/>
      <c r="F1864" s="1449"/>
      <c r="G1864" s="1449"/>
      <c r="H1864" s="1449"/>
      <c r="I1864" s="1449"/>
      <c r="J1864" s="1449"/>
      <c r="K1864" s="1449"/>
      <c r="L1864" s="1389"/>
      <c r="M1864" s="1385"/>
    </row>
    <row r="1865" spans="1:13" s="31" customFormat="1" ht="17.25" customHeight="1">
      <c r="A1865" s="1445" t="str">
        <f>A1848</f>
        <v>LƯƠNG THÁNG 01/2025</v>
      </c>
      <c r="B1865" s="1449"/>
      <c r="C1865" s="1449"/>
      <c r="D1865" s="1449"/>
      <c r="E1865" s="1458">
        <f>VLOOKUP(B1866,'CNKT '!$C$190:$AD$254,26,0)</f>
        <v>0</v>
      </c>
      <c r="F1865" s="1436"/>
      <c r="G1865" s="1445" t="str">
        <f>A1865</f>
        <v>LƯƠNG THÁNG 01/2025</v>
      </c>
      <c r="H1865" s="1449"/>
      <c r="I1865" s="1449"/>
      <c r="J1865" s="1452"/>
      <c r="K1865" s="1458">
        <f>VLOOKUP(H1866,'CNKT '!$C$190:$AD$254,26,0)</f>
        <v>0</v>
      </c>
      <c r="L1865" s="1389"/>
      <c r="M1865" s="1385"/>
    </row>
    <row r="1866" spans="1:13" s="31" customFormat="1" ht="17.25" customHeight="1">
      <c r="A1866" s="1391" t="s">
        <v>29</v>
      </c>
      <c r="B1866" s="1626" t="str">
        <f>'CNKT '!C234</f>
        <v>T. Xan Nha</v>
      </c>
      <c r="C1866" s="1376"/>
      <c r="D1866" s="1626" t="s">
        <v>806</v>
      </c>
      <c r="E1866" s="1626" t="s">
        <v>32</v>
      </c>
      <c r="F1866" s="1436"/>
      <c r="G1866" s="1391" t="s">
        <v>29</v>
      </c>
      <c r="H1866" s="1626" t="str">
        <f>'CNKT '!C235</f>
        <v>T. A lem</v>
      </c>
      <c r="I1866" s="1376"/>
      <c r="J1866" s="1626" t="s">
        <v>806</v>
      </c>
      <c r="K1866" s="1626" t="s">
        <v>32</v>
      </c>
      <c r="L1866" s="1389"/>
      <c r="M1866" s="1385"/>
    </row>
    <row r="1867" spans="1:13" s="31" customFormat="1" ht="17.25" customHeight="1">
      <c r="A1867" s="1375" t="s">
        <v>807</v>
      </c>
      <c r="B1867" s="1628" t="s">
        <v>1080</v>
      </c>
      <c r="C1867" s="1376" t="str">
        <f>VLOOKUP(B1866,'BTH mủ tạp'!$C$182:$AL$244,36,0)</f>
        <v>A</v>
      </c>
      <c r="D1867" s="1377"/>
      <c r="E1867" s="1377"/>
      <c r="F1867" s="1436"/>
      <c r="G1867" s="1375" t="s">
        <v>807</v>
      </c>
      <c r="H1867" s="1628" t="s">
        <v>1080</v>
      </c>
      <c r="I1867" s="1376" t="str">
        <f>VLOOKUP(H1866,'BTH mủ tạp'!$C$182:$AL$244,36,0)</f>
        <v>A</v>
      </c>
      <c r="J1867" s="1377"/>
      <c r="K1867" s="1377"/>
      <c r="L1867" s="1389"/>
      <c r="M1867" s="1385"/>
    </row>
    <row r="1868" spans="1:13" s="31" customFormat="1" ht="17.25" customHeight="1">
      <c r="A1868" s="1375" t="s">
        <v>121</v>
      </c>
      <c r="B1868" s="1629" t="s">
        <v>865</v>
      </c>
      <c r="C1868" s="1378">
        <f>VLOOKUP(B1866,'CNKT '!$C$189:$Z$254,3,0)</f>
        <v>0</v>
      </c>
      <c r="D1868" s="1379">
        <v>25000</v>
      </c>
      <c r="E1868" s="1377">
        <f t="shared" ref="E1868:E1873" si="217">C1868*D1868</f>
        <v>0</v>
      </c>
      <c r="F1868" s="1436"/>
      <c r="G1868" s="1375" t="s">
        <v>121</v>
      </c>
      <c r="H1868" s="1629" t="s">
        <v>865</v>
      </c>
      <c r="I1868" s="1378">
        <f>VLOOKUP(H1866,'CNKT '!$C$189:$Z$254,3,0)</f>
        <v>0</v>
      </c>
      <c r="J1868" s="1379">
        <v>25000</v>
      </c>
      <c r="K1868" s="1377">
        <f t="shared" ref="K1868:K1873" si="218">I1868*J1868</f>
        <v>0</v>
      </c>
      <c r="L1868" s="1389"/>
      <c r="M1868" s="1385"/>
    </row>
    <row r="1869" spans="1:13" s="31" customFormat="1" ht="17.25" customHeight="1">
      <c r="A1869" s="1375" t="s">
        <v>628</v>
      </c>
      <c r="B1869" s="1630" t="s">
        <v>1081</v>
      </c>
      <c r="C1869" s="1433">
        <f>VLOOKUP(B1866,'CNKT '!$C$189:$Z$254,11,0)</f>
        <v>0</v>
      </c>
      <c r="D1869" s="1380">
        <f>46.1*$B$2</f>
        <v>30241.600000000002</v>
      </c>
      <c r="E1869" s="1377">
        <f t="shared" si="217"/>
        <v>0</v>
      </c>
      <c r="F1869" s="1436"/>
      <c r="G1869" s="1375" t="s">
        <v>628</v>
      </c>
      <c r="H1869" s="1630" t="s">
        <v>1081</v>
      </c>
      <c r="I1869" s="1433">
        <f>VLOOKUP(H1866,'CNKT '!$C$189:$Z$254,11,0)</f>
        <v>0</v>
      </c>
      <c r="J1869" s="1380">
        <f>46.1*$B$2</f>
        <v>30241.600000000002</v>
      </c>
      <c r="K1869" s="1377">
        <f t="shared" si="218"/>
        <v>0</v>
      </c>
      <c r="L1869" s="1389"/>
      <c r="M1869" s="1385"/>
    </row>
    <row r="1870" spans="1:13" s="31" customFormat="1" ht="17.25" customHeight="1">
      <c r="A1870" s="1375" t="s">
        <v>809</v>
      </c>
      <c r="B1870" s="1630" t="s">
        <v>1082</v>
      </c>
      <c r="C1870" s="1433">
        <f>VLOOKUP(B1866,'CNKT '!$C$189:$Z$254,12,0)</f>
        <v>0</v>
      </c>
      <c r="D1870" s="1379">
        <f>76.9*$B$2</f>
        <v>50446.400000000001</v>
      </c>
      <c r="E1870" s="1377">
        <f t="shared" si="217"/>
        <v>0</v>
      </c>
      <c r="F1870" s="1436"/>
      <c r="G1870" s="1375" t="s">
        <v>809</v>
      </c>
      <c r="H1870" s="1630" t="s">
        <v>1082</v>
      </c>
      <c r="I1870" s="1433">
        <f>VLOOKUP(H1866,'CNKT '!$C$189:$Z$254,12,0)</f>
        <v>0</v>
      </c>
      <c r="J1870" s="1379">
        <f>76.9*$B$2</f>
        <v>50446.400000000001</v>
      </c>
      <c r="K1870" s="1377">
        <f t="shared" si="218"/>
        <v>0</v>
      </c>
      <c r="L1870" s="1389"/>
      <c r="M1870" s="1385"/>
    </row>
    <row r="1871" spans="1:13" s="31" customFormat="1" ht="17.25" customHeight="1">
      <c r="A1871" s="1375" t="s">
        <v>122</v>
      </c>
      <c r="B1871" s="1630" t="s">
        <v>1083</v>
      </c>
      <c r="C1871" s="1433">
        <f>VLOOKUP(B1866,'CNKT '!$C$189:$Z$254,8,0)</f>
        <v>0</v>
      </c>
      <c r="D1871" s="1379">
        <f>IF(C1867="A",6.1,IF(C1867="B",5.8,IF(C1867="C",5.5,IF(C1867="C.",5.5,IF(C1867="D",5.2)))))*$B$2</f>
        <v>4001.6</v>
      </c>
      <c r="E1871" s="1377">
        <f t="shared" si="217"/>
        <v>0</v>
      </c>
      <c r="F1871" s="1436"/>
      <c r="G1871" s="1375" t="s">
        <v>122</v>
      </c>
      <c r="H1871" s="1630" t="s">
        <v>1083</v>
      </c>
      <c r="I1871" s="1433">
        <f>VLOOKUP(H1866,'CNKT '!$C$189:$Z$254,8,0)</f>
        <v>0</v>
      </c>
      <c r="J1871" s="1379">
        <f>IF(I1867="A",6.1,IF(I1867="B",5.8,IF(I1867="C",5.5,IF(I1867="C.",5.5,IF(I1867="D",5.2)))))*$B$2</f>
        <v>4001.6</v>
      </c>
      <c r="K1871" s="1377">
        <f t="shared" si="218"/>
        <v>0</v>
      </c>
      <c r="L1871" s="1389"/>
      <c r="M1871" s="1385"/>
    </row>
    <row r="1872" spans="1:13" s="31" customFormat="1" ht="17.25" customHeight="1">
      <c r="A1872" s="1375" t="s">
        <v>961</v>
      </c>
      <c r="B1872" s="1630" t="s">
        <v>1084</v>
      </c>
      <c r="C1872" s="1433">
        <f>VLOOKUP(B1866,'CNKT '!$C$101:$Z$254,13,0)</f>
        <v>0</v>
      </c>
      <c r="D1872" s="1380">
        <f>92.2*$B$2</f>
        <v>60483.200000000004</v>
      </c>
      <c r="E1872" s="1377">
        <f t="shared" si="217"/>
        <v>0</v>
      </c>
      <c r="F1872" s="1436"/>
      <c r="G1872" s="1375" t="s">
        <v>961</v>
      </c>
      <c r="H1872" s="1630" t="s">
        <v>1084</v>
      </c>
      <c r="I1872" s="1433">
        <f>VLOOKUP(H1866,'CNKT '!$C$101:$Z$254,13,0)</f>
        <v>0</v>
      </c>
      <c r="J1872" s="1380">
        <f>92.2*$B$2</f>
        <v>60483.200000000004</v>
      </c>
      <c r="K1872" s="1377">
        <f t="shared" si="218"/>
        <v>0</v>
      </c>
      <c r="L1872" s="1389"/>
      <c r="M1872" s="1385"/>
    </row>
    <row r="1873" spans="1:13" s="31" customFormat="1" ht="17.25" customHeight="1">
      <c r="A1873" s="1375" t="s">
        <v>886</v>
      </c>
      <c r="B1873" s="1630" t="s">
        <v>964</v>
      </c>
      <c r="C1873" s="1433">
        <f>VLOOKUP(B1866,'CNKT '!$C$189:$Z$254,14,0)</f>
        <v>0</v>
      </c>
      <c r="D1873" s="1379">
        <f>153.6*$B$2</f>
        <v>100761.59999999999</v>
      </c>
      <c r="E1873" s="1377">
        <f t="shared" si="217"/>
        <v>0</v>
      </c>
      <c r="F1873" s="1436"/>
      <c r="G1873" s="1375" t="s">
        <v>886</v>
      </c>
      <c r="H1873" s="1630" t="s">
        <v>964</v>
      </c>
      <c r="I1873" s="1433">
        <f>VLOOKUP(H1866,'CNKT '!$C$189:$Z$254,14,0)</f>
        <v>0</v>
      </c>
      <c r="J1873" s="1379">
        <f>153.6*$B$2</f>
        <v>100761.59999999999</v>
      </c>
      <c r="K1873" s="1377">
        <f t="shared" si="218"/>
        <v>0</v>
      </c>
      <c r="L1873" s="1389"/>
      <c r="M1873" s="1385"/>
    </row>
    <row r="1874" spans="1:13" s="31" customFormat="1" ht="17.25" customHeight="1">
      <c r="A1874" s="1375" t="s">
        <v>899</v>
      </c>
      <c r="B1874" s="1630" t="s">
        <v>965</v>
      </c>
      <c r="C1874" s="1433">
        <f>VLOOKUP(B1866,'CNKT '!$C$190:$Z$254,18,0)</f>
        <v>0</v>
      </c>
      <c r="D1874" s="1379">
        <v>10000</v>
      </c>
      <c r="E1874" s="1377">
        <f>C1874*D1874</f>
        <v>0</v>
      </c>
      <c r="F1874" s="1436"/>
      <c r="G1874" s="1375" t="s">
        <v>899</v>
      </c>
      <c r="H1874" s="1630" t="s">
        <v>965</v>
      </c>
      <c r="I1874" s="1433">
        <f>VLOOKUP(H1866,'CNKT '!$C$190:$Z$254,18,0)</f>
        <v>0</v>
      </c>
      <c r="J1874" s="1379">
        <v>10000</v>
      </c>
      <c r="K1874" s="1377">
        <f>I1874*J1874</f>
        <v>0</v>
      </c>
      <c r="L1874" s="1389"/>
      <c r="M1874" s="1385"/>
    </row>
    <row r="1875" spans="1:13" s="31" customFormat="1" ht="17.25" customHeight="1">
      <c r="A1875" s="1375" t="s">
        <v>899</v>
      </c>
      <c r="B1875" s="1630" t="s">
        <v>965</v>
      </c>
      <c r="C1875" s="1433">
        <f>VLOOKUP(B1866,'CNKT '!$C$190:$Z$254,19,0)</f>
        <v>0</v>
      </c>
      <c r="D1875" s="1379">
        <v>20000</v>
      </c>
      <c r="E1875" s="1377">
        <f>C1875*D1875</f>
        <v>0</v>
      </c>
      <c r="F1875" s="1436"/>
      <c r="G1875" s="1375" t="s">
        <v>899</v>
      </c>
      <c r="H1875" s="1630" t="s">
        <v>965</v>
      </c>
      <c r="I1875" s="1433">
        <f>VLOOKUP(H1866,'CNKT '!$C$190:$Z$254,19,0)</f>
        <v>0</v>
      </c>
      <c r="J1875" s="1379">
        <v>20000</v>
      </c>
      <c r="K1875" s="1377">
        <f>I1875*J1875</f>
        <v>0</v>
      </c>
      <c r="L1875" s="1389"/>
      <c r="M1875" s="1385"/>
    </row>
    <row r="1876" spans="1:13" s="31" customFormat="1" ht="17.25" customHeight="1">
      <c r="A1876" s="1375" t="s">
        <v>995</v>
      </c>
      <c r="B1876" s="1630" t="s">
        <v>997</v>
      </c>
      <c r="C1876" s="1433"/>
      <c r="D1876" s="1379"/>
      <c r="E1876" s="1377"/>
      <c r="F1876" s="1436"/>
      <c r="G1876" s="1375" t="s">
        <v>995</v>
      </c>
      <c r="H1876" s="1630" t="s">
        <v>997</v>
      </c>
      <c r="I1876" s="1433"/>
      <c r="J1876" s="1379"/>
      <c r="K1876" s="1377"/>
      <c r="L1876" s="1389"/>
      <c r="M1876" s="1385"/>
    </row>
    <row r="1877" spans="1:13" s="31" customFormat="1" ht="17.25" customHeight="1">
      <c r="A1877" s="1381" t="s">
        <v>123</v>
      </c>
      <c r="B1877" s="1631" t="s">
        <v>1085</v>
      </c>
      <c r="C1877" s="1382"/>
      <c r="D1877" s="1383"/>
      <c r="E1877" s="1382"/>
      <c r="F1877" s="1436"/>
      <c r="G1877" s="1381" t="s">
        <v>123</v>
      </c>
      <c r="H1877" s="1631" t="s">
        <v>1085</v>
      </c>
      <c r="I1877" s="1382"/>
      <c r="J1877" s="1383"/>
      <c r="K1877" s="1382"/>
      <c r="L1877" s="1389"/>
      <c r="M1877" s="1385"/>
    </row>
    <row r="1878" spans="1:13" s="31" customFormat="1" ht="17.25" customHeight="1">
      <c r="A1878" s="1384" t="s">
        <v>124</v>
      </c>
      <c r="B1878" s="1632" t="s">
        <v>1086</v>
      </c>
      <c r="C1878" s="1382"/>
      <c r="D1878" s="1382"/>
      <c r="E1878" s="1382"/>
      <c r="F1878" s="1436"/>
      <c r="G1878" s="1384" t="s">
        <v>124</v>
      </c>
      <c r="H1878" s="1632" t="s">
        <v>1086</v>
      </c>
      <c r="I1878" s="1382"/>
      <c r="J1878" s="1382"/>
      <c r="K1878" s="1382"/>
      <c r="L1878" s="1389"/>
      <c r="M1878" s="1385"/>
    </row>
    <row r="1879" spans="1:13" s="31" customFormat="1" ht="17.25" customHeight="1">
      <c r="A1879" s="1384" t="s">
        <v>125</v>
      </c>
      <c r="B1879" s="1633" t="s">
        <v>1087</v>
      </c>
      <c r="C1879" s="1382"/>
      <c r="D1879" s="1382"/>
      <c r="E1879" s="1377">
        <f>SUM(E1878)</f>
        <v>0</v>
      </c>
      <c r="F1879" s="1432"/>
      <c r="G1879" s="1384" t="s">
        <v>125</v>
      </c>
      <c r="H1879" s="1633" t="s">
        <v>1087</v>
      </c>
      <c r="I1879" s="1382"/>
      <c r="J1879" s="1382"/>
      <c r="K1879" s="1377">
        <f>SUM(K1878)</f>
        <v>0</v>
      </c>
      <c r="L1879" s="1389"/>
      <c r="M1879" s="1385"/>
    </row>
    <row r="1880" spans="1:13" s="31" customFormat="1" ht="17.25" customHeight="1">
      <c r="A1880" s="1386" t="s">
        <v>126</v>
      </c>
      <c r="B1880" s="1634" t="s">
        <v>871</v>
      </c>
      <c r="C1880" s="1387"/>
      <c r="D1880" s="1387"/>
      <c r="E1880" s="1387">
        <f>(E1868+E1869+E1870+E1871+E1872+E1873+E1874+E1875+E1876)-E1879</f>
        <v>0</v>
      </c>
      <c r="F1880" s="1432"/>
      <c r="G1880" s="1386" t="s">
        <v>126</v>
      </c>
      <c r="H1880" s="1634" t="s">
        <v>871</v>
      </c>
      <c r="I1880" s="1387"/>
      <c r="J1880" s="1387"/>
      <c r="K1880" s="1387">
        <f>(K1868+K1869+K1870+K1871+K1872+K1873+K1874+K1875+K1876)-K1879</f>
        <v>0</v>
      </c>
      <c r="L1880" s="1389">
        <f>E1880+K1880</f>
        <v>0</v>
      </c>
      <c r="M1880" s="1385"/>
    </row>
    <row r="1881" spans="1:13" s="31" customFormat="1" ht="17.25" customHeight="1">
      <c r="A1881" s="1449"/>
      <c r="B1881" s="1449"/>
      <c r="C1881" s="1449"/>
      <c r="D1881" s="1449"/>
      <c r="E1881" s="1449"/>
      <c r="F1881" s="1449"/>
      <c r="G1881" s="1449"/>
      <c r="H1881" s="1449"/>
      <c r="I1881" s="1449"/>
      <c r="J1881" s="1449"/>
      <c r="K1881" s="1449"/>
      <c r="L1881" s="1389"/>
      <c r="M1881" s="1385"/>
    </row>
    <row r="1882" spans="1:13" s="31" customFormat="1" ht="17.25" customHeight="1">
      <c r="A1882" s="1445" t="str">
        <f>A1865</f>
        <v>LƯƠNG THÁNG 01/2025</v>
      </c>
      <c r="B1882" s="1449"/>
      <c r="C1882" s="1449"/>
      <c r="D1882" s="1449"/>
      <c r="E1882" s="1458">
        <f>VLOOKUP(B1883,'CNKT '!$C$190:$AD$254,26,0)</f>
        <v>0</v>
      </c>
      <c r="F1882" s="1436"/>
      <c r="G1882" s="1445" t="str">
        <f>A1882</f>
        <v>LƯƠNG THÁNG 01/2025</v>
      </c>
      <c r="H1882" s="1449"/>
      <c r="I1882" s="1449"/>
      <c r="J1882" s="1452"/>
      <c r="K1882" s="1458">
        <f>VLOOKUP(H1883,'CNKT '!$C$190:$AD$254,26,0)</f>
        <v>0</v>
      </c>
      <c r="L1882" s="1389"/>
      <c r="M1882" s="1385"/>
    </row>
    <row r="1883" spans="1:13" s="31" customFormat="1" ht="17.25" customHeight="1">
      <c r="A1883" s="1391" t="s">
        <v>29</v>
      </c>
      <c r="B1883" s="1626" t="str">
        <f>'CNKT '!C236</f>
        <v>T. Chăn</v>
      </c>
      <c r="C1883" s="1376"/>
      <c r="D1883" s="1626" t="s">
        <v>806</v>
      </c>
      <c r="E1883" s="1626" t="s">
        <v>32</v>
      </c>
      <c r="F1883" s="1436"/>
      <c r="G1883" s="1391" t="s">
        <v>29</v>
      </c>
      <c r="H1883" s="1626" t="str">
        <f>'CNKT '!C237</f>
        <v>T . Cổ</v>
      </c>
      <c r="I1883" s="1376"/>
      <c r="J1883" s="1626" t="s">
        <v>806</v>
      </c>
      <c r="K1883" s="1626" t="s">
        <v>32</v>
      </c>
      <c r="L1883" s="1389"/>
      <c r="M1883" s="1385"/>
    </row>
    <row r="1884" spans="1:13" s="31" customFormat="1" ht="17.25" customHeight="1">
      <c r="A1884" s="1375" t="s">
        <v>807</v>
      </c>
      <c r="B1884" s="1628" t="s">
        <v>1080</v>
      </c>
      <c r="C1884" s="1376" t="str">
        <f>VLOOKUP(B1883,'BTH mủ tạp'!$C$182:$AL$244,36,0)</f>
        <v>B</v>
      </c>
      <c r="D1884" s="1377"/>
      <c r="E1884" s="1377"/>
      <c r="F1884" s="1436"/>
      <c r="G1884" s="1375" t="s">
        <v>807</v>
      </c>
      <c r="H1884" s="1628" t="s">
        <v>1080</v>
      </c>
      <c r="I1884" s="1376" t="str">
        <f>VLOOKUP(H1883,'BTH mủ tạp'!$C$182:$AL$244,36,0)</f>
        <v>B</v>
      </c>
      <c r="J1884" s="1377"/>
      <c r="K1884" s="1377"/>
      <c r="L1884" s="1389"/>
      <c r="M1884" s="1385"/>
    </row>
    <row r="1885" spans="1:13" s="31" customFormat="1" ht="17.25" customHeight="1">
      <c r="A1885" s="1375" t="s">
        <v>121</v>
      </c>
      <c r="B1885" s="1629" t="s">
        <v>865</v>
      </c>
      <c r="C1885" s="1378">
        <f>VLOOKUP(B1883,'CNKT '!$C$189:$Z$254,3,0)</f>
        <v>0</v>
      </c>
      <c r="D1885" s="1379">
        <v>25000</v>
      </c>
      <c r="E1885" s="1377">
        <f t="shared" ref="E1885:E1890" si="219">C1885*D1885</f>
        <v>0</v>
      </c>
      <c r="F1885" s="1436"/>
      <c r="G1885" s="1375" t="s">
        <v>121</v>
      </c>
      <c r="H1885" s="1629" t="s">
        <v>865</v>
      </c>
      <c r="I1885" s="1378">
        <f>VLOOKUP(H1883,'CNKT '!$C$189:$Z$254,3,0)</f>
        <v>0</v>
      </c>
      <c r="J1885" s="1379">
        <v>25000</v>
      </c>
      <c r="K1885" s="1377">
        <f t="shared" ref="K1885:K1890" si="220">I1885*J1885</f>
        <v>0</v>
      </c>
      <c r="L1885" s="1389"/>
      <c r="M1885" s="1385"/>
    </row>
    <row r="1886" spans="1:13" s="31" customFormat="1" ht="17.25" customHeight="1">
      <c r="A1886" s="1375" t="s">
        <v>628</v>
      </c>
      <c r="B1886" s="1630" t="s">
        <v>1081</v>
      </c>
      <c r="C1886" s="1433">
        <f>VLOOKUP(B1883,'CNKT '!$C$189:$Z$254,11,0)</f>
        <v>0</v>
      </c>
      <c r="D1886" s="1380">
        <f>46.1*$B$2</f>
        <v>30241.600000000002</v>
      </c>
      <c r="E1886" s="1377">
        <f t="shared" si="219"/>
        <v>0</v>
      </c>
      <c r="F1886" s="1436"/>
      <c r="G1886" s="1375" t="s">
        <v>628</v>
      </c>
      <c r="H1886" s="1630" t="s">
        <v>1081</v>
      </c>
      <c r="I1886" s="1433">
        <f>VLOOKUP(H1883,'CNKT '!$C$189:$Z$254,11,0)</f>
        <v>0</v>
      </c>
      <c r="J1886" s="1380">
        <f>46.1*$B$2</f>
        <v>30241.600000000002</v>
      </c>
      <c r="K1886" s="1377">
        <f t="shared" si="220"/>
        <v>0</v>
      </c>
      <c r="L1886" s="1389"/>
      <c r="M1886" s="1385"/>
    </row>
    <row r="1887" spans="1:13" s="31" customFormat="1" ht="17.25" customHeight="1">
      <c r="A1887" s="1375" t="s">
        <v>809</v>
      </c>
      <c r="B1887" s="1630" t="s">
        <v>1082</v>
      </c>
      <c r="C1887" s="1433">
        <f>VLOOKUP(B1883,'CNKT '!$C$189:$Z$254,12,0)</f>
        <v>0</v>
      </c>
      <c r="D1887" s="1379">
        <f>76.9*$B$2</f>
        <v>50446.400000000001</v>
      </c>
      <c r="E1887" s="1377">
        <f t="shared" si="219"/>
        <v>0</v>
      </c>
      <c r="F1887" s="1436"/>
      <c r="G1887" s="1375" t="s">
        <v>809</v>
      </c>
      <c r="H1887" s="1630" t="s">
        <v>1082</v>
      </c>
      <c r="I1887" s="1433">
        <f>VLOOKUP(H1883,'CNKT '!$C$189:$Z$254,12,0)</f>
        <v>0</v>
      </c>
      <c r="J1887" s="1379">
        <f>76.9*$B$2</f>
        <v>50446.400000000001</v>
      </c>
      <c r="K1887" s="1377">
        <f t="shared" si="220"/>
        <v>0</v>
      </c>
      <c r="L1887" s="1389"/>
      <c r="M1887" s="1385"/>
    </row>
    <row r="1888" spans="1:13" s="31" customFormat="1" ht="17.25" customHeight="1">
      <c r="A1888" s="1375" t="s">
        <v>122</v>
      </c>
      <c r="B1888" s="1630" t="s">
        <v>1083</v>
      </c>
      <c r="C1888" s="1433">
        <f>VLOOKUP(B1883,'CNKT '!$C$189:$Z$254,8,0)</f>
        <v>0</v>
      </c>
      <c r="D1888" s="1379">
        <f>IF(C1884="A",6.1,IF(C1884="B",5.8,IF(C1884="C",5.5,IF(C1884="C.",5.5,IF(C1884="D",5.2)))))*$B$2</f>
        <v>3804.7999999999997</v>
      </c>
      <c r="E1888" s="1377">
        <f t="shared" si="219"/>
        <v>0</v>
      </c>
      <c r="F1888" s="1436"/>
      <c r="G1888" s="1375" t="s">
        <v>122</v>
      </c>
      <c r="H1888" s="1630" t="s">
        <v>1083</v>
      </c>
      <c r="I1888" s="1433">
        <f>VLOOKUP(H1883,'CNKT '!$C$189:$Z$254,8,0)</f>
        <v>0</v>
      </c>
      <c r="J1888" s="1379">
        <f>IF(I1884="A",6.1,IF(I1884="B",5.8,IF(I1884="C",5.5,IF(I1884="C.",5.5,IF(I1884="D",5.2)))))*$B$2</f>
        <v>3804.7999999999997</v>
      </c>
      <c r="K1888" s="1377">
        <f t="shared" si="220"/>
        <v>0</v>
      </c>
      <c r="L1888" s="1389"/>
      <c r="M1888" s="1385"/>
    </row>
    <row r="1889" spans="1:13" s="31" customFormat="1" ht="17.25" customHeight="1">
      <c r="A1889" s="1375" t="s">
        <v>961</v>
      </c>
      <c r="B1889" s="1630" t="s">
        <v>1084</v>
      </c>
      <c r="C1889" s="1433">
        <f>VLOOKUP(B1883,'CNKT '!$C$101:$Z$254,13,0)</f>
        <v>0</v>
      </c>
      <c r="D1889" s="1380">
        <f>92.2*$B$2</f>
        <v>60483.200000000004</v>
      </c>
      <c r="E1889" s="1377">
        <f t="shared" si="219"/>
        <v>0</v>
      </c>
      <c r="F1889" s="1436"/>
      <c r="G1889" s="1375" t="s">
        <v>961</v>
      </c>
      <c r="H1889" s="1630" t="s">
        <v>1084</v>
      </c>
      <c r="I1889" s="1433">
        <f>VLOOKUP(H1883,'CNKT '!$C$101:$Z$254,13,0)</f>
        <v>0</v>
      </c>
      <c r="J1889" s="1380">
        <f>92.2*$B$2</f>
        <v>60483.200000000004</v>
      </c>
      <c r="K1889" s="1377">
        <f t="shared" si="220"/>
        <v>0</v>
      </c>
      <c r="L1889" s="1389"/>
      <c r="M1889" s="1385"/>
    </row>
    <row r="1890" spans="1:13" s="31" customFormat="1" ht="17.25" customHeight="1">
      <c r="A1890" s="1375" t="s">
        <v>886</v>
      </c>
      <c r="B1890" s="1630" t="s">
        <v>964</v>
      </c>
      <c r="C1890" s="1433">
        <f>VLOOKUP(B1883,'CNKT '!$C$189:$Z$254,14,0)</f>
        <v>0</v>
      </c>
      <c r="D1890" s="1379">
        <f>153.6*$B$2</f>
        <v>100761.59999999999</v>
      </c>
      <c r="E1890" s="1377">
        <f t="shared" si="219"/>
        <v>0</v>
      </c>
      <c r="F1890" s="1436"/>
      <c r="G1890" s="1375" t="s">
        <v>886</v>
      </c>
      <c r="H1890" s="1630" t="s">
        <v>964</v>
      </c>
      <c r="I1890" s="1433">
        <f>VLOOKUP(H1883,'CNKT '!$C$189:$Z$254,14,0)</f>
        <v>0</v>
      </c>
      <c r="J1890" s="1379">
        <f>153.6*$B$2</f>
        <v>100761.59999999999</v>
      </c>
      <c r="K1890" s="1377">
        <f t="shared" si="220"/>
        <v>0</v>
      </c>
      <c r="L1890" s="1389"/>
      <c r="M1890" s="1385"/>
    </row>
    <row r="1891" spans="1:13" s="31" customFormat="1" ht="17.25" customHeight="1">
      <c r="A1891" s="1375" t="s">
        <v>899</v>
      </c>
      <c r="B1891" s="1630" t="s">
        <v>965</v>
      </c>
      <c r="C1891" s="1433">
        <f>VLOOKUP(B1883,'CNKT '!$C$190:$Z$254,18,0)</f>
        <v>0</v>
      </c>
      <c r="D1891" s="1379">
        <v>10000</v>
      </c>
      <c r="E1891" s="1377">
        <f>C1891*D1891</f>
        <v>0</v>
      </c>
      <c r="F1891" s="1436"/>
      <c r="G1891" s="1375" t="s">
        <v>899</v>
      </c>
      <c r="H1891" s="1630" t="s">
        <v>965</v>
      </c>
      <c r="I1891" s="1433">
        <f>VLOOKUP(H1883,'CNKT '!$C$190:$Z$254,18,0)</f>
        <v>0</v>
      </c>
      <c r="J1891" s="1379">
        <v>10000</v>
      </c>
      <c r="K1891" s="1377">
        <f>I1891*J1891</f>
        <v>0</v>
      </c>
      <c r="L1891" s="1389"/>
      <c r="M1891" s="1385"/>
    </row>
    <row r="1892" spans="1:13" s="31" customFormat="1" ht="17.25" customHeight="1">
      <c r="A1892" s="1375" t="s">
        <v>899</v>
      </c>
      <c r="B1892" s="1630" t="s">
        <v>965</v>
      </c>
      <c r="C1892" s="1433">
        <f>VLOOKUP(B1883,'CNKT '!$C$190:$Z$254,19,0)</f>
        <v>0</v>
      </c>
      <c r="D1892" s="1379">
        <v>20000</v>
      </c>
      <c r="E1892" s="1377">
        <f>C1892*D1892</f>
        <v>0</v>
      </c>
      <c r="F1892" s="1436"/>
      <c r="G1892" s="1375" t="s">
        <v>899</v>
      </c>
      <c r="H1892" s="1630" t="s">
        <v>965</v>
      </c>
      <c r="I1892" s="1433">
        <f>VLOOKUP(H1883,'CNKT '!$C$190:$Z$254,19,0)</f>
        <v>0</v>
      </c>
      <c r="J1892" s="1379">
        <v>20000</v>
      </c>
      <c r="K1892" s="1377">
        <f>I1892*J1892</f>
        <v>0</v>
      </c>
      <c r="L1892" s="1389"/>
      <c r="M1892" s="1385"/>
    </row>
    <row r="1893" spans="1:13" s="31" customFormat="1" ht="17.25" customHeight="1">
      <c r="A1893" s="1375" t="s">
        <v>995</v>
      </c>
      <c r="B1893" s="1630" t="s">
        <v>997</v>
      </c>
      <c r="C1893" s="1433"/>
      <c r="D1893" s="1379"/>
      <c r="E1893" s="1377"/>
      <c r="F1893" s="1436"/>
      <c r="G1893" s="1375" t="s">
        <v>995</v>
      </c>
      <c r="H1893" s="1630" t="s">
        <v>997</v>
      </c>
      <c r="I1893" s="1433"/>
      <c r="J1893" s="1379"/>
      <c r="K1893" s="1377"/>
      <c r="L1893" s="1389"/>
      <c r="M1893" s="1385"/>
    </row>
    <row r="1894" spans="1:13" s="31" customFormat="1" ht="17.25" customHeight="1">
      <c r="A1894" s="1381" t="s">
        <v>123</v>
      </c>
      <c r="B1894" s="1631" t="s">
        <v>1085</v>
      </c>
      <c r="C1894" s="1382"/>
      <c r="D1894" s="1383"/>
      <c r="E1894" s="1382"/>
      <c r="F1894" s="1436"/>
      <c r="G1894" s="1381" t="s">
        <v>123</v>
      </c>
      <c r="H1894" s="1631" t="s">
        <v>1085</v>
      </c>
      <c r="I1894" s="1382"/>
      <c r="J1894" s="1383"/>
      <c r="K1894" s="1382"/>
      <c r="L1894" s="1389"/>
      <c r="M1894" s="1385"/>
    </row>
    <row r="1895" spans="1:13" s="31" customFormat="1" ht="17.25" customHeight="1">
      <c r="A1895" s="1384" t="s">
        <v>124</v>
      </c>
      <c r="B1895" s="1632" t="s">
        <v>1086</v>
      </c>
      <c r="C1895" s="1382"/>
      <c r="D1895" s="1382"/>
      <c r="E1895" s="1382"/>
      <c r="F1895" s="1436"/>
      <c r="G1895" s="1384" t="s">
        <v>124</v>
      </c>
      <c r="H1895" s="1632" t="s">
        <v>1086</v>
      </c>
      <c r="I1895" s="1382"/>
      <c r="J1895" s="1382"/>
      <c r="K1895" s="1382"/>
      <c r="L1895" s="1389"/>
      <c r="M1895" s="1385"/>
    </row>
    <row r="1896" spans="1:13" s="31" customFormat="1" ht="17.25" customHeight="1">
      <c r="A1896" s="1384" t="s">
        <v>125</v>
      </c>
      <c r="B1896" s="1633" t="s">
        <v>1087</v>
      </c>
      <c r="C1896" s="1382"/>
      <c r="D1896" s="1382"/>
      <c r="E1896" s="1377">
        <f>SUM(E1895)</f>
        <v>0</v>
      </c>
      <c r="F1896" s="1432"/>
      <c r="G1896" s="1384" t="s">
        <v>125</v>
      </c>
      <c r="H1896" s="1633" t="s">
        <v>1087</v>
      </c>
      <c r="I1896" s="1382"/>
      <c r="J1896" s="1382"/>
      <c r="K1896" s="1377">
        <f>SUM(K1895)</f>
        <v>0</v>
      </c>
      <c r="L1896" s="1389"/>
      <c r="M1896" s="1385"/>
    </row>
    <row r="1897" spans="1:13" s="31" customFormat="1" ht="17.25" customHeight="1">
      <c r="A1897" s="1386" t="s">
        <v>126</v>
      </c>
      <c r="B1897" s="1634" t="s">
        <v>871</v>
      </c>
      <c r="C1897" s="1387"/>
      <c r="D1897" s="1387"/>
      <c r="E1897" s="1387">
        <f>(E1885+E1886+E1887+E1888+E1889+E1890+E1891+E1892+E1893)-E1896</f>
        <v>0</v>
      </c>
      <c r="F1897" s="1432"/>
      <c r="G1897" s="1386" t="s">
        <v>126</v>
      </c>
      <c r="H1897" s="1634" t="s">
        <v>871</v>
      </c>
      <c r="I1897" s="1387"/>
      <c r="J1897" s="1387"/>
      <c r="K1897" s="1387">
        <f>(K1885+K1886+K1887+K1888+K1889+K1890+K1891+K1892+K1893)-K1896</f>
        <v>0</v>
      </c>
      <c r="L1897" s="1389">
        <f>E1897+K1897</f>
        <v>0</v>
      </c>
      <c r="M1897" s="1385"/>
    </row>
    <row r="1898" spans="1:13" s="31" customFormat="1" ht="69" customHeight="1">
      <c r="A1898" s="1449"/>
      <c r="B1898" s="1449"/>
      <c r="C1898" s="1449"/>
      <c r="D1898" s="1449"/>
      <c r="E1898" s="1449"/>
      <c r="F1898" s="1449"/>
      <c r="G1898" s="1449"/>
      <c r="H1898" s="1449"/>
      <c r="I1898" s="1449"/>
      <c r="J1898" s="1449"/>
      <c r="K1898" s="1449"/>
      <c r="L1898" s="1389"/>
      <c r="M1898" s="1385"/>
    </row>
    <row r="1899" spans="1:13" s="31" customFormat="1" ht="17.25" customHeight="1">
      <c r="A1899" s="1445" t="str">
        <f>A1882</f>
        <v>LƯƠNG THÁNG 01/2025</v>
      </c>
      <c r="B1899" s="1449"/>
      <c r="C1899" s="1449"/>
      <c r="D1899" s="1449"/>
      <c r="E1899" s="1458">
        <f>VLOOKUP(B1900,'CNKT '!$C$190:$AD$254,26,0)</f>
        <v>0</v>
      </c>
      <c r="F1899" s="1436"/>
      <c r="G1899" s="1445" t="str">
        <f>A1899</f>
        <v>LƯƠNG THÁNG 01/2025</v>
      </c>
      <c r="H1899" s="1449"/>
      <c r="I1899" s="1449"/>
      <c r="J1899" s="1452"/>
      <c r="K1899" s="1458">
        <f>VLOOKUP(H1900,'CNKT '!$C$190:$AD$254,26,0)</f>
        <v>0</v>
      </c>
      <c r="L1899" s="1389"/>
      <c r="M1899" s="1385"/>
    </row>
    <row r="1900" spans="1:13" s="31" customFormat="1" ht="17.25" customHeight="1">
      <c r="A1900" s="1391" t="s">
        <v>29</v>
      </c>
      <c r="B1900" s="1626" t="str">
        <f>'CNKT '!C238</f>
        <v>N. Phim Pha</v>
      </c>
      <c r="C1900" s="1376"/>
      <c r="D1900" s="1626" t="s">
        <v>806</v>
      </c>
      <c r="E1900" s="1626" t="s">
        <v>32</v>
      </c>
      <c r="F1900" s="1436"/>
      <c r="G1900" s="1391" t="s">
        <v>29</v>
      </c>
      <c r="H1900" s="1626" t="str">
        <f>'CNKT '!C239</f>
        <v xml:space="preserve">T. Xeng </v>
      </c>
      <c r="I1900" s="1376"/>
      <c r="J1900" s="1626" t="s">
        <v>806</v>
      </c>
      <c r="K1900" s="1626" t="s">
        <v>32</v>
      </c>
      <c r="L1900" s="1389"/>
      <c r="M1900" s="1385"/>
    </row>
    <row r="1901" spans="1:13" s="31" customFormat="1" ht="17.25" customHeight="1">
      <c r="A1901" s="1375" t="s">
        <v>807</v>
      </c>
      <c r="B1901" s="1628" t="s">
        <v>1080</v>
      </c>
      <c r="C1901" s="1376" t="str">
        <f>VLOOKUP(B1900,'BTH mủ tạp'!$C$182:$AL$244,36,0)</f>
        <v>A</v>
      </c>
      <c r="D1901" s="1377"/>
      <c r="E1901" s="1377"/>
      <c r="F1901" s="1436"/>
      <c r="G1901" s="1375" t="s">
        <v>807</v>
      </c>
      <c r="H1901" s="1628" t="s">
        <v>1080</v>
      </c>
      <c r="I1901" s="1376" t="str">
        <f>VLOOKUP(H1900,'BTH mủ tạp'!$C$182:$AL$244,36,0)</f>
        <v>A</v>
      </c>
      <c r="J1901" s="1377"/>
      <c r="K1901" s="1377"/>
      <c r="L1901" s="1389"/>
      <c r="M1901" s="1385"/>
    </row>
    <row r="1902" spans="1:13" s="31" customFormat="1" ht="17.25" customHeight="1">
      <c r="A1902" s="1375" t="s">
        <v>121</v>
      </c>
      <c r="B1902" s="1629" t="s">
        <v>865</v>
      </c>
      <c r="C1902" s="1378">
        <f>VLOOKUP(B1900,'CNKT '!$C$189:$Z$254,3,0)</f>
        <v>0</v>
      </c>
      <c r="D1902" s="1379">
        <v>25000</v>
      </c>
      <c r="E1902" s="1377">
        <f t="shared" ref="E1902:E1907" si="221">C1902*D1902</f>
        <v>0</v>
      </c>
      <c r="F1902" s="1436"/>
      <c r="G1902" s="1375" t="s">
        <v>121</v>
      </c>
      <c r="H1902" s="1629" t="s">
        <v>865</v>
      </c>
      <c r="I1902" s="1378">
        <f>VLOOKUP(H1900,'CNKT '!$C$189:$Z$254,3,0)</f>
        <v>0</v>
      </c>
      <c r="J1902" s="1379">
        <v>25000</v>
      </c>
      <c r="K1902" s="1377">
        <f t="shared" ref="K1902:K1907" si="222">I1902*J1902</f>
        <v>0</v>
      </c>
      <c r="L1902" s="1389"/>
      <c r="M1902" s="1385"/>
    </row>
    <row r="1903" spans="1:13" s="31" customFormat="1" ht="17.25" customHeight="1">
      <c r="A1903" s="1375" t="s">
        <v>628</v>
      </c>
      <c r="B1903" s="1630" t="s">
        <v>1081</v>
      </c>
      <c r="C1903" s="1433">
        <f>VLOOKUP(B1900,'CNKT '!$C$189:$Z$254,11,0)</f>
        <v>0</v>
      </c>
      <c r="D1903" s="1380">
        <f>46.1*$B$2</f>
        <v>30241.600000000002</v>
      </c>
      <c r="E1903" s="1377">
        <f t="shared" si="221"/>
        <v>0</v>
      </c>
      <c r="F1903" s="1436"/>
      <c r="G1903" s="1375" t="s">
        <v>628</v>
      </c>
      <c r="H1903" s="1630" t="s">
        <v>1081</v>
      </c>
      <c r="I1903" s="1433">
        <f>VLOOKUP(H1900,'CNKT '!$C$189:$Z$254,11,0)</f>
        <v>0</v>
      </c>
      <c r="J1903" s="1380">
        <f>46.1*$B$2</f>
        <v>30241.600000000002</v>
      </c>
      <c r="K1903" s="1377">
        <f t="shared" si="222"/>
        <v>0</v>
      </c>
      <c r="L1903" s="1389"/>
      <c r="M1903" s="1385"/>
    </row>
    <row r="1904" spans="1:13" s="31" customFormat="1" ht="17.25" customHeight="1">
      <c r="A1904" s="1375" t="s">
        <v>809</v>
      </c>
      <c r="B1904" s="1630" t="s">
        <v>1082</v>
      </c>
      <c r="C1904" s="1433">
        <f>VLOOKUP(B1900,'CNKT '!$C$189:$Z$254,12,0)</f>
        <v>0</v>
      </c>
      <c r="D1904" s="1379">
        <f>76.9*$B$2</f>
        <v>50446.400000000001</v>
      </c>
      <c r="E1904" s="1377">
        <f t="shared" si="221"/>
        <v>0</v>
      </c>
      <c r="F1904" s="1436"/>
      <c r="G1904" s="1375" t="s">
        <v>809</v>
      </c>
      <c r="H1904" s="1630" t="s">
        <v>1082</v>
      </c>
      <c r="I1904" s="1433">
        <f>VLOOKUP(H1900,'CNKT '!$C$189:$Z$254,12,0)</f>
        <v>0</v>
      </c>
      <c r="J1904" s="1379">
        <f>76.9*$B$2</f>
        <v>50446.400000000001</v>
      </c>
      <c r="K1904" s="1377">
        <f t="shared" si="222"/>
        <v>0</v>
      </c>
      <c r="L1904" s="1389"/>
      <c r="M1904" s="1385"/>
    </row>
    <row r="1905" spans="1:13" s="31" customFormat="1" ht="17.25" customHeight="1">
      <c r="A1905" s="1375" t="s">
        <v>122</v>
      </c>
      <c r="B1905" s="1630" t="s">
        <v>1083</v>
      </c>
      <c r="C1905" s="1433">
        <f>VLOOKUP(B1900,'CNKT '!$C$189:$Z$254,8,0)</f>
        <v>0</v>
      </c>
      <c r="D1905" s="1379">
        <f>IF(C1901="A",6.1,IF(C1901="B",5.8,IF(C1901="C",5.5,IF(C1901="C.",5.5,IF(C1901="D",5.2)))))*$B$2</f>
        <v>4001.6</v>
      </c>
      <c r="E1905" s="1377">
        <f t="shared" si="221"/>
        <v>0</v>
      </c>
      <c r="F1905" s="1436"/>
      <c r="G1905" s="1375" t="s">
        <v>122</v>
      </c>
      <c r="H1905" s="1630" t="s">
        <v>1083</v>
      </c>
      <c r="I1905" s="1433">
        <f>VLOOKUP(H1900,'CNKT '!$C$189:$Z$254,8,0)</f>
        <v>0</v>
      </c>
      <c r="J1905" s="1379">
        <f>IF(I1901="A",6.1,IF(I1901="B",5.8,IF(I1901="C",5.5,IF(I1901="C.",5.5,IF(I1901="D",5.2)))))*$B$2</f>
        <v>4001.6</v>
      </c>
      <c r="K1905" s="1377">
        <f t="shared" si="222"/>
        <v>0</v>
      </c>
      <c r="L1905" s="1389"/>
      <c r="M1905" s="1385"/>
    </row>
    <row r="1906" spans="1:13" s="31" customFormat="1" ht="17.25" customHeight="1">
      <c r="A1906" s="1375" t="s">
        <v>961</v>
      </c>
      <c r="B1906" s="1630" t="s">
        <v>1084</v>
      </c>
      <c r="C1906" s="1433">
        <f>VLOOKUP(B1900,'CNKT '!$C$101:$Z$254,13,0)</f>
        <v>0</v>
      </c>
      <c r="D1906" s="1380">
        <f>92.2*$B$2</f>
        <v>60483.200000000004</v>
      </c>
      <c r="E1906" s="1377">
        <f t="shared" si="221"/>
        <v>0</v>
      </c>
      <c r="F1906" s="1436"/>
      <c r="G1906" s="1375" t="s">
        <v>961</v>
      </c>
      <c r="H1906" s="1630" t="s">
        <v>1084</v>
      </c>
      <c r="I1906" s="1433">
        <f>VLOOKUP(H1900,'CNKT '!$C$101:$Z$254,13,0)</f>
        <v>0</v>
      </c>
      <c r="J1906" s="1380">
        <f>92.2*$B$2</f>
        <v>60483.200000000004</v>
      </c>
      <c r="K1906" s="1377">
        <f t="shared" si="222"/>
        <v>0</v>
      </c>
      <c r="L1906" s="1389"/>
      <c r="M1906" s="1385"/>
    </row>
    <row r="1907" spans="1:13" s="31" customFormat="1" ht="17.25" customHeight="1">
      <c r="A1907" s="1375" t="s">
        <v>886</v>
      </c>
      <c r="B1907" s="1630" t="s">
        <v>964</v>
      </c>
      <c r="C1907" s="1433">
        <f>VLOOKUP(B1900,'CNKT '!$C$189:$Z$254,14,0)</f>
        <v>0</v>
      </c>
      <c r="D1907" s="1379">
        <f>153.6*$B$2</f>
        <v>100761.59999999999</v>
      </c>
      <c r="E1907" s="1377">
        <f t="shared" si="221"/>
        <v>0</v>
      </c>
      <c r="F1907" s="1436"/>
      <c r="G1907" s="1375" t="s">
        <v>886</v>
      </c>
      <c r="H1907" s="1630" t="s">
        <v>964</v>
      </c>
      <c r="I1907" s="1433">
        <f>VLOOKUP(H1900,'CNKT '!$C$189:$Z$254,14,0)</f>
        <v>0</v>
      </c>
      <c r="J1907" s="1379">
        <f>153.6*$B$2</f>
        <v>100761.59999999999</v>
      </c>
      <c r="K1907" s="1377">
        <f t="shared" si="222"/>
        <v>0</v>
      </c>
      <c r="L1907" s="1389"/>
      <c r="M1907" s="1385"/>
    </row>
    <row r="1908" spans="1:13" s="31" customFormat="1" ht="17.25" customHeight="1">
      <c r="A1908" s="1375" t="s">
        <v>899</v>
      </c>
      <c r="B1908" s="1630" t="s">
        <v>965</v>
      </c>
      <c r="C1908" s="1433">
        <f>VLOOKUP(B1900,'CNKT '!$C$190:$Z$254,18,0)</f>
        <v>0</v>
      </c>
      <c r="D1908" s="1379">
        <v>10000</v>
      </c>
      <c r="E1908" s="1377">
        <f>C1908*D1908</f>
        <v>0</v>
      </c>
      <c r="F1908" s="1436"/>
      <c r="G1908" s="1375" t="s">
        <v>899</v>
      </c>
      <c r="H1908" s="1630" t="s">
        <v>965</v>
      </c>
      <c r="I1908" s="1433">
        <f>VLOOKUP(H1900,'CNKT '!$C$190:$Z$254,18,0)</f>
        <v>0</v>
      </c>
      <c r="J1908" s="1379">
        <v>10000</v>
      </c>
      <c r="K1908" s="1377">
        <f>I1908*J1908</f>
        <v>0</v>
      </c>
      <c r="L1908" s="1389"/>
      <c r="M1908" s="1385"/>
    </row>
    <row r="1909" spans="1:13" s="31" customFormat="1" ht="17.25" customHeight="1">
      <c r="A1909" s="1375" t="s">
        <v>899</v>
      </c>
      <c r="B1909" s="1630" t="s">
        <v>965</v>
      </c>
      <c r="C1909" s="1433">
        <f>VLOOKUP(B1900,'CNKT '!$C$190:$Z$254,19,0)</f>
        <v>0</v>
      </c>
      <c r="D1909" s="1379">
        <v>20000</v>
      </c>
      <c r="E1909" s="1377">
        <f>C1909*D1909</f>
        <v>0</v>
      </c>
      <c r="F1909" s="1436"/>
      <c r="G1909" s="1375" t="s">
        <v>899</v>
      </c>
      <c r="H1909" s="1630" t="s">
        <v>965</v>
      </c>
      <c r="I1909" s="1433">
        <f>VLOOKUP(H1900,'CNKT '!$C$190:$Z$254,19,0)</f>
        <v>0</v>
      </c>
      <c r="J1909" s="1379">
        <v>20000</v>
      </c>
      <c r="K1909" s="1377">
        <f>I1909*J1909</f>
        <v>0</v>
      </c>
      <c r="L1909" s="1389"/>
      <c r="M1909" s="1385"/>
    </row>
    <row r="1910" spans="1:13" s="31" customFormat="1" ht="17.25" customHeight="1">
      <c r="A1910" s="1375" t="s">
        <v>995</v>
      </c>
      <c r="B1910" s="1630" t="s">
        <v>997</v>
      </c>
      <c r="C1910" s="1433"/>
      <c r="D1910" s="1379"/>
      <c r="E1910" s="1377"/>
      <c r="F1910" s="1436"/>
      <c r="G1910" s="1375" t="s">
        <v>995</v>
      </c>
      <c r="H1910" s="1630" t="s">
        <v>997</v>
      </c>
      <c r="I1910" s="1433"/>
      <c r="J1910" s="1379"/>
      <c r="K1910" s="1377"/>
      <c r="L1910" s="1389"/>
      <c r="M1910" s="1385"/>
    </row>
    <row r="1911" spans="1:13" s="31" customFormat="1" ht="17.25" customHeight="1">
      <c r="A1911" s="1381" t="s">
        <v>123</v>
      </c>
      <c r="B1911" s="1631" t="s">
        <v>1085</v>
      </c>
      <c r="C1911" s="1382"/>
      <c r="D1911" s="1383"/>
      <c r="E1911" s="1382"/>
      <c r="F1911" s="1436"/>
      <c r="G1911" s="1381" t="s">
        <v>123</v>
      </c>
      <c r="H1911" s="1631" t="s">
        <v>1085</v>
      </c>
      <c r="I1911" s="1382"/>
      <c r="J1911" s="1383"/>
      <c r="K1911" s="1382"/>
      <c r="L1911" s="1389"/>
      <c r="M1911" s="1385"/>
    </row>
    <row r="1912" spans="1:13" s="31" customFormat="1" ht="17.25" customHeight="1">
      <c r="A1912" s="1384" t="s">
        <v>124</v>
      </c>
      <c r="B1912" s="1632" t="s">
        <v>1086</v>
      </c>
      <c r="C1912" s="1382"/>
      <c r="D1912" s="1382"/>
      <c r="E1912" s="1382"/>
      <c r="F1912" s="1436"/>
      <c r="G1912" s="1384" t="s">
        <v>124</v>
      </c>
      <c r="H1912" s="1632" t="s">
        <v>1086</v>
      </c>
      <c r="I1912" s="1382"/>
      <c r="J1912" s="1382"/>
      <c r="K1912" s="1382"/>
      <c r="L1912" s="1389"/>
      <c r="M1912" s="1385"/>
    </row>
    <row r="1913" spans="1:13" s="31" customFormat="1" ht="17.25" customHeight="1">
      <c r="A1913" s="1384" t="s">
        <v>125</v>
      </c>
      <c r="B1913" s="1633" t="s">
        <v>1087</v>
      </c>
      <c r="C1913" s="1382"/>
      <c r="D1913" s="1382"/>
      <c r="E1913" s="1377">
        <f>SUM(E1912)</f>
        <v>0</v>
      </c>
      <c r="F1913" s="1432"/>
      <c r="G1913" s="1384" t="s">
        <v>125</v>
      </c>
      <c r="H1913" s="1633" t="s">
        <v>1087</v>
      </c>
      <c r="I1913" s="1382"/>
      <c r="J1913" s="1382"/>
      <c r="K1913" s="1377">
        <f>SUM(K1912)</f>
        <v>0</v>
      </c>
      <c r="L1913" s="1389"/>
      <c r="M1913" s="1385"/>
    </row>
    <row r="1914" spans="1:13" s="31" customFormat="1" ht="17.25" customHeight="1">
      <c r="A1914" s="1386" t="s">
        <v>126</v>
      </c>
      <c r="B1914" s="1634" t="s">
        <v>871</v>
      </c>
      <c r="C1914" s="1387"/>
      <c r="D1914" s="1387"/>
      <c r="E1914" s="1387">
        <f>(E1902+E1903+E1904+E1905+E1906+E1907+E1908+E1909+E1910)-E1913</f>
        <v>0</v>
      </c>
      <c r="F1914" s="1432"/>
      <c r="G1914" s="1386" t="s">
        <v>126</v>
      </c>
      <c r="H1914" s="1634" t="s">
        <v>871</v>
      </c>
      <c r="I1914" s="1387"/>
      <c r="J1914" s="1387"/>
      <c r="K1914" s="1387">
        <f>(K1902+K1903+K1904+K1905+K1906+K1907+K1908+K1909+K1910)-K1913</f>
        <v>0</v>
      </c>
      <c r="L1914" s="1389">
        <f>E1914+K1914</f>
        <v>0</v>
      </c>
      <c r="M1914" s="1385"/>
    </row>
    <row r="1915" spans="1:13" s="31" customFormat="1" ht="17.25" customHeight="1">
      <c r="A1915" s="1449"/>
      <c r="B1915" s="1449"/>
      <c r="C1915" s="1449"/>
      <c r="D1915" s="1449"/>
      <c r="E1915" s="1449"/>
      <c r="F1915" s="1449"/>
      <c r="G1915" s="1449"/>
      <c r="H1915" s="1449"/>
      <c r="I1915" s="1449"/>
      <c r="J1915" s="1449"/>
      <c r="K1915" s="1449"/>
      <c r="L1915" s="1389"/>
      <c r="M1915" s="1385"/>
    </row>
    <row r="1916" spans="1:13" s="31" customFormat="1" ht="17.25" customHeight="1">
      <c r="A1916" s="1445" t="str">
        <f>A1899</f>
        <v>LƯƠNG THÁNG 01/2025</v>
      </c>
      <c r="B1916" s="1449"/>
      <c r="C1916" s="1449"/>
      <c r="D1916" s="1449"/>
      <c r="E1916" s="1458">
        <f>VLOOKUP(B1917,'CNKT '!$C$190:$AD$254,26,0)</f>
        <v>0</v>
      </c>
      <c r="F1916" s="1436"/>
      <c r="G1916" s="1445" t="str">
        <f>A1916</f>
        <v>LƯƠNG THÁNG 01/2025</v>
      </c>
      <c r="H1916" s="1449"/>
      <c r="I1916" s="1449"/>
      <c r="J1916" s="1452"/>
      <c r="K1916" s="1458">
        <f>VLOOKUP(H1917,'CNKT '!$C$190:$AD$254,26,0)</f>
        <v>0</v>
      </c>
      <c r="L1916" s="1389"/>
      <c r="M1916" s="1385"/>
    </row>
    <row r="1917" spans="1:13" s="31" customFormat="1" ht="17.25" customHeight="1">
      <c r="A1917" s="1391" t="s">
        <v>29</v>
      </c>
      <c r="B1917" s="1626" t="str">
        <f>'CNKT '!C240</f>
        <v>T. Vạt</v>
      </c>
      <c r="C1917" s="1376"/>
      <c r="D1917" s="1626" t="s">
        <v>806</v>
      </c>
      <c r="E1917" s="1626" t="s">
        <v>32</v>
      </c>
      <c r="F1917" s="1436"/>
      <c r="G1917" s="1391" t="s">
        <v>29</v>
      </c>
      <c r="H1917" s="1626" t="str">
        <f>'CNKT '!C241</f>
        <v>T. Lay</v>
      </c>
      <c r="I1917" s="1376"/>
      <c r="J1917" s="1626" t="s">
        <v>806</v>
      </c>
      <c r="K1917" s="1626" t="s">
        <v>32</v>
      </c>
      <c r="L1917" s="1389"/>
      <c r="M1917" s="1385"/>
    </row>
    <row r="1918" spans="1:13" s="31" customFormat="1" ht="17.25" customHeight="1">
      <c r="A1918" s="1375" t="s">
        <v>807</v>
      </c>
      <c r="B1918" s="1628" t="s">
        <v>1080</v>
      </c>
      <c r="C1918" s="1376" t="str">
        <f>VLOOKUP(B1917,'BTH mủ tạp'!$C$182:$AL$244,36,0)</f>
        <v>A</v>
      </c>
      <c r="D1918" s="1377"/>
      <c r="E1918" s="1377"/>
      <c r="F1918" s="1436"/>
      <c r="G1918" s="1375" t="s">
        <v>807</v>
      </c>
      <c r="H1918" s="1628" t="s">
        <v>1080</v>
      </c>
      <c r="I1918" s="1376" t="str">
        <f>VLOOKUP(H1917,'BTH mủ tạp'!$C$182:$AL$244,36,0)</f>
        <v>A</v>
      </c>
      <c r="J1918" s="1377"/>
      <c r="K1918" s="1377"/>
      <c r="L1918" s="1389"/>
      <c r="M1918" s="1385"/>
    </row>
    <row r="1919" spans="1:13" s="31" customFormat="1" ht="17.25" customHeight="1">
      <c r="A1919" s="1375" t="s">
        <v>121</v>
      </c>
      <c r="B1919" s="1629" t="s">
        <v>865</v>
      </c>
      <c r="C1919" s="1378">
        <f>VLOOKUP(B1917,'CNKT '!$C$189:$Z$254,3,0)</f>
        <v>0</v>
      </c>
      <c r="D1919" s="1379">
        <v>25000</v>
      </c>
      <c r="E1919" s="1377">
        <f t="shared" ref="E1919:E1924" si="223">C1919*D1919</f>
        <v>0</v>
      </c>
      <c r="F1919" s="1436"/>
      <c r="G1919" s="1375" t="s">
        <v>121</v>
      </c>
      <c r="H1919" s="1629" t="s">
        <v>865</v>
      </c>
      <c r="I1919" s="1378">
        <f>VLOOKUP(H1917,'CNKT '!$C$189:$Z$254,3,0)</f>
        <v>0</v>
      </c>
      <c r="J1919" s="1379">
        <v>25000</v>
      </c>
      <c r="K1919" s="1377">
        <f t="shared" ref="K1919:K1924" si="224">I1919*J1919</f>
        <v>0</v>
      </c>
      <c r="L1919" s="1389"/>
      <c r="M1919" s="1385"/>
    </row>
    <row r="1920" spans="1:13" s="31" customFormat="1" ht="17.25" customHeight="1">
      <c r="A1920" s="1375" t="s">
        <v>628</v>
      </c>
      <c r="B1920" s="1630" t="s">
        <v>1081</v>
      </c>
      <c r="C1920" s="1433">
        <f>VLOOKUP(B1917,'CNKT '!$C$189:$Z$254,11,0)</f>
        <v>0</v>
      </c>
      <c r="D1920" s="1380">
        <f>46.1*$B$2</f>
        <v>30241.600000000002</v>
      </c>
      <c r="E1920" s="1377">
        <f t="shared" si="223"/>
        <v>0</v>
      </c>
      <c r="F1920" s="1436"/>
      <c r="G1920" s="1375" t="s">
        <v>628</v>
      </c>
      <c r="H1920" s="1630" t="s">
        <v>1081</v>
      </c>
      <c r="I1920" s="1433">
        <f>VLOOKUP(H1917,'CNKT '!$C$189:$Z$254,11,0)</f>
        <v>0</v>
      </c>
      <c r="J1920" s="1380">
        <f>46.1*$B$2</f>
        <v>30241.600000000002</v>
      </c>
      <c r="K1920" s="1377">
        <f t="shared" si="224"/>
        <v>0</v>
      </c>
      <c r="L1920" s="1389"/>
      <c r="M1920" s="1385"/>
    </row>
    <row r="1921" spans="1:13" s="31" customFormat="1" ht="17.25" customHeight="1">
      <c r="A1921" s="1375" t="s">
        <v>809</v>
      </c>
      <c r="B1921" s="1630" t="s">
        <v>1082</v>
      </c>
      <c r="C1921" s="1433">
        <f>VLOOKUP(B1917,'CNKT '!$C$189:$Z$254,12,0)</f>
        <v>0</v>
      </c>
      <c r="D1921" s="1379">
        <f>76.9*$B$2</f>
        <v>50446.400000000001</v>
      </c>
      <c r="E1921" s="1377">
        <f t="shared" si="223"/>
        <v>0</v>
      </c>
      <c r="F1921" s="1436"/>
      <c r="G1921" s="1375" t="s">
        <v>809</v>
      </c>
      <c r="H1921" s="1630" t="s">
        <v>1082</v>
      </c>
      <c r="I1921" s="1433">
        <f>VLOOKUP(H1917,'CNKT '!$C$189:$Z$254,12,0)</f>
        <v>0</v>
      </c>
      <c r="J1921" s="1379">
        <f>76.9*$B$2</f>
        <v>50446.400000000001</v>
      </c>
      <c r="K1921" s="1377">
        <f t="shared" si="224"/>
        <v>0</v>
      </c>
      <c r="L1921" s="1389"/>
      <c r="M1921" s="1385"/>
    </row>
    <row r="1922" spans="1:13" s="31" customFormat="1" ht="17.25" customHeight="1">
      <c r="A1922" s="1375" t="s">
        <v>122</v>
      </c>
      <c r="B1922" s="1630" t="s">
        <v>1083</v>
      </c>
      <c r="C1922" s="1433">
        <f>VLOOKUP(B1917,'CNKT '!$C$189:$Z$254,8,0)</f>
        <v>0</v>
      </c>
      <c r="D1922" s="1379">
        <f>IF(C1918="A",6.1,IF(C1918="B",5.8,IF(C1918="C",5.5,IF(C1918="C.",5.5,IF(C1918="D",5.2)))))*$B$2</f>
        <v>4001.6</v>
      </c>
      <c r="E1922" s="1377">
        <f t="shared" si="223"/>
        <v>0</v>
      </c>
      <c r="F1922" s="1436"/>
      <c r="G1922" s="1375" t="s">
        <v>122</v>
      </c>
      <c r="H1922" s="1630" t="s">
        <v>1083</v>
      </c>
      <c r="I1922" s="1433">
        <f>VLOOKUP(H1917,'CNKT '!$C$189:$Z$254,8,0)</f>
        <v>0</v>
      </c>
      <c r="J1922" s="1379">
        <f>IF(I1918="A",6.1,IF(I1918="B",5.8,IF(I1918="C",5.5,IF(I1918="C.",5.5,IF(I1918="D",5.2)))))*$B$2</f>
        <v>4001.6</v>
      </c>
      <c r="K1922" s="1377">
        <f t="shared" si="224"/>
        <v>0</v>
      </c>
      <c r="L1922" s="1389"/>
      <c r="M1922" s="1385"/>
    </row>
    <row r="1923" spans="1:13" s="31" customFormat="1" ht="17.25" customHeight="1">
      <c r="A1923" s="1375" t="s">
        <v>961</v>
      </c>
      <c r="B1923" s="1630" t="s">
        <v>1084</v>
      </c>
      <c r="C1923" s="1433">
        <f>VLOOKUP(B1917,'CNKT '!$C$101:$Z$254,13,0)</f>
        <v>0</v>
      </c>
      <c r="D1923" s="1380">
        <f>92.2*$B$2</f>
        <v>60483.200000000004</v>
      </c>
      <c r="E1923" s="1377">
        <f t="shared" si="223"/>
        <v>0</v>
      </c>
      <c r="F1923" s="1436"/>
      <c r="G1923" s="1375" t="s">
        <v>961</v>
      </c>
      <c r="H1923" s="1630" t="s">
        <v>1084</v>
      </c>
      <c r="I1923" s="1433">
        <f>VLOOKUP(H1917,'CNKT '!$C$101:$Z$254,13,0)</f>
        <v>0</v>
      </c>
      <c r="J1923" s="1380">
        <f>92.2*$B$2</f>
        <v>60483.200000000004</v>
      </c>
      <c r="K1923" s="1377">
        <f t="shared" si="224"/>
        <v>0</v>
      </c>
      <c r="L1923" s="1389"/>
      <c r="M1923" s="1385"/>
    </row>
    <row r="1924" spans="1:13" s="31" customFormat="1" ht="17.25" customHeight="1">
      <c r="A1924" s="1375" t="s">
        <v>886</v>
      </c>
      <c r="B1924" s="1630" t="s">
        <v>964</v>
      </c>
      <c r="C1924" s="1433">
        <f>VLOOKUP(B1917,'CNKT '!$C$189:$Z$254,14,0)</f>
        <v>0</v>
      </c>
      <c r="D1924" s="1379">
        <f>153.6*$B$2</f>
        <v>100761.59999999999</v>
      </c>
      <c r="E1924" s="1377">
        <f t="shared" si="223"/>
        <v>0</v>
      </c>
      <c r="F1924" s="1436"/>
      <c r="G1924" s="1375" t="s">
        <v>886</v>
      </c>
      <c r="H1924" s="1630" t="s">
        <v>964</v>
      </c>
      <c r="I1924" s="1433">
        <f>VLOOKUP(H1917,'CNKT '!$C$189:$Z$254,14,0)</f>
        <v>0</v>
      </c>
      <c r="J1924" s="1379">
        <f>153.6*$B$2</f>
        <v>100761.59999999999</v>
      </c>
      <c r="K1924" s="1377">
        <f t="shared" si="224"/>
        <v>0</v>
      </c>
      <c r="L1924" s="1389"/>
      <c r="M1924" s="1385"/>
    </row>
    <row r="1925" spans="1:13" s="31" customFormat="1" ht="17.25" customHeight="1">
      <c r="A1925" s="1375" t="s">
        <v>899</v>
      </c>
      <c r="B1925" s="1630" t="s">
        <v>965</v>
      </c>
      <c r="C1925" s="1433">
        <f>VLOOKUP(B1917,'CNKT '!$C$190:$Z$254,18,0)</f>
        <v>0</v>
      </c>
      <c r="D1925" s="1379">
        <v>10000</v>
      </c>
      <c r="E1925" s="1377">
        <f>C1925*D1925</f>
        <v>0</v>
      </c>
      <c r="F1925" s="1436"/>
      <c r="G1925" s="1375" t="s">
        <v>899</v>
      </c>
      <c r="H1925" s="1630" t="s">
        <v>965</v>
      </c>
      <c r="I1925" s="1433">
        <f>VLOOKUP(H1917,'CNKT '!$C$190:$Z$254,18,0)</f>
        <v>0</v>
      </c>
      <c r="J1925" s="1379">
        <v>10000</v>
      </c>
      <c r="K1925" s="1377">
        <f>I1925*J1925</f>
        <v>0</v>
      </c>
      <c r="L1925" s="1389"/>
      <c r="M1925" s="1385"/>
    </row>
    <row r="1926" spans="1:13" s="31" customFormat="1" ht="17.25" customHeight="1">
      <c r="A1926" s="1375" t="s">
        <v>899</v>
      </c>
      <c r="B1926" s="1630" t="s">
        <v>965</v>
      </c>
      <c r="C1926" s="1433">
        <f>VLOOKUP(B1917,'CNKT '!$C$190:$Z$254,19,0)</f>
        <v>0</v>
      </c>
      <c r="D1926" s="1379">
        <v>20000</v>
      </c>
      <c r="E1926" s="1377">
        <f>C1926*D1926</f>
        <v>0</v>
      </c>
      <c r="F1926" s="1436"/>
      <c r="G1926" s="1375" t="s">
        <v>899</v>
      </c>
      <c r="H1926" s="1630" t="s">
        <v>965</v>
      </c>
      <c r="I1926" s="1433">
        <f>VLOOKUP(H1917,'CNKT '!$C$190:$Z$254,19,0)</f>
        <v>0</v>
      </c>
      <c r="J1926" s="1379">
        <v>20000</v>
      </c>
      <c r="K1926" s="1377">
        <f>I1926*J1926</f>
        <v>0</v>
      </c>
      <c r="L1926" s="1389"/>
      <c r="M1926" s="1385"/>
    </row>
    <row r="1927" spans="1:13" s="31" customFormat="1" ht="17.25" customHeight="1">
      <c r="A1927" s="1375" t="s">
        <v>995</v>
      </c>
      <c r="B1927" s="1630" t="s">
        <v>997</v>
      </c>
      <c r="C1927" s="1433"/>
      <c r="D1927" s="1379"/>
      <c r="E1927" s="1377"/>
      <c r="F1927" s="1436"/>
      <c r="G1927" s="1375" t="s">
        <v>995</v>
      </c>
      <c r="H1927" s="1630" t="s">
        <v>997</v>
      </c>
      <c r="I1927" s="1433"/>
      <c r="J1927" s="1379"/>
      <c r="K1927" s="1377"/>
      <c r="L1927" s="1389"/>
      <c r="M1927" s="1385"/>
    </row>
    <row r="1928" spans="1:13" s="31" customFormat="1" ht="17.25" customHeight="1">
      <c r="A1928" s="1381" t="s">
        <v>123</v>
      </c>
      <c r="B1928" s="1631" t="s">
        <v>1085</v>
      </c>
      <c r="C1928" s="1382"/>
      <c r="D1928" s="1383"/>
      <c r="E1928" s="1382"/>
      <c r="F1928" s="1436"/>
      <c r="G1928" s="1381" t="s">
        <v>123</v>
      </c>
      <c r="H1928" s="1631" t="s">
        <v>1085</v>
      </c>
      <c r="I1928" s="1382"/>
      <c r="J1928" s="1383"/>
      <c r="K1928" s="1382"/>
      <c r="L1928" s="1389"/>
      <c r="M1928" s="1385"/>
    </row>
    <row r="1929" spans="1:13" s="31" customFormat="1" ht="17.25" customHeight="1">
      <c r="A1929" s="1384" t="s">
        <v>124</v>
      </c>
      <c r="B1929" s="1632" t="s">
        <v>1086</v>
      </c>
      <c r="C1929" s="1382"/>
      <c r="D1929" s="1382"/>
      <c r="E1929" s="1382"/>
      <c r="F1929" s="1436"/>
      <c r="G1929" s="1384" t="s">
        <v>124</v>
      </c>
      <c r="H1929" s="1632" t="s">
        <v>1086</v>
      </c>
      <c r="I1929" s="1382"/>
      <c r="J1929" s="1382"/>
      <c r="K1929" s="1382"/>
      <c r="L1929" s="1389"/>
      <c r="M1929" s="1385"/>
    </row>
    <row r="1930" spans="1:13" s="31" customFormat="1" ht="17.25" customHeight="1">
      <c r="A1930" s="1384" t="s">
        <v>125</v>
      </c>
      <c r="B1930" s="1633" t="s">
        <v>1087</v>
      </c>
      <c r="C1930" s="1382"/>
      <c r="D1930" s="1382"/>
      <c r="E1930" s="1377">
        <f>SUM(E1929)</f>
        <v>0</v>
      </c>
      <c r="F1930" s="1432"/>
      <c r="G1930" s="1384" t="s">
        <v>125</v>
      </c>
      <c r="H1930" s="1633" t="s">
        <v>1087</v>
      </c>
      <c r="I1930" s="1382"/>
      <c r="J1930" s="1382"/>
      <c r="K1930" s="1377">
        <f>SUM(K1929)</f>
        <v>0</v>
      </c>
      <c r="L1930" s="1389"/>
      <c r="M1930" s="1385"/>
    </row>
    <row r="1931" spans="1:13" s="31" customFormat="1" ht="17.25" customHeight="1">
      <c r="A1931" s="1386" t="s">
        <v>126</v>
      </c>
      <c r="B1931" s="1634" t="s">
        <v>871</v>
      </c>
      <c r="C1931" s="1387"/>
      <c r="D1931" s="1387"/>
      <c r="E1931" s="1387">
        <f>(E1919+E1920+E1921+E1922+E1923+E1924+E1925+E1926+E1927)-E1930</f>
        <v>0</v>
      </c>
      <c r="F1931" s="1432"/>
      <c r="G1931" s="1386" t="s">
        <v>126</v>
      </c>
      <c r="H1931" s="1634" t="s">
        <v>871</v>
      </c>
      <c r="I1931" s="1387"/>
      <c r="J1931" s="1387"/>
      <c r="K1931" s="1387">
        <f>(K1919+K1920+K1921+K1922+K1923+K1924+K1925+K1926+K1927)-K1930</f>
        <v>0</v>
      </c>
      <c r="L1931" s="1389">
        <f>E1931+K1931</f>
        <v>0</v>
      </c>
      <c r="M1931" s="1385"/>
    </row>
    <row r="1932" spans="1:13" s="31" customFormat="1" ht="17.25" customHeight="1">
      <c r="A1932" s="1449"/>
      <c r="B1932" s="1449"/>
      <c r="C1932" s="1449"/>
      <c r="D1932" s="1449"/>
      <c r="E1932" s="1449"/>
      <c r="F1932" s="1449"/>
      <c r="G1932" s="1449"/>
      <c r="H1932" s="1449"/>
      <c r="I1932" s="1449"/>
      <c r="J1932" s="1449"/>
      <c r="K1932" s="1449"/>
      <c r="L1932" s="1389"/>
      <c r="M1932" s="1385"/>
    </row>
    <row r="1933" spans="1:13" s="31" customFormat="1" ht="17.25" customHeight="1">
      <c r="A1933" s="1445" t="str">
        <f>A1916</f>
        <v>LƯƠNG THÁNG 01/2025</v>
      </c>
      <c r="B1933" s="1449"/>
      <c r="C1933" s="1449"/>
      <c r="D1933" s="1449"/>
      <c r="E1933" s="1458">
        <f>VLOOKUP(B1934,'CNKT '!$C$190:$AD$254,26,0)</f>
        <v>0</v>
      </c>
      <c r="F1933" s="1436"/>
      <c r="G1933" s="1445" t="str">
        <f>A1933</f>
        <v>LƯƠNG THÁNG 01/2025</v>
      </c>
      <c r="H1933" s="1449"/>
      <c r="I1933" s="1449"/>
      <c r="J1933" s="1452"/>
      <c r="K1933" s="1458">
        <f>VLOOKUP(H1934,'CNKT '!$C$190:$AD$254,26,0)</f>
        <v>0</v>
      </c>
      <c r="L1933" s="1389"/>
      <c r="M1933" s="1385"/>
    </row>
    <row r="1934" spans="1:13" s="31" customFormat="1" ht="17.25" customHeight="1">
      <c r="A1934" s="1391" t="s">
        <v>29</v>
      </c>
      <c r="B1934" s="1626" t="str">
        <f>'CNKT '!C242</f>
        <v>Lăm Thon</v>
      </c>
      <c r="C1934" s="1376"/>
      <c r="D1934" s="1626" t="s">
        <v>806</v>
      </c>
      <c r="E1934" s="1626" t="s">
        <v>32</v>
      </c>
      <c r="F1934" s="1436"/>
      <c r="G1934" s="1391" t="s">
        <v>29</v>
      </c>
      <c r="H1934" s="1626" t="str">
        <f>'CNKT '!C243</f>
        <v>T Bun Xi</v>
      </c>
      <c r="I1934" s="1376"/>
      <c r="J1934" s="1626" t="s">
        <v>806</v>
      </c>
      <c r="K1934" s="1626" t="s">
        <v>32</v>
      </c>
      <c r="L1934" s="1389"/>
      <c r="M1934" s="1385"/>
    </row>
    <row r="1935" spans="1:13" s="31" customFormat="1" ht="17.25" customHeight="1">
      <c r="A1935" s="1375" t="s">
        <v>807</v>
      </c>
      <c r="B1935" s="1628" t="s">
        <v>1080</v>
      </c>
      <c r="C1935" s="1376" t="str">
        <f>VLOOKUP(B1934,'BTH mủ tạp'!$C$182:$AL$244,36,0)</f>
        <v>A</v>
      </c>
      <c r="D1935" s="1377"/>
      <c r="E1935" s="1377"/>
      <c r="F1935" s="1436"/>
      <c r="G1935" s="1375" t="s">
        <v>807</v>
      </c>
      <c r="H1935" s="1628" t="s">
        <v>1080</v>
      </c>
      <c r="I1935" s="1376" t="str">
        <f>VLOOKUP(H1934,'BTH mủ tạp'!$C$182:$AL$244,36,0)</f>
        <v>A</v>
      </c>
      <c r="J1935" s="1377"/>
      <c r="K1935" s="1377"/>
      <c r="L1935" s="1389"/>
      <c r="M1935" s="1385"/>
    </row>
    <row r="1936" spans="1:13" s="31" customFormat="1" ht="17.25" customHeight="1">
      <c r="A1936" s="1375" t="s">
        <v>121</v>
      </c>
      <c r="B1936" s="1629" t="s">
        <v>865</v>
      </c>
      <c r="C1936" s="1378">
        <f>VLOOKUP(B1934,'CNKT '!$C$189:$Z$254,3,0)</f>
        <v>0</v>
      </c>
      <c r="D1936" s="1379">
        <v>25000</v>
      </c>
      <c r="E1936" s="1377">
        <f t="shared" ref="E1936:E1941" si="225">C1936*D1936</f>
        <v>0</v>
      </c>
      <c r="F1936" s="1436"/>
      <c r="G1936" s="1375" t="s">
        <v>121</v>
      </c>
      <c r="H1936" s="1629" t="s">
        <v>865</v>
      </c>
      <c r="I1936" s="1378">
        <f>VLOOKUP(H1934,'CNKT '!$C$189:$Z$254,3,0)</f>
        <v>0</v>
      </c>
      <c r="J1936" s="1379">
        <v>25000</v>
      </c>
      <c r="K1936" s="1377">
        <f t="shared" ref="K1936:K1941" si="226">I1936*J1936</f>
        <v>0</v>
      </c>
      <c r="L1936" s="1389"/>
      <c r="M1936" s="1385"/>
    </row>
    <row r="1937" spans="1:13" s="31" customFormat="1" ht="17.25" customHeight="1">
      <c r="A1937" s="1375" t="s">
        <v>628</v>
      </c>
      <c r="B1937" s="1630" t="s">
        <v>1081</v>
      </c>
      <c r="C1937" s="1433">
        <f>VLOOKUP(B1934,'CNKT '!$C$189:$Z$254,11,0)</f>
        <v>0</v>
      </c>
      <c r="D1937" s="1380">
        <f>46.1*$B$2</f>
        <v>30241.600000000002</v>
      </c>
      <c r="E1937" s="1377">
        <f t="shared" si="225"/>
        <v>0</v>
      </c>
      <c r="F1937" s="1436"/>
      <c r="G1937" s="1375" t="s">
        <v>628</v>
      </c>
      <c r="H1937" s="1630" t="s">
        <v>1081</v>
      </c>
      <c r="I1937" s="1433">
        <f>VLOOKUP(H1934,'CNKT '!$C$189:$Z$254,11,0)</f>
        <v>0</v>
      </c>
      <c r="J1937" s="1380">
        <f>46.1*$B$2</f>
        <v>30241.600000000002</v>
      </c>
      <c r="K1937" s="1377">
        <f t="shared" si="226"/>
        <v>0</v>
      </c>
      <c r="L1937" s="1389"/>
      <c r="M1937" s="1385"/>
    </row>
    <row r="1938" spans="1:13" s="31" customFormat="1" ht="17.25" customHeight="1">
      <c r="A1938" s="1375" t="s">
        <v>809</v>
      </c>
      <c r="B1938" s="1630" t="s">
        <v>1082</v>
      </c>
      <c r="C1938" s="1433">
        <f>VLOOKUP(B1934,'CNKT '!$C$189:$Z$254,12,0)</f>
        <v>0</v>
      </c>
      <c r="D1938" s="1379">
        <f>76.9*$B$2</f>
        <v>50446.400000000001</v>
      </c>
      <c r="E1938" s="1377">
        <f t="shared" si="225"/>
        <v>0</v>
      </c>
      <c r="F1938" s="1436"/>
      <c r="G1938" s="1375" t="s">
        <v>809</v>
      </c>
      <c r="H1938" s="1630" t="s">
        <v>1082</v>
      </c>
      <c r="I1938" s="1433">
        <f>VLOOKUP(H1934,'CNKT '!$C$189:$Z$254,12,0)</f>
        <v>0</v>
      </c>
      <c r="J1938" s="1379">
        <f>76.9*$B$2</f>
        <v>50446.400000000001</v>
      </c>
      <c r="K1938" s="1377">
        <f t="shared" si="226"/>
        <v>0</v>
      </c>
      <c r="L1938" s="1389"/>
      <c r="M1938" s="1385"/>
    </row>
    <row r="1939" spans="1:13" s="31" customFormat="1" ht="17.25" customHeight="1">
      <c r="A1939" s="1375" t="s">
        <v>122</v>
      </c>
      <c r="B1939" s="1630" t="s">
        <v>1083</v>
      </c>
      <c r="C1939" s="1433">
        <f>VLOOKUP(B1934,'CNKT '!$C$189:$Z$254,8,0)</f>
        <v>0</v>
      </c>
      <c r="D1939" s="1379">
        <f>IF(C1935="A",6.1,IF(C1935="B",5.8,IF(C1935="C",5.5,IF(C1935="C.",5.5,IF(C1935="D",5.2)))))*$B$2</f>
        <v>4001.6</v>
      </c>
      <c r="E1939" s="1377">
        <f t="shared" si="225"/>
        <v>0</v>
      </c>
      <c r="F1939" s="1436"/>
      <c r="G1939" s="1375" t="s">
        <v>122</v>
      </c>
      <c r="H1939" s="1630" t="s">
        <v>1083</v>
      </c>
      <c r="I1939" s="1433">
        <f>VLOOKUP(H1934,'CNKT '!$C$189:$Z$254,8,0)</f>
        <v>0</v>
      </c>
      <c r="J1939" s="1379">
        <f>IF(I1935="A",6.1,IF(I1935="B",5.8,IF(I1935="C",5.5,IF(I1935="C.",5.5,IF(I1935="D",5.2)))))*$B$2</f>
        <v>4001.6</v>
      </c>
      <c r="K1939" s="1377">
        <f t="shared" si="226"/>
        <v>0</v>
      </c>
      <c r="L1939" s="1389"/>
      <c r="M1939" s="1385"/>
    </row>
    <row r="1940" spans="1:13" s="31" customFormat="1" ht="17.25" customHeight="1">
      <c r="A1940" s="1375" t="s">
        <v>961</v>
      </c>
      <c r="B1940" s="1630" t="s">
        <v>1084</v>
      </c>
      <c r="C1940" s="1433">
        <f>VLOOKUP(B1934,'CNKT '!$C$101:$Z$254,13,0)</f>
        <v>0</v>
      </c>
      <c r="D1940" s="1380">
        <f>92.2*$B$2</f>
        <v>60483.200000000004</v>
      </c>
      <c r="E1940" s="1377">
        <f t="shared" si="225"/>
        <v>0</v>
      </c>
      <c r="F1940" s="1436"/>
      <c r="G1940" s="1375" t="s">
        <v>961</v>
      </c>
      <c r="H1940" s="1630" t="s">
        <v>1084</v>
      </c>
      <c r="I1940" s="1433">
        <f>VLOOKUP(H1934,'CNKT '!$C$101:$Z$254,13,0)</f>
        <v>0</v>
      </c>
      <c r="J1940" s="1380">
        <f>92.2*$B$2</f>
        <v>60483.200000000004</v>
      </c>
      <c r="K1940" s="1377">
        <f t="shared" si="226"/>
        <v>0</v>
      </c>
      <c r="L1940" s="1389"/>
      <c r="M1940" s="1385"/>
    </row>
    <row r="1941" spans="1:13" s="31" customFormat="1" ht="17.25" customHeight="1">
      <c r="A1941" s="1375" t="s">
        <v>886</v>
      </c>
      <c r="B1941" s="1630" t="s">
        <v>964</v>
      </c>
      <c r="C1941" s="1433">
        <f>VLOOKUP(B1934,'CNKT '!$C$189:$Z$254,14,0)</f>
        <v>0</v>
      </c>
      <c r="D1941" s="1379">
        <f>153.6*$B$2</f>
        <v>100761.59999999999</v>
      </c>
      <c r="E1941" s="1377">
        <f t="shared" si="225"/>
        <v>0</v>
      </c>
      <c r="F1941" s="1436"/>
      <c r="G1941" s="1375" t="s">
        <v>886</v>
      </c>
      <c r="H1941" s="1630" t="s">
        <v>964</v>
      </c>
      <c r="I1941" s="1433">
        <f>VLOOKUP(H1934,'CNKT '!$C$189:$Z$254,14,0)</f>
        <v>0</v>
      </c>
      <c r="J1941" s="1379">
        <f>153.6*$B$2</f>
        <v>100761.59999999999</v>
      </c>
      <c r="K1941" s="1377">
        <f t="shared" si="226"/>
        <v>0</v>
      </c>
      <c r="L1941" s="1389"/>
      <c r="M1941" s="1385"/>
    </row>
    <row r="1942" spans="1:13" s="31" customFormat="1" ht="17.25" customHeight="1">
      <c r="A1942" s="1375" t="s">
        <v>899</v>
      </c>
      <c r="B1942" s="1630" t="s">
        <v>965</v>
      </c>
      <c r="C1942" s="1433">
        <f>VLOOKUP(B1934,'CNKT '!$C$190:$Z$254,18,0)</f>
        <v>0</v>
      </c>
      <c r="D1942" s="1379">
        <v>10000</v>
      </c>
      <c r="E1942" s="1377">
        <f>C1942*D1942</f>
        <v>0</v>
      </c>
      <c r="F1942" s="1436"/>
      <c r="G1942" s="1375" t="s">
        <v>899</v>
      </c>
      <c r="H1942" s="1630" t="s">
        <v>965</v>
      </c>
      <c r="I1942" s="1433">
        <f>VLOOKUP(H1934,'CNKT '!$C$190:$Z$254,18,0)</f>
        <v>0</v>
      </c>
      <c r="J1942" s="1379">
        <v>10000</v>
      </c>
      <c r="K1942" s="1377">
        <f>I1942*J1942</f>
        <v>0</v>
      </c>
      <c r="L1942" s="1389"/>
      <c r="M1942" s="1385"/>
    </row>
    <row r="1943" spans="1:13" s="31" customFormat="1" ht="17.25" customHeight="1">
      <c r="A1943" s="1375" t="s">
        <v>899</v>
      </c>
      <c r="B1943" s="1630" t="s">
        <v>965</v>
      </c>
      <c r="C1943" s="1433">
        <f>VLOOKUP(B1934,'CNKT '!$C$190:$Z$254,19,0)</f>
        <v>0</v>
      </c>
      <c r="D1943" s="1379">
        <v>20000</v>
      </c>
      <c r="E1943" s="1377">
        <f>C1943*D1943</f>
        <v>0</v>
      </c>
      <c r="F1943" s="1436"/>
      <c r="G1943" s="1375" t="s">
        <v>899</v>
      </c>
      <c r="H1943" s="1630" t="s">
        <v>965</v>
      </c>
      <c r="I1943" s="1433">
        <f>VLOOKUP(H1934,'CNKT '!$C$190:$Z$254,19,0)</f>
        <v>0</v>
      </c>
      <c r="J1943" s="1379">
        <v>20000</v>
      </c>
      <c r="K1943" s="1377">
        <f>I1943*J1943</f>
        <v>0</v>
      </c>
      <c r="L1943" s="1389"/>
      <c r="M1943" s="1385"/>
    </row>
    <row r="1944" spans="1:13" s="31" customFormat="1" ht="17.25" customHeight="1">
      <c r="A1944" s="1375" t="s">
        <v>995</v>
      </c>
      <c r="B1944" s="1630" t="s">
        <v>997</v>
      </c>
      <c r="C1944" s="1433"/>
      <c r="D1944" s="1379"/>
      <c r="E1944" s="1377"/>
      <c r="F1944" s="1436"/>
      <c r="G1944" s="1375" t="s">
        <v>995</v>
      </c>
      <c r="H1944" s="1630" t="s">
        <v>997</v>
      </c>
      <c r="I1944" s="1433"/>
      <c r="J1944" s="1379"/>
      <c r="K1944" s="1377"/>
      <c r="L1944" s="1389"/>
      <c r="M1944" s="1385"/>
    </row>
    <row r="1945" spans="1:13" s="31" customFormat="1" ht="17.25" customHeight="1">
      <c r="A1945" s="1381" t="s">
        <v>123</v>
      </c>
      <c r="B1945" s="1631" t="s">
        <v>1085</v>
      </c>
      <c r="C1945" s="1382"/>
      <c r="D1945" s="1383"/>
      <c r="E1945" s="1382"/>
      <c r="F1945" s="1436"/>
      <c r="G1945" s="1381" t="s">
        <v>123</v>
      </c>
      <c r="H1945" s="1631" t="s">
        <v>1085</v>
      </c>
      <c r="I1945" s="1382"/>
      <c r="J1945" s="1383"/>
      <c r="K1945" s="1382"/>
      <c r="L1945" s="1389"/>
      <c r="M1945" s="1385"/>
    </row>
    <row r="1946" spans="1:13" s="31" customFormat="1" ht="17.25" customHeight="1">
      <c r="A1946" s="1384" t="s">
        <v>124</v>
      </c>
      <c r="B1946" s="1632" t="s">
        <v>1086</v>
      </c>
      <c r="C1946" s="1382"/>
      <c r="D1946" s="1382"/>
      <c r="E1946" s="1382"/>
      <c r="F1946" s="1436"/>
      <c r="G1946" s="1384" t="s">
        <v>124</v>
      </c>
      <c r="H1946" s="1632" t="s">
        <v>1086</v>
      </c>
      <c r="I1946" s="1382"/>
      <c r="J1946" s="1382"/>
      <c r="K1946" s="1382"/>
      <c r="L1946" s="1389"/>
      <c r="M1946" s="1385"/>
    </row>
    <row r="1947" spans="1:13" s="31" customFormat="1" ht="17.25" customHeight="1">
      <c r="A1947" s="1384" t="s">
        <v>125</v>
      </c>
      <c r="B1947" s="1633" t="s">
        <v>1087</v>
      </c>
      <c r="C1947" s="1382"/>
      <c r="D1947" s="1382"/>
      <c r="E1947" s="1377">
        <f>SUM(E1946)</f>
        <v>0</v>
      </c>
      <c r="F1947" s="1436"/>
      <c r="G1947" s="1384" t="s">
        <v>125</v>
      </c>
      <c r="H1947" s="1633" t="s">
        <v>1087</v>
      </c>
      <c r="I1947" s="1382"/>
      <c r="J1947" s="1382"/>
      <c r="K1947" s="1377">
        <f>SUM(K1946)</f>
        <v>0</v>
      </c>
      <c r="L1947" s="1389"/>
      <c r="M1947" s="1385"/>
    </row>
    <row r="1948" spans="1:13" s="31" customFormat="1" ht="17.25" customHeight="1">
      <c r="A1948" s="1386" t="s">
        <v>126</v>
      </c>
      <c r="B1948" s="1634" t="s">
        <v>871</v>
      </c>
      <c r="C1948" s="1387"/>
      <c r="D1948" s="1387"/>
      <c r="E1948" s="1387">
        <f>(E1936+E1937+E1938+E1939+E1940+E1941+E1942+E1943+E1944)-E1947</f>
        <v>0</v>
      </c>
      <c r="F1948" s="1436"/>
      <c r="G1948" s="1386" t="s">
        <v>126</v>
      </c>
      <c r="H1948" s="1634" t="s">
        <v>871</v>
      </c>
      <c r="I1948" s="1387"/>
      <c r="J1948" s="1387"/>
      <c r="K1948" s="1387">
        <f>(K1936+K1937+K1938+K1939+K1940+K1941+K1942+K1943+K1944)-K1947</f>
        <v>0</v>
      </c>
      <c r="L1948" s="1389">
        <f>E1948+K1948</f>
        <v>0</v>
      </c>
      <c r="M1948" s="1385"/>
    </row>
    <row r="1949" spans="1:13" s="31" customFormat="1" ht="17.25" customHeight="1">
      <c r="A1949" s="1449"/>
      <c r="B1949" s="1449"/>
      <c r="C1949" s="1449"/>
      <c r="D1949" s="1449"/>
      <c r="E1949" s="1449"/>
      <c r="F1949" s="1449"/>
      <c r="G1949" s="1449"/>
      <c r="H1949" s="1449"/>
      <c r="I1949" s="1449"/>
      <c r="J1949" s="1449"/>
      <c r="K1949" s="1449"/>
      <c r="L1949" s="1389"/>
      <c r="M1949" s="1385"/>
    </row>
    <row r="1950" spans="1:13" s="31" customFormat="1" ht="17.25" customHeight="1">
      <c r="A1950" s="1445" t="str">
        <f>A1933</f>
        <v>LƯƠNG THÁNG 01/2025</v>
      </c>
      <c r="B1950" s="1449"/>
      <c r="C1950" s="1449"/>
      <c r="D1950" s="1449"/>
      <c r="E1950" s="1458">
        <f>VLOOKUP(B1951,'CNKT '!$C$190:$AD$254,26,0)</f>
        <v>0</v>
      </c>
      <c r="F1950" s="1436"/>
      <c r="G1950" s="1445" t="str">
        <f>A1950</f>
        <v>LƯƠNG THÁNG 01/2025</v>
      </c>
      <c r="H1950" s="1449"/>
      <c r="I1950" s="1449"/>
      <c r="J1950" s="1452"/>
      <c r="K1950" s="1458">
        <f>VLOOKUP(H1951,'CNKT '!$C$190:$AD$254,26,0)</f>
        <v>0</v>
      </c>
      <c r="L1950" s="1389"/>
      <c r="M1950" s="1385"/>
    </row>
    <row r="1951" spans="1:13" s="31" customFormat="1" ht="17.25" customHeight="1">
      <c r="A1951" s="1391" t="s">
        <v>29</v>
      </c>
      <c r="B1951" s="1626" t="str">
        <f>'CNKT '!C244</f>
        <v>Xô La</v>
      </c>
      <c r="C1951" s="1376"/>
      <c r="D1951" s="1626" t="s">
        <v>806</v>
      </c>
      <c r="E1951" s="1626" t="s">
        <v>32</v>
      </c>
      <c r="F1951" s="1436"/>
      <c r="G1951" s="1391" t="s">
        <v>29</v>
      </c>
      <c r="H1951" s="1626" t="str">
        <f>'CNKT '!C245</f>
        <v>T. Xơn</v>
      </c>
      <c r="I1951" s="1376"/>
      <c r="J1951" s="1626" t="s">
        <v>806</v>
      </c>
      <c r="K1951" s="1626" t="s">
        <v>32</v>
      </c>
      <c r="L1951" s="1389"/>
      <c r="M1951" s="1385"/>
    </row>
    <row r="1952" spans="1:13" s="31" customFormat="1" ht="17.25" customHeight="1">
      <c r="A1952" s="1375" t="s">
        <v>807</v>
      </c>
      <c r="B1952" s="1628" t="s">
        <v>1080</v>
      </c>
      <c r="C1952" s="1376" t="str">
        <f>VLOOKUP(B1951,'BTH mủ tạp'!$C$182:$AL$244,36,0)</f>
        <v>A</v>
      </c>
      <c r="D1952" s="1377"/>
      <c r="E1952" s="1377"/>
      <c r="F1952" s="1436"/>
      <c r="G1952" s="1375" t="s">
        <v>807</v>
      </c>
      <c r="H1952" s="1628" t="s">
        <v>1080</v>
      </c>
      <c r="I1952" s="1376" t="str">
        <f>VLOOKUP(H1951,'BTH mủ tạp'!$C$182:$AL$244,36,0)</f>
        <v>A</v>
      </c>
      <c r="J1952" s="1377"/>
      <c r="K1952" s="1377"/>
      <c r="L1952" s="1389"/>
      <c r="M1952" s="1385"/>
    </row>
    <row r="1953" spans="1:13" s="31" customFormat="1" ht="17.25" customHeight="1">
      <c r="A1953" s="1375" t="s">
        <v>121</v>
      </c>
      <c r="B1953" s="1629" t="s">
        <v>865</v>
      </c>
      <c r="C1953" s="1378">
        <f>VLOOKUP(B1951,'CNKT '!$C$189:$Z$254,3,0)</f>
        <v>0</v>
      </c>
      <c r="D1953" s="1379">
        <v>25000</v>
      </c>
      <c r="E1953" s="1377">
        <f t="shared" ref="E1953:E1958" si="227">C1953*D1953</f>
        <v>0</v>
      </c>
      <c r="F1953" s="1436"/>
      <c r="G1953" s="1375" t="s">
        <v>121</v>
      </c>
      <c r="H1953" s="1629" t="s">
        <v>865</v>
      </c>
      <c r="I1953" s="1378">
        <f>VLOOKUP(H1951,'CNKT '!$C$189:$Z$254,3,0)</f>
        <v>0</v>
      </c>
      <c r="J1953" s="1379">
        <v>25000</v>
      </c>
      <c r="K1953" s="1377">
        <f t="shared" ref="K1953:K1958" si="228">I1953*J1953</f>
        <v>0</v>
      </c>
      <c r="L1953" s="1389"/>
      <c r="M1953" s="1385"/>
    </row>
    <row r="1954" spans="1:13" s="31" customFormat="1" ht="17.25" customHeight="1">
      <c r="A1954" s="1375" t="s">
        <v>628</v>
      </c>
      <c r="B1954" s="1630" t="s">
        <v>1081</v>
      </c>
      <c r="C1954" s="1433">
        <f>VLOOKUP(B1951,'CNKT '!$C$189:$Z$254,11,0)</f>
        <v>0</v>
      </c>
      <c r="D1954" s="1380">
        <f>46.1*$B$2</f>
        <v>30241.600000000002</v>
      </c>
      <c r="E1954" s="1377">
        <f t="shared" si="227"/>
        <v>0</v>
      </c>
      <c r="F1954" s="1436"/>
      <c r="G1954" s="1375" t="s">
        <v>628</v>
      </c>
      <c r="H1954" s="1630" t="s">
        <v>1081</v>
      </c>
      <c r="I1954" s="1433">
        <f>VLOOKUP(H1951,'CNKT '!$C$189:$Z$254,11,0)</f>
        <v>0</v>
      </c>
      <c r="J1954" s="1380">
        <f>46.1*$B$2</f>
        <v>30241.600000000002</v>
      </c>
      <c r="K1954" s="1377">
        <f t="shared" si="228"/>
        <v>0</v>
      </c>
      <c r="L1954" s="1389"/>
      <c r="M1954" s="1385"/>
    </row>
    <row r="1955" spans="1:13" s="31" customFormat="1" ht="17.25" customHeight="1">
      <c r="A1955" s="1375" t="s">
        <v>809</v>
      </c>
      <c r="B1955" s="1630" t="s">
        <v>1082</v>
      </c>
      <c r="C1955" s="1433">
        <f>VLOOKUP(B1951,'CNKT '!$C$189:$Z$254,12,0)</f>
        <v>0</v>
      </c>
      <c r="D1955" s="1379">
        <f>76.9*$B$2</f>
        <v>50446.400000000001</v>
      </c>
      <c r="E1955" s="1377">
        <f t="shared" si="227"/>
        <v>0</v>
      </c>
      <c r="F1955" s="1436"/>
      <c r="G1955" s="1375" t="s">
        <v>809</v>
      </c>
      <c r="H1955" s="1630" t="s">
        <v>1082</v>
      </c>
      <c r="I1955" s="1433">
        <f>VLOOKUP(H1951,'CNKT '!$C$189:$Z$254,12,0)</f>
        <v>0</v>
      </c>
      <c r="J1955" s="1379">
        <f>76.9*$B$2</f>
        <v>50446.400000000001</v>
      </c>
      <c r="K1955" s="1377">
        <f t="shared" si="228"/>
        <v>0</v>
      </c>
      <c r="L1955" s="1389"/>
      <c r="M1955" s="1385"/>
    </row>
    <row r="1956" spans="1:13" s="31" customFormat="1" ht="17.25" customHeight="1">
      <c r="A1956" s="1375" t="s">
        <v>122</v>
      </c>
      <c r="B1956" s="1630" t="s">
        <v>1083</v>
      </c>
      <c r="C1956" s="1433">
        <f>VLOOKUP(B1951,'CNKT '!$C$189:$Z$254,8,0)</f>
        <v>0</v>
      </c>
      <c r="D1956" s="1379">
        <f>IF(C1952="A",6.1,IF(C1952="B",5.8,IF(C1952="C",5.5,IF(C1952="C.",5.5,IF(C1952="D",5.2)))))*$B$2</f>
        <v>4001.6</v>
      </c>
      <c r="E1956" s="1377">
        <f t="shared" si="227"/>
        <v>0</v>
      </c>
      <c r="F1956" s="1436"/>
      <c r="G1956" s="1375" t="s">
        <v>122</v>
      </c>
      <c r="H1956" s="1630" t="s">
        <v>1083</v>
      </c>
      <c r="I1956" s="1433">
        <f>VLOOKUP(H1951,'CNKT '!$C$189:$Z$254,8,0)</f>
        <v>0</v>
      </c>
      <c r="J1956" s="1379">
        <f>IF(I1952="A",6.1,IF(I1952="B",5.8,IF(I1952="C",5.5,IF(I1952="C.",5.5,IF(I1952="D",5.2)))))*$B$2</f>
        <v>4001.6</v>
      </c>
      <c r="K1956" s="1377">
        <f t="shared" si="228"/>
        <v>0</v>
      </c>
      <c r="L1956" s="1389"/>
      <c r="M1956" s="1385"/>
    </row>
    <row r="1957" spans="1:13" s="31" customFormat="1" ht="17.25" customHeight="1">
      <c r="A1957" s="1375" t="s">
        <v>961</v>
      </c>
      <c r="B1957" s="1630" t="s">
        <v>1084</v>
      </c>
      <c r="C1957" s="1433">
        <f>VLOOKUP(B1951,'CNKT '!$C$101:$Z$254,13,0)</f>
        <v>0</v>
      </c>
      <c r="D1957" s="1380">
        <f>92.2*$B$2</f>
        <v>60483.200000000004</v>
      </c>
      <c r="E1957" s="1377">
        <f t="shared" si="227"/>
        <v>0</v>
      </c>
      <c r="F1957" s="1436"/>
      <c r="G1957" s="1375" t="s">
        <v>961</v>
      </c>
      <c r="H1957" s="1630" t="s">
        <v>1084</v>
      </c>
      <c r="I1957" s="1433">
        <f>VLOOKUP(H1951,'CNKT '!$C$101:$Z$254,13,0)</f>
        <v>0</v>
      </c>
      <c r="J1957" s="1380">
        <f>92.2*$B$2</f>
        <v>60483.200000000004</v>
      </c>
      <c r="K1957" s="1377">
        <f t="shared" si="228"/>
        <v>0</v>
      </c>
      <c r="L1957" s="1389"/>
      <c r="M1957" s="1385"/>
    </row>
    <row r="1958" spans="1:13" s="31" customFormat="1" ht="17.25" customHeight="1">
      <c r="A1958" s="1375" t="s">
        <v>886</v>
      </c>
      <c r="B1958" s="1630" t="s">
        <v>964</v>
      </c>
      <c r="C1958" s="1433">
        <f>VLOOKUP(B1951,'CNKT '!$C$189:$Z$254,14,0)</f>
        <v>0</v>
      </c>
      <c r="D1958" s="1379">
        <f>153.6*$B$2</f>
        <v>100761.59999999999</v>
      </c>
      <c r="E1958" s="1377">
        <f t="shared" si="227"/>
        <v>0</v>
      </c>
      <c r="F1958" s="1436"/>
      <c r="G1958" s="1375" t="s">
        <v>886</v>
      </c>
      <c r="H1958" s="1630" t="s">
        <v>964</v>
      </c>
      <c r="I1958" s="1433">
        <f>VLOOKUP(H1951,'CNKT '!$C$189:$Z$254,14,0)</f>
        <v>0</v>
      </c>
      <c r="J1958" s="1379">
        <f>153.6*$B$2</f>
        <v>100761.59999999999</v>
      </c>
      <c r="K1958" s="1377">
        <f t="shared" si="228"/>
        <v>0</v>
      </c>
      <c r="L1958" s="1389"/>
      <c r="M1958" s="1385"/>
    </row>
    <row r="1959" spans="1:13" s="31" customFormat="1" ht="17.25" customHeight="1">
      <c r="A1959" s="1375" t="s">
        <v>899</v>
      </c>
      <c r="B1959" s="1630" t="s">
        <v>965</v>
      </c>
      <c r="C1959" s="1433">
        <f>VLOOKUP(B1951,'CNKT '!$C$190:$Z$254,18,0)</f>
        <v>0</v>
      </c>
      <c r="D1959" s="1379">
        <v>10000</v>
      </c>
      <c r="E1959" s="1377">
        <f>C1959*D1959</f>
        <v>0</v>
      </c>
      <c r="F1959" s="1436"/>
      <c r="G1959" s="1375" t="s">
        <v>899</v>
      </c>
      <c r="H1959" s="1630" t="s">
        <v>965</v>
      </c>
      <c r="I1959" s="1433">
        <f>VLOOKUP(H1951,'CNKT '!$C$190:$Z$254,18,0)</f>
        <v>0</v>
      </c>
      <c r="J1959" s="1379">
        <v>10000</v>
      </c>
      <c r="K1959" s="1377">
        <f>I1959*J1959</f>
        <v>0</v>
      </c>
      <c r="L1959" s="1389"/>
      <c r="M1959" s="1385"/>
    </row>
    <row r="1960" spans="1:13" s="31" customFormat="1" ht="17.25" customHeight="1">
      <c r="A1960" s="1375" t="s">
        <v>899</v>
      </c>
      <c r="B1960" s="1630" t="s">
        <v>965</v>
      </c>
      <c r="C1960" s="1433">
        <f>VLOOKUP(B1951,'CNKT '!$C$190:$Z$254,19,0)</f>
        <v>0</v>
      </c>
      <c r="D1960" s="1379">
        <v>20000</v>
      </c>
      <c r="E1960" s="1377">
        <f>C1960*D1960</f>
        <v>0</v>
      </c>
      <c r="F1960" s="1436"/>
      <c r="G1960" s="1375" t="s">
        <v>899</v>
      </c>
      <c r="H1960" s="1630" t="s">
        <v>965</v>
      </c>
      <c r="I1960" s="1433">
        <f>VLOOKUP(H1951,'CNKT '!$C$190:$Z$254,19,0)</f>
        <v>0</v>
      </c>
      <c r="J1960" s="1379">
        <v>20000</v>
      </c>
      <c r="K1960" s="1377">
        <f>I1960*J1960</f>
        <v>0</v>
      </c>
      <c r="L1960" s="1389"/>
      <c r="M1960" s="1385"/>
    </row>
    <row r="1961" spans="1:13" s="31" customFormat="1" ht="17.25" customHeight="1">
      <c r="A1961" s="1375" t="s">
        <v>995</v>
      </c>
      <c r="B1961" s="1630" t="s">
        <v>997</v>
      </c>
      <c r="C1961" s="1433"/>
      <c r="D1961" s="1379"/>
      <c r="E1961" s="1377"/>
      <c r="F1961" s="1436"/>
      <c r="G1961" s="1375" t="s">
        <v>995</v>
      </c>
      <c r="H1961" s="1630" t="s">
        <v>997</v>
      </c>
      <c r="I1961" s="1433"/>
      <c r="J1961" s="1379"/>
      <c r="K1961" s="1377"/>
      <c r="L1961" s="1389"/>
      <c r="M1961" s="1385"/>
    </row>
    <row r="1962" spans="1:13" s="31" customFormat="1" ht="17.25" customHeight="1">
      <c r="A1962" s="1381" t="s">
        <v>123</v>
      </c>
      <c r="B1962" s="1631" t="s">
        <v>1085</v>
      </c>
      <c r="C1962" s="1382"/>
      <c r="D1962" s="1383"/>
      <c r="E1962" s="1382"/>
      <c r="F1962" s="1436"/>
      <c r="G1962" s="1381" t="s">
        <v>123</v>
      </c>
      <c r="H1962" s="1631" t="s">
        <v>1085</v>
      </c>
      <c r="I1962" s="1382"/>
      <c r="J1962" s="1383"/>
      <c r="K1962" s="1382"/>
      <c r="L1962" s="1389"/>
      <c r="M1962" s="1385"/>
    </row>
    <row r="1963" spans="1:13" s="31" customFormat="1" ht="17.25" customHeight="1">
      <c r="A1963" s="1384" t="s">
        <v>124</v>
      </c>
      <c r="B1963" s="1632" t="s">
        <v>1086</v>
      </c>
      <c r="C1963" s="1382"/>
      <c r="D1963" s="1382"/>
      <c r="E1963" s="1382"/>
      <c r="F1963" s="1436"/>
      <c r="G1963" s="1384" t="s">
        <v>124</v>
      </c>
      <c r="H1963" s="1632" t="s">
        <v>1086</v>
      </c>
      <c r="I1963" s="1382"/>
      <c r="J1963" s="1382"/>
      <c r="K1963" s="1382"/>
      <c r="L1963" s="1389"/>
      <c r="M1963" s="1385"/>
    </row>
    <row r="1964" spans="1:13" s="31" customFormat="1" ht="17.25" customHeight="1">
      <c r="A1964" s="1384" t="s">
        <v>125</v>
      </c>
      <c r="B1964" s="1633" t="s">
        <v>1087</v>
      </c>
      <c r="C1964" s="1382"/>
      <c r="D1964" s="1382"/>
      <c r="E1964" s="1377">
        <f>SUM(E1963)</f>
        <v>0</v>
      </c>
      <c r="F1964" s="1436"/>
      <c r="G1964" s="1384" t="s">
        <v>125</v>
      </c>
      <c r="H1964" s="1633" t="s">
        <v>1087</v>
      </c>
      <c r="I1964" s="1382"/>
      <c r="J1964" s="1382"/>
      <c r="K1964" s="1377">
        <f>SUM(K1963)</f>
        <v>0</v>
      </c>
      <c r="L1964" s="1389"/>
      <c r="M1964" s="1385"/>
    </row>
    <row r="1965" spans="1:13" s="31" customFormat="1" ht="17.25" customHeight="1">
      <c r="A1965" s="1386" t="s">
        <v>126</v>
      </c>
      <c r="B1965" s="1634" t="s">
        <v>871</v>
      </c>
      <c r="C1965" s="1387"/>
      <c r="D1965" s="1387"/>
      <c r="E1965" s="1387">
        <f>(E1953+E1954+E1955+E1956+E1957+E1958+E1959+E1960+E1961)-E1964</f>
        <v>0</v>
      </c>
      <c r="F1965" s="1436"/>
      <c r="G1965" s="1386" t="s">
        <v>126</v>
      </c>
      <c r="H1965" s="1634" t="s">
        <v>871</v>
      </c>
      <c r="I1965" s="1387"/>
      <c r="J1965" s="1387"/>
      <c r="K1965" s="1387">
        <f>(K1953+K1954+K1955+K1956+K1957+K1958+K1959+K1960+K1961)-K1964</f>
        <v>0</v>
      </c>
      <c r="L1965" s="1389">
        <f>E1965+K1965</f>
        <v>0</v>
      </c>
      <c r="M1965" s="1385"/>
    </row>
    <row r="1966" spans="1:13" s="31" customFormat="1" ht="204" customHeight="1">
      <c r="A1966" s="1449"/>
      <c r="B1966" s="1449"/>
      <c r="C1966" s="1449"/>
      <c r="D1966" s="1449"/>
      <c r="E1966" s="1449"/>
      <c r="F1966" s="1449"/>
      <c r="G1966" s="1449"/>
      <c r="H1966" s="1449"/>
      <c r="I1966" s="1449"/>
      <c r="J1966" s="1449"/>
      <c r="K1966" s="1449"/>
      <c r="L1966" s="1389"/>
      <c r="M1966" s="1385"/>
    </row>
    <row r="1967" spans="1:13" s="31" customFormat="1" ht="17.25" customHeight="1">
      <c r="A1967" s="1445" t="str">
        <f>A1950</f>
        <v>LƯƠNG THÁNG 01/2025</v>
      </c>
      <c r="B1967" s="1449"/>
      <c r="C1967" s="1449"/>
      <c r="D1967" s="1449"/>
      <c r="E1967" s="1458">
        <f>VLOOKUP(B1968,'CNKT '!$C$190:$AD$254,26,0)</f>
        <v>0</v>
      </c>
      <c r="F1967" s="1436"/>
      <c r="G1967" s="1445" t="str">
        <f>A1967</f>
        <v>LƯƠNG THÁNG 01/2025</v>
      </c>
      <c r="H1967" s="1449"/>
      <c r="I1967" s="1449"/>
      <c r="J1967" s="1452"/>
      <c r="K1967" s="1458">
        <f>VLOOKUP(H1968,'CNKT '!$C$190:$AD$254,26,0)</f>
        <v>0</v>
      </c>
      <c r="L1967" s="1389"/>
      <c r="M1967" s="1385"/>
    </row>
    <row r="1968" spans="1:13" s="31" customFormat="1" ht="17.25" customHeight="1">
      <c r="A1968" s="1391" t="s">
        <v>29</v>
      </c>
      <c r="B1968" s="1626" t="str">
        <f>'CNKT '!C246</f>
        <v>T. K Đăm</v>
      </c>
      <c r="C1968" s="1376"/>
      <c r="D1968" s="1626" t="s">
        <v>806</v>
      </c>
      <c r="E1968" s="1626" t="s">
        <v>32</v>
      </c>
      <c r="F1968" s="1436"/>
      <c r="G1968" s="1391" t="s">
        <v>29</v>
      </c>
      <c r="H1968" s="1626" t="str">
        <f>'CNKT '!C247</f>
        <v>N. Nô La</v>
      </c>
      <c r="I1968" s="1376"/>
      <c r="J1968" s="1626" t="s">
        <v>806</v>
      </c>
      <c r="K1968" s="1626" t="s">
        <v>32</v>
      </c>
      <c r="L1968" s="1389"/>
      <c r="M1968" s="1385"/>
    </row>
    <row r="1969" spans="1:13" s="31" customFormat="1" ht="17.25" customHeight="1">
      <c r="A1969" s="1375" t="s">
        <v>807</v>
      </c>
      <c r="B1969" s="1628" t="s">
        <v>1080</v>
      </c>
      <c r="C1969" s="1376" t="str">
        <f>VLOOKUP(B1968,'BTH mủ tạp'!$C$182:$AL$244,36,0)</f>
        <v>A</v>
      </c>
      <c r="D1969" s="1377"/>
      <c r="E1969" s="1377"/>
      <c r="F1969" s="1436"/>
      <c r="G1969" s="1375" t="s">
        <v>807</v>
      </c>
      <c r="H1969" s="1628" t="s">
        <v>1080</v>
      </c>
      <c r="I1969" s="1376" t="str">
        <f>VLOOKUP(H1968,'BTH mủ tạp'!$C$182:$AL$244,36,0)</f>
        <v>A</v>
      </c>
      <c r="J1969" s="1377"/>
      <c r="K1969" s="1377"/>
      <c r="L1969" s="1389"/>
      <c r="M1969" s="1385"/>
    </row>
    <row r="1970" spans="1:13" s="31" customFormat="1" ht="17.25" customHeight="1">
      <c r="A1970" s="1375" t="s">
        <v>121</v>
      </c>
      <c r="B1970" s="1629" t="s">
        <v>865</v>
      </c>
      <c r="C1970" s="1378">
        <f>VLOOKUP(B1968,'CNKT '!$C$189:$Z$254,3,0)</f>
        <v>0</v>
      </c>
      <c r="D1970" s="1379">
        <v>25000</v>
      </c>
      <c r="E1970" s="1377">
        <f t="shared" ref="E1970:E1975" si="229">C1970*D1970</f>
        <v>0</v>
      </c>
      <c r="F1970" s="1436"/>
      <c r="G1970" s="1375" t="s">
        <v>121</v>
      </c>
      <c r="H1970" s="1629" t="s">
        <v>865</v>
      </c>
      <c r="I1970" s="1378">
        <f>VLOOKUP(H1968,'CNKT '!$C$189:$Z$254,3,0)</f>
        <v>0</v>
      </c>
      <c r="J1970" s="1379">
        <v>25000</v>
      </c>
      <c r="K1970" s="1377">
        <f t="shared" ref="K1970:K1975" si="230">I1970*J1970</f>
        <v>0</v>
      </c>
      <c r="L1970" s="1389"/>
      <c r="M1970" s="1385"/>
    </row>
    <row r="1971" spans="1:13" s="31" customFormat="1" ht="17.25" customHeight="1">
      <c r="A1971" s="1375" t="s">
        <v>628</v>
      </c>
      <c r="B1971" s="1630" t="s">
        <v>1081</v>
      </c>
      <c r="C1971" s="1433">
        <f>VLOOKUP(B1968,'CNKT '!$C$189:$Z$254,11,0)</f>
        <v>0</v>
      </c>
      <c r="D1971" s="1380">
        <f>46.1*$B$2</f>
        <v>30241.600000000002</v>
      </c>
      <c r="E1971" s="1377">
        <f t="shared" si="229"/>
        <v>0</v>
      </c>
      <c r="F1971" s="1436"/>
      <c r="G1971" s="1375" t="s">
        <v>628</v>
      </c>
      <c r="H1971" s="1630" t="s">
        <v>1081</v>
      </c>
      <c r="I1971" s="1433">
        <f>VLOOKUP(H1968,'CNKT '!$C$189:$Z$254,11,0)</f>
        <v>0</v>
      </c>
      <c r="J1971" s="1380">
        <f>46.1*$B$2</f>
        <v>30241.600000000002</v>
      </c>
      <c r="K1971" s="1377">
        <f t="shared" si="230"/>
        <v>0</v>
      </c>
      <c r="L1971" s="1389"/>
      <c r="M1971" s="1385"/>
    </row>
    <row r="1972" spans="1:13" s="31" customFormat="1" ht="17.25" customHeight="1">
      <c r="A1972" s="1375" t="s">
        <v>809</v>
      </c>
      <c r="B1972" s="1630" t="s">
        <v>1082</v>
      </c>
      <c r="C1972" s="1433">
        <f>VLOOKUP(B1968,'CNKT '!$C$189:$Z$254,12,0)</f>
        <v>0</v>
      </c>
      <c r="D1972" s="1379">
        <f>76.9*$B$2</f>
        <v>50446.400000000001</v>
      </c>
      <c r="E1972" s="1377">
        <f t="shared" si="229"/>
        <v>0</v>
      </c>
      <c r="F1972" s="1436"/>
      <c r="G1972" s="1375" t="s">
        <v>809</v>
      </c>
      <c r="H1972" s="1630" t="s">
        <v>1082</v>
      </c>
      <c r="I1972" s="1433">
        <f>VLOOKUP(H1968,'CNKT '!$C$189:$Z$254,12,0)</f>
        <v>0</v>
      </c>
      <c r="J1972" s="1379">
        <f>76.9*$B$2</f>
        <v>50446.400000000001</v>
      </c>
      <c r="K1972" s="1377">
        <f t="shared" si="230"/>
        <v>0</v>
      </c>
      <c r="L1972" s="1389"/>
      <c r="M1972" s="1385"/>
    </row>
    <row r="1973" spans="1:13" s="31" customFormat="1" ht="17.25" customHeight="1">
      <c r="A1973" s="1375" t="s">
        <v>122</v>
      </c>
      <c r="B1973" s="1630" t="s">
        <v>1083</v>
      </c>
      <c r="C1973" s="1433">
        <f>VLOOKUP(B1968,'CNKT '!$C$189:$Z$254,8,0)</f>
        <v>0</v>
      </c>
      <c r="D1973" s="1379">
        <f>IF(C1969="A",6.1,IF(C1969="B",5.8,IF(C1969="C",5.5,IF(C1969="C.",5.5,IF(C1969="D",5.2)))))*$B$2</f>
        <v>4001.6</v>
      </c>
      <c r="E1973" s="1377">
        <f t="shared" si="229"/>
        <v>0</v>
      </c>
      <c r="F1973" s="1436"/>
      <c r="G1973" s="1375" t="s">
        <v>122</v>
      </c>
      <c r="H1973" s="1630" t="s">
        <v>1083</v>
      </c>
      <c r="I1973" s="1433">
        <f>VLOOKUP(H1968,'CNKT '!$C$189:$Z$254,8,0)</f>
        <v>0</v>
      </c>
      <c r="J1973" s="1379">
        <f>IF(I1969="A",6.1,IF(I1969="B",5.8,IF(I1969="C",5.5,IF(I1969="C.",5.5,IF(I1969="D",5.2)))))*$B$2</f>
        <v>4001.6</v>
      </c>
      <c r="K1973" s="1377">
        <f t="shared" si="230"/>
        <v>0</v>
      </c>
      <c r="L1973" s="1389"/>
      <c r="M1973" s="1385"/>
    </row>
    <row r="1974" spans="1:13" s="31" customFormat="1" ht="17.25" customHeight="1">
      <c r="A1974" s="1375" t="s">
        <v>961</v>
      </c>
      <c r="B1974" s="1630" t="s">
        <v>1084</v>
      </c>
      <c r="C1974" s="1433">
        <f>VLOOKUP(B1968,'CNKT '!$C$101:$Z$254,13,0)</f>
        <v>0</v>
      </c>
      <c r="D1974" s="1380">
        <f>92.2*$B$2</f>
        <v>60483.200000000004</v>
      </c>
      <c r="E1974" s="1377">
        <f t="shared" si="229"/>
        <v>0</v>
      </c>
      <c r="F1974" s="1436"/>
      <c r="G1974" s="1375" t="s">
        <v>961</v>
      </c>
      <c r="H1974" s="1630" t="s">
        <v>1084</v>
      </c>
      <c r="I1974" s="1433">
        <f>VLOOKUP(H1968,'CNKT '!$C$101:$Z$254,13,0)</f>
        <v>0</v>
      </c>
      <c r="J1974" s="1380">
        <f>92.2*$B$2</f>
        <v>60483.200000000004</v>
      </c>
      <c r="K1974" s="1377">
        <f t="shared" si="230"/>
        <v>0</v>
      </c>
      <c r="L1974" s="1389"/>
      <c r="M1974" s="1385"/>
    </row>
    <row r="1975" spans="1:13" s="31" customFormat="1" ht="17.25" customHeight="1">
      <c r="A1975" s="1375" t="s">
        <v>886</v>
      </c>
      <c r="B1975" s="1630" t="s">
        <v>964</v>
      </c>
      <c r="C1975" s="1433">
        <f>VLOOKUP(B1968,'CNKT '!$C$189:$Z$254,14,0)</f>
        <v>0</v>
      </c>
      <c r="D1975" s="1379">
        <f>153.6*$B$2</f>
        <v>100761.59999999999</v>
      </c>
      <c r="E1975" s="1377">
        <f t="shared" si="229"/>
        <v>0</v>
      </c>
      <c r="F1975" s="1436"/>
      <c r="G1975" s="1375" t="s">
        <v>886</v>
      </c>
      <c r="H1975" s="1630" t="s">
        <v>964</v>
      </c>
      <c r="I1975" s="1433">
        <f>VLOOKUP(H1968,'CNKT '!$C$189:$Z$254,14,0)</f>
        <v>0</v>
      </c>
      <c r="J1975" s="1379">
        <f>153.6*$B$2</f>
        <v>100761.59999999999</v>
      </c>
      <c r="K1975" s="1377">
        <f t="shared" si="230"/>
        <v>0</v>
      </c>
      <c r="L1975" s="1389"/>
      <c r="M1975" s="1385"/>
    </row>
    <row r="1976" spans="1:13" s="31" customFormat="1" ht="17.25" customHeight="1">
      <c r="A1976" s="1375" t="s">
        <v>899</v>
      </c>
      <c r="B1976" s="1630" t="s">
        <v>965</v>
      </c>
      <c r="C1976" s="1433">
        <f>VLOOKUP(B1968,'CNKT '!$C$190:$Z$254,18,0)</f>
        <v>0</v>
      </c>
      <c r="D1976" s="1379">
        <v>10000</v>
      </c>
      <c r="E1976" s="1377">
        <f>C1976*D1976</f>
        <v>0</v>
      </c>
      <c r="F1976" s="1436"/>
      <c r="G1976" s="1375" t="s">
        <v>899</v>
      </c>
      <c r="H1976" s="1630" t="s">
        <v>965</v>
      </c>
      <c r="I1976" s="1433">
        <f>VLOOKUP(H1968,'CNKT '!$C$190:$Z$254,18,0)</f>
        <v>0</v>
      </c>
      <c r="J1976" s="1379">
        <v>10000</v>
      </c>
      <c r="K1976" s="1377">
        <f>I1976*J1976</f>
        <v>0</v>
      </c>
      <c r="L1976" s="1389"/>
      <c r="M1976" s="1385"/>
    </row>
    <row r="1977" spans="1:13" s="31" customFormat="1" ht="17.25" customHeight="1">
      <c r="A1977" s="1375" t="s">
        <v>899</v>
      </c>
      <c r="B1977" s="1630" t="s">
        <v>965</v>
      </c>
      <c r="C1977" s="1433">
        <f>VLOOKUP(B1968,'CNKT '!$C$190:$Z$254,19,0)</f>
        <v>0</v>
      </c>
      <c r="D1977" s="1379">
        <v>20000</v>
      </c>
      <c r="E1977" s="1377">
        <f>C1977*D1977</f>
        <v>0</v>
      </c>
      <c r="F1977" s="1436"/>
      <c r="G1977" s="1375" t="s">
        <v>899</v>
      </c>
      <c r="H1977" s="1630" t="s">
        <v>965</v>
      </c>
      <c r="I1977" s="1433">
        <f>VLOOKUP(H1968,'CNKT '!$C$190:$Z$254,19,0)</f>
        <v>0</v>
      </c>
      <c r="J1977" s="1379">
        <v>20000</v>
      </c>
      <c r="K1977" s="1377">
        <f>I1977*J1977</f>
        <v>0</v>
      </c>
      <c r="L1977" s="1389"/>
      <c r="M1977" s="1385"/>
    </row>
    <row r="1978" spans="1:13" s="31" customFormat="1" ht="17.25" customHeight="1">
      <c r="A1978" s="1375" t="s">
        <v>995</v>
      </c>
      <c r="B1978" s="1630" t="s">
        <v>997</v>
      </c>
      <c r="C1978" s="1433"/>
      <c r="D1978" s="1379"/>
      <c r="E1978" s="1377"/>
      <c r="F1978" s="1436"/>
      <c r="G1978" s="1375" t="s">
        <v>995</v>
      </c>
      <c r="H1978" s="1630" t="s">
        <v>997</v>
      </c>
      <c r="I1978" s="1433"/>
      <c r="J1978" s="1379"/>
      <c r="K1978" s="1377"/>
      <c r="L1978" s="1389"/>
      <c r="M1978" s="1385"/>
    </row>
    <row r="1979" spans="1:13" s="31" customFormat="1" ht="17.25" customHeight="1">
      <c r="A1979" s="1381" t="s">
        <v>123</v>
      </c>
      <c r="B1979" s="1631" t="s">
        <v>1085</v>
      </c>
      <c r="C1979" s="1382"/>
      <c r="D1979" s="1383"/>
      <c r="E1979" s="1382"/>
      <c r="F1979" s="1436"/>
      <c r="G1979" s="1381" t="s">
        <v>123</v>
      </c>
      <c r="H1979" s="1631" t="s">
        <v>1085</v>
      </c>
      <c r="I1979" s="1382"/>
      <c r="J1979" s="1383"/>
      <c r="K1979" s="1382"/>
      <c r="L1979" s="1389"/>
      <c r="M1979" s="1385"/>
    </row>
    <row r="1980" spans="1:13" s="31" customFormat="1" ht="17.25" customHeight="1">
      <c r="A1980" s="1384" t="s">
        <v>124</v>
      </c>
      <c r="B1980" s="1632" t="s">
        <v>1086</v>
      </c>
      <c r="C1980" s="1382"/>
      <c r="D1980" s="1382"/>
      <c r="E1980" s="1382"/>
      <c r="F1980" s="1436"/>
      <c r="G1980" s="1384" t="s">
        <v>124</v>
      </c>
      <c r="H1980" s="1632" t="s">
        <v>1086</v>
      </c>
      <c r="I1980" s="1382"/>
      <c r="J1980" s="1382"/>
      <c r="K1980" s="1382"/>
      <c r="L1980" s="1389"/>
      <c r="M1980" s="1385"/>
    </row>
    <row r="1981" spans="1:13" s="31" customFormat="1" ht="17.25" customHeight="1">
      <c r="A1981" s="1384" t="s">
        <v>125</v>
      </c>
      <c r="B1981" s="1633" t="s">
        <v>1087</v>
      </c>
      <c r="C1981" s="1382"/>
      <c r="D1981" s="1382"/>
      <c r="E1981" s="1377">
        <f>SUM(E1980)</f>
        <v>0</v>
      </c>
      <c r="F1981" s="1436"/>
      <c r="G1981" s="1384" t="s">
        <v>125</v>
      </c>
      <c r="H1981" s="1633" t="s">
        <v>1087</v>
      </c>
      <c r="I1981" s="1382"/>
      <c r="J1981" s="1382"/>
      <c r="K1981" s="1377">
        <f>SUM(K1980)</f>
        <v>0</v>
      </c>
      <c r="L1981" s="1389"/>
      <c r="M1981" s="1385"/>
    </row>
    <row r="1982" spans="1:13" s="31" customFormat="1" ht="17.25" customHeight="1">
      <c r="A1982" s="1386" t="s">
        <v>126</v>
      </c>
      <c r="B1982" s="1634" t="s">
        <v>871</v>
      </c>
      <c r="C1982" s="1387"/>
      <c r="D1982" s="1387"/>
      <c r="E1982" s="1387">
        <f>(E1970+E1971+E1972+E1973+E1974+E1975+E1976+E1977+E1978)-E1981</f>
        <v>0</v>
      </c>
      <c r="F1982" s="1436"/>
      <c r="G1982" s="1386" t="s">
        <v>126</v>
      </c>
      <c r="H1982" s="1634" t="s">
        <v>871</v>
      </c>
      <c r="I1982" s="1387"/>
      <c r="J1982" s="1387"/>
      <c r="K1982" s="1387">
        <f>(K1970+K1971+K1972+K1973+K1974+K1975+K1976+K1977+K1978)-K1981</f>
        <v>0</v>
      </c>
      <c r="L1982" s="1389">
        <f>E1982+K1982</f>
        <v>0</v>
      </c>
      <c r="M1982" s="1385"/>
    </row>
    <row r="1983" spans="1:13" s="31" customFormat="1" ht="66.75" customHeight="1">
      <c r="A1983" s="1449"/>
      <c r="B1983" s="1449"/>
      <c r="C1983" s="1449"/>
      <c r="D1983" s="1449"/>
      <c r="E1983" s="1449"/>
      <c r="F1983" s="1449"/>
      <c r="G1983" s="1449"/>
      <c r="H1983" s="1449"/>
      <c r="I1983" s="1449"/>
      <c r="J1983" s="1449"/>
      <c r="K1983" s="1449"/>
      <c r="L1983" s="1389"/>
      <c r="M1983" s="1385"/>
    </row>
    <row r="1984" spans="1:13" s="31" customFormat="1" ht="17.25" customHeight="1">
      <c r="A1984" s="1445" t="str">
        <f>A1967</f>
        <v>LƯƠNG THÁNG 01/2025</v>
      </c>
      <c r="B1984" s="1449"/>
      <c r="C1984" s="1449"/>
      <c r="D1984" s="1449"/>
      <c r="E1984" s="1458">
        <f>VLOOKUP(B1985,'CNKT '!$C$190:$AD$254,26,0)</f>
        <v>0</v>
      </c>
      <c r="F1984" s="1436"/>
      <c r="G1984" s="1445" t="str">
        <f>A1984</f>
        <v>LƯƠNG THÁNG 01/2025</v>
      </c>
      <c r="H1984" s="1449"/>
      <c r="I1984" s="1449"/>
      <c r="J1984" s="1452"/>
      <c r="K1984" s="1458">
        <f>VLOOKUP(H1985,'CNKT '!$C$190:$AD$254,26,0)</f>
        <v>0</v>
      </c>
      <c r="L1984" s="1389"/>
      <c r="M1984" s="1385"/>
    </row>
    <row r="1985" spans="1:13" s="31" customFormat="1" ht="17.25" customHeight="1">
      <c r="A1985" s="1391" t="s">
        <v>29</v>
      </c>
      <c r="B1985" s="1626" t="str">
        <f>'CNKT '!C248</f>
        <v>T. Thong</v>
      </c>
      <c r="C1985" s="1376"/>
      <c r="D1985" s="1626" t="s">
        <v>806</v>
      </c>
      <c r="E1985" s="1626" t="s">
        <v>32</v>
      </c>
      <c r="F1985" s="1436"/>
      <c r="G1985" s="1391" t="s">
        <v>29</v>
      </c>
      <c r="H1985" s="1626" t="str">
        <f>'CNKT '!C249</f>
        <v>T. Khách</v>
      </c>
      <c r="I1985" s="1376"/>
      <c r="J1985" s="1626" t="s">
        <v>806</v>
      </c>
      <c r="K1985" s="1626" t="s">
        <v>32</v>
      </c>
      <c r="L1985" s="1389"/>
      <c r="M1985" s="1385"/>
    </row>
    <row r="1986" spans="1:13" s="31" customFormat="1" ht="17.25" customHeight="1">
      <c r="A1986" s="1375" t="s">
        <v>807</v>
      </c>
      <c r="B1986" s="1628" t="s">
        <v>1080</v>
      </c>
      <c r="C1986" s="1376" t="str">
        <f>VLOOKUP(B1985,'BTH mủ tạp'!$C$182:$AL$244,36,0)</f>
        <v>C.</v>
      </c>
      <c r="D1986" s="1377"/>
      <c r="E1986" s="1377"/>
      <c r="F1986" s="1436"/>
      <c r="G1986" s="1375" t="s">
        <v>807</v>
      </c>
      <c r="H1986" s="1628" t="s">
        <v>1080</v>
      </c>
      <c r="I1986" s="1376" t="str">
        <f>VLOOKUP(H1985,'BTH mủ tạp'!$C$182:$AL$244,36,0)</f>
        <v>C.</v>
      </c>
      <c r="J1986" s="1377"/>
      <c r="K1986" s="1377"/>
      <c r="L1986" s="1389"/>
      <c r="M1986" s="1385"/>
    </row>
    <row r="1987" spans="1:13" s="31" customFormat="1" ht="17.25" customHeight="1">
      <c r="A1987" s="1375" t="s">
        <v>121</v>
      </c>
      <c r="B1987" s="1629" t="s">
        <v>865</v>
      </c>
      <c r="C1987" s="1378">
        <f>VLOOKUP(B1985,'CNKT '!$C$189:$Z$254,3,0)</f>
        <v>0</v>
      </c>
      <c r="D1987" s="1379">
        <v>25000</v>
      </c>
      <c r="E1987" s="1377">
        <f t="shared" ref="E1987:E1992" si="231">C1987*D1987</f>
        <v>0</v>
      </c>
      <c r="F1987" s="1436"/>
      <c r="G1987" s="1375" t="s">
        <v>121</v>
      </c>
      <c r="H1987" s="1629" t="s">
        <v>865</v>
      </c>
      <c r="I1987" s="1378">
        <f>VLOOKUP(H1985,'CNKT '!$C$189:$Z$254,3,0)</f>
        <v>0</v>
      </c>
      <c r="J1987" s="1379">
        <v>25000</v>
      </c>
      <c r="K1987" s="1377">
        <f t="shared" ref="K1987:K1992" si="232">I1987*J1987</f>
        <v>0</v>
      </c>
      <c r="L1987" s="1389"/>
      <c r="M1987" s="1385"/>
    </row>
    <row r="1988" spans="1:13" s="31" customFormat="1" ht="17.25" customHeight="1">
      <c r="A1988" s="1375" t="s">
        <v>628</v>
      </c>
      <c r="B1988" s="1630" t="s">
        <v>1081</v>
      </c>
      <c r="C1988" s="1433">
        <f>VLOOKUP(B1985,'CNKT '!$C$189:$Z$254,11,0)</f>
        <v>0</v>
      </c>
      <c r="D1988" s="1380">
        <f>46.1*$B$2</f>
        <v>30241.600000000002</v>
      </c>
      <c r="E1988" s="1377">
        <f t="shared" si="231"/>
        <v>0</v>
      </c>
      <c r="F1988" s="1436"/>
      <c r="G1988" s="1375" t="s">
        <v>628</v>
      </c>
      <c r="H1988" s="1630" t="s">
        <v>1081</v>
      </c>
      <c r="I1988" s="1433">
        <f>VLOOKUP(H1985,'CNKT '!$C$189:$Z$254,11,0)</f>
        <v>0</v>
      </c>
      <c r="J1988" s="1380">
        <f>46.1*$B$2</f>
        <v>30241.600000000002</v>
      </c>
      <c r="K1988" s="1377">
        <f t="shared" si="232"/>
        <v>0</v>
      </c>
      <c r="L1988" s="1389"/>
      <c r="M1988" s="1385"/>
    </row>
    <row r="1989" spans="1:13" s="31" customFormat="1" ht="17.25" customHeight="1">
      <c r="A1989" s="1375" t="s">
        <v>809</v>
      </c>
      <c r="B1989" s="1630" t="s">
        <v>1082</v>
      </c>
      <c r="C1989" s="1433">
        <f>VLOOKUP(B1985,'CNKT '!$C$189:$Z$254,12,0)</f>
        <v>0</v>
      </c>
      <c r="D1989" s="1379">
        <f>76.9*$B$2</f>
        <v>50446.400000000001</v>
      </c>
      <c r="E1989" s="1377">
        <f t="shared" si="231"/>
        <v>0</v>
      </c>
      <c r="F1989" s="1436"/>
      <c r="G1989" s="1375" t="s">
        <v>809</v>
      </c>
      <c r="H1989" s="1630" t="s">
        <v>1082</v>
      </c>
      <c r="I1989" s="1433">
        <f>VLOOKUP(H1985,'CNKT '!$C$189:$Z$254,12,0)</f>
        <v>0</v>
      </c>
      <c r="J1989" s="1379">
        <f>76.9*$B$2</f>
        <v>50446.400000000001</v>
      </c>
      <c r="K1989" s="1377">
        <f t="shared" si="232"/>
        <v>0</v>
      </c>
      <c r="L1989" s="1389"/>
      <c r="M1989" s="1385"/>
    </row>
    <row r="1990" spans="1:13" s="31" customFormat="1" ht="17.25" customHeight="1">
      <c r="A1990" s="1375" t="s">
        <v>122</v>
      </c>
      <c r="B1990" s="1630" t="s">
        <v>1083</v>
      </c>
      <c r="C1990" s="1433">
        <f>VLOOKUP(B1985,'CNKT '!$C$189:$Z$254,8,0)</f>
        <v>0</v>
      </c>
      <c r="D1990" s="1379">
        <f>IF(C1986="A",6.1,IF(C1986="B",5.8,IF(C1986="C",5.5,IF(C1986="C.",5.5,IF(C1986="D",5.2)))))*$B$2</f>
        <v>3608</v>
      </c>
      <c r="E1990" s="1377">
        <f t="shared" si="231"/>
        <v>0</v>
      </c>
      <c r="F1990" s="1436"/>
      <c r="G1990" s="1375" t="s">
        <v>122</v>
      </c>
      <c r="H1990" s="1630" t="s">
        <v>1083</v>
      </c>
      <c r="I1990" s="1433">
        <f>VLOOKUP(H1985,'CNKT '!$C$189:$Z$254,8,0)</f>
        <v>0</v>
      </c>
      <c r="J1990" s="1379">
        <f>IF(I1986="A",6.1,IF(I1986="B",5.8,IF(I1986="C",5.5,IF(I1986="C.",5.5,IF(I1986="D",5.2)))))*$B$2</f>
        <v>3608</v>
      </c>
      <c r="K1990" s="1377">
        <f t="shared" si="232"/>
        <v>0</v>
      </c>
      <c r="L1990" s="1389"/>
      <c r="M1990" s="1385"/>
    </row>
    <row r="1991" spans="1:13" s="31" customFormat="1" ht="17.25" customHeight="1">
      <c r="A1991" s="1375" t="s">
        <v>961</v>
      </c>
      <c r="B1991" s="1630" t="s">
        <v>1084</v>
      </c>
      <c r="C1991" s="1433">
        <f>VLOOKUP(B1985,'CNKT '!$C$101:$Z$254,13,0)</f>
        <v>0</v>
      </c>
      <c r="D1991" s="1380">
        <f>92.2*$B$2</f>
        <v>60483.200000000004</v>
      </c>
      <c r="E1991" s="1377">
        <f t="shared" si="231"/>
        <v>0</v>
      </c>
      <c r="F1991" s="1436"/>
      <c r="G1991" s="1375" t="s">
        <v>961</v>
      </c>
      <c r="H1991" s="1630" t="s">
        <v>1084</v>
      </c>
      <c r="I1991" s="1433">
        <f>VLOOKUP(H1985,'CNKT '!$C$101:$Z$254,13,0)</f>
        <v>0</v>
      </c>
      <c r="J1991" s="1380">
        <f>92.2*$B$2</f>
        <v>60483.200000000004</v>
      </c>
      <c r="K1991" s="1377">
        <f t="shared" si="232"/>
        <v>0</v>
      </c>
      <c r="L1991" s="1389"/>
      <c r="M1991" s="1385"/>
    </row>
    <row r="1992" spans="1:13" s="31" customFormat="1" ht="17.25" customHeight="1">
      <c r="A1992" s="1375" t="s">
        <v>886</v>
      </c>
      <c r="B1992" s="1630" t="s">
        <v>964</v>
      </c>
      <c r="C1992" s="1433">
        <f>VLOOKUP(B1985,'CNKT '!$C$189:$Z$254,14,0)</f>
        <v>0</v>
      </c>
      <c r="D1992" s="1379">
        <f>153.6*$B$2</f>
        <v>100761.59999999999</v>
      </c>
      <c r="E1992" s="1377">
        <f t="shared" si="231"/>
        <v>0</v>
      </c>
      <c r="F1992" s="1436"/>
      <c r="G1992" s="1375" t="s">
        <v>886</v>
      </c>
      <c r="H1992" s="1630" t="s">
        <v>964</v>
      </c>
      <c r="I1992" s="1433">
        <f>VLOOKUP(H1985,'CNKT '!$C$189:$Z$254,14,0)</f>
        <v>0</v>
      </c>
      <c r="J1992" s="1379">
        <f>153.6*$B$2</f>
        <v>100761.59999999999</v>
      </c>
      <c r="K1992" s="1377">
        <f t="shared" si="232"/>
        <v>0</v>
      </c>
      <c r="L1992" s="1389"/>
      <c r="M1992" s="1385"/>
    </row>
    <row r="1993" spans="1:13" s="31" customFormat="1" ht="17.25" customHeight="1">
      <c r="A1993" s="1375" t="s">
        <v>899</v>
      </c>
      <c r="B1993" s="1630" t="s">
        <v>965</v>
      </c>
      <c r="C1993" s="1433">
        <f>VLOOKUP(B1985,'CNKT '!$C$190:$Z$254,18,0)</f>
        <v>0</v>
      </c>
      <c r="D1993" s="1379">
        <v>10000</v>
      </c>
      <c r="E1993" s="1377">
        <f>C1993*D1993</f>
        <v>0</v>
      </c>
      <c r="F1993" s="1436"/>
      <c r="G1993" s="1375" t="s">
        <v>899</v>
      </c>
      <c r="H1993" s="1630" t="s">
        <v>965</v>
      </c>
      <c r="I1993" s="1433">
        <f>VLOOKUP(H1985,'CNKT '!$C$190:$Z$254,18,0)</f>
        <v>0</v>
      </c>
      <c r="J1993" s="1379">
        <v>10000</v>
      </c>
      <c r="K1993" s="1377">
        <f>I1993*J1993</f>
        <v>0</v>
      </c>
      <c r="L1993" s="1389"/>
      <c r="M1993" s="1385"/>
    </row>
    <row r="1994" spans="1:13" s="31" customFormat="1" ht="17.25" customHeight="1">
      <c r="A1994" s="1375" t="s">
        <v>899</v>
      </c>
      <c r="B1994" s="1630" t="s">
        <v>965</v>
      </c>
      <c r="C1994" s="1433">
        <f>VLOOKUP(B1985,'CNKT '!$C$190:$Z$254,19,0)</f>
        <v>0</v>
      </c>
      <c r="D1994" s="1379">
        <v>20000</v>
      </c>
      <c r="E1994" s="1377">
        <f>C1994*D1994</f>
        <v>0</v>
      </c>
      <c r="F1994" s="1436"/>
      <c r="G1994" s="1375" t="s">
        <v>899</v>
      </c>
      <c r="H1994" s="1630" t="s">
        <v>965</v>
      </c>
      <c r="I1994" s="1433">
        <f>VLOOKUP(H1985,'CNKT '!$C$190:$Z$254,19,0)</f>
        <v>0</v>
      </c>
      <c r="J1994" s="1379">
        <v>20000</v>
      </c>
      <c r="K1994" s="1377">
        <f>I1994*J1994</f>
        <v>0</v>
      </c>
      <c r="L1994" s="1389"/>
      <c r="M1994" s="1385"/>
    </row>
    <row r="1995" spans="1:13" s="31" customFormat="1" ht="17.25" customHeight="1">
      <c r="A1995" s="1375" t="s">
        <v>995</v>
      </c>
      <c r="B1995" s="1630" t="s">
        <v>997</v>
      </c>
      <c r="C1995" s="1433"/>
      <c r="D1995" s="1379"/>
      <c r="E1995" s="1377"/>
      <c r="F1995" s="1436"/>
      <c r="G1995" s="1375" t="s">
        <v>995</v>
      </c>
      <c r="H1995" s="1630" t="s">
        <v>997</v>
      </c>
      <c r="I1995" s="1433"/>
      <c r="J1995" s="1379"/>
      <c r="K1995" s="1377"/>
      <c r="L1995" s="1389"/>
      <c r="M1995" s="1385"/>
    </row>
    <row r="1996" spans="1:13" s="31" customFormat="1" ht="17.25" customHeight="1">
      <c r="A1996" s="1381" t="s">
        <v>123</v>
      </c>
      <c r="B1996" s="1631" t="s">
        <v>1085</v>
      </c>
      <c r="C1996" s="1382"/>
      <c r="D1996" s="1383"/>
      <c r="E1996" s="1382"/>
      <c r="F1996" s="1436"/>
      <c r="G1996" s="1381" t="s">
        <v>123</v>
      </c>
      <c r="H1996" s="1631" t="s">
        <v>1085</v>
      </c>
      <c r="I1996" s="1382"/>
      <c r="J1996" s="1383"/>
      <c r="K1996" s="1382"/>
      <c r="L1996" s="1389"/>
      <c r="M1996" s="1385"/>
    </row>
    <row r="1997" spans="1:13" s="31" customFormat="1" ht="17.25" customHeight="1">
      <c r="A1997" s="1384" t="s">
        <v>124</v>
      </c>
      <c r="B1997" s="1632" t="s">
        <v>1086</v>
      </c>
      <c r="C1997" s="1382"/>
      <c r="D1997" s="1382"/>
      <c r="E1997" s="1382"/>
      <c r="F1997" s="1436"/>
      <c r="G1997" s="1384" t="s">
        <v>124</v>
      </c>
      <c r="H1997" s="1632" t="s">
        <v>1086</v>
      </c>
      <c r="I1997" s="1382"/>
      <c r="J1997" s="1382"/>
      <c r="K1997" s="1382"/>
      <c r="L1997" s="1389"/>
      <c r="M1997" s="1385"/>
    </row>
    <row r="1998" spans="1:13" s="31" customFormat="1" ht="17.25" customHeight="1">
      <c r="A1998" s="1384" t="s">
        <v>125</v>
      </c>
      <c r="B1998" s="1633" t="s">
        <v>1087</v>
      </c>
      <c r="C1998" s="1382"/>
      <c r="D1998" s="1382"/>
      <c r="E1998" s="1377">
        <f>SUM(E1997)</f>
        <v>0</v>
      </c>
      <c r="F1998" s="1436"/>
      <c r="G1998" s="1384" t="s">
        <v>125</v>
      </c>
      <c r="H1998" s="1633" t="s">
        <v>1087</v>
      </c>
      <c r="I1998" s="1382"/>
      <c r="J1998" s="1382"/>
      <c r="K1998" s="1377">
        <f>SUM(K1997)</f>
        <v>0</v>
      </c>
      <c r="L1998" s="1389"/>
      <c r="M1998" s="1385"/>
    </row>
    <row r="1999" spans="1:13" s="31" customFormat="1" ht="17.25" customHeight="1">
      <c r="A1999" s="1386" t="s">
        <v>126</v>
      </c>
      <c r="B1999" s="1634" t="s">
        <v>871</v>
      </c>
      <c r="C1999" s="1387"/>
      <c r="D1999" s="1387"/>
      <c r="E1999" s="1387">
        <f>(E1987+E1988+E1989+E1990+E1991+E1992+E1993+E1994+E1995)-E1998</f>
        <v>0</v>
      </c>
      <c r="F1999" s="1436"/>
      <c r="G1999" s="1386" t="s">
        <v>126</v>
      </c>
      <c r="H1999" s="1634" t="s">
        <v>871</v>
      </c>
      <c r="I1999" s="1387"/>
      <c r="J1999" s="1387"/>
      <c r="K1999" s="1387">
        <f>(K1987+K1988+K1989+K1990+K1991+K1992+K1993+K1994+K1995)-K1998</f>
        <v>0</v>
      </c>
      <c r="L1999" s="1389">
        <f>E1999+K1999</f>
        <v>0</v>
      </c>
      <c r="M1999" s="1385"/>
    </row>
    <row r="2000" spans="1:13" s="31" customFormat="1" ht="17.25" customHeight="1">
      <c r="A2000" s="1449"/>
      <c r="B2000" s="1449"/>
      <c r="C2000" s="1449"/>
      <c r="D2000" s="1449"/>
      <c r="E2000" s="1449"/>
      <c r="F2000" s="1449"/>
      <c r="G2000" s="1449"/>
      <c r="H2000" s="1449"/>
      <c r="I2000" s="1449"/>
      <c r="J2000" s="1449"/>
      <c r="K2000" s="1449"/>
      <c r="L2000" s="1389"/>
      <c r="M2000" s="1385"/>
    </row>
    <row r="2001" spans="1:13" s="31" customFormat="1" ht="17.25" customHeight="1">
      <c r="A2001" s="1445" t="str">
        <f>A1984</f>
        <v>LƯƠNG THÁNG 01/2025</v>
      </c>
      <c r="B2001" s="1449"/>
      <c r="C2001" s="1449"/>
      <c r="D2001" s="1449"/>
      <c r="E2001" s="1458">
        <f>VLOOKUP(B2002,'CNKT '!$C$190:$AD$254,26,0)</f>
        <v>0</v>
      </c>
      <c r="F2001" s="1436"/>
      <c r="G2001" s="1445" t="str">
        <f>A2001</f>
        <v>LƯƠNG THÁNG 01/2025</v>
      </c>
      <c r="H2001" s="1449"/>
      <c r="I2001" s="1449"/>
      <c r="J2001" s="1452"/>
      <c r="K2001" s="1458">
        <f>VLOOKUP(H2002,'CNKT '!$C$190:$AD$254,26,0)</f>
        <v>0</v>
      </c>
      <c r="L2001" s="1389"/>
      <c r="M2001" s="1385"/>
    </row>
    <row r="2002" spans="1:13" s="31" customFormat="1" ht="17.25" customHeight="1">
      <c r="A2002" s="1391" t="s">
        <v>29</v>
      </c>
      <c r="B2002" s="1626" t="str">
        <f>'CNKT '!C250</f>
        <v>Nang On Xi</v>
      </c>
      <c r="C2002" s="1376"/>
      <c r="D2002" s="1626" t="s">
        <v>806</v>
      </c>
      <c r="E2002" s="1626" t="s">
        <v>32</v>
      </c>
      <c r="F2002" s="1436"/>
      <c r="G2002" s="1391" t="s">
        <v>29</v>
      </c>
      <c r="H2002" s="1626" t="str">
        <f>'CNKT '!C251</f>
        <v>Thảo Túc</v>
      </c>
      <c r="I2002" s="1376"/>
      <c r="J2002" s="1626" t="s">
        <v>806</v>
      </c>
      <c r="K2002" s="1626" t="s">
        <v>32</v>
      </c>
      <c r="L2002" s="1389"/>
      <c r="M2002" s="1385"/>
    </row>
    <row r="2003" spans="1:13" s="31" customFormat="1" ht="17.25" customHeight="1">
      <c r="A2003" s="1375" t="s">
        <v>807</v>
      </c>
      <c r="B2003" s="1628" t="s">
        <v>1080</v>
      </c>
      <c r="C2003" s="1376" t="str">
        <f>VLOOKUP(B2002,'BTH mủ tạp'!$C$182:$AL$244,36,0)</f>
        <v>C.</v>
      </c>
      <c r="D2003" s="1377"/>
      <c r="E2003" s="1377"/>
      <c r="F2003" s="1436"/>
      <c r="G2003" s="1375" t="s">
        <v>807</v>
      </c>
      <c r="H2003" s="1628" t="s">
        <v>1080</v>
      </c>
      <c r="I2003" s="1376" t="str">
        <f>VLOOKUP(H2002,'BTH mủ tạp'!$C$182:$AL$244,36,0)</f>
        <v>C.</v>
      </c>
      <c r="J2003" s="1377"/>
      <c r="K2003" s="1377"/>
      <c r="L2003" s="1389"/>
      <c r="M2003" s="1385"/>
    </row>
    <row r="2004" spans="1:13" s="31" customFormat="1" ht="17.25" customHeight="1">
      <c r="A2004" s="1375" t="s">
        <v>121</v>
      </c>
      <c r="B2004" s="1629" t="s">
        <v>865</v>
      </c>
      <c r="C2004" s="1378">
        <f>VLOOKUP(B2002,'CNKT '!$C$189:$Z$254,3,0)</f>
        <v>0</v>
      </c>
      <c r="D2004" s="1379">
        <v>25000</v>
      </c>
      <c r="E2004" s="1377">
        <f t="shared" ref="E2004:E2009" si="233">C2004*D2004</f>
        <v>0</v>
      </c>
      <c r="F2004" s="1436"/>
      <c r="G2004" s="1375" t="s">
        <v>121</v>
      </c>
      <c r="H2004" s="1629" t="s">
        <v>865</v>
      </c>
      <c r="I2004" s="1378">
        <f>VLOOKUP(H2002,'CNKT '!$C$189:$Z$254,3,0)</f>
        <v>0</v>
      </c>
      <c r="J2004" s="1379">
        <v>25000</v>
      </c>
      <c r="K2004" s="1377">
        <f t="shared" ref="K2004:K2009" si="234">I2004*J2004</f>
        <v>0</v>
      </c>
      <c r="L2004" s="1389"/>
      <c r="M2004" s="1385"/>
    </row>
    <row r="2005" spans="1:13" s="31" customFormat="1" ht="17.25" customHeight="1">
      <c r="A2005" s="1375" t="s">
        <v>628</v>
      </c>
      <c r="B2005" s="1630" t="s">
        <v>1081</v>
      </c>
      <c r="C2005" s="1433">
        <f>VLOOKUP(B2002,'CNKT '!$C$189:$Z$254,11,0)</f>
        <v>0</v>
      </c>
      <c r="D2005" s="1380">
        <f>46.1*$B$2</f>
        <v>30241.600000000002</v>
      </c>
      <c r="E2005" s="1377">
        <f t="shared" si="233"/>
        <v>0</v>
      </c>
      <c r="F2005" s="1436"/>
      <c r="G2005" s="1375" t="s">
        <v>628</v>
      </c>
      <c r="H2005" s="1630" t="s">
        <v>1081</v>
      </c>
      <c r="I2005" s="1433">
        <f>VLOOKUP(H2002,'CNKT '!$C$189:$Z$254,11,0)</f>
        <v>0</v>
      </c>
      <c r="J2005" s="1380">
        <f>46.1*$B$2</f>
        <v>30241.600000000002</v>
      </c>
      <c r="K2005" s="1377">
        <f t="shared" si="234"/>
        <v>0</v>
      </c>
      <c r="L2005" s="1389"/>
      <c r="M2005" s="1385"/>
    </row>
    <row r="2006" spans="1:13" s="31" customFormat="1" ht="17.25" customHeight="1">
      <c r="A2006" s="1375" t="s">
        <v>809</v>
      </c>
      <c r="B2006" s="1630" t="s">
        <v>1082</v>
      </c>
      <c r="C2006" s="1433">
        <f>VLOOKUP(B2002,'CNKT '!$C$189:$Z$254,12,0)</f>
        <v>0</v>
      </c>
      <c r="D2006" s="1379">
        <f>76.9*$B$2</f>
        <v>50446.400000000001</v>
      </c>
      <c r="E2006" s="1377">
        <f t="shared" si="233"/>
        <v>0</v>
      </c>
      <c r="F2006" s="1436"/>
      <c r="G2006" s="1375" t="s">
        <v>809</v>
      </c>
      <c r="H2006" s="1630" t="s">
        <v>1082</v>
      </c>
      <c r="I2006" s="1433">
        <f>VLOOKUP(H2002,'CNKT '!$C$189:$Z$254,12,0)</f>
        <v>0</v>
      </c>
      <c r="J2006" s="1379">
        <f>76.9*$B$2</f>
        <v>50446.400000000001</v>
      </c>
      <c r="K2006" s="1377">
        <f t="shared" si="234"/>
        <v>0</v>
      </c>
      <c r="L2006" s="1389"/>
      <c r="M2006" s="1385"/>
    </row>
    <row r="2007" spans="1:13" s="31" customFormat="1" ht="17.25" customHeight="1">
      <c r="A2007" s="1375" t="s">
        <v>122</v>
      </c>
      <c r="B2007" s="1630" t="s">
        <v>1083</v>
      </c>
      <c r="C2007" s="1433">
        <f>VLOOKUP(B2002,'CNKT '!$C$189:$Z$254,8,0)</f>
        <v>0</v>
      </c>
      <c r="D2007" s="1379">
        <f>IF(C2003="A",6.1,IF(C2003="B",5.8,IF(C2003="C",5.5,IF(C2003="C.",5.5,IF(C2003="D",5.2)))))*$B$2</f>
        <v>3608</v>
      </c>
      <c r="E2007" s="1377">
        <f t="shared" si="233"/>
        <v>0</v>
      </c>
      <c r="F2007" s="1436"/>
      <c r="G2007" s="1375" t="s">
        <v>122</v>
      </c>
      <c r="H2007" s="1630" t="s">
        <v>1083</v>
      </c>
      <c r="I2007" s="1433">
        <f>VLOOKUP(H2002,'CNKT '!$C$189:$Z$254,8,0)</f>
        <v>0</v>
      </c>
      <c r="J2007" s="1379">
        <f>IF(I2003="A",6.1,IF(I2003="B",5.8,IF(I2003="C",5.5,IF(I2003="C.",5.5,IF(I2003="D",5.2)))))*$B$2</f>
        <v>3608</v>
      </c>
      <c r="K2007" s="1377">
        <f t="shared" si="234"/>
        <v>0</v>
      </c>
      <c r="L2007" s="1389"/>
      <c r="M2007" s="1385"/>
    </row>
    <row r="2008" spans="1:13" s="31" customFormat="1" ht="17.25" customHeight="1">
      <c r="A2008" s="1375" t="s">
        <v>961</v>
      </c>
      <c r="B2008" s="1630" t="s">
        <v>1084</v>
      </c>
      <c r="C2008" s="1433">
        <f>VLOOKUP(B2002,'CNKT '!$C$101:$Z$254,13,0)</f>
        <v>0</v>
      </c>
      <c r="D2008" s="1380">
        <f>92.2*$B$2</f>
        <v>60483.200000000004</v>
      </c>
      <c r="E2008" s="1377">
        <f t="shared" si="233"/>
        <v>0</v>
      </c>
      <c r="F2008" s="1436"/>
      <c r="G2008" s="1375" t="s">
        <v>961</v>
      </c>
      <c r="H2008" s="1630" t="s">
        <v>1084</v>
      </c>
      <c r="I2008" s="1433">
        <f>VLOOKUP(H2002,'CNKT '!$C$101:$Z$254,13,0)</f>
        <v>0</v>
      </c>
      <c r="J2008" s="1380">
        <f>92.2*$B$2</f>
        <v>60483.200000000004</v>
      </c>
      <c r="K2008" s="1377">
        <f t="shared" si="234"/>
        <v>0</v>
      </c>
      <c r="L2008" s="1389"/>
      <c r="M2008" s="1385"/>
    </row>
    <row r="2009" spans="1:13" s="31" customFormat="1" ht="17.25" customHeight="1">
      <c r="A2009" s="1375" t="s">
        <v>886</v>
      </c>
      <c r="B2009" s="1630" t="s">
        <v>964</v>
      </c>
      <c r="C2009" s="1433">
        <f>VLOOKUP(B2002,'CNKT '!$C$189:$Z$254,14,0)</f>
        <v>0</v>
      </c>
      <c r="D2009" s="1379">
        <f>153.6*$B$2</f>
        <v>100761.59999999999</v>
      </c>
      <c r="E2009" s="1377">
        <f t="shared" si="233"/>
        <v>0</v>
      </c>
      <c r="F2009" s="1436"/>
      <c r="G2009" s="1375" t="s">
        <v>886</v>
      </c>
      <c r="H2009" s="1630" t="s">
        <v>964</v>
      </c>
      <c r="I2009" s="1433">
        <f>VLOOKUP(H2002,'CNKT '!$C$189:$Z$254,14,0)</f>
        <v>0</v>
      </c>
      <c r="J2009" s="1379">
        <f>153.6*$B$2</f>
        <v>100761.59999999999</v>
      </c>
      <c r="K2009" s="1377">
        <f t="shared" si="234"/>
        <v>0</v>
      </c>
      <c r="L2009" s="1389"/>
      <c r="M2009" s="1385"/>
    </row>
    <row r="2010" spans="1:13" s="31" customFormat="1" ht="17.25" customHeight="1">
      <c r="A2010" s="1375" t="s">
        <v>899</v>
      </c>
      <c r="B2010" s="1630" t="s">
        <v>965</v>
      </c>
      <c r="C2010" s="1433">
        <f>VLOOKUP(B2002,'CNKT '!$C$190:$Z$254,18,0)</f>
        <v>0</v>
      </c>
      <c r="D2010" s="1379">
        <v>10000</v>
      </c>
      <c r="E2010" s="1377">
        <f>C2010*D2010</f>
        <v>0</v>
      </c>
      <c r="F2010" s="1436"/>
      <c r="G2010" s="1375" t="s">
        <v>899</v>
      </c>
      <c r="H2010" s="1630" t="s">
        <v>965</v>
      </c>
      <c r="I2010" s="1433">
        <f>VLOOKUP(H2002,'CNKT '!$C$190:$Z$254,18,0)</f>
        <v>0</v>
      </c>
      <c r="J2010" s="1379">
        <v>10000</v>
      </c>
      <c r="K2010" s="1377">
        <f>I2010*J2010</f>
        <v>0</v>
      </c>
      <c r="L2010" s="1389"/>
      <c r="M2010" s="1385"/>
    </row>
    <row r="2011" spans="1:13" s="31" customFormat="1" ht="17.25" customHeight="1">
      <c r="A2011" s="1375" t="s">
        <v>899</v>
      </c>
      <c r="B2011" s="1630" t="s">
        <v>965</v>
      </c>
      <c r="C2011" s="1433">
        <f>VLOOKUP(B2002,'CNKT '!$C$190:$Z$254,19,0)</f>
        <v>0</v>
      </c>
      <c r="D2011" s="1379">
        <v>20000</v>
      </c>
      <c r="E2011" s="1377">
        <f>C2011*D2011</f>
        <v>0</v>
      </c>
      <c r="F2011" s="1436"/>
      <c r="G2011" s="1375" t="s">
        <v>899</v>
      </c>
      <c r="H2011" s="1630" t="s">
        <v>965</v>
      </c>
      <c r="I2011" s="1433">
        <f>VLOOKUP(H2002,'CNKT '!$C$190:$Z$254,19,0)</f>
        <v>0</v>
      </c>
      <c r="J2011" s="1379">
        <v>20000</v>
      </c>
      <c r="K2011" s="1377">
        <f>I2011*J2011</f>
        <v>0</v>
      </c>
      <c r="L2011" s="1389"/>
      <c r="M2011" s="1385"/>
    </row>
    <row r="2012" spans="1:13" s="31" customFormat="1" ht="17.25" customHeight="1">
      <c r="A2012" s="1375" t="s">
        <v>995</v>
      </c>
      <c r="B2012" s="1630" t="s">
        <v>997</v>
      </c>
      <c r="C2012" s="1433"/>
      <c r="D2012" s="1379"/>
      <c r="E2012" s="1377"/>
      <c r="F2012" s="1436"/>
      <c r="G2012" s="1375" t="s">
        <v>995</v>
      </c>
      <c r="H2012" s="1630" t="s">
        <v>997</v>
      </c>
      <c r="I2012" s="1433"/>
      <c r="J2012" s="1379"/>
      <c r="K2012" s="1377"/>
      <c r="L2012" s="1389"/>
      <c r="M2012" s="1385"/>
    </row>
    <row r="2013" spans="1:13" s="31" customFormat="1" ht="17.25" customHeight="1">
      <c r="A2013" s="1381" t="s">
        <v>123</v>
      </c>
      <c r="B2013" s="1631" t="s">
        <v>1085</v>
      </c>
      <c r="C2013" s="1382"/>
      <c r="D2013" s="1383"/>
      <c r="E2013" s="1382"/>
      <c r="F2013" s="1436"/>
      <c r="G2013" s="1381" t="s">
        <v>123</v>
      </c>
      <c r="H2013" s="1631" t="s">
        <v>1085</v>
      </c>
      <c r="I2013" s="1382"/>
      <c r="J2013" s="1383"/>
      <c r="K2013" s="1382"/>
      <c r="L2013" s="1389"/>
      <c r="M2013" s="1385"/>
    </row>
    <row r="2014" spans="1:13" s="31" customFormat="1" ht="17.25" customHeight="1">
      <c r="A2014" s="1384" t="s">
        <v>124</v>
      </c>
      <c r="B2014" s="1632" t="s">
        <v>1086</v>
      </c>
      <c r="C2014" s="1382"/>
      <c r="D2014" s="1382"/>
      <c r="E2014" s="1382"/>
      <c r="F2014" s="1436"/>
      <c r="G2014" s="1384" t="s">
        <v>124</v>
      </c>
      <c r="H2014" s="1632" t="s">
        <v>1086</v>
      </c>
      <c r="I2014" s="1382"/>
      <c r="J2014" s="1382"/>
      <c r="K2014" s="1382"/>
      <c r="L2014" s="1389"/>
      <c r="M2014" s="1385"/>
    </row>
    <row r="2015" spans="1:13" s="31" customFormat="1" ht="17.25" customHeight="1">
      <c r="A2015" s="1384" t="s">
        <v>125</v>
      </c>
      <c r="B2015" s="1633" t="s">
        <v>1087</v>
      </c>
      <c r="C2015" s="1382"/>
      <c r="D2015" s="1382"/>
      <c r="E2015" s="1377">
        <f>SUM(E2014)</f>
        <v>0</v>
      </c>
      <c r="F2015" s="1436"/>
      <c r="G2015" s="1384" t="s">
        <v>125</v>
      </c>
      <c r="H2015" s="1633" t="s">
        <v>1087</v>
      </c>
      <c r="I2015" s="1382"/>
      <c r="J2015" s="1382"/>
      <c r="K2015" s="1377">
        <f>SUM(K2014)</f>
        <v>0</v>
      </c>
      <c r="L2015" s="1389"/>
      <c r="M2015" s="1385"/>
    </row>
    <row r="2016" spans="1:13" s="31" customFormat="1" ht="17.25" customHeight="1">
      <c r="A2016" s="1386" t="s">
        <v>126</v>
      </c>
      <c r="B2016" s="1634" t="s">
        <v>871</v>
      </c>
      <c r="C2016" s="1387"/>
      <c r="D2016" s="1387"/>
      <c r="E2016" s="1387">
        <f>(E2004+E2005+E2006+E2007+E2008+E2009+E2010+E2011+E2012)-E2015</f>
        <v>0</v>
      </c>
      <c r="F2016" s="1436"/>
      <c r="G2016" s="1386" t="s">
        <v>126</v>
      </c>
      <c r="H2016" s="1634" t="s">
        <v>871</v>
      </c>
      <c r="I2016" s="1387"/>
      <c r="J2016" s="1387"/>
      <c r="K2016" s="1387">
        <f>(K2004+K2005+K2006+K2007+K2008+K2009+K2010+K2011+K2012)-K2015</f>
        <v>0</v>
      </c>
      <c r="L2016" s="1389">
        <f>E2016+K2016</f>
        <v>0</v>
      </c>
      <c r="M2016" s="1385"/>
    </row>
    <row r="2017" spans="1:13" s="31" customFormat="1" ht="17.25" customHeight="1">
      <c r="A2017" s="1449"/>
      <c r="B2017" s="1449"/>
      <c r="C2017" s="1449"/>
      <c r="D2017" s="1449"/>
      <c r="E2017" s="1449"/>
      <c r="F2017" s="1449"/>
      <c r="G2017" s="1449"/>
      <c r="H2017" s="1449"/>
      <c r="I2017" s="1449"/>
      <c r="J2017" s="1449"/>
      <c r="K2017" s="1449"/>
      <c r="L2017" s="1389"/>
      <c r="M2017" s="1385"/>
    </row>
    <row r="2018" spans="1:13" s="31" customFormat="1" ht="17.25" customHeight="1">
      <c r="A2018" s="1445" t="str">
        <f>A2001</f>
        <v>LƯƠNG THÁNG 01/2025</v>
      </c>
      <c r="B2018" s="1449"/>
      <c r="C2018" s="1449"/>
      <c r="D2018" s="1449"/>
      <c r="E2018" s="1458">
        <f>VLOOKUP(B2019,'CNKT '!$C$190:$AD$254,26,0)</f>
        <v>0</v>
      </c>
      <c r="F2018" s="1436"/>
      <c r="G2018" s="1445" t="str">
        <f>A2018</f>
        <v>LƯƠNG THÁNG 01/2025</v>
      </c>
      <c r="H2018" s="1449"/>
      <c r="I2018" s="1449"/>
      <c r="J2018" s="1452"/>
      <c r="K2018" s="1458">
        <f>VLOOKUP(H2019,'CNKT '!$C$190:$AD$254,26,0)</f>
        <v>0</v>
      </c>
      <c r="L2018" s="1389"/>
      <c r="M2018" s="1385"/>
    </row>
    <row r="2019" spans="1:13" s="31" customFormat="1" ht="17.25" customHeight="1">
      <c r="A2019" s="1391" t="s">
        <v>29</v>
      </c>
      <c r="B2019" s="1626" t="str">
        <f>'CNKT '!C253</f>
        <v>Mon (3)</v>
      </c>
      <c r="C2019" s="1376"/>
      <c r="D2019" s="1626" t="s">
        <v>806</v>
      </c>
      <c r="E2019" s="1626" t="s">
        <v>32</v>
      </c>
      <c r="F2019" s="1436"/>
      <c r="G2019" s="1391" t="s">
        <v>29</v>
      </c>
      <c r="H2019" s="1626" t="str">
        <f>'CNKT '!C254</f>
        <v>T. Tý</v>
      </c>
      <c r="I2019" s="1376"/>
      <c r="J2019" s="1626" t="s">
        <v>806</v>
      </c>
      <c r="K2019" s="1626" t="s">
        <v>32</v>
      </c>
      <c r="L2019" s="1389"/>
      <c r="M2019" s="1385"/>
    </row>
    <row r="2020" spans="1:13" s="31" customFormat="1" ht="17.25" customHeight="1">
      <c r="A2020" s="1375" t="s">
        <v>807</v>
      </c>
      <c r="B2020" s="1628" t="s">
        <v>1080</v>
      </c>
      <c r="C2020" s="1376"/>
      <c r="D2020" s="1377"/>
      <c r="E2020" s="1377"/>
      <c r="F2020" s="1436"/>
      <c r="G2020" s="1375" t="s">
        <v>807</v>
      </c>
      <c r="H2020" s="1628" t="s">
        <v>1080</v>
      </c>
      <c r="I2020" s="1376"/>
      <c r="J2020" s="1377"/>
      <c r="K2020" s="1377"/>
      <c r="L2020" s="1389"/>
      <c r="M2020" s="1385"/>
    </row>
    <row r="2021" spans="1:13" s="31" customFormat="1" ht="17.25" customHeight="1">
      <c r="A2021" s="1375" t="s">
        <v>121</v>
      </c>
      <c r="B2021" s="1629" t="s">
        <v>865</v>
      </c>
      <c r="C2021" s="1378">
        <f>VLOOKUP(B2019,'CNKT '!$C$189:$Z$254,3,0)</f>
        <v>3218.16</v>
      </c>
      <c r="D2021" s="1379">
        <v>25000</v>
      </c>
      <c r="E2021" s="1377">
        <f t="shared" ref="E2021:E2026" si="235">C2021*D2021</f>
        <v>80454000</v>
      </c>
      <c r="F2021" s="1436"/>
      <c r="G2021" s="1375" t="s">
        <v>121</v>
      </c>
      <c r="H2021" s="1629" t="s">
        <v>865</v>
      </c>
      <c r="I2021" s="1378">
        <f>VLOOKUP(H2019,'CNKT '!$C$189:$Z$254,3,0)</f>
        <v>0</v>
      </c>
      <c r="J2021" s="1379">
        <v>25000</v>
      </c>
      <c r="K2021" s="1377">
        <f t="shared" ref="K2021:K2026" si="236">I2021*J2021</f>
        <v>0</v>
      </c>
      <c r="L2021" s="1389"/>
      <c r="M2021" s="1385"/>
    </row>
    <row r="2022" spans="1:13" s="31" customFormat="1" ht="17.25" customHeight="1">
      <c r="A2022" s="1375" t="s">
        <v>628</v>
      </c>
      <c r="B2022" s="1630" t="s">
        <v>1081</v>
      </c>
      <c r="C2022" s="1433">
        <f>VLOOKUP(B2019,'CNKT '!$C$189:$Z$254,11,0)</f>
        <v>0</v>
      </c>
      <c r="D2022" s="1380">
        <f>46.1*$B$2</f>
        <v>30241.600000000002</v>
      </c>
      <c r="E2022" s="1377">
        <f t="shared" si="235"/>
        <v>0</v>
      </c>
      <c r="F2022" s="1436"/>
      <c r="G2022" s="1375" t="s">
        <v>628</v>
      </c>
      <c r="H2022" s="1630" t="s">
        <v>1081</v>
      </c>
      <c r="I2022" s="1433">
        <f>VLOOKUP(H2019,'CNKT '!$C$189:$Z$254,11,0)</f>
        <v>0</v>
      </c>
      <c r="J2022" s="1380">
        <f>46.1*$B$2</f>
        <v>30241.600000000002</v>
      </c>
      <c r="K2022" s="1377">
        <f t="shared" si="236"/>
        <v>0</v>
      </c>
      <c r="L2022" s="1389"/>
      <c r="M2022" s="1385"/>
    </row>
    <row r="2023" spans="1:13" s="31" customFormat="1" ht="17.25" customHeight="1">
      <c r="A2023" s="1375" t="s">
        <v>809</v>
      </c>
      <c r="B2023" s="1630" t="s">
        <v>1082</v>
      </c>
      <c r="C2023" s="1433">
        <f>VLOOKUP(B2019,'CNKT '!$C$189:$Z$254,12,0)</f>
        <v>0</v>
      </c>
      <c r="D2023" s="1379">
        <f>76.9*$B$2</f>
        <v>50446.400000000001</v>
      </c>
      <c r="E2023" s="1377">
        <f t="shared" si="235"/>
        <v>0</v>
      </c>
      <c r="F2023" s="1436"/>
      <c r="G2023" s="1375" t="s">
        <v>809</v>
      </c>
      <c r="H2023" s="1630" t="s">
        <v>1082</v>
      </c>
      <c r="I2023" s="1433">
        <f>VLOOKUP(H2019,'CNKT '!$C$189:$Z$254,12,0)</f>
        <v>0</v>
      </c>
      <c r="J2023" s="1379">
        <f>76.9*$B$2</f>
        <v>50446.400000000001</v>
      </c>
      <c r="K2023" s="1377">
        <f t="shared" si="236"/>
        <v>0</v>
      </c>
      <c r="L2023" s="1389"/>
      <c r="M2023" s="1385"/>
    </row>
    <row r="2024" spans="1:13" s="31" customFormat="1" ht="17.25" customHeight="1">
      <c r="A2024" s="1375" t="s">
        <v>122</v>
      </c>
      <c r="B2024" s="1630" t="s">
        <v>1083</v>
      </c>
      <c r="C2024" s="1433">
        <f>VLOOKUP(B2019,'CNKT '!$C$189:$Z$254,8,0)</f>
        <v>0</v>
      </c>
      <c r="D2024" s="1379">
        <f>IF(C2020="A",6.1,IF(C2020="B",5.8,IF(C2020="C",5.5,IF(C2020="C.",5.5,IF(C2020="D",5.2)))))*$B$2</f>
        <v>0</v>
      </c>
      <c r="E2024" s="1377">
        <f t="shared" si="235"/>
        <v>0</v>
      </c>
      <c r="F2024" s="1436"/>
      <c r="G2024" s="1375" t="s">
        <v>122</v>
      </c>
      <c r="H2024" s="1630" t="s">
        <v>1083</v>
      </c>
      <c r="I2024" s="1433">
        <f>VLOOKUP(H2019,'CNKT '!$C$189:$Z$254,8,0)</f>
        <v>0</v>
      </c>
      <c r="J2024" s="1379"/>
      <c r="K2024" s="1377">
        <f t="shared" si="236"/>
        <v>0</v>
      </c>
      <c r="L2024" s="1389"/>
      <c r="M2024" s="1385"/>
    </row>
    <row r="2025" spans="1:13" s="31" customFormat="1" ht="17.25" customHeight="1">
      <c r="A2025" s="1375" t="s">
        <v>961</v>
      </c>
      <c r="B2025" s="1630" t="s">
        <v>1084</v>
      </c>
      <c r="C2025" s="1433">
        <f>VLOOKUP(B2019,'CNKT '!$C$101:$Z$254,13,0)</f>
        <v>0</v>
      </c>
      <c r="D2025" s="1380">
        <f>92.2*$B$2</f>
        <v>60483.200000000004</v>
      </c>
      <c r="E2025" s="1377">
        <f t="shared" si="235"/>
        <v>0</v>
      </c>
      <c r="F2025" s="1436"/>
      <c r="G2025" s="1375" t="s">
        <v>961</v>
      </c>
      <c r="H2025" s="1630" t="s">
        <v>1084</v>
      </c>
      <c r="I2025" s="1433">
        <f>VLOOKUP(H2019,'CNKT '!$C$101:$Z$254,13,0)</f>
        <v>0</v>
      </c>
      <c r="J2025" s="1380">
        <f>92.2*$B$2</f>
        <v>60483.200000000004</v>
      </c>
      <c r="K2025" s="1377">
        <f t="shared" si="236"/>
        <v>0</v>
      </c>
      <c r="L2025" s="1389"/>
      <c r="M2025" s="1385"/>
    </row>
    <row r="2026" spans="1:13" s="31" customFormat="1" ht="17.25" customHeight="1">
      <c r="A2026" s="1375" t="s">
        <v>886</v>
      </c>
      <c r="B2026" s="1630" t="s">
        <v>964</v>
      </c>
      <c r="C2026" s="1433">
        <f>VLOOKUP(B2019,'CNKT '!$C$189:$Z$254,14,0)</f>
        <v>0</v>
      </c>
      <c r="D2026" s="1379">
        <f>153.6*$B$2</f>
        <v>100761.59999999999</v>
      </c>
      <c r="E2026" s="1377">
        <f t="shared" si="235"/>
        <v>0</v>
      </c>
      <c r="F2026" s="1436"/>
      <c r="G2026" s="1375" t="s">
        <v>886</v>
      </c>
      <c r="H2026" s="1630" t="s">
        <v>964</v>
      </c>
      <c r="I2026" s="1433">
        <f>VLOOKUP(H2019,'CNKT '!$C$189:$Z$254,14,0)</f>
        <v>0</v>
      </c>
      <c r="J2026" s="1379">
        <f>153.6*$B$2</f>
        <v>100761.59999999999</v>
      </c>
      <c r="K2026" s="1377">
        <f t="shared" si="236"/>
        <v>0</v>
      </c>
      <c r="L2026" s="1389"/>
      <c r="M2026" s="1385"/>
    </row>
    <row r="2027" spans="1:13" s="31" customFormat="1" ht="17.25" customHeight="1">
      <c r="A2027" s="1375" t="s">
        <v>899</v>
      </c>
      <c r="B2027" s="1630" t="s">
        <v>965</v>
      </c>
      <c r="C2027" s="1433">
        <f>VLOOKUP(B2019,'CNKT '!$C$190:$Z$254,18,0)</f>
        <v>0</v>
      </c>
      <c r="D2027" s="1379">
        <v>10000</v>
      </c>
      <c r="E2027" s="1377">
        <f>C2027*D2027</f>
        <v>0</v>
      </c>
      <c r="F2027" s="1436"/>
      <c r="G2027" s="1375" t="s">
        <v>899</v>
      </c>
      <c r="H2027" s="1630" t="s">
        <v>965</v>
      </c>
      <c r="I2027" s="1433">
        <f>VLOOKUP(H2019,'CNKT '!$C$190:$Z$254,18,0)</f>
        <v>0</v>
      </c>
      <c r="J2027" s="1379">
        <v>10000</v>
      </c>
      <c r="K2027" s="1377">
        <f>I2027*J2027</f>
        <v>0</v>
      </c>
      <c r="L2027" s="1389"/>
      <c r="M2027" s="1385"/>
    </row>
    <row r="2028" spans="1:13" s="31" customFormat="1" ht="17.25" customHeight="1">
      <c r="A2028" s="1375" t="s">
        <v>899</v>
      </c>
      <c r="B2028" s="1630" t="s">
        <v>965</v>
      </c>
      <c r="C2028" s="1433">
        <f>VLOOKUP(B2019,'CNKT '!$C$190:$Z$254,19,0)</f>
        <v>0</v>
      </c>
      <c r="D2028" s="1379">
        <v>20000</v>
      </c>
      <c r="E2028" s="1377">
        <f>C2028*D2028</f>
        <v>0</v>
      </c>
      <c r="F2028" s="1436"/>
      <c r="G2028" s="1375" t="s">
        <v>899</v>
      </c>
      <c r="H2028" s="1630" t="s">
        <v>965</v>
      </c>
      <c r="I2028" s="1433">
        <f>VLOOKUP(H2019,'CNKT '!$C$190:$Z$254,19,0)</f>
        <v>0</v>
      </c>
      <c r="J2028" s="1379">
        <v>20000</v>
      </c>
      <c r="K2028" s="1377">
        <f>I2028*J2028</f>
        <v>0</v>
      </c>
      <c r="L2028" s="1389"/>
      <c r="M2028" s="1385"/>
    </row>
    <row r="2029" spans="1:13" s="31" customFormat="1" ht="17.25" customHeight="1">
      <c r="A2029" s="1375" t="s">
        <v>995</v>
      </c>
      <c r="B2029" s="1630" t="s">
        <v>997</v>
      </c>
      <c r="C2029" s="1433"/>
      <c r="D2029" s="1379"/>
      <c r="E2029" s="1377"/>
      <c r="F2029" s="1436"/>
      <c r="G2029" s="1375" t="s">
        <v>995</v>
      </c>
      <c r="H2029" s="1630" t="s">
        <v>997</v>
      </c>
      <c r="I2029" s="1433"/>
      <c r="J2029" s="1379"/>
      <c r="K2029" s="1377"/>
      <c r="L2029" s="1389"/>
      <c r="M2029" s="1385"/>
    </row>
    <row r="2030" spans="1:13" s="31" customFormat="1" ht="17.25" customHeight="1">
      <c r="A2030" s="1381" t="s">
        <v>123</v>
      </c>
      <c r="B2030" s="1631" t="s">
        <v>1085</v>
      </c>
      <c r="C2030" s="1382"/>
      <c r="D2030" s="1383"/>
      <c r="E2030" s="1382"/>
      <c r="F2030" s="1436"/>
      <c r="G2030" s="1381" t="s">
        <v>123</v>
      </c>
      <c r="H2030" s="1631" t="s">
        <v>1085</v>
      </c>
      <c r="I2030" s="1382"/>
      <c r="J2030" s="1383"/>
      <c r="K2030" s="1382"/>
      <c r="L2030" s="1389"/>
      <c r="M2030" s="1385"/>
    </row>
    <row r="2031" spans="1:13" s="31" customFormat="1" ht="17.25" customHeight="1">
      <c r="A2031" s="1384" t="s">
        <v>124</v>
      </c>
      <c r="B2031" s="1632" t="s">
        <v>1086</v>
      </c>
      <c r="C2031" s="1382"/>
      <c r="D2031" s="1382"/>
      <c r="E2031" s="1382"/>
      <c r="F2031" s="1436"/>
      <c r="G2031" s="1384" t="s">
        <v>124</v>
      </c>
      <c r="H2031" s="1632" t="s">
        <v>1086</v>
      </c>
      <c r="I2031" s="1382"/>
      <c r="J2031" s="1382"/>
      <c r="K2031" s="1382"/>
      <c r="L2031" s="1389"/>
      <c r="M2031" s="1385"/>
    </row>
    <row r="2032" spans="1:13" s="31" customFormat="1" ht="17.25" customHeight="1">
      <c r="A2032" s="1384" t="s">
        <v>125</v>
      </c>
      <c r="B2032" s="1633" t="s">
        <v>1087</v>
      </c>
      <c r="C2032" s="1382"/>
      <c r="D2032" s="1382"/>
      <c r="E2032" s="1377">
        <f>SUM(E2031)</f>
        <v>0</v>
      </c>
      <c r="F2032" s="1436"/>
      <c r="G2032" s="1384" t="s">
        <v>125</v>
      </c>
      <c r="H2032" s="1633" t="s">
        <v>1087</v>
      </c>
      <c r="I2032" s="1382"/>
      <c r="J2032" s="1382"/>
      <c r="K2032" s="1377">
        <f>SUM(K2031)</f>
        <v>0</v>
      </c>
      <c r="L2032" s="1389"/>
      <c r="M2032" s="1385"/>
    </row>
    <row r="2033" spans="1:14" s="31" customFormat="1" ht="17.25" customHeight="1">
      <c r="A2033" s="1386" t="s">
        <v>126</v>
      </c>
      <c r="B2033" s="1634" t="s">
        <v>871</v>
      </c>
      <c r="C2033" s="1387"/>
      <c r="D2033" s="1387"/>
      <c r="E2033" s="1387">
        <f>(E2021+E2022+E2023+E2024+E2025+E2026+E2027+E2028+E2029)-E2032</f>
        <v>80454000</v>
      </c>
      <c r="F2033" s="1436"/>
      <c r="G2033" s="1386" t="s">
        <v>126</v>
      </c>
      <c r="H2033" s="1634" t="s">
        <v>871</v>
      </c>
      <c r="I2033" s="1387"/>
      <c r="J2033" s="1387"/>
      <c r="K2033" s="1387">
        <f>(K2021+K2022+K2023+K2024+K2025+K2026+K2027+K2028+K2029)-K2032</f>
        <v>0</v>
      </c>
      <c r="L2033" s="1389">
        <f>E2033+K2033</f>
        <v>80454000</v>
      </c>
      <c r="M2033" s="1385"/>
    </row>
    <row r="2034" spans="1:14" s="31" customFormat="1" ht="222" customHeight="1">
      <c r="A2034" s="1449"/>
      <c r="B2034" s="1449"/>
      <c r="C2034" s="1449"/>
      <c r="D2034" s="1449"/>
      <c r="E2034" s="1449"/>
      <c r="F2034" s="1449"/>
      <c r="G2034" s="1449"/>
      <c r="H2034" s="1449"/>
      <c r="I2034" s="1449"/>
      <c r="J2034" s="1449"/>
      <c r="K2034" s="1449"/>
      <c r="L2034" s="1389"/>
      <c r="M2034" s="1385"/>
    </row>
    <row r="2035" spans="1:14" s="31" customFormat="1" ht="17.25" customHeight="1">
      <c r="A2035" s="1445" t="str">
        <f>A2018</f>
        <v>LƯƠNG THÁNG 01/2025</v>
      </c>
      <c r="B2035" s="1449"/>
      <c r="C2035" s="1449"/>
      <c r="D2035" s="1449"/>
      <c r="E2035" s="1458">
        <f>VLOOKUP(B2036,'CNKT '!$C$190:$AD$254,26,0)</f>
        <v>0</v>
      </c>
      <c r="F2035" s="1436"/>
      <c r="G2035" s="1445" t="str">
        <f>A2035</f>
        <v>LƯƠNG THÁNG 01/2025</v>
      </c>
      <c r="H2035" s="1449"/>
      <c r="I2035" s="1449"/>
      <c r="J2035" s="1452"/>
      <c r="K2035" s="1436"/>
      <c r="L2035" s="1389"/>
      <c r="M2035" s="1385"/>
    </row>
    <row r="2036" spans="1:14" s="31" customFormat="1" ht="17.25" customHeight="1">
      <c r="A2036" s="1391" t="s">
        <v>29</v>
      </c>
      <c r="B2036" s="1626" t="str">
        <f>'CNKT '!C252</f>
        <v>Mủ Xi Rum</v>
      </c>
      <c r="C2036" s="1376"/>
      <c r="D2036" s="1626" t="s">
        <v>806</v>
      </c>
      <c r="E2036" s="1626" t="s">
        <v>32</v>
      </c>
      <c r="F2036" s="1436"/>
      <c r="G2036" s="1391" t="s">
        <v>29</v>
      </c>
      <c r="H2036" s="1626" t="e">
        <f>'CNKT '!#REF!</f>
        <v>#REF!</v>
      </c>
      <c r="I2036" s="1376"/>
      <c r="J2036" s="1626" t="s">
        <v>806</v>
      </c>
      <c r="K2036" s="1626" t="s">
        <v>32</v>
      </c>
      <c r="L2036" s="1389"/>
      <c r="M2036" s="1385"/>
    </row>
    <row r="2037" spans="1:14" s="31" customFormat="1" ht="17.25" customHeight="1">
      <c r="A2037" s="1375" t="s">
        <v>807</v>
      </c>
      <c r="B2037" s="1628" t="s">
        <v>1080</v>
      </c>
      <c r="C2037" s="1376" t="s">
        <v>54</v>
      </c>
      <c r="D2037" s="1377"/>
      <c r="E2037" s="1377"/>
      <c r="F2037" s="1436"/>
      <c r="G2037" s="1375" t="s">
        <v>807</v>
      </c>
      <c r="H2037" s="1628" t="s">
        <v>1080</v>
      </c>
      <c r="I2037" s="1376"/>
      <c r="J2037" s="1377"/>
      <c r="K2037" s="1377"/>
      <c r="L2037" s="1389"/>
      <c r="M2037" s="1385"/>
    </row>
    <row r="2038" spans="1:14" s="31" customFormat="1" ht="17.25" customHeight="1">
      <c r="A2038" s="1375" t="s">
        <v>121</v>
      </c>
      <c r="B2038" s="1629" t="s">
        <v>865</v>
      </c>
      <c r="C2038" s="1378">
        <f>VLOOKUP(B2036,'CNKT '!$C$189:$Z$254,3,0)</f>
        <v>0</v>
      </c>
      <c r="D2038" s="1379">
        <v>25000</v>
      </c>
      <c r="E2038" s="1377">
        <f t="shared" ref="E2038:E2043" si="237">C2038*D2038</f>
        <v>0</v>
      </c>
      <c r="F2038" s="1436"/>
      <c r="G2038" s="1375" t="s">
        <v>121</v>
      </c>
      <c r="H2038" s="1629" t="s">
        <v>865</v>
      </c>
      <c r="I2038" s="1378" t="e">
        <f>VLOOKUP(H2036,'CNKT '!$C$189:$Z$254,3,0)</f>
        <v>#REF!</v>
      </c>
      <c r="J2038" s="1379">
        <v>25000</v>
      </c>
      <c r="K2038" s="1377" t="e">
        <f t="shared" ref="K2038:K2043" si="238">I2038*J2038</f>
        <v>#REF!</v>
      </c>
      <c r="L2038" s="1389"/>
      <c r="M2038" s="1385"/>
    </row>
    <row r="2039" spans="1:14" s="31" customFormat="1" ht="17.25" customHeight="1">
      <c r="A2039" s="1375" t="s">
        <v>628</v>
      </c>
      <c r="B2039" s="1630" t="s">
        <v>1081</v>
      </c>
      <c r="C2039" s="1433">
        <f>VLOOKUP(B2036,'CNKT '!$C$189:$Z$254,11,0)</f>
        <v>0</v>
      </c>
      <c r="D2039" s="1380">
        <f>46.1*$B$2</f>
        <v>30241.600000000002</v>
      </c>
      <c r="E2039" s="1377">
        <f t="shared" si="237"/>
        <v>0</v>
      </c>
      <c r="F2039" s="1436"/>
      <c r="G2039" s="1375" t="s">
        <v>628</v>
      </c>
      <c r="H2039" s="1630" t="s">
        <v>1081</v>
      </c>
      <c r="I2039" s="1433" t="e">
        <f>VLOOKUP(H2036,'CNKT '!$C$189:$Z$254,11,0)</f>
        <v>#REF!</v>
      </c>
      <c r="J2039" s="1380">
        <f>46.1*$B$2</f>
        <v>30241.600000000002</v>
      </c>
      <c r="K2039" s="1377" t="e">
        <f t="shared" si="238"/>
        <v>#REF!</v>
      </c>
      <c r="L2039" s="1389"/>
      <c r="M2039" s="1385"/>
    </row>
    <row r="2040" spans="1:14" s="31" customFormat="1" ht="17.25" customHeight="1">
      <c r="A2040" s="1375" t="s">
        <v>809</v>
      </c>
      <c r="B2040" s="1630" t="s">
        <v>1082</v>
      </c>
      <c r="C2040" s="1433">
        <f>VLOOKUP(B2036,'CNKT '!$C$189:$Z$254,12,0)</f>
        <v>0</v>
      </c>
      <c r="D2040" s="1379">
        <f>76.9*$B$2</f>
        <v>50446.400000000001</v>
      </c>
      <c r="E2040" s="1377">
        <f t="shared" si="237"/>
        <v>0</v>
      </c>
      <c r="F2040" s="1436"/>
      <c r="G2040" s="1375" t="s">
        <v>809</v>
      </c>
      <c r="H2040" s="1630" t="s">
        <v>1082</v>
      </c>
      <c r="I2040" s="1433" t="e">
        <f>VLOOKUP(H2036,'CNKT '!$C$189:$Z$254,13,0)</f>
        <v>#REF!</v>
      </c>
      <c r="J2040" s="1379">
        <f>76.9*$B$2</f>
        <v>50446.400000000001</v>
      </c>
      <c r="K2040" s="1377" t="e">
        <f t="shared" si="238"/>
        <v>#REF!</v>
      </c>
      <c r="L2040" s="1389"/>
      <c r="M2040" s="1385"/>
    </row>
    <row r="2041" spans="1:14" s="31" customFormat="1" ht="17.25" customHeight="1">
      <c r="A2041" s="1375" t="s">
        <v>122</v>
      </c>
      <c r="B2041" s="1630" t="s">
        <v>1083</v>
      </c>
      <c r="C2041" s="1433">
        <f>VLOOKUP(B2036,'CNKT '!$C$189:$Z$254,8,0)</f>
        <v>0</v>
      </c>
      <c r="D2041" s="1379">
        <f>IF(C2037="A",6.1,IF(C2037="B",5.8,IF(C2037="C",5.5,IF(C2037="C.",5.5,IF(C2037="D",5.2)))))*$B$2</f>
        <v>4001.6</v>
      </c>
      <c r="E2041" s="1377">
        <f t="shared" si="237"/>
        <v>0</v>
      </c>
      <c r="F2041" s="1436"/>
      <c r="G2041" s="1375" t="s">
        <v>122</v>
      </c>
      <c r="H2041" s="1630" t="s">
        <v>1083</v>
      </c>
      <c r="I2041" s="1433" t="e">
        <f>VLOOKUP(H2036,'CNKT '!$C$189:$Z$254,8,0)</f>
        <v>#REF!</v>
      </c>
      <c r="J2041" s="1379">
        <f>IF(I2037="A",6.1,IF(I2037="B",5.8,IF(I2037="C",5.5,IF(I2037="C.",5.5,IF(I2037="D",5.2)))))*$B$2</f>
        <v>0</v>
      </c>
      <c r="K2041" s="1377" t="e">
        <f t="shared" si="238"/>
        <v>#REF!</v>
      </c>
      <c r="L2041" s="1389"/>
      <c r="M2041" s="1385"/>
    </row>
    <row r="2042" spans="1:14" s="31" customFormat="1" ht="17.25" customHeight="1">
      <c r="A2042" s="1375" t="s">
        <v>961</v>
      </c>
      <c r="B2042" s="1630" t="s">
        <v>1084</v>
      </c>
      <c r="C2042" s="1433">
        <f>VLOOKUP(B2036,'CNKT '!$C$101:$Z$254,13,0)</f>
        <v>0</v>
      </c>
      <c r="D2042" s="1380">
        <f>92.2*$B$2</f>
        <v>60483.200000000004</v>
      </c>
      <c r="E2042" s="1377">
        <f t="shared" si="237"/>
        <v>0</v>
      </c>
      <c r="F2042" s="1436"/>
      <c r="G2042" s="1375" t="s">
        <v>961</v>
      </c>
      <c r="H2042" s="1630" t="s">
        <v>1084</v>
      </c>
      <c r="I2042" s="1433" t="e">
        <f>VLOOKUP(H2036,'CNKT '!$C$101:$Z$254,12,0)</f>
        <v>#REF!</v>
      </c>
      <c r="J2042" s="1380">
        <f>92.2*$B$2</f>
        <v>60483.200000000004</v>
      </c>
      <c r="K2042" s="1377" t="e">
        <f t="shared" si="238"/>
        <v>#REF!</v>
      </c>
      <c r="L2042" s="1389"/>
      <c r="M2042" s="1385"/>
    </row>
    <row r="2043" spans="1:14" s="31" customFormat="1" ht="17.25" customHeight="1">
      <c r="A2043" s="1375" t="s">
        <v>886</v>
      </c>
      <c r="B2043" s="1630" t="s">
        <v>964</v>
      </c>
      <c r="C2043" s="1433">
        <f>VLOOKUP(B2036,'CNKT '!$C$189:$Z$254,14,0)</f>
        <v>0</v>
      </c>
      <c r="D2043" s="1379">
        <f>153.6*$B$2</f>
        <v>100761.59999999999</v>
      </c>
      <c r="E2043" s="1377">
        <f t="shared" si="237"/>
        <v>0</v>
      </c>
      <c r="F2043" s="1436"/>
      <c r="G2043" s="1375" t="s">
        <v>886</v>
      </c>
      <c r="H2043" s="1630" t="s">
        <v>964</v>
      </c>
      <c r="I2043" s="1433" t="e">
        <f>VLOOKUP(H2036,'CNKT '!$C$189:$Z$254,14,0)</f>
        <v>#REF!</v>
      </c>
      <c r="J2043" s="1379">
        <f>153.6*$B$2</f>
        <v>100761.59999999999</v>
      </c>
      <c r="K2043" s="1377" t="e">
        <f t="shared" si="238"/>
        <v>#REF!</v>
      </c>
      <c r="L2043" s="1389"/>
      <c r="M2043" s="1385"/>
    </row>
    <row r="2044" spans="1:14" s="31" customFormat="1" ht="17.25" customHeight="1">
      <c r="A2044" s="1375" t="s">
        <v>899</v>
      </c>
      <c r="B2044" s="1630" t="s">
        <v>965</v>
      </c>
      <c r="C2044" s="1433">
        <f>VLOOKUP(B2036,'CNKT '!$C$190:$Z$254,18,0)</f>
        <v>0</v>
      </c>
      <c r="D2044" s="1379">
        <v>10000</v>
      </c>
      <c r="E2044" s="1377">
        <f>C2044*D2044</f>
        <v>0</v>
      </c>
      <c r="F2044" s="1436"/>
      <c r="G2044" s="1375" t="s">
        <v>899</v>
      </c>
      <c r="H2044" s="1630" t="s">
        <v>965</v>
      </c>
      <c r="I2044" s="1433"/>
      <c r="J2044" s="1379"/>
      <c r="K2044" s="1377"/>
      <c r="L2044" s="1389"/>
      <c r="M2044" s="1385"/>
    </row>
    <row r="2045" spans="1:14" s="31" customFormat="1" ht="17.25" customHeight="1">
      <c r="A2045" s="1375" t="s">
        <v>899</v>
      </c>
      <c r="B2045" s="1630" t="s">
        <v>965</v>
      </c>
      <c r="C2045" s="1433">
        <f>VLOOKUP(B2036,'CNKT '!$C$190:$Z$254,19,0)</f>
        <v>0</v>
      </c>
      <c r="D2045" s="1379">
        <v>20000</v>
      </c>
      <c r="E2045" s="1377">
        <f>C2045*D2045</f>
        <v>0</v>
      </c>
      <c r="F2045" s="1436"/>
      <c r="G2045" s="1375" t="s">
        <v>899</v>
      </c>
      <c r="H2045" s="1630" t="s">
        <v>965</v>
      </c>
      <c r="I2045" s="1433" t="e">
        <f>VLOOKUP(H2036,'CNKT '!$C$189:$Z$254,16,0)</f>
        <v>#REF!</v>
      </c>
      <c r="J2045" s="1379">
        <v>25000</v>
      </c>
      <c r="K2045" s="1377" t="e">
        <f>I2045*J2045</f>
        <v>#REF!</v>
      </c>
      <c r="L2045" s="1389"/>
      <c r="M2045" s="1385"/>
    </row>
    <row r="2046" spans="1:14" s="31" customFormat="1" ht="17.25" customHeight="1">
      <c r="A2046" s="1375" t="s">
        <v>995</v>
      </c>
      <c r="B2046" s="1630" t="s">
        <v>997</v>
      </c>
      <c r="C2046" s="1433"/>
      <c r="D2046" s="1379"/>
      <c r="E2046" s="1377"/>
      <c r="F2046" s="1436"/>
      <c r="G2046" s="1375" t="s">
        <v>995</v>
      </c>
      <c r="H2046" s="1630" t="s">
        <v>997</v>
      </c>
      <c r="I2046" s="1433"/>
      <c r="J2046" s="1379"/>
      <c r="K2046" s="1377"/>
      <c r="L2046" s="1389"/>
      <c r="M2046" s="1385"/>
    </row>
    <row r="2047" spans="1:14" s="31" customFormat="1" ht="17.25" customHeight="1">
      <c r="A2047" s="1381" t="s">
        <v>123</v>
      </c>
      <c r="B2047" s="1631" t="s">
        <v>1085</v>
      </c>
      <c r="C2047" s="1382"/>
      <c r="D2047" s="1383"/>
      <c r="E2047" s="1382"/>
      <c r="F2047" s="1436"/>
      <c r="G2047" s="1381" t="s">
        <v>123</v>
      </c>
      <c r="H2047" s="1631" t="s">
        <v>1085</v>
      </c>
      <c r="I2047" s="1382"/>
      <c r="J2047" s="1383"/>
      <c r="K2047" s="1382"/>
      <c r="L2047" s="1389"/>
      <c r="M2047" s="1411"/>
      <c r="N2047" s="1411">
        <v>553761875</v>
      </c>
    </row>
    <row r="2048" spans="1:14" s="31" customFormat="1" ht="17.25" customHeight="1">
      <c r="A2048" s="1384" t="s">
        <v>124</v>
      </c>
      <c r="B2048" s="1632" t="s">
        <v>1086</v>
      </c>
      <c r="C2048" s="1382"/>
      <c r="D2048" s="1382"/>
      <c r="E2048" s="1382"/>
      <c r="F2048" s="1436"/>
      <c r="G2048" s="1384" t="s">
        <v>124</v>
      </c>
      <c r="H2048" s="1632" t="s">
        <v>1086</v>
      </c>
      <c r="I2048" s="1382"/>
      <c r="J2048" s="1382"/>
      <c r="K2048" s="1382"/>
      <c r="L2048" s="1389"/>
      <c r="M2048" s="1411"/>
      <c r="N2048" s="1411">
        <v>5600000</v>
      </c>
    </row>
    <row r="2049" spans="1:15" s="31" customFormat="1" ht="17.25" customHeight="1">
      <c r="A2049" s="1384" t="s">
        <v>125</v>
      </c>
      <c r="B2049" s="1633" t="s">
        <v>1087</v>
      </c>
      <c r="C2049" s="1382"/>
      <c r="D2049" s="1382"/>
      <c r="E2049" s="1377">
        <f>SUM(E2048)</f>
        <v>0</v>
      </c>
      <c r="F2049" s="1436"/>
      <c r="G2049" s="1384" t="s">
        <v>125</v>
      </c>
      <c r="H2049" s="1633" t="s">
        <v>1087</v>
      </c>
      <c r="I2049" s="1382"/>
      <c r="J2049" s="1382"/>
      <c r="K2049" s="1377">
        <f>SUM(K2048)</f>
        <v>0</v>
      </c>
      <c r="L2049" s="1389"/>
      <c r="M2049" s="1411"/>
      <c r="N2049" s="1411"/>
    </row>
    <row r="2050" spans="1:15" s="31" customFormat="1" ht="17.25" customHeight="1">
      <c r="A2050" s="1386" t="s">
        <v>126</v>
      </c>
      <c r="B2050" s="1634" t="s">
        <v>871</v>
      </c>
      <c r="C2050" s="1387"/>
      <c r="D2050" s="1387"/>
      <c r="E2050" s="1387">
        <f>(E2038+E2039+E2040+E2041+E2042+E2043+E2044+E2045+E2046)-E2049</f>
        <v>0</v>
      </c>
      <c r="F2050" s="1436"/>
      <c r="G2050" s="1386" t="s">
        <v>126</v>
      </c>
      <c r="H2050" s="1634" t="s">
        <v>871</v>
      </c>
      <c r="I2050" s="1432"/>
      <c r="J2050" s="1432"/>
      <c r="K2050" s="1432" t="e">
        <f>(K2038+K2039+K2040+K2041)-K2049</f>
        <v>#REF!</v>
      </c>
      <c r="L2050" s="1389">
        <f>E2050</f>
        <v>0</v>
      </c>
      <c r="M2050" s="1411">
        <f>SUM(L1491:L2050)</f>
        <v>80454000</v>
      </c>
      <c r="N2050" s="1411">
        <v>418349018</v>
      </c>
      <c r="O2050" s="1421">
        <f>N2050-M2050</f>
        <v>337895018</v>
      </c>
    </row>
    <row r="2051" spans="1:15" s="31" customFormat="1" ht="17.25" customHeight="1">
      <c r="A2051" s="1449"/>
      <c r="B2051" s="1449"/>
      <c r="C2051" s="1449"/>
      <c r="D2051" s="1449"/>
      <c r="E2051" s="1449"/>
      <c r="F2051" s="1449"/>
      <c r="G2051" s="1449"/>
      <c r="H2051" s="1449"/>
      <c r="I2051" s="1449"/>
      <c r="J2051" s="1449"/>
      <c r="K2051" s="1449"/>
      <c r="L2051" s="1389"/>
      <c r="M2051" s="1411"/>
      <c r="N2051" s="1411"/>
    </row>
    <row r="2052" spans="1:15" s="31" customFormat="1" ht="17.25" customHeight="1">
      <c r="A2052" s="1453" t="s">
        <v>176</v>
      </c>
      <c r="B2052" s="1428"/>
      <c r="C2052" s="1428"/>
      <c r="D2052" s="1428"/>
      <c r="E2052" s="1428"/>
      <c r="F2052" s="1428"/>
      <c r="G2052" s="1428"/>
      <c r="H2052" s="1428"/>
      <c r="I2052" s="1428"/>
      <c r="J2052" s="1454"/>
      <c r="K2052" s="1422"/>
      <c r="L2052" s="1389"/>
      <c r="M2052" s="1411">
        <f>M2047+M2048</f>
        <v>0</v>
      </c>
      <c r="N2052" s="1411"/>
      <c r="O2052" s="1385"/>
    </row>
    <row r="2053" spans="1:15" s="31" customFormat="1" ht="17.25" customHeight="1">
      <c r="A2053" s="1445" t="str">
        <f>A2001</f>
        <v>LƯƠNG THÁNG 01/2025</v>
      </c>
      <c r="B2053" s="1449"/>
      <c r="C2053" s="1449"/>
      <c r="D2053" s="1449"/>
      <c r="E2053" s="1452">
        <f>VLOOKUP(B2054,'CNKT '!$C$256:$AD$325,26,0)</f>
        <v>0</v>
      </c>
      <c r="F2053" s="1436"/>
      <c r="G2053" s="1445" t="str">
        <f>A2053</f>
        <v>LƯƠNG THÁNG 01/2025</v>
      </c>
      <c r="H2053" s="1449"/>
      <c r="I2053" s="1449"/>
      <c r="J2053" s="1449"/>
      <c r="K2053" s="1452">
        <f>VLOOKUP(H2054,'CNKT '!$C$256:$AD$325,26,0)</f>
        <v>0</v>
      </c>
      <c r="L2053" s="1372"/>
    </row>
    <row r="2054" spans="1:15" s="31" customFormat="1" ht="17.25" customHeight="1">
      <c r="A2054" s="1391" t="s">
        <v>29</v>
      </c>
      <c r="B2054" s="1626" t="str">
        <f>'CNKT '!C256</f>
        <v>N. Teo</v>
      </c>
      <c r="C2054" s="1376"/>
      <c r="D2054" s="1626" t="s">
        <v>806</v>
      </c>
      <c r="E2054" s="1626" t="s">
        <v>32</v>
      </c>
      <c r="F2054" s="1436"/>
      <c r="G2054" s="1391" t="s">
        <v>29</v>
      </c>
      <c r="H2054" s="1626" t="str">
        <f>'CNKT '!C257</f>
        <v>T . Thau</v>
      </c>
      <c r="I2054" s="1376"/>
      <c r="J2054" s="1626" t="s">
        <v>806</v>
      </c>
      <c r="K2054" s="1626" t="s">
        <v>32</v>
      </c>
      <c r="L2054" s="1372"/>
    </row>
    <row r="2055" spans="1:15" s="31" customFormat="1" ht="17.25" customHeight="1">
      <c r="A2055" s="1375" t="s">
        <v>807</v>
      </c>
      <c r="B2055" s="1628" t="s">
        <v>1080</v>
      </c>
      <c r="C2055" s="1376" t="str">
        <f>VLOOKUP(B2054,'BTH mủ tạp'!$C$246:$AL$314,36,0)</f>
        <v>C</v>
      </c>
      <c r="D2055" s="1377"/>
      <c r="E2055" s="1377"/>
      <c r="F2055" s="1436"/>
      <c r="G2055" s="1375" t="s">
        <v>807</v>
      </c>
      <c r="H2055" s="1628" t="s">
        <v>1080</v>
      </c>
      <c r="I2055" s="1376" t="str">
        <f>VLOOKUP(H2054,'BTH mủ tạp'!$C$246:$AL$314,36,0)</f>
        <v>B</v>
      </c>
      <c r="J2055" s="1377"/>
      <c r="K2055" s="1377"/>
      <c r="L2055" s="1372"/>
      <c r="M2055" s="1385"/>
    </row>
    <row r="2056" spans="1:15" s="31" customFormat="1" ht="17.25" customHeight="1">
      <c r="A2056" s="1375" t="s">
        <v>121</v>
      </c>
      <c r="B2056" s="1629" t="s">
        <v>865</v>
      </c>
      <c r="C2056" s="1378">
        <f>VLOOKUP(B2054,'CNKT '!$C$256:$Z$316,3,0)</f>
        <v>0</v>
      </c>
      <c r="D2056" s="1379">
        <v>25000</v>
      </c>
      <c r="E2056" s="1377">
        <f t="shared" ref="E2056:E2061" si="239">C2056*D2056</f>
        <v>0</v>
      </c>
      <c r="F2056" s="1436"/>
      <c r="G2056" s="1375" t="s">
        <v>121</v>
      </c>
      <c r="H2056" s="1629" t="s">
        <v>865</v>
      </c>
      <c r="I2056" s="1378">
        <f>VLOOKUP(H2054,'CNKT '!$C$256:$Z$316,3,0)</f>
        <v>0</v>
      </c>
      <c r="J2056" s="1379">
        <v>25000</v>
      </c>
      <c r="K2056" s="1377">
        <f t="shared" ref="K2056:K2061" si="240">I2056*J2056</f>
        <v>0</v>
      </c>
      <c r="L2056" s="1372"/>
    </row>
    <row r="2057" spans="1:15" s="31" customFormat="1" ht="17.25" customHeight="1">
      <c r="A2057" s="1375" t="s">
        <v>628</v>
      </c>
      <c r="B2057" s="1630" t="s">
        <v>1081</v>
      </c>
      <c r="C2057" s="1433">
        <f>VLOOKUP(B2054,'CNKT '!$C$256:$Z$316,11,0)</f>
        <v>0</v>
      </c>
      <c r="D2057" s="1380">
        <f>46.1*$B$2</f>
        <v>30241.600000000002</v>
      </c>
      <c r="E2057" s="1377">
        <f t="shared" si="239"/>
        <v>0</v>
      </c>
      <c r="F2057" s="1436"/>
      <c r="G2057" s="1375" t="s">
        <v>628</v>
      </c>
      <c r="H2057" s="1630" t="s">
        <v>1081</v>
      </c>
      <c r="I2057" s="1433">
        <f>VLOOKUP(H2054,'CNKT '!$C$256:$Z$316,11,0)</f>
        <v>0</v>
      </c>
      <c r="J2057" s="1380">
        <f>46.1*$B$2</f>
        <v>30241.600000000002</v>
      </c>
      <c r="K2057" s="1377">
        <f t="shared" si="240"/>
        <v>0</v>
      </c>
      <c r="L2057" s="1372"/>
    </row>
    <row r="2058" spans="1:15" s="31" customFormat="1" ht="17.25" customHeight="1">
      <c r="A2058" s="1375" t="s">
        <v>809</v>
      </c>
      <c r="B2058" s="1630" t="s">
        <v>1082</v>
      </c>
      <c r="C2058" s="1433">
        <f>VLOOKUP(B2054,'CNKT '!$C$256:$Z$316,12,0)</f>
        <v>0</v>
      </c>
      <c r="D2058" s="1379">
        <f>76.9*$B$2</f>
        <v>50446.400000000001</v>
      </c>
      <c r="E2058" s="1377">
        <f t="shared" si="239"/>
        <v>0</v>
      </c>
      <c r="F2058" s="1436"/>
      <c r="G2058" s="1375" t="s">
        <v>809</v>
      </c>
      <c r="H2058" s="1630" t="s">
        <v>1082</v>
      </c>
      <c r="I2058" s="1433">
        <f>VLOOKUP(H2054,'CNKT '!$C$256:$Z$316,12,0)</f>
        <v>0</v>
      </c>
      <c r="J2058" s="1379">
        <f>76.9*$B$2</f>
        <v>50446.400000000001</v>
      </c>
      <c r="K2058" s="1377">
        <f t="shared" si="240"/>
        <v>0</v>
      </c>
      <c r="L2058" s="1372"/>
    </row>
    <row r="2059" spans="1:15" s="31" customFormat="1" ht="17.25" customHeight="1">
      <c r="A2059" s="1375" t="s">
        <v>122</v>
      </c>
      <c r="B2059" s="1630" t="s">
        <v>1083</v>
      </c>
      <c r="C2059" s="1433">
        <f>VLOOKUP(B2054,'CNKT '!$C$256:$Z$316,8,0)</f>
        <v>0</v>
      </c>
      <c r="D2059" s="1379">
        <f>IF(C2055="A",6.1,IF(C2055="B",5.8,IF(C2055="C",5.5,IF(C2055="C.",5.5,IF(C2055="D",5.2)))))*$B$2</f>
        <v>3608</v>
      </c>
      <c r="E2059" s="1377">
        <f t="shared" si="239"/>
        <v>0</v>
      </c>
      <c r="F2059" s="1436"/>
      <c r="G2059" s="1375" t="s">
        <v>122</v>
      </c>
      <c r="H2059" s="1630" t="s">
        <v>1083</v>
      </c>
      <c r="I2059" s="1433">
        <f>VLOOKUP(H2054,'CNKT '!$C$256:$Z$316,8,0)</f>
        <v>0</v>
      </c>
      <c r="J2059" s="1379">
        <f>IF(I2055="A",6.1,IF(I2055="B",5.8,IF(I2055="C",5.5,IF(I2055="C.",5.5,IF(I2055="D",5.2)))))*$B$2</f>
        <v>3804.7999999999997</v>
      </c>
      <c r="K2059" s="1377">
        <f t="shared" si="240"/>
        <v>0</v>
      </c>
      <c r="L2059" s="1372"/>
    </row>
    <row r="2060" spans="1:15" s="31" customFormat="1" ht="17.25" customHeight="1">
      <c r="A2060" s="1375" t="s">
        <v>885</v>
      </c>
      <c r="B2060" s="1630" t="s">
        <v>1084</v>
      </c>
      <c r="C2060" s="1433">
        <f>VLOOKUP(B2054,'CNKT '!$C$256:$Z$316,15,0)</f>
        <v>0</v>
      </c>
      <c r="D2060" s="1380">
        <f>92.2*$B$2</f>
        <v>60483.200000000004</v>
      </c>
      <c r="E2060" s="1377">
        <f t="shared" si="239"/>
        <v>0</v>
      </c>
      <c r="F2060" s="1436"/>
      <c r="G2060" s="1375" t="s">
        <v>885</v>
      </c>
      <c r="H2060" s="1630" t="s">
        <v>1084</v>
      </c>
      <c r="I2060" s="1433">
        <f>VLOOKUP(H2054,'CNKT '!$C$256:$Z$316,15,0)</f>
        <v>0</v>
      </c>
      <c r="J2060" s="1380">
        <f>92.2*$B$2</f>
        <v>60483.200000000004</v>
      </c>
      <c r="K2060" s="1377">
        <f t="shared" si="240"/>
        <v>0</v>
      </c>
      <c r="L2060" s="1372"/>
    </row>
    <row r="2061" spans="1:15" s="31" customFormat="1" ht="17.25" customHeight="1">
      <c r="A2061" s="1375" t="s">
        <v>886</v>
      </c>
      <c r="B2061" s="1630" t="s">
        <v>964</v>
      </c>
      <c r="C2061" s="1433">
        <f>VLOOKUP(B2054,'CNKT '!$C$256:$Z$316,14,0)</f>
        <v>0</v>
      </c>
      <c r="D2061" s="1379">
        <f>153.6*$B$2</f>
        <v>100761.59999999999</v>
      </c>
      <c r="E2061" s="1377">
        <f t="shared" si="239"/>
        <v>0</v>
      </c>
      <c r="F2061" s="1436"/>
      <c r="G2061" s="1375" t="s">
        <v>886</v>
      </c>
      <c r="H2061" s="1630" t="s">
        <v>964</v>
      </c>
      <c r="I2061" s="1433">
        <f>VLOOKUP(H2054,'CNKT '!$C$256:$Z$316,14,0)</f>
        <v>0</v>
      </c>
      <c r="J2061" s="1379">
        <f>153.6*$B$2</f>
        <v>100761.59999999999</v>
      </c>
      <c r="K2061" s="1377">
        <f t="shared" si="240"/>
        <v>0</v>
      </c>
      <c r="L2061" s="1372"/>
    </row>
    <row r="2062" spans="1:15" s="31" customFormat="1" ht="17.25" customHeight="1">
      <c r="A2062" s="1375" t="s">
        <v>899</v>
      </c>
      <c r="B2062" s="1630" t="s">
        <v>965</v>
      </c>
      <c r="C2062" s="1433">
        <f>VLOOKUP(B2054,'CNKT '!$C$256:$Z$325,18,0)</f>
        <v>0</v>
      </c>
      <c r="D2062" s="1379">
        <v>10000</v>
      </c>
      <c r="E2062" s="1377">
        <f>C2062*D2062</f>
        <v>0</v>
      </c>
      <c r="F2062" s="1436"/>
      <c r="G2062" s="1375" t="s">
        <v>899</v>
      </c>
      <c r="H2062" s="1630" t="s">
        <v>965</v>
      </c>
      <c r="I2062" s="1433">
        <f>VLOOKUP(H2054,'CNKT '!$C$256:$Z$325,18,0)</f>
        <v>0</v>
      </c>
      <c r="J2062" s="1379">
        <v>10000</v>
      </c>
      <c r="K2062" s="1377">
        <f>I2062*J2062</f>
        <v>0</v>
      </c>
      <c r="L2062" s="1372"/>
    </row>
    <row r="2063" spans="1:15" s="31" customFormat="1" ht="17.25" customHeight="1">
      <c r="A2063" s="1375" t="s">
        <v>899</v>
      </c>
      <c r="B2063" s="1630" t="s">
        <v>965</v>
      </c>
      <c r="C2063" s="1433">
        <f>VLOOKUP(B2054,'CNKT '!$C$256:$Z$325,19,0)</f>
        <v>0</v>
      </c>
      <c r="D2063" s="1379">
        <v>20000</v>
      </c>
      <c r="E2063" s="1377">
        <f>C2063*D2063</f>
        <v>0</v>
      </c>
      <c r="F2063" s="1436"/>
      <c r="G2063" s="1375" t="s">
        <v>899</v>
      </c>
      <c r="H2063" s="1630" t="s">
        <v>965</v>
      </c>
      <c r="I2063" s="1433">
        <f>VLOOKUP(H2054,'CNKT '!$C$256:$Z$325,19,0)</f>
        <v>0</v>
      </c>
      <c r="J2063" s="1379">
        <v>20000</v>
      </c>
      <c r="K2063" s="1377">
        <f>I2063*J2063</f>
        <v>0</v>
      </c>
      <c r="L2063" s="1372"/>
    </row>
    <row r="2064" spans="1:15" s="31" customFormat="1" ht="17.25" customHeight="1">
      <c r="A2064" s="1381" t="s">
        <v>123</v>
      </c>
      <c r="B2064" s="1631" t="s">
        <v>1085</v>
      </c>
      <c r="C2064" s="1382"/>
      <c r="D2064" s="1383"/>
      <c r="E2064" s="1382"/>
      <c r="F2064" s="1436"/>
      <c r="G2064" s="1381" t="s">
        <v>123</v>
      </c>
      <c r="H2064" s="1631" t="s">
        <v>1085</v>
      </c>
      <c r="I2064" s="1382"/>
      <c r="J2064" s="1383"/>
      <c r="K2064" s="1382"/>
      <c r="L2064" s="1372"/>
    </row>
    <row r="2065" spans="1:12" s="31" customFormat="1" ht="17.25" customHeight="1">
      <c r="A2065" s="1384" t="s">
        <v>124</v>
      </c>
      <c r="B2065" s="1632" t="s">
        <v>1086</v>
      </c>
      <c r="C2065" s="1382"/>
      <c r="D2065" s="1382"/>
      <c r="E2065" s="1382"/>
      <c r="F2065" s="1436"/>
      <c r="G2065" s="1384" t="s">
        <v>124</v>
      </c>
      <c r="H2065" s="1632" t="s">
        <v>1086</v>
      </c>
      <c r="I2065" s="1382"/>
      <c r="J2065" s="1382"/>
      <c r="K2065" s="1382"/>
      <c r="L2065" s="1372"/>
    </row>
    <row r="2066" spans="1:12" s="31" customFormat="1" ht="17.25" customHeight="1">
      <c r="A2066" s="1384" t="s">
        <v>125</v>
      </c>
      <c r="B2066" s="1633" t="s">
        <v>1087</v>
      </c>
      <c r="C2066" s="1382"/>
      <c r="D2066" s="1382"/>
      <c r="E2066" s="1377">
        <f>SUM(E2065)</f>
        <v>0</v>
      </c>
      <c r="F2066" s="1436"/>
      <c r="G2066" s="1384" t="s">
        <v>125</v>
      </c>
      <c r="H2066" s="1633" t="s">
        <v>1087</v>
      </c>
      <c r="I2066" s="1382"/>
      <c r="J2066" s="1382"/>
      <c r="K2066" s="1377">
        <f>SUM(K2065)</f>
        <v>0</v>
      </c>
      <c r="L2066" s="1372"/>
    </row>
    <row r="2067" spans="1:12" s="31" customFormat="1" ht="17.25" customHeight="1">
      <c r="A2067" s="1386" t="s">
        <v>126</v>
      </c>
      <c r="B2067" s="1634" t="s">
        <v>871</v>
      </c>
      <c r="C2067" s="1387"/>
      <c r="D2067" s="1387"/>
      <c r="E2067" s="1387">
        <f>(E2056+E2057+E2058+E2059+E2060+E2061+E2062+E2063)-E2066</f>
        <v>0</v>
      </c>
      <c r="F2067" s="1436"/>
      <c r="G2067" s="1386" t="s">
        <v>126</v>
      </c>
      <c r="H2067" s="1634" t="s">
        <v>871</v>
      </c>
      <c r="I2067" s="1387"/>
      <c r="J2067" s="1387"/>
      <c r="K2067" s="1387">
        <f>(K2056+K2057+K2058+K2059+K2060+K2061+K2062+K2063)-K2066</f>
        <v>0</v>
      </c>
      <c r="L2067" s="1389">
        <f>E2067+K2067</f>
        <v>0</v>
      </c>
    </row>
    <row r="2068" spans="1:12" s="31" customFormat="1" ht="51.75" customHeight="1">
      <c r="A2068" s="1449"/>
      <c r="B2068" s="1449"/>
      <c r="C2068" s="1449"/>
      <c r="D2068" s="1449"/>
      <c r="E2068" s="1449"/>
      <c r="F2068" s="1449"/>
      <c r="G2068" s="1449"/>
      <c r="H2068" s="1449"/>
      <c r="I2068" s="1449"/>
      <c r="J2068" s="1449"/>
      <c r="K2068" s="1449"/>
      <c r="L2068" s="1372"/>
    </row>
    <row r="2069" spans="1:12" s="31" customFormat="1" ht="17.25" customHeight="1">
      <c r="A2069" s="1445" t="str">
        <f>A2053</f>
        <v>LƯƠNG THÁNG 01/2025</v>
      </c>
      <c r="B2069" s="1449"/>
      <c r="C2069" s="1449"/>
      <c r="D2069" s="1449"/>
      <c r="E2069" s="1452">
        <f>VLOOKUP(B2070,'CNKT '!$C$256:$AD$325,26,0)</f>
        <v>0</v>
      </c>
      <c r="F2069" s="1436"/>
      <c r="G2069" s="1445" t="s">
        <v>863</v>
      </c>
      <c r="H2069" s="1449"/>
      <c r="I2069" s="1449"/>
      <c r="J2069" s="1449"/>
      <c r="K2069" s="1452">
        <f>VLOOKUP(H2070,'CNKT '!$C$256:$AD$325,26,0)</f>
        <v>0</v>
      </c>
      <c r="L2069" s="1372"/>
    </row>
    <row r="2070" spans="1:12" s="31" customFormat="1" ht="17.25" customHeight="1">
      <c r="A2070" s="1391" t="s">
        <v>29</v>
      </c>
      <c r="B2070" s="1626" t="str">
        <f>'CNKT '!C258</f>
        <v>T . Vi</v>
      </c>
      <c r="C2070" s="1376"/>
      <c r="D2070" s="1626" t="s">
        <v>806</v>
      </c>
      <c r="E2070" s="1626" t="s">
        <v>32</v>
      </c>
      <c r="F2070" s="1436"/>
      <c r="G2070" s="1391" t="s">
        <v>29</v>
      </c>
      <c r="H2070" s="1626" t="str">
        <f>'CNKT '!C259</f>
        <v>Khâm Đi</v>
      </c>
      <c r="I2070" s="1376"/>
      <c r="J2070" s="1626" t="s">
        <v>806</v>
      </c>
      <c r="K2070" s="1626" t="s">
        <v>32</v>
      </c>
      <c r="L2070" s="1372"/>
    </row>
    <row r="2071" spans="1:12" s="31" customFormat="1" ht="17.25" customHeight="1">
      <c r="A2071" s="1375" t="s">
        <v>807</v>
      </c>
      <c r="B2071" s="1628" t="s">
        <v>1080</v>
      </c>
      <c r="C2071" s="1376" t="str">
        <f>VLOOKUP(B2070,'BTH mủ tạp'!$C$246:$AL$314,36,0)</f>
        <v>C</v>
      </c>
      <c r="D2071" s="1377"/>
      <c r="E2071" s="1377"/>
      <c r="F2071" s="1436"/>
      <c r="G2071" s="1375" t="s">
        <v>807</v>
      </c>
      <c r="H2071" s="1628" t="s">
        <v>1080</v>
      </c>
      <c r="I2071" s="1376" t="str">
        <f>VLOOKUP(H2070,'BTH mủ tạp'!$C$246:$AL$314,36,0)</f>
        <v>C</v>
      </c>
      <c r="J2071" s="1377"/>
      <c r="K2071" s="1377"/>
      <c r="L2071" s="1372"/>
    </row>
    <row r="2072" spans="1:12" s="31" customFormat="1" ht="17.25" customHeight="1">
      <c r="A2072" s="1375" t="s">
        <v>121</v>
      </c>
      <c r="B2072" s="1629" t="s">
        <v>865</v>
      </c>
      <c r="C2072" s="1378">
        <f>VLOOKUP(B2070,'CNKT '!$C$256:$Z$316,3,0)</f>
        <v>0</v>
      </c>
      <c r="D2072" s="1379">
        <v>25000</v>
      </c>
      <c r="E2072" s="1377">
        <f t="shared" ref="E2072:E2077" si="241">C2072*D2072</f>
        <v>0</v>
      </c>
      <c r="F2072" s="1436"/>
      <c r="G2072" s="1375" t="s">
        <v>121</v>
      </c>
      <c r="H2072" s="1629" t="s">
        <v>865</v>
      </c>
      <c r="I2072" s="1378">
        <f>VLOOKUP(H2070,'CNKT '!$C$256:$Z$316,3,0)</f>
        <v>0</v>
      </c>
      <c r="J2072" s="1379">
        <v>25000</v>
      </c>
      <c r="K2072" s="1377">
        <f t="shared" ref="K2072:K2077" si="242">I2072*J2072</f>
        <v>0</v>
      </c>
      <c r="L2072" s="1372"/>
    </row>
    <row r="2073" spans="1:12" s="31" customFormat="1" ht="17.25" customHeight="1">
      <c r="A2073" s="1375" t="s">
        <v>628</v>
      </c>
      <c r="B2073" s="1630" t="s">
        <v>1081</v>
      </c>
      <c r="C2073" s="1433">
        <f>VLOOKUP(B2070,'CNKT '!$C$256:$Z$316,11,0)</f>
        <v>0</v>
      </c>
      <c r="D2073" s="1380">
        <f>46.1*$B$2</f>
        <v>30241.600000000002</v>
      </c>
      <c r="E2073" s="1377">
        <f t="shared" si="241"/>
        <v>0</v>
      </c>
      <c r="F2073" s="1436"/>
      <c r="G2073" s="1375" t="s">
        <v>628</v>
      </c>
      <c r="H2073" s="1630" t="s">
        <v>1081</v>
      </c>
      <c r="I2073" s="1433">
        <f>VLOOKUP(H2070,'CNKT '!$C$256:$Z$316,11,0)</f>
        <v>0</v>
      </c>
      <c r="J2073" s="1380">
        <f>46.1*$B$2</f>
        <v>30241.600000000002</v>
      </c>
      <c r="K2073" s="1377">
        <f t="shared" si="242"/>
        <v>0</v>
      </c>
      <c r="L2073" s="1372"/>
    </row>
    <row r="2074" spans="1:12" s="31" customFormat="1" ht="17.25" customHeight="1">
      <c r="A2074" s="1375" t="s">
        <v>809</v>
      </c>
      <c r="B2074" s="1630" t="s">
        <v>1082</v>
      </c>
      <c r="C2074" s="1433">
        <f>VLOOKUP(B2070,'CNKT '!$C$256:$Z$316,12,0)</f>
        <v>0</v>
      </c>
      <c r="D2074" s="1379">
        <f>76.9*$B$2</f>
        <v>50446.400000000001</v>
      </c>
      <c r="E2074" s="1377">
        <f t="shared" si="241"/>
        <v>0</v>
      </c>
      <c r="F2074" s="1436"/>
      <c r="G2074" s="1375" t="s">
        <v>809</v>
      </c>
      <c r="H2074" s="1630" t="s">
        <v>1082</v>
      </c>
      <c r="I2074" s="1433">
        <f>VLOOKUP(H2070,'CNKT '!$C$256:$Z$316,12,0)</f>
        <v>0</v>
      </c>
      <c r="J2074" s="1379">
        <f>76.9*$B$2</f>
        <v>50446.400000000001</v>
      </c>
      <c r="K2074" s="1377">
        <f t="shared" si="242"/>
        <v>0</v>
      </c>
      <c r="L2074" s="1372"/>
    </row>
    <row r="2075" spans="1:12" s="31" customFormat="1" ht="17.25" customHeight="1">
      <c r="A2075" s="1375" t="s">
        <v>122</v>
      </c>
      <c r="B2075" s="1630" t="s">
        <v>1083</v>
      </c>
      <c r="C2075" s="1433">
        <f>VLOOKUP(B2070,'CNKT '!$C$256:$Z$316,8,0)</f>
        <v>0</v>
      </c>
      <c r="D2075" s="1379">
        <f>IF(C2071="A",6.1,IF(C2071="B",5.8,IF(C2071="C",5.5,IF(C2071="C.",5.5,IF(C2071="D",5.2)))))*$B$2</f>
        <v>3608</v>
      </c>
      <c r="E2075" s="1377">
        <f t="shared" si="241"/>
        <v>0</v>
      </c>
      <c r="F2075" s="1436"/>
      <c r="G2075" s="1375" t="s">
        <v>122</v>
      </c>
      <c r="H2075" s="1630" t="s">
        <v>1083</v>
      </c>
      <c r="I2075" s="1433">
        <f>VLOOKUP(H2070,'CNKT '!$C$256:$Z$316,8,0)</f>
        <v>0</v>
      </c>
      <c r="J2075" s="1379">
        <f>IF(I2071="A",6.1,IF(I2071="B",5.8,IF(I2071="C",5.5,IF(I2071="C.",5.5,IF(I2071="D",5.2)))))*$B$2</f>
        <v>3608</v>
      </c>
      <c r="K2075" s="1377">
        <f t="shared" si="242"/>
        <v>0</v>
      </c>
      <c r="L2075" s="1372"/>
    </row>
    <row r="2076" spans="1:12" s="31" customFormat="1" ht="17.25" customHeight="1">
      <c r="A2076" s="1375" t="s">
        <v>885</v>
      </c>
      <c r="B2076" s="1630" t="s">
        <v>1084</v>
      </c>
      <c r="C2076" s="1433">
        <f>VLOOKUP(B2070,'CNKT '!$C$256:$Z$316,15,0)</f>
        <v>0</v>
      </c>
      <c r="D2076" s="1380">
        <f>92.2*$B$2</f>
        <v>60483.200000000004</v>
      </c>
      <c r="E2076" s="1377">
        <f t="shared" si="241"/>
        <v>0</v>
      </c>
      <c r="F2076" s="1436"/>
      <c r="G2076" s="1375" t="s">
        <v>885</v>
      </c>
      <c r="H2076" s="1630" t="s">
        <v>1084</v>
      </c>
      <c r="I2076" s="1433">
        <f>VLOOKUP(H2070,'CNKT '!$C$256:$Z$316,15,0)</f>
        <v>0</v>
      </c>
      <c r="J2076" s="1380">
        <f>92.2*$B$2</f>
        <v>60483.200000000004</v>
      </c>
      <c r="K2076" s="1377">
        <f t="shared" si="242"/>
        <v>0</v>
      </c>
      <c r="L2076" s="1372"/>
    </row>
    <row r="2077" spans="1:12" s="31" customFormat="1" ht="17.25" customHeight="1">
      <c r="A2077" s="1375" t="s">
        <v>886</v>
      </c>
      <c r="B2077" s="1630" t="s">
        <v>964</v>
      </c>
      <c r="C2077" s="1433">
        <f>VLOOKUP(B2070,'CNKT '!$C$256:$Z$316,14,0)</f>
        <v>0</v>
      </c>
      <c r="D2077" s="1379">
        <f>153.6*$B$2</f>
        <v>100761.59999999999</v>
      </c>
      <c r="E2077" s="1377">
        <f t="shared" si="241"/>
        <v>0</v>
      </c>
      <c r="F2077" s="1436"/>
      <c r="G2077" s="1375" t="s">
        <v>886</v>
      </c>
      <c r="H2077" s="1630" t="s">
        <v>964</v>
      </c>
      <c r="I2077" s="1433">
        <f>VLOOKUP(H2070,'CNKT '!$C$256:$Z$316,14,0)</f>
        <v>0</v>
      </c>
      <c r="J2077" s="1379">
        <f>153.6*$B$2</f>
        <v>100761.59999999999</v>
      </c>
      <c r="K2077" s="1377">
        <f t="shared" si="242"/>
        <v>0</v>
      </c>
      <c r="L2077" s="1372"/>
    </row>
    <row r="2078" spans="1:12" s="31" customFormat="1" ht="17.25" customHeight="1">
      <c r="A2078" s="1375" t="s">
        <v>899</v>
      </c>
      <c r="B2078" s="1630" t="s">
        <v>965</v>
      </c>
      <c r="C2078" s="1433">
        <f>VLOOKUP(B2070,'CNKT '!$C$256:$Z$325,18,0)</f>
        <v>0</v>
      </c>
      <c r="D2078" s="1379">
        <v>10000</v>
      </c>
      <c r="E2078" s="1377">
        <f>C2078*D2078</f>
        <v>0</v>
      </c>
      <c r="F2078" s="1436"/>
      <c r="G2078" s="1375" t="s">
        <v>899</v>
      </c>
      <c r="H2078" s="1630" t="s">
        <v>965</v>
      </c>
      <c r="I2078" s="1433">
        <f>VLOOKUP(H2070,'CNKT '!$C$256:$Z$325,18,0)</f>
        <v>0</v>
      </c>
      <c r="J2078" s="1379">
        <v>10000</v>
      </c>
      <c r="K2078" s="1377">
        <f>I2078*J2078</f>
        <v>0</v>
      </c>
      <c r="L2078" s="1372"/>
    </row>
    <row r="2079" spans="1:12" s="31" customFormat="1" ht="17.25" customHeight="1">
      <c r="A2079" s="1375" t="s">
        <v>899</v>
      </c>
      <c r="B2079" s="1630" t="s">
        <v>965</v>
      </c>
      <c r="C2079" s="1433">
        <f>VLOOKUP(B2070,'CNKT '!$C$256:$Z$325,19,0)</f>
        <v>0</v>
      </c>
      <c r="D2079" s="1379">
        <v>20000</v>
      </c>
      <c r="E2079" s="1377">
        <f>C2079*D2079</f>
        <v>0</v>
      </c>
      <c r="F2079" s="1436"/>
      <c r="G2079" s="1375" t="s">
        <v>899</v>
      </c>
      <c r="H2079" s="1630" t="s">
        <v>965</v>
      </c>
      <c r="I2079" s="1433">
        <f>VLOOKUP(H2070,'CNKT '!$C$256:$Z$325,19,0)</f>
        <v>0</v>
      </c>
      <c r="J2079" s="1379">
        <v>20000</v>
      </c>
      <c r="K2079" s="1377">
        <f>I2079*J2079</f>
        <v>0</v>
      </c>
      <c r="L2079" s="1372"/>
    </row>
    <row r="2080" spans="1:12" s="31" customFormat="1" ht="17.25" customHeight="1">
      <c r="A2080" s="1381" t="s">
        <v>123</v>
      </c>
      <c r="B2080" s="1631" t="s">
        <v>1085</v>
      </c>
      <c r="C2080" s="1382"/>
      <c r="D2080" s="1383"/>
      <c r="E2080" s="1382"/>
      <c r="F2080" s="1436"/>
      <c r="G2080" s="1381" t="s">
        <v>123</v>
      </c>
      <c r="H2080" s="1631" t="s">
        <v>1085</v>
      </c>
      <c r="I2080" s="1382"/>
      <c r="J2080" s="1383"/>
      <c r="K2080" s="1382"/>
      <c r="L2080" s="1372"/>
    </row>
    <row r="2081" spans="1:12" s="31" customFormat="1" ht="17.25" customHeight="1">
      <c r="A2081" s="1384" t="s">
        <v>124</v>
      </c>
      <c r="B2081" s="1632" t="s">
        <v>1086</v>
      </c>
      <c r="C2081" s="1382"/>
      <c r="D2081" s="1382"/>
      <c r="E2081" s="1382"/>
      <c r="F2081" s="1436"/>
      <c r="G2081" s="1384" t="s">
        <v>124</v>
      </c>
      <c r="H2081" s="1632" t="s">
        <v>1086</v>
      </c>
      <c r="I2081" s="1382"/>
      <c r="J2081" s="1382"/>
      <c r="K2081" s="1382"/>
      <c r="L2081" s="1372"/>
    </row>
    <row r="2082" spans="1:12" s="31" customFormat="1" ht="17.25" customHeight="1">
      <c r="A2082" s="1384" t="s">
        <v>125</v>
      </c>
      <c r="B2082" s="1633" t="s">
        <v>1087</v>
      </c>
      <c r="C2082" s="1382"/>
      <c r="D2082" s="1382"/>
      <c r="E2082" s="1377">
        <f>SUM(E2081)</f>
        <v>0</v>
      </c>
      <c r="F2082" s="1436"/>
      <c r="G2082" s="1384" t="s">
        <v>125</v>
      </c>
      <c r="H2082" s="1633" t="s">
        <v>1087</v>
      </c>
      <c r="I2082" s="1382"/>
      <c r="J2082" s="1382"/>
      <c r="K2082" s="1377">
        <f>SUM(K2081)</f>
        <v>0</v>
      </c>
      <c r="L2082" s="1372"/>
    </row>
    <row r="2083" spans="1:12" s="31" customFormat="1" ht="17.25" customHeight="1">
      <c r="A2083" s="1386" t="s">
        <v>126</v>
      </c>
      <c r="B2083" s="1634" t="s">
        <v>871</v>
      </c>
      <c r="C2083" s="1387"/>
      <c r="D2083" s="1387"/>
      <c r="E2083" s="1387">
        <f>(E2072+E2073+E2074+E2075+E2076+E2077+E2078+E2079)-E2082</f>
        <v>0</v>
      </c>
      <c r="F2083" s="1436"/>
      <c r="G2083" s="1386" t="s">
        <v>126</v>
      </c>
      <c r="H2083" s="1634" t="s">
        <v>871</v>
      </c>
      <c r="I2083" s="1387"/>
      <c r="J2083" s="1387"/>
      <c r="K2083" s="1387">
        <f>(K2072+K2073+K2074+K2075+K2076+K2077+K2078+K2079)-K2082</f>
        <v>0</v>
      </c>
      <c r="L2083" s="1389">
        <f>E2083+K2083</f>
        <v>0</v>
      </c>
    </row>
    <row r="2084" spans="1:12" s="31" customFormat="1" ht="17.25" customHeight="1">
      <c r="A2084" s="1449"/>
      <c r="B2084" s="1449"/>
      <c r="C2084" s="1449"/>
      <c r="D2084" s="1449"/>
      <c r="E2084" s="1449"/>
      <c r="F2084" s="1449"/>
      <c r="G2084" s="1449"/>
      <c r="H2084" s="1449"/>
      <c r="I2084" s="1449"/>
      <c r="J2084" s="1449"/>
      <c r="K2084" s="1449"/>
      <c r="L2084" s="1372"/>
    </row>
    <row r="2085" spans="1:12" s="31" customFormat="1" ht="17.25" customHeight="1">
      <c r="A2085" s="1445" t="str">
        <f>A2069</f>
        <v>LƯƠNG THÁNG 01/2025</v>
      </c>
      <c r="B2085" s="1449"/>
      <c r="C2085" s="1449"/>
      <c r="D2085" s="1449"/>
      <c r="E2085" s="1452">
        <f>VLOOKUP(B2086,'CNKT '!$C$256:$AD$325,26,0)</f>
        <v>0</v>
      </c>
      <c r="F2085" s="1436"/>
      <c r="G2085" s="1445" t="s">
        <v>863</v>
      </c>
      <c r="H2085" s="1449"/>
      <c r="I2085" s="1449"/>
      <c r="J2085" s="1452"/>
      <c r="K2085" s="1452">
        <f>VLOOKUP(H2086,'CNKT '!$C$256:$AD$325,26,0)</f>
        <v>0</v>
      </c>
      <c r="L2085" s="1372"/>
    </row>
    <row r="2086" spans="1:12" s="31" customFormat="1" ht="17.25" customHeight="1">
      <c r="A2086" s="1391" t="s">
        <v>29</v>
      </c>
      <c r="B2086" s="1626" t="str">
        <f>'CNKT '!C260</f>
        <v>T. Ve</v>
      </c>
      <c r="C2086" s="1376"/>
      <c r="D2086" s="1626" t="s">
        <v>806</v>
      </c>
      <c r="E2086" s="1626" t="s">
        <v>32</v>
      </c>
      <c r="F2086" s="1436"/>
      <c r="G2086" s="1391" t="s">
        <v>29</v>
      </c>
      <c r="H2086" s="1626" t="str">
        <f>'CNKT '!C261</f>
        <v>T. Thèo</v>
      </c>
      <c r="I2086" s="1376"/>
      <c r="J2086" s="1626" t="s">
        <v>806</v>
      </c>
      <c r="K2086" s="1626" t="s">
        <v>32</v>
      </c>
      <c r="L2086" s="1372"/>
    </row>
    <row r="2087" spans="1:12" s="31" customFormat="1" ht="17.25" customHeight="1">
      <c r="A2087" s="1375" t="s">
        <v>807</v>
      </c>
      <c r="B2087" s="1628" t="s">
        <v>1080</v>
      </c>
      <c r="C2087" s="1376" t="str">
        <f>VLOOKUP(B2086,'BTH mủ tạp'!$C$246:$AL$314,36,0)</f>
        <v>B</v>
      </c>
      <c r="D2087" s="1377"/>
      <c r="E2087" s="1377"/>
      <c r="F2087" s="1436"/>
      <c r="G2087" s="1375" t="s">
        <v>807</v>
      </c>
      <c r="H2087" s="1628" t="s">
        <v>1080</v>
      </c>
      <c r="I2087" s="1376" t="str">
        <f>VLOOKUP(H2086,'BTH mủ tạp'!$C$246:$AL$314,36,0)</f>
        <v>C</v>
      </c>
      <c r="J2087" s="1377"/>
      <c r="K2087" s="1377"/>
      <c r="L2087" s="1372"/>
    </row>
    <row r="2088" spans="1:12" s="31" customFormat="1" ht="17.25" customHeight="1">
      <c r="A2088" s="1375" t="s">
        <v>121</v>
      </c>
      <c r="B2088" s="1629" t="s">
        <v>865</v>
      </c>
      <c r="C2088" s="1378">
        <f>VLOOKUP(B2086,'CNKT '!$C$256:$Z$316,3,0)</f>
        <v>0</v>
      </c>
      <c r="D2088" s="1379">
        <v>25000</v>
      </c>
      <c r="E2088" s="1377">
        <f t="shared" ref="E2088:E2093" si="243">C2088*D2088</f>
        <v>0</v>
      </c>
      <c r="F2088" s="1436"/>
      <c r="G2088" s="1375" t="s">
        <v>121</v>
      </c>
      <c r="H2088" s="1629" t="s">
        <v>865</v>
      </c>
      <c r="I2088" s="1378">
        <f>VLOOKUP(H2086,'CNKT '!$C$256:$Z$316,3,0)</f>
        <v>0</v>
      </c>
      <c r="J2088" s="1379">
        <v>25000</v>
      </c>
      <c r="K2088" s="1377">
        <f t="shared" ref="K2088:K2093" si="244">I2088*J2088</f>
        <v>0</v>
      </c>
      <c r="L2088" s="1372"/>
    </row>
    <row r="2089" spans="1:12" s="31" customFormat="1" ht="17.25" customHeight="1">
      <c r="A2089" s="1375" t="s">
        <v>628</v>
      </c>
      <c r="B2089" s="1630" t="s">
        <v>1081</v>
      </c>
      <c r="C2089" s="1433">
        <f>VLOOKUP(B2086,'CNKT '!$C$256:$Z$316,11,0)</f>
        <v>0</v>
      </c>
      <c r="D2089" s="1380">
        <f>46.1*$B$2</f>
        <v>30241.600000000002</v>
      </c>
      <c r="E2089" s="1377">
        <f t="shared" si="243"/>
        <v>0</v>
      </c>
      <c r="F2089" s="1436"/>
      <c r="G2089" s="1375" t="s">
        <v>628</v>
      </c>
      <c r="H2089" s="1630" t="s">
        <v>1081</v>
      </c>
      <c r="I2089" s="1433">
        <f>VLOOKUP(H2086,'CNKT '!$C$256:$Z$316,11,0)</f>
        <v>0</v>
      </c>
      <c r="J2089" s="1380">
        <f>46.1*$B$2</f>
        <v>30241.600000000002</v>
      </c>
      <c r="K2089" s="1377">
        <f t="shared" si="244"/>
        <v>0</v>
      </c>
      <c r="L2089" s="1372"/>
    </row>
    <row r="2090" spans="1:12" s="31" customFormat="1" ht="17.25" customHeight="1">
      <c r="A2090" s="1375" t="s">
        <v>809</v>
      </c>
      <c r="B2090" s="1630" t="s">
        <v>1082</v>
      </c>
      <c r="C2090" s="1433">
        <f>VLOOKUP(B2086,'CNKT '!$C$256:$Z$316,12,0)</f>
        <v>0</v>
      </c>
      <c r="D2090" s="1379">
        <f>76.9*$B$2</f>
        <v>50446.400000000001</v>
      </c>
      <c r="E2090" s="1377">
        <f t="shared" si="243"/>
        <v>0</v>
      </c>
      <c r="F2090" s="1436"/>
      <c r="G2090" s="1375" t="s">
        <v>809</v>
      </c>
      <c r="H2090" s="1630" t="s">
        <v>1082</v>
      </c>
      <c r="I2090" s="1433">
        <f>VLOOKUP(H2086,'CNKT '!$C$256:$Z$316,12,0)</f>
        <v>0</v>
      </c>
      <c r="J2090" s="1379">
        <f>76.9*$B$2</f>
        <v>50446.400000000001</v>
      </c>
      <c r="K2090" s="1377">
        <f t="shared" si="244"/>
        <v>0</v>
      </c>
      <c r="L2090" s="1372"/>
    </row>
    <row r="2091" spans="1:12" s="31" customFormat="1" ht="17.25" customHeight="1">
      <c r="A2091" s="1375" t="s">
        <v>122</v>
      </c>
      <c r="B2091" s="1630" t="s">
        <v>1083</v>
      </c>
      <c r="C2091" s="1433">
        <f>VLOOKUP(B2086,'CNKT '!$C$256:$Z$316,8,0)</f>
        <v>0</v>
      </c>
      <c r="D2091" s="1379">
        <f>IF(C2087="A",6.1,IF(C2087="B",5.8,IF(C2087="C",5.5,IF(C2087="C.",5.5,IF(C2087="D",5.2)))))*$B$2</f>
        <v>3804.7999999999997</v>
      </c>
      <c r="E2091" s="1377">
        <f t="shared" si="243"/>
        <v>0</v>
      </c>
      <c r="F2091" s="1436"/>
      <c r="G2091" s="1375" t="s">
        <v>122</v>
      </c>
      <c r="H2091" s="1630" t="s">
        <v>1083</v>
      </c>
      <c r="I2091" s="1433">
        <f>VLOOKUP(H2086,'CNKT '!$C$256:$Z$316,8,0)</f>
        <v>0</v>
      </c>
      <c r="J2091" s="1379">
        <f>IF(I2087="A",6.1,IF(I2087="B",5.8,IF(I2087="C",5.5,IF(I2087="C.",5.5,IF(I2087="D",5.2)))))*$B$2</f>
        <v>3608</v>
      </c>
      <c r="K2091" s="1377">
        <f t="shared" si="244"/>
        <v>0</v>
      </c>
      <c r="L2091" s="1372"/>
    </row>
    <row r="2092" spans="1:12" s="31" customFormat="1" ht="17.25" customHeight="1">
      <c r="A2092" s="1375" t="s">
        <v>885</v>
      </c>
      <c r="B2092" s="1630" t="s">
        <v>1084</v>
      </c>
      <c r="C2092" s="1433">
        <f>VLOOKUP(B2086,'CNKT '!$C$256:$Z$316,15,0)</f>
        <v>0</v>
      </c>
      <c r="D2092" s="1380">
        <f>92.2*$B$2</f>
        <v>60483.200000000004</v>
      </c>
      <c r="E2092" s="1377">
        <f t="shared" si="243"/>
        <v>0</v>
      </c>
      <c r="F2092" s="1436"/>
      <c r="G2092" s="1375" t="s">
        <v>885</v>
      </c>
      <c r="H2092" s="1630" t="s">
        <v>1084</v>
      </c>
      <c r="I2092" s="1433">
        <f>VLOOKUP(H2086,'CNKT '!$C$256:$Z$316,15,0)</f>
        <v>0</v>
      </c>
      <c r="J2092" s="1380">
        <f>92.2*$B$2</f>
        <v>60483.200000000004</v>
      </c>
      <c r="K2092" s="1377">
        <f t="shared" si="244"/>
        <v>0</v>
      </c>
      <c r="L2092" s="1372"/>
    </row>
    <row r="2093" spans="1:12" s="31" customFormat="1" ht="17.25" customHeight="1">
      <c r="A2093" s="1375" t="s">
        <v>886</v>
      </c>
      <c r="B2093" s="1630" t="s">
        <v>964</v>
      </c>
      <c r="C2093" s="1433">
        <f>VLOOKUP(B2086,'CNKT '!$C$256:$Z$316,14,0)</f>
        <v>0</v>
      </c>
      <c r="D2093" s="1379">
        <f>153.6*$B$2</f>
        <v>100761.59999999999</v>
      </c>
      <c r="E2093" s="1377">
        <f t="shared" si="243"/>
        <v>0</v>
      </c>
      <c r="F2093" s="1436"/>
      <c r="G2093" s="1375" t="s">
        <v>886</v>
      </c>
      <c r="H2093" s="1630" t="s">
        <v>964</v>
      </c>
      <c r="I2093" s="1433">
        <f>VLOOKUP(H2086,'CNKT '!$C$256:$Z$316,14,0)</f>
        <v>0</v>
      </c>
      <c r="J2093" s="1379">
        <f>153.6*$B$2</f>
        <v>100761.59999999999</v>
      </c>
      <c r="K2093" s="1377">
        <f t="shared" si="244"/>
        <v>0</v>
      </c>
      <c r="L2093" s="1372"/>
    </row>
    <row r="2094" spans="1:12" s="31" customFormat="1" ht="17.25" customHeight="1">
      <c r="A2094" s="1375" t="s">
        <v>899</v>
      </c>
      <c r="B2094" s="1630" t="s">
        <v>965</v>
      </c>
      <c r="C2094" s="1433">
        <f>VLOOKUP(B2086,'CNKT '!$C$256:$Z$325,18,0)</f>
        <v>0</v>
      </c>
      <c r="D2094" s="1379">
        <v>10000</v>
      </c>
      <c r="E2094" s="1377">
        <f>C2094*D2094</f>
        <v>0</v>
      </c>
      <c r="F2094" s="1436"/>
      <c r="G2094" s="1375" t="s">
        <v>899</v>
      </c>
      <c r="H2094" s="1630" t="s">
        <v>965</v>
      </c>
      <c r="I2094" s="1433">
        <f>VLOOKUP(H2086,'CNKT '!$C$256:$Z$325,18,0)</f>
        <v>0</v>
      </c>
      <c r="J2094" s="1379">
        <v>10000</v>
      </c>
      <c r="K2094" s="1377">
        <f>I2094*J2094</f>
        <v>0</v>
      </c>
      <c r="L2094" s="1372"/>
    </row>
    <row r="2095" spans="1:12" s="31" customFormat="1" ht="17.25" customHeight="1">
      <c r="A2095" s="1375" t="s">
        <v>899</v>
      </c>
      <c r="B2095" s="1630" t="s">
        <v>965</v>
      </c>
      <c r="C2095" s="1433">
        <f>VLOOKUP(B2086,'CNKT '!$C$256:$Z$325,19,0)</f>
        <v>0</v>
      </c>
      <c r="D2095" s="1379">
        <v>20000</v>
      </c>
      <c r="E2095" s="1377">
        <f>C2095*D2095</f>
        <v>0</v>
      </c>
      <c r="F2095" s="1436"/>
      <c r="G2095" s="1375" t="s">
        <v>899</v>
      </c>
      <c r="H2095" s="1630" t="s">
        <v>965</v>
      </c>
      <c r="I2095" s="1433">
        <f>VLOOKUP(H2086,'CNKT '!$C$256:$Z$325,19,0)</f>
        <v>0</v>
      </c>
      <c r="J2095" s="1379">
        <v>20000</v>
      </c>
      <c r="K2095" s="1377">
        <f>I2095*J2095</f>
        <v>0</v>
      </c>
      <c r="L2095" s="1372"/>
    </row>
    <row r="2096" spans="1:12" s="31" customFormat="1" ht="17.25" customHeight="1">
      <c r="A2096" s="1381" t="s">
        <v>123</v>
      </c>
      <c r="B2096" s="1631" t="s">
        <v>1085</v>
      </c>
      <c r="C2096" s="1382"/>
      <c r="D2096" s="1383"/>
      <c r="E2096" s="1382"/>
      <c r="F2096" s="1436"/>
      <c r="G2096" s="1381" t="s">
        <v>123</v>
      </c>
      <c r="H2096" s="1631" t="s">
        <v>1085</v>
      </c>
      <c r="I2096" s="1382"/>
      <c r="J2096" s="1383"/>
      <c r="K2096" s="1382"/>
      <c r="L2096" s="1372"/>
    </row>
    <row r="2097" spans="1:12" s="31" customFormat="1" ht="17.25" customHeight="1">
      <c r="A2097" s="1384" t="s">
        <v>124</v>
      </c>
      <c r="B2097" s="1632" t="s">
        <v>1086</v>
      </c>
      <c r="C2097" s="1382"/>
      <c r="D2097" s="1382"/>
      <c r="E2097" s="1382"/>
      <c r="F2097" s="1436"/>
      <c r="G2097" s="1384" t="s">
        <v>124</v>
      </c>
      <c r="H2097" s="1632" t="s">
        <v>1086</v>
      </c>
      <c r="I2097" s="1382"/>
      <c r="J2097" s="1382"/>
      <c r="K2097" s="1382"/>
      <c r="L2097" s="1372"/>
    </row>
    <row r="2098" spans="1:12" s="31" customFormat="1" ht="17.25" customHeight="1">
      <c r="A2098" s="1384" t="s">
        <v>125</v>
      </c>
      <c r="B2098" s="1633" t="s">
        <v>1087</v>
      </c>
      <c r="C2098" s="1382"/>
      <c r="D2098" s="1382"/>
      <c r="E2098" s="1377">
        <f>SUM(E2097)</f>
        <v>0</v>
      </c>
      <c r="F2098" s="1436"/>
      <c r="G2098" s="1384" t="s">
        <v>125</v>
      </c>
      <c r="H2098" s="1633" t="s">
        <v>1087</v>
      </c>
      <c r="I2098" s="1382"/>
      <c r="J2098" s="1382"/>
      <c r="K2098" s="1377">
        <f>SUM(K2097)</f>
        <v>0</v>
      </c>
      <c r="L2098" s="1372"/>
    </row>
    <row r="2099" spans="1:12" s="31" customFormat="1" ht="17.25" customHeight="1">
      <c r="A2099" s="1386" t="s">
        <v>126</v>
      </c>
      <c r="B2099" s="1634" t="s">
        <v>871</v>
      </c>
      <c r="C2099" s="1387"/>
      <c r="D2099" s="1387"/>
      <c r="E2099" s="1387">
        <f>(E2088+E2089+E2090+E2091+E2092+E2093+E2094+E2095)-E2098</f>
        <v>0</v>
      </c>
      <c r="F2099" s="1436"/>
      <c r="G2099" s="1386" t="s">
        <v>126</v>
      </c>
      <c r="H2099" s="1634" t="s">
        <v>871</v>
      </c>
      <c r="I2099" s="1387"/>
      <c r="J2099" s="1387"/>
      <c r="K2099" s="1387">
        <f>(K2088+K2089+K2090+K2091+K2092+K2093+K2094+K2095)-K2098</f>
        <v>0</v>
      </c>
      <c r="L2099" s="1389">
        <f>E2099+K2099</f>
        <v>0</v>
      </c>
    </row>
    <row r="2100" spans="1:12" s="31" customFormat="1" ht="17.25" customHeight="1">
      <c r="A2100" s="1449"/>
      <c r="B2100" s="1449"/>
      <c r="C2100" s="1449"/>
      <c r="D2100" s="1449"/>
      <c r="E2100" s="1449"/>
      <c r="F2100" s="1449"/>
      <c r="G2100" s="1449"/>
      <c r="H2100" s="1449"/>
      <c r="I2100" s="1449"/>
      <c r="J2100" s="1449"/>
      <c r="K2100" s="1449"/>
      <c r="L2100" s="1372"/>
    </row>
    <row r="2101" spans="1:12" s="31" customFormat="1" ht="17.25" customHeight="1">
      <c r="A2101" s="1445" t="str">
        <f>A2085</f>
        <v>LƯƠNG THÁNG 01/2025</v>
      </c>
      <c r="B2101" s="1449"/>
      <c r="C2101" s="1449"/>
      <c r="D2101" s="1449"/>
      <c r="E2101" s="1452">
        <f>VLOOKUP(B2102,'CNKT '!$C$256:$AD$325,26,0)</f>
        <v>0</v>
      </c>
      <c r="F2101" s="1436"/>
      <c r="G2101" s="1445" t="str">
        <f>A2101</f>
        <v>LƯƠNG THÁNG 01/2025</v>
      </c>
      <c r="H2101" s="1449"/>
      <c r="I2101" s="1449"/>
      <c r="J2101" s="1452"/>
      <c r="K2101" s="1452">
        <f>VLOOKUP(H2102,'CNKT '!$C$256:$AD$325,26,0)</f>
        <v>0</v>
      </c>
      <c r="L2101" s="1372"/>
    </row>
    <row r="2102" spans="1:12" s="31" customFormat="1" ht="17.25" customHeight="1">
      <c r="A2102" s="1391" t="s">
        <v>29</v>
      </c>
      <c r="B2102" s="1626" t="str">
        <f>'CNKT '!C262</f>
        <v>Kèo Xột</v>
      </c>
      <c r="C2102" s="1376"/>
      <c r="D2102" s="1626" t="s">
        <v>806</v>
      </c>
      <c r="E2102" s="1626" t="s">
        <v>32</v>
      </c>
      <c r="F2102" s="1436"/>
      <c r="G2102" s="1391" t="s">
        <v>29</v>
      </c>
      <c r="H2102" s="1626" t="str">
        <f>'CNKT '!C263</f>
        <v>N. Chít</v>
      </c>
      <c r="I2102" s="1376"/>
      <c r="J2102" s="1626" t="s">
        <v>806</v>
      </c>
      <c r="K2102" s="1626" t="s">
        <v>32</v>
      </c>
      <c r="L2102" s="1372"/>
    </row>
    <row r="2103" spans="1:12" s="31" customFormat="1" ht="17.25" customHeight="1">
      <c r="A2103" s="1375" t="s">
        <v>807</v>
      </c>
      <c r="B2103" s="1628" t="s">
        <v>1080</v>
      </c>
      <c r="C2103" s="1376" t="str">
        <f>VLOOKUP(B2102,'BTH mủ tạp'!$C$246:$AL$314,36,0)</f>
        <v>C</v>
      </c>
      <c r="D2103" s="1377"/>
      <c r="E2103" s="1377"/>
      <c r="F2103" s="1436"/>
      <c r="G2103" s="1375" t="s">
        <v>807</v>
      </c>
      <c r="H2103" s="1628" t="s">
        <v>1080</v>
      </c>
      <c r="I2103" s="1376" t="str">
        <f>VLOOKUP(H2102,'BTH mủ tạp'!$C$246:$AL$314,36,0)</f>
        <v>C</v>
      </c>
      <c r="J2103" s="1377"/>
      <c r="K2103" s="1377"/>
      <c r="L2103" s="1372"/>
    </row>
    <row r="2104" spans="1:12" s="31" customFormat="1" ht="17.25" customHeight="1">
      <c r="A2104" s="1375" t="s">
        <v>121</v>
      </c>
      <c r="B2104" s="1629" t="s">
        <v>865</v>
      </c>
      <c r="C2104" s="1378">
        <f>VLOOKUP(B2102,'CNKT '!$C$256:$Z$316,3,0)</f>
        <v>0</v>
      </c>
      <c r="D2104" s="1379">
        <v>25000</v>
      </c>
      <c r="E2104" s="1377">
        <f t="shared" ref="E2104:E2109" si="245">C2104*D2104</f>
        <v>0</v>
      </c>
      <c r="F2104" s="1436"/>
      <c r="G2104" s="1375" t="s">
        <v>121</v>
      </c>
      <c r="H2104" s="1629" t="s">
        <v>865</v>
      </c>
      <c r="I2104" s="1378">
        <f>VLOOKUP(H2102,'CNKT '!$C$256:$Z$316,3,0)</f>
        <v>0</v>
      </c>
      <c r="J2104" s="1379">
        <v>25000</v>
      </c>
      <c r="K2104" s="1377">
        <f t="shared" ref="K2104:K2109" si="246">I2104*J2104</f>
        <v>0</v>
      </c>
      <c r="L2104" s="1372"/>
    </row>
    <row r="2105" spans="1:12" s="31" customFormat="1" ht="17.25" customHeight="1">
      <c r="A2105" s="1375" t="s">
        <v>628</v>
      </c>
      <c r="B2105" s="1630" t="s">
        <v>1081</v>
      </c>
      <c r="C2105" s="1433">
        <f>VLOOKUP(B2102,'CNKT '!$C$256:$Z$316,11,0)</f>
        <v>0</v>
      </c>
      <c r="D2105" s="1380">
        <f>46.1*$B$2</f>
        <v>30241.600000000002</v>
      </c>
      <c r="E2105" s="1377">
        <f t="shared" si="245"/>
        <v>0</v>
      </c>
      <c r="F2105" s="1436"/>
      <c r="G2105" s="1375" t="s">
        <v>628</v>
      </c>
      <c r="H2105" s="1630" t="s">
        <v>1081</v>
      </c>
      <c r="I2105" s="1433">
        <f>VLOOKUP(H2102,'CNKT '!$C$256:$Z$316,11,0)</f>
        <v>0</v>
      </c>
      <c r="J2105" s="1380">
        <f>46.1*$B$2</f>
        <v>30241.600000000002</v>
      </c>
      <c r="K2105" s="1377">
        <f t="shared" si="246"/>
        <v>0</v>
      </c>
      <c r="L2105" s="1372"/>
    </row>
    <row r="2106" spans="1:12" s="31" customFormat="1" ht="17.25" customHeight="1">
      <c r="A2106" s="1375" t="s">
        <v>809</v>
      </c>
      <c r="B2106" s="1630" t="s">
        <v>1082</v>
      </c>
      <c r="C2106" s="1433">
        <f>VLOOKUP(B2102,'CNKT '!$C$256:$Z$316,12,0)</f>
        <v>0</v>
      </c>
      <c r="D2106" s="1379">
        <f>76.9*$B$2</f>
        <v>50446.400000000001</v>
      </c>
      <c r="E2106" s="1377">
        <f t="shared" si="245"/>
        <v>0</v>
      </c>
      <c r="F2106" s="1436"/>
      <c r="G2106" s="1375" t="s">
        <v>809</v>
      </c>
      <c r="H2106" s="1630" t="s">
        <v>1082</v>
      </c>
      <c r="I2106" s="1433">
        <f>VLOOKUP(H2102,'CNKT '!$C$256:$Z$316,12,0)</f>
        <v>0</v>
      </c>
      <c r="J2106" s="1379">
        <f>76.9*$B$2</f>
        <v>50446.400000000001</v>
      </c>
      <c r="K2106" s="1377">
        <f t="shared" si="246"/>
        <v>0</v>
      </c>
      <c r="L2106" s="1372"/>
    </row>
    <row r="2107" spans="1:12" s="31" customFormat="1" ht="17.25" customHeight="1">
      <c r="A2107" s="1375" t="s">
        <v>122</v>
      </c>
      <c r="B2107" s="1630" t="s">
        <v>1083</v>
      </c>
      <c r="C2107" s="1433">
        <f>VLOOKUP(B2102,'CNKT '!$C$256:$Z$316,8,0)</f>
        <v>0</v>
      </c>
      <c r="D2107" s="1379">
        <f>IF(C2103="A",6.1,IF(C2103="B",5.8,IF(C2103="C",5.5,IF(C2103="C.",5.5,IF(C2103="D",5.2)))))*$B$2</f>
        <v>3608</v>
      </c>
      <c r="E2107" s="1377">
        <f t="shared" si="245"/>
        <v>0</v>
      </c>
      <c r="F2107" s="1436"/>
      <c r="G2107" s="1375" t="s">
        <v>122</v>
      </c>
      <c r="H2107" s="1630" t="s">
        <v>1083</v>
      </c>
      <c r="I2107" s="1433">
        <f>VLOOKUP(H2102,'CNKT '!$C$256:$Z$316,8,0)</f>
        <v>0</v>
      </c>
      <c r="J2107" s="1379">
        <f>IF(I2103="A",6.1,IF(I2103="B",5.8,IF(I2103="C",5.5,IF(I2103="C.",5.5,IF(I2103="D",5.2)))))*$B$2</f>
        <v>3608</v>
      </c>
      <c r="K2107" s="1377">
        <f t="shared" si="246"/>
        <v>0</v>
      </c>
      <c r="L2107" s="1372"/>
    </row>
    <row r="2108" spans="1:12" s="31" customFormat="1" ht="17.25" customHeight="1">
      <c r="A2108" s="1375" t="s">
        <v>885</v>
      </c>
      <c r="B2108" s="1630" t="s">
        <v>1084</v>
      </c>
      <c r="C2108" s="1433">
        <f>VLOOKUP(B2102,'CNKT '!$C$256:$Z$316,15,0)</f>
        <v>0</v>
      </c>
      <c r="D2108" s="1380">
        <f>92.2*$B$2</f>
        <v>60483.200000000004</v>
      </c>
      <c r="E2108" s="1377">
        <f t="shared" si="245"/>
        <v>0</v>
      </c>
      <c r="F2108" s="1436"/>
      <c r="G2108" s="1375" t="s">
        <v>885</v>
      </c>
      <c r="H2108" s="1630" t="s">
        <v>1084</v>
      </c>
      <c r="I2108" s="1433">
        <f>VLOOKUP(H2102,'CNKT '!$C$256:$Z$316,15,0)</f>
        <v>0</v>
      </c>
      <c r="J2108" s="1380">
        <f>92.2*$B$2</f>
        <v>60483.200000000004</v>
      </c>
      <c r="K2108" s="1377">
        <f t="shared" si="246"/>
        <v>0</v>
      </c>
      <c r="L2108" s="1372"/>
    </row>
    <row r="2109" spans="1:12" s="31" customFormat="1" ht="17.25" customHeight="1">
      <c r="A2109" s="1375" t="s">
        <v>886</v>
      </c>
      <c r="B2109" s="1630" t="s">
        <v>964</v>
      </c>
      <c r="C2109" s="1433">
        <f>VLOOKUP(B2102,'CNKT '!$C$256:$Z$316,14,0)</f>
        <v>0</v>
      </c>
      <c r="D2109" s="1379">
        <f>153.6*$B$2</f>
        <v>100761.59999999999</v>
      </c>
      <c r="E2109" s="1377">
        <f t="shared" si="245"/>
        <v>0</v>
      </c>
      <c r="F2109" s="1436"/>
      <c r="G2109" s="1375" t="s">
        <v>886</v>
      </c>
      <c r="H2109" s="1630" t="s">
        <v>964</v>
      </c>
      <c r="I2109" s="1433">
        <f>VLOOKUP(H2102,'CNKT '!$C$256:$Z$316,14,0)</f>
        <v>0</v>
      </c>
      <c r="J2109" s="1379">
        <f>153.6*$B$2</f>
        <v>100761.59999999999</v>
      </c>
      <c r="K2109" s="1377">
        <f t="shared" si="246"/>
        <v>0</v>
      </c>
      <c r="L2109" s="1372"/>
    </row>
    <row r="2110" spans="1:12" s="31" customFormat="1" ht="17.25" customHeight="1">
      <c r="A2110" s="1375" t="s">
        <v>899</v>
      </c>
      <c r="B2110" s="1630" t="s">
        <v>965</v>
      </c>
      <c r="C2110" s="1433">
        <f>VLOOKUP(B2102,'CNKT '!$C$256:$Z$325,18,0)</f>
        <v>0</v>
      </c>
      <c r="D2110" s="1379">
        <v>10000</v>
      </c>
      <c r="E2110" s="1377">
        <f>C2110*D2110</f>
        <v>0</v>
      </c>
      <c r="F2110" s="1436"/>
      <c r="G2110" s="1375" t="s">
        <v>899</v>
      </c>
      <c r="H2110" s="1630" t="s">
        <v>965</v>
      </c>
      <c r="I2110" s="1433">
        <f>VLOOKUP(H2102,'CNKT '!$C$256:$Z$325,18,0)</f>
        <v>0</v>
      </c>
      <c r="J2110" s="1379">
        <v>10000</v>
      </c>
      <c r="K2110" s="1377">
        <f>I2110*J2110</f>
        <v>0</v>
      </c>
      <c r="L2110" s="1372"/>
    </row>
    <row r="2111" spans="1:12" s="31" customFormat="1" ht="17.25" customHeight="1">
      <c r="A2111" s="1375" t="s">
        <v>899</v>
      </c>
      <c r="B2111" s="1630" t="s">
        <v>965</v>
      </c>
      <c r="C2111" s="1433">
        <f>VLOOKUP(B2102,'CNKT '!$C$256:$Z$325,19,0)</f>
        <v>0</v>
      </c>
      <c r="D2111" s="1379">
        <v>20000</v>
      </c>
      <c r="E2111" s="1377">
        <f>C2111*D2111</f>
        <v>0</v>
      </c>
      <c r="F2111" s="1436"/>
      <c r="G2111" s="1375" t="s">
        <v>899</v>
      </c>
      <c r="H2111" s="1630" t="s">
        <v>965</v>
      </c>
      <c r="I2111" s="1433">
        <f>VLOOKUP(H2102,'CNKT '!$C$256:$Z$325,19,0)</f>
        <v>0</v>
      </c>
      <c r="J2111" s="1379">
        <v>20000</v>
      </c>
      <c r="K2111" s="1377">
        <f>I2111*J2111</f>
        <v>0</v>
      </c>
      <c r="L2111" s="1372"/>
    </row>
    <row r="2112" spans="1:12" s="31" customFormat="1" ht="17.25" customHeight="1">
      <c r="A2112" s="1381" t="s">
        <v>123</v>
      </c>
      <c r="B2112" s="1631" t="s">
        <v>1085</v>
      </c>
      <c r="C2112" s="1382"/>
      <c r="D2112" s="1383"/>
      <c r="E2112" s="1382"/>
      <c r="F2112" s="1436"/>
      <c r="G2112" s="1381" t="s">
        <v>123</v>
      </c>
      <c r="H2112" s="1631" t="s">
        <v>1085</v>
      </c>
      <c r="I2112" s="1382"/>
      <c r="J2112" s="1383"/>
      <c r="K2112" s="1382"/>
      <c r="L2112" s="1372"/>
    </row>
    <row r="2113" spans="1:12" s="31" customFormat="1" ht="17.25" customHeight="1">
      <c r="A2113" s="1384" t="s">
        <v>124</v>
      </c>
      <c r="B2113" s="1632" t="s">
        <v>1086</v>
      </c>
      <c r="C2113" s="1382"/>
      <c r="D2113" s="1382"/>
      <c r="E2113" s="1382"/>
      <c r="F2113" s="1436"/>
      <c r="G2113" s="1384" t="s">
        <v>124</v>
      </c>
      <c r="H2113" s="1632" t="s">
        <v>1086</v>
      </c>
      <c r="I2113" s="1382"/>
      <c r="J2113" s="1382"/>
      <c r="K2113" s="1382"/>
      <c r="L2113" s="1372"/>
    </row>
    <row r="2114" spans="1:12" s="31" customFormat="1" ht="17.25" customHeight="1">
      <c r="A2114" s="1384" t="s">
        <v>125</v>
      </c>
      <c r="B2114" s="1633" t="s">
        <v>1087</v>
      </c>
      <c r="C2114" s="1382"/>
      <c r="D2114" s="1382"/>
      <c r="E2114" s="1377">
        <f>SUM(E2113)</f>
        <v>0</v>
      </c>
      <c r="F2114" s="1436"/>
      <c r="G2114" s="1384" t="s">
        <v>125</v>
      </c>
      <c r="H2114" s="1633" t="s">
        <v>1087</v>
      </c>
      <c r="I2114" s="1382"/>
      <c r="J2114" s="1382"/>
      <c r="K2114" s="1377">
        <f>SUM(K2113)</f>
        <v>0</v>
      </c>
      <c r="L2114" s="1372"/>
    </row>
    <row r="2115" spans="1:12" s="31" customFormat="1" ht="17.25" customHeight="1">
      <c r="A2115" s="1386" t="s">
        <v>126</v>
      </c>
      <c r="B2115" s="1634" t="s">
        <v>871</v>
      </c>
      <c r="C2115" s="1387"/>
      <c r="D2115" s="1387"/>
      <c r="E2115" s="1387">
        <f>(E2104+E2105+E2106+E2107+E2108+E2109+E2110+E2111)-E2114</f>
        <v>0</v>
      </c>
      <c r="F2115" s="1436"/>
      <c r="G2115" s="1386" t="s">
        <v>126</v>
      </c>
      <c r="H2115" s="1634" t="s">
        <v>871</v>
      </c>
      <c r="I2115" s="1387"/>
      <c r="J2115" s="1387"/>
      <c r="K2115" s="1387">
        <f>(K2104+K2105+K2106+K2107+K2108+K2109+K2110+K2111)-K2114</f>
        <v>0</v>
      </c>
      <c r="L2115" s="1389">
        <f>E2115+K2115</f>
        <v>0</v>
      </c>
    </row>
    <row r="2116" spans="1:12" s="31" customFormat="1" ht="17.25" customHeight="1">
      <c r="A2116" s="1449"/>
      <c r="B2116" s="1449"/>
      <c r="C2116" s="1449"/>
      <c r="D2116" s="1449"/>
      <c r="E2116" s="1449"/>
      <c r="F2116" s="1449"/>
      <c r="G2116" s="1449"/>
      <c r="H2116" s="1449"/>
      <c r="I2116" s="1449"/>
      <c r="J2116" s="1449"/>
      <c r="K2116" s="1449"/>
      <c r="L2116" s="1372"/>
    </row>
    <row r="2117" spans="1:12" s="31" customFormat="1" ht="17.25" customHeight="1">
      <c r="A2117" s="1445" t="str">
        <f>A2101</f>
        <v>LƯƠNG THÁNG 01/2025</v>
      </c>
      <c r="B2117" s="1449"/>
      <c r="C2117" s="1449"/>
      <c r="D2117" s="1449"/>
      <c r="E2117" s="1452">
        <f>VLOOKUP(B2118,'CNKT '!$C$256:$AD$325,26,0)</f>
        <v>0</v>
      </c>
      <c r="F2117" s="1436"/>
      <c r="G2117" s="1445" t="str">
        <f>A2117</f>
        <v>LƯƠNG THÁNG 01/2025</v>
      </c>
      <c r="H2117" s="1449"/>
      <c r="I2117" s="1449"/>
      <c r="J2117" s="1452"/>
      <c r="K2117" s="1452">
        <f>VLOOKUP(H2118,'CNKT '!$C$256:$AD$325,26,0)</f>
        <v>0</v>
      </c>
      <c r="L2117" s="1372"/>
    </row>
    <row r="2118" spans="1:12" s="31" customFormat="1" ht="17.25" customHeight="1">
      <c r="A2118" s="1391" t="s">
        <v>29</v>
      </c>
      <c r="B2118" s="1626" t="str">
        <f>'CNKT '!C264</f>
        <v>N. Căn Da</v>
      </c>
      <c r="C2118" s="1376"/>
      <c r="D2118" s="1626" t="s">
        <v>806</v>
      </c>
      <c r="E2118" s="1626" t="s">
        <v>32</v>
      </c>
      <c r="F2118" s="1436"/>
      <c r="G2118" s="1391" t="s">
        <v>29</v>
      </c>
      <c r="H2118" s="1626" t="str">
        <f>'CNKT '!C265</f>
        <v>T. Phim</v>
      </c>
      <c r="I2118" s="1376"/>
      <c r="J2118" s="1626" t="s">
        <v>806</v>
      </c>
      <c r="K2118" s="1626" t="s">
        <v>32</v>
      </c>
      <c r="L2118" s="1372"/>
    </row>
    <row r="2119" spans="1:12" s="31" customFormat="1" ht="17.25" customHeight="1">
      <c r="A2119" s="1375" t="s">
        <v>807</v>
      </c>
      <c r="B2119" s="1628" t="s">
        <v>1080</v>
      </c>
      <c r="C2119" s="1376" t="str">
        <f>VLOOKUP(B2118,'BTH mủ tạp'!$C$246:$AL$314,36,0)</f>
        <v>B</v>
      </c>
      <c r="D2119" s="1377"/>
      <c r="E2119" s="1377"/>
      <c r="F2119" s="1436"/>
      <c r="G2119" s="1375" t="s">
        <v>807</v>
      </c>
      <c r="H2119" s="1628" t="s">
        <v>1080</v>
      </c>
      <c r="I2119" s="1376" t="str">
        <f>VLOOKUP(H2118,'BTH mủ tạp'!$C$246:$AL$314,36,0)</f>
        <v>B</v>
      </c>
      <c r="J2119" s="1377"/>
      <c r="K2119" s="1377"/>
      <c r="L2119" s="1372"/>
    </row>
    <row r="2120" spans="1:12" s="31" customFormat="1" ht="17.25" customHeight="1">
      <c r="A2120" s="1375" t="s">
        <v>121</v>
      </c>
      <c r="B2120" s="1629" t="s">
        <v>865</v>
      </c>
      <c r="C2120" s="1378">
        <f>VLOOKUP(B2118,'CNKT '!$C$256:$Z$316,3,0)</f>
        <v>0</v>
      </c>
      <c r="D2120" s="1379">
        <v>25000</v>
      </c>
      <c r="E2120" s="1377">
        <f t="shared" ref="E2120:E2125" si="247">C2120*D2120</f>
        <v>0</v>
      </c>
      <c r="F2120" s="1436"/>
      <c r="G2120" s="1375" t="s">
        <v>121</v>
      </c>
      <c r="H2120" s="1629" t="s">
        <v>865</v>
      </c>
      <c r="I2120" s="1378">
        <f>VLOOKUP(H2118,'CNKT '!$C$256:$Z$316,3,0)</f>
        <v>0</v>
      </c>
      <c r="J2120" s="1379">
        <v>25000</v>
      </c>
      <c r="K2120" s="1377">
        <f t="shared" ref="K2120:K2125" si="248">I2120*J2120</f>
        <v>0</v>
      </c>
      <c r="L2120" s="1372"/>
    </row>
    <row r="2121" spans="1:12" s="31" customFormat="1" ht="17.25" customHeight="1">
      <c r="A2121" s="1375" t="s">
        <v>628</v>
      </c>
      <c r="B2121" s="1630" t="s">
        <v>1081</v>
      </c>
      <c r="C2121" s="1433">
        <f>VLOOKUP(B2118,'CNKT '!$C$256:$Z$316,11,0)</f>
        <v>0</v>
      </c>
      <c r="D2121" s="1380">
        <f>46.1*$B$2</f>
        <v>30241.600000000002</v>
      </c>
      <c r="E2121" s="1377">
        <f t="shared" si="247"/>
        <v>0</v>
      </c>
      <c r="F2121" s="1436"/>
      <c r="G2121" s="1375" t="s">
        <v>628</v>
      </c>
      <c r="H2121" s="1630" t="s">
        <v>1081</v>
      </c>
      <c r="I2121" s="1433">
        <f>VLOOKUP(H2118,'CNKT '!$C$256:$Z$316,11,0)</f>
        <v>0</v>
      </c>
      <c r="J2121" s="1380">
        <f>46.1*$B$2</f>
        <v>30241.600000000002</v>
      </c>
      <c r="K2121" s="1377">
        <f t="shared" si="248"/>
        <v>0</v>
      </c>
      <c r="L2121" s="1372"/>
    </row>
    <row r="2122" spans="1:12" s="31" customFormat="1" ht="17.25" customHeight="1">
      <c r="A2122" s="1375" t="s">
        <v>809</v>
      </c>
      <c r="B2122" s="1630" t="s">
        <v>1082</v>
      </c>
      <c r="C2122" s="1433">
        <f>VLOOKUP(B2118,'CNKT '!$C$256:$Z$316,12,0)</f>
        <v>0</v>
      </c>
      <c r="D2122" s="1379">
        <f>76.9*$B$2</f>
        <v>50446.400000000001</v>
      </c>
      <c r="E2122" s="1377">
        <f t="shared" si="247"/>
        <v>0</v>
      </c>
      <c r="F2122" s="1436"/>
      <c r="G2122" s="1375" t="s">
        <v>809</v>
      </c>
      <c r="H2122" s="1630" t="s">
        <v>1082</v>
      </c>
      <c r="I2122" s="1433">
        <f>VLOOKUP(H2118,'CNKT '!$C$256:$Z$316,12,0)</f>
        <v>0</v>
      </c>
      <c r="J2122" s="1379">
        <f>76.9*$B$2</f>
        <v>50446.400000000001</v>
      </c>
      <c r="K2122" s="1377">
        <f t="shared" si="248"/>
        <v>0</v>
      </c>
      <c r="L2122" s="1372"/>
    </row>
    <row r="2123" spans="1:12" s="31" customFormat="1" ht="17.25" customHeight="1">
      <c r="A2123" s="1375" t="s">
        <v>122</v>
      </c>
      <c r="B2123" s="1630" t="s">
        <v>1083</v>
      </c>
      <c r="C2123" s="1433">
        <f>VLOOKUP(B2118,'CNKT '!$C$256:$Z$316,8,0)</f>
        <v>0</v>
      </c>
      <c r="D2123" s="1379">
        <f>IF(C2119="A",6.1,IF(C2119="B",5.8,IF(C2119="C",5.5,IF(C2119="C.",5.5,IF(C2119="D",5.2)))))*$B$2</f>
        <v>3804.7999999999997</v>
      </c>
      <c r="E2123" s="1377">
        <f t="shared" si="247"/>
        <v>0</v>
      </c>
      <c r="F2123" s="1436"/>
      <c r="G2123" s="1375" t="s">
        <v>122</v>
      </c>
      <c r="H2123" s="1630" t="s">
        <v>1083</v>
      </c>
      <c r="I2123" s="1433">
        <f>VLOOKUP(H2118,'CNKT '!$C$256:$Z$316,8,0)</f>
        <v>0</v>
      </c>
      <c r="J2123" s="1379">
        <f>IF(I2119="A",6.1,IF(I2119="B",5.8,IF(I2119="C",5.5,IF(I2119="C.",5.5,IF(I2119="D",5.2)))))*$B$2</f>
        <v>3804.7999999999997</v>
      </c>
      <c r="K2123" s="1377">
        <f t="shared" si="248"/>
        <v>0</v>
      </c>
      <c r="L2123" s="1372"/>
    </row>
    <row r="2124" spans="1:12" s="31" customFormat="1" ht="17.25" customHeight="1">
      <c r="A2124" s="1375" t="s">
        <v>885</v>
      </c>
      <c r="B2124" s="1630" t="s">
        <v>1084</v>
      </c>
      <c r="C2124" s="1433">
        <f>VLOOKUP(B2118,'CNKT '!$C$256:$Z$316,15,0)</f>
        <v>0</v>
      </c>
      <c r="D2124" s="1380">
        <f>92.2*$B$2</f>
        <v>60483.200000000004</v>
      </c>
      <c r="E2124" s="1377">
        <f t="shared" si="247"/>
        <v>0</v>
      </c>
      <c r="F2124" s="1436"/>
      <c r="G2124" s="1375" t="s">
        <v>885</v>
      </c>
      <c r="H2124" s="1630" t="s">
        <v>1084</v>
      </c>
      <c r="I2124" s="1433">
        <f>VLOOKUP(H2118,'CNKT '!$C$256:$Z$316,15,0)</f>
        <v>0</v>
      </c>
      <c r="J2124" s="1380">
        <f>92.2*$B$2</f>
        <v>60483.200000000004</v>
      </c>
      <c r="K2124" s="1377">
        <f t="shared" si="248"/>
        <v>0</v>
      </c>
      <c r="L2124" s="1372"/>
    </row>
    <row r="2125" spans="1:12" s="31" customFormat="1" ht="17.25" customHeight="1">
      <c r="A2125" s="1375" t="s">
        <v>886</v>
      </c>
      <c r="B2125" s="1630" t="s">
        <v>964</v>
      </c>
      <c r="C2125" s="1433">
        <f>VLOOKUP(B2118,'CNKT '!$C$256:$Z$316,14,0)</f>
        <v>0</v>
      </c>
      <c r="D2125" s="1379">
        <f>153.6*$B$2</f>
        <v>100761.59999999999</v>
      </c>
      <c r="E2125" s="1377">
        <f t="shared" si="247"/>
        <v>0</v>
      </c>
      <c r="F2125" s="1436"/>
      <c r="G2125" s="1375" t="s">
        <v>886</v>
      </c>
      <c r="H2125" s="1630" t="s">
        <v>964</v>
      </c>
      <c r="I2125" s="1433">
        <f>VLOOKUP(H2118,'CNKT '!$C$256:$Z$316,14,0)</f>
        <v>0</v>
      </c>
      <c r="J2125" s="1379">
        <f>153.6*$B$2</f>
        <v>100761.59999999999</v>
      </c>
      <c r="K2125" s="1377">
        <f t="shared" si="248"/>
        <v>0</v>
      </c>
      <c r="L2125" s="1372"/>
    </row>
    <row r="2126" spans="1:12" s="31" customFormat="1" ht="17.25" customHeight="1">
      <c r="A2126" s="1375" t="s">
        <v>899</v>
      </c>
      <c r="B2126" s="1630" t="s">
        <v>965</v>
      </c>
      <c r="C2126" s="1433">
        <f>VLOOKUP(B2118,'CNKT '!$C$256:$Z$325,18,0)</f>
        <v>0</v>
      </c>
      <c r="D2126" s="1379">
        <v>10000</v>
      </c>
      <c r="E2126" s="1377">
        <f>C2126*D2126</f>
        <v>0</v>
      </c>
      <c r="F2126" s="1436"/>
      <c r="G2126" s="1375" t="s">
        <v>899</v>
      </c>
      <c r="H2126" s="1630" t="s">
        <v>965</v>
      </c>
      <c r="I2126" s="1433">
        <f>VLOOKUP(H2118,'CNKT '!$C$256:$Z$325,18,0)</f>
        <v>0</v>
      </c>
      <c r="J2126" s="1379">
        <v>10000</v>
      </c>
      <c r="K2126" s="1377">
        <f>I2126*J2126</f>
        <v>0</v>
      </c>
      <c r="L2126" s="1372"/>
    </row>
    <row r="2127" spans="1:12" s="31" customFormat="1" ht="17.25" customHeight="1">
      <c r="A2127" s="1375" t="s">
        <v>899</v>
      </c>
      <c r="B2127" s="1630" t="s">
        <v>965</v>
      </c>
      <c r="C2127" s="1433">
        <f>VLOOKUP(B2118,'CNKT '!$C$256:$Z$325,19,0)</f>
        <v>0</v>
      </c>
      <c r="D2127" s="1379">
        <v>20000</v>
      </c>
      <c r="E2127" s="1377">
        <f>C2127*D2127</f>
        <v>0</v>
      </c>
      <c r="F2127" s="1436"/>
      <c r="G2127" s="1375" t="s">
        <v>899</v>
      </c>
      <c r="H2127" s="1630" t="s">
        <v>965</v>
      </c>
      <c r="I2127" s="1433">
        <f>VLOOKUP(H2118,'CNKT '!$C$256:$Z$325,19,0)</f>
        <v>0</v>
      </c>
      <c r="J2127" s="1379">
        <v>20000</v>
      </c>
      <c r="K2127" s="1377">
        <f>I2127*J2127</f>
        <v>0</v>
      </c>
      <c r="L2127" s="1372"/>
    </row>
    <row r="2128" spans="1:12" s="31" customFormat="1" ht="17.25" customHeight="1">
      <c r="A2128" s="1381" t="s">
        <v>123</v>
      </c>
      <c r="B2128" s="1631" t="s">
        <v>1085</v>
      </c>
      <c r="C2128" s="1382"/>
      <c r="D2128" s="1383"/>
      <c r="E2128" s="1382"/>
      <c r="F2128" s="1436"/>
      <c r="G2128" s="1381" t="s">
        <v>123</v>
      </c>
      <c r="H2128" s="1631" t="s">
        <v>1085</v>
      </c>
      <c r="I2128" s="1382"/>
      <c r="J2128" s="1383"/>
      <c r="K2128" s="1382"/>
      <c r="L2128" s="1372"/>
    </row>
    <row r="2129" spans="1:12" s="31" customFormat="1" ht="17.25" customHeight="1">
      <c r="A2129" s="1384" t="s">
        <v>124</v>
      </c>
      <c r="B2129" s="1632" t="s">
        <v>1086</v>
      </c>
      <c r="C2129" s="1382"/>
      <c r="D2129" s="1382"/>
      <c r="E2129" s="1382"/>
      <c r="F2129" s="1436"/>
      <c r="G2129" s="1384" t="s">
        <v>124</v>
      </c>
      <c r="H2129" s="1632" t="s">
        <v>1086</v>
      </c>
      <c r="I2129" s="1382"/>
      <c r="J2129" s="1382"/>
      <c r="K2129" s="1382"/>
      <c r="L2129" s="1372"/>
    </row>
    <row r="2130" spans="1:12" s="31" customFormat="1" ht="17.25" customHeight="1">
      <c r="A2130" s="1384" t="s">
        <v>125</v>
      </c>
      <c r="B2130" s="1633" t="s">
        <v>1087</v>
      </c>
      <c r="C2130" s="1382"/>
      <c r="D2130" s="1382"/>
      <c r="E2130" s="1377">
        <f>SUM(E2129)</f>
        <v>0</v>
      </c>
      <c r="F2130" s="1433"/>
      <c r="G2130" s="1384" t="s">
        <v>125</v>
      </c>
      <c r="H2130" s="1633" t="s">
        <v>1087</v>
      </c>
      <c r="I2130" s="1382"/>
      <c r="J2130" s="1382"/>
      <c r="K2130" s="1377">
        <f>SUM(K2129)</f>
        <v>0</v>
      </c>
      <c r="L2130" s="1372"/>
    </row>
    <row r="2131" spans="1:12" s="31" customFormat="1" ht="17.25" customHeight="1">
      <c r="A2131" s="1386" t="s">
        <v>126</v>
      </c>
      <c r="B2131" s="1634" t="s">
        <v>871</v>
      </c>
      <c r="C2131" s="1387"/>
      <c r="D2131" s="1387"/>
      <c r="E2131" s="1387">
        <f>(E2120+E2121+E2122+E2123+E2124+E2125+E2126+E2127)-E2130</f>
        <v>0</v>
      </c>
      <c r="F2131" s="1433"/>
      <c r="G2131" s="1386" t="s">
        <v>126</v>
      </c>
      <c r="H2131" s="1634" t="s">
        <v>871</v>
      </c>
      <c r="I2131" s="1387"/>
      <c r="J2131" s="1387"/>
      <c r="K2131" s="1387">
        <f>(K2120+K2121+K2122+K2123+K2124+K2125+K2126+K2127)-K2130</f>
        <v>0</v>
      </c>
      <c r="L2131" s="1389">
        <f>E2131+K2131</f>
        <v>0</v>
      </c>
    </row>
    <row r="2132" spans="1:12" s="31" customFormat="1" ht="17.25" customHeight="1">
      <c r="A2132" s="1449"/>
      <c r="B2132" s="1449"/>
      <c r="C2132" s="1449"/>
      <c r="D2132" s="1449"/>
      <c r="E2132" s="1449"/>
      <c r="F2132" s="1449"/>
      <c r="G2132" s="1449"/>
      <c r="H2132" s="1449"/>
      <c r="I2132" s="1449"/>
      <c r="J2132" s="1449"/>
      <c r="K2132" s="1449"/>
      <c r="L2132" s="1372"/>
    </row>
    <row r="2133" spans="1:12" s="31" customFormat="1" ht="17.25" customHeight="1">
      <c r="A2133" s="1445" t="str">
        <f>A2117</f>
        <v>LƯƠNG THÁNG 01/2025</v>
      </c>
      <c r="B2133" s="1449"/>
      <c r="C2133" s="1449"/>
      <c r="D2133" s="1449"/>
      <c r="E2133" s="1452">
        <f>VLOOKUP(B2134,'CNKT '!$C$256:$AD$325,26,0)</f>
        <v>0</v>
      </c>
      <c r="F2133" s="1436"/>
      <c r="G2133" s="1445" t="str">
        <f>A2133</f>
        <v>LƯƠNG THÁNG 01/2025</v>
      </c>
      <c r="H2133" s="1449"/>
      <c r="I2133" s="1449"/>
      <c r="J2133" s="1452"/>
      <c r="K2133" s="1452">
        <f>VLOOKUP(H2134,'CNKT '!$C$256:$AD$325,26,0)</f>
        <v>0</v>
      </c>
      <c r="L2133" s="1372"/>
    </row>
    <row r="2134" spans="1:12" s="31" customFormat="1" ht="17.25" customHeight="1">
      <c r="A2134" s="1391" t="s">
        <v>29</v>
      </c>
      <c r="B2134" s="1626" t="str">
        <f>'CNKT '!C266</f>
        <v>T Chăn Thi</v>
      </c>
      <c r="C2134" s="1376"/>
      <c r="D2134" s="1626" t="s">
        <v>806</v>
      </c>
      <c r="E2134" s="1626" t="s">
        <v>32</v>
      </c>
      <c r="F2134" s="1436"/>
      <c r="G2134" s="1391" t="s">
        <v>29</v>
      </c>
      <c r="H2134" s="1626" t="str">
        <f>'CNKT '!C267</f>
        <v>N. Văn Thong</v>
      </c>
      <c r="I2134" s="1376"/>
      <c r="J2134" s="1626" t="s">
        <v>806</v>
      </c>
      <c r="K2134" s="1626" t="s">
        <v>32</v>
      </c>
      <c r="L2134" s="1372"/>
    </row>
    <row r="2135" spans="1:12" s="31" customFormat="1" ht="17.25" customHeight="1">
      <c r="A2135" s="1375" t="s">
        <v>807</v>
      </c>
      <c r="B2135" s="1628" t="s">
        <v>1080</v>
      </c>
      <c r="C2135" s="1376" t="str">
        <f>VLOOKUP(B2134,'BTH mủ tạp'!$C$246:$AL$314,36,0)</f>
        <v>C</v>
      </c>
      <c r="D2135" s="1377"/>
      <c r="E2135" s="1377"/>
      <c r="F2135" s="1436"/>
      <c r="G2135" s="1375" t="s">
        <v>807</v>
      </c>
      <c r="H2135" s="1628" t="s">
        <v>1080</v>
      </c>
      <c r="I2135" s="1376" t="str">
        <f>VLOOKUP(H2134,'BTH mủ tạp'!$C$246:$AL$314,36,0)</f>
        <v>B</v>
      </c>
      <c r="J2135" s="1377"/>
      <c r="K2135" s="1377"/>
      <c r="L2135" s="1372"/>
    </row>
    <row r="2136" spans="1:12" s="31" customFormat="1" ht="17.25" customHeight="1">
      <c r="A2136" s="1375" t="s">
        <v>121</v>
      </c>
      <c r="B2136" s="1629" t="s">
        <v>865</v>
      </c>
      <c r="C2136" s="1378">
        <f>VLOOKUP(B2134,'CNKT '!$C$256:$Z$316,3,0)</f>
        <v>0</v>
      </c>
      <c r="D2136" s="1379">
        <v>25000</v>
      </c>
      <c r="E2136" s="1377">
        <f t="shared" ref="E2136:E2141" si="249">C2136*D2136</f>
        <v>0</v>
      </c>
      <c r="F2136" s="1436"/>
      <c r="G2136" s="1375" t="s">
        <v>121</v>
      </c>
      <c r="H2136" s="1629" t="s">
        <v>865</v>
      </c>
      <c r="I2136" s="1378">
        <f>VLOOKUP(H2134,'CNKT '!$C$256:$Z$316,3,0)</f>
        <v>0</v>
      </c>
      <c r="J2136" s="1379">
        <v>25000</v>
      </c>
      <c r="K2136" s="1377">
        <f t="shared" ref="K2136:K2141" si="250">I2136*J2136</f>
        <v>0</v>
      </c>
      <c r="L2136" s="1372"/>
    </row>
    <row r="2137" spans="1:12" s="31" customFormat="1" ht="17.25" customHeight="1">
      <c r="A2137" s="1375" t="s">
        <v>628</v>
      </c>
      <c r="B2137" s="1630" t="s">
        <v>1081</v>
      </c>
      <c r="C2137" s="1433">
        <f>VLOOKUP(B2134,'CNKT '!$C$256:$Z$316,11,0)</f>
        <v>0</v>
      </c>
      <c r="D2137" s="1380">
        <f>46.1*$B$2</f>
        <v>30241.600000000002</v>
      </c>
      <c r="E2137" s="1377">
        <f t="shared" si="249"/>
        <v>0</v>
      </c>
      <c r="F2137" s="1436"/>
      <c r="G2137" s="1375" t="s">
        <v>628</v>
      </c>
      <c r="H2137" s="1630" t="s">
        <v>1081</v>
      </c>
      <c r="I2137" s="1433">
        <f>VLOOKUP(H2134,'CNKT '!$C$256:$Z$316,11,0)</f>
        <v>0</v>
      </c>
      <c r="J2137" s="1380">
        <f>46.1*$B$2</f>
        <v>30241.600000000002</v>
      </c>
      <c r="K2137" s="1377">
        <f t="shared" si="250"/>
        <v>0</v>
      </c>
      <c r="L2137" s="1372"/>
    </row>
    <row r="2138" spans="1:12" s="31" customFormat="1" ht="17.25" customHeight="1">
      <c r="A2138" s="1375" t="s">
        <v>809</v>
      </c>
      <c r="B2138" s="1630" t="s">
        <v>1082</v>
      </c>
      <c r="C2138" s="1433">
        <f>VLOOKUP(B2134,'CNKT '!$C$256:$Z$316,12,0)</f>
        <v>0</v>
      </c>
      <c r="D2138" s="1379">
        <f>76.9*$B$2</f>
        <v>50446.400000000001</v>
      </c>
      <c r="E2138" s="1377">
        <f t="shared" si="249"/>
        <v>0</v>
      </c>
      <c r="F2138" s="1436"/>
      <c r="G2138" s="1375" t="s">
        <v>809</v>
      </c>
      <c r="H2138" s="1630" t="s">
        <v>1082</v>
      </c>
      <c r="I2138" s="1433">
        <f>VLOOKUP(H2134,'CNKT '!$C$256:$Z$316,12,0)</f>
        <v>0</v>
      </c>
      <c r="J2138" s="1379">
        <f>76.9*$B$2</f>
        <v>50446.400000000001</v>
      </c>
      <c r="K2138" s="1377">
        <f t="shared" si="250"/>
        <v>0</v>
      </c>
      <c r="L2138" s="1372"/>
    </row>
    <row r="2139" spans="1:12" s="31" customFormat="1" ht="17.25" customHeight="1">
      <c r="A2139" s="1375" t="s">
        <v>122</v>
      </c>
      <c r="B2139" s="1630" t="s">
        <v>1083</v>
      </c>
      <c r="C2139" s="1433">
        <f>VLOOKUP(B2134,'CNKT '!$C$256:$Z$316,8,0)</f>
        <v>0</v>
      </c>
      <c r="D2139" s="1379">
        <f>IF(C2135="A",6.1,IF(C2135="B",5.8,IF(C2135="C",5.5,IF(C2135="C.",5.5,IF(C2135="D",5.2)))))*$B$2</f>
        <v>3608</v>
      </c>
      <c r="E2139" s="1377">
        <f t="shared" si="249"/>
        <v>0</v>
      </c>
      <c r="F2139" s="1436"/>
      <c r="G2139" s="1375" t="s">
        <v>122</v>
      </c>
      <c r="H2139" s="1630" t="s">
        <v>1083</v>
      </c>
      <c r="I2139" s="1433">
        <f>VLOOKUP(H2134,'CNKT '!$C$256:$Z$316,8,0)</f>
        <v>0</v>
      </c>
      <c r="J2139" s="1379">
        <f>IF(I2135="A",6.1,IF(I2135="B",5.8,IF(I2135="C",5.5,IF(I2135="C.",5.5,IF(I2135="D",5.2)))))*$B$2</f>
        <v>3804.7999999999997</v>
      </c>
      <c r="K2139" s="1377">
        <f t="shared" si="250"/>
        <v>0</v>
      </c>
      <c r="L2139" s="1372"/>
    </row>
    <row r="2140" spans="1:12" s="31" customFormat="1" ht="17.25" customHeight="1">
      <c r="A2140" s="1375" t="s">
        <v>885</v>
      </c>
      <c r="B2140" s="1630" t="s">
        <v>1084</v>
      </c>
      <c r="C2140" s="1433">
        <f>VLOOKUP(B2134,'CNKT '!$C$256:$Z$316,15,0)</f>
        <v>0</v>
      </c>
      <c r="D2140" s="1380">
        <f>92.2*$B$2</f>
        <v>60483.200000000004</v>
      </c>
      <c r="E2140" s="1377">
        <f t="shared" si="249"/>
        <v>0</v>
      </c>
      <c r="F2140" s="1436"/>
      <c r="G2140" s="1375" t="s">
        <v>885</v>
      </c>
      <c r="H2140" s="1630" t="s">
        <v>1084</v>
      </c>
      <c r="I2140" s="1433">
        <f>VLOOKUP(H2134,'CNKT '!$C$256:$Z$316,15,0)</f>
        <v>0</v>
      </c>
      <c r="J2140" s="1380">
        <f>92.2*$B$2</f>
        <v>60483.200000000004</v>
      </c>
      <c r="K2140" s="1377">
        <f t="shared" si="250"/>
        <v>0</v>
      </c>
      <c r="L2140" s="1372"/>
    </row>
    <row r="2141" spans="1:12" s="31" customFormat="1" ht="17.25" customHeight="1">
      <c r="A2141" s="1375" t="s">
        <v>886</v>
      </c>
      <c r="B2141" s="1630" t="s">
        <v>964</v>
      </c>
      <c r="C2141" s="1433">
        <f>VLOOKUP(B2134,'CNKT '!$C$256:$Z$316,14,0)</f>
        <v>0</v>
      </c>
      <c r="D2141" s="1379">
        <f>153.6*$B$2</f>
        <v>100761.59999999999</v>
      </c>
      <c r="E2141" s="1377">
        <f t="shared" si="249"/>
        <v>0</v>
      </c>
      <c r="F2141" s="1436"/>
      <c r="G2141" s="1375" t="s">
        <v>886</v>
      </c>
      <c r="H2141" s="1630" t="s">
        <v>964</v>
      </c>
      <c r="I2141" s="1433">
        <f>VLOOKUP(H2134,'CNKT '!$C$256:$Z$316,14,0)</f>
        <v>0</v>
      </c>
      <c r="J2141" s="1379">
        <f>153.6*$B$2</f>
        <v>100761.59999999999</v>
      </c>
      <c r="K2141" s="1377">
        <f t="shared" si="250"/>
        <v>0</v>
      </c>
      <c r="L2141" s="1372"/>
    </row>
    <row r="2142" spans="1:12" s="31" customFormat="1" ht="17.25" customHeight="1">
      <c r="A2142" s="1375" t="s">
        <v>899</v>
      </c>
      <c r="B2142" s="1630" t="s">
        <v>965</v>
      </c>
      <c r="C2142" s="1433">
        <f>VLOOKUP(B2134,'CNKT '!$C$256:$Z$325,18,0)</f>
        <v>0</v>
      </c>
      <c r="D2142" s="1379">
        <v>10000</v>
      </c>
      <c r="E2142" s="1377">
        <f>C2142*D2142</f>
        <v>0</v>
      </c>
      <c r="F2142" s="1436"/>
      <c r="G2142" s="1375" t="s">
        <v>899</v>
      </c>
      <c r="H2142" s="1630" t="s">
        <v>965</v>
      </c>
      <c r="I2142" s="1433">
        <f>VLOOKUP(H2134,'CNKT '!$C$256:$Z$325,18,0)</f>
        <v>0</v>
      </c>
      <c r="J2142" s="1379">
        <v>10000</v>
      </c>
      <c r="K2142" s="1377">
        <f>I2142*J2142</f>
        <v>0</v>
      </c>
      <c r="L2142" s="1372"/>
    </row>
    <row r="2143" spans="1:12" s="31" customFormat="1" ht="17.25" customHeight="1">
      <c r="A2143" s="1375" t="s">
        <v>899</v>
      </c>
      <c r="B2143" s="1630" t="s">
        <v>965</v>
      </c>
      <c r="C2143" s="1433">
        <f>VLOOKUP(B2134,'CNKT '!$C$256:$Z$325,19,0)</f>
        <v>0</v>
      </c>
      <c r="D2143" s="1379">
        <v>20000</v>
      </c>
      <c r="E2143" s="1377">
        <f>C2143*D2143</f>
        <v>0</v>
      </c>
      <c r="F2143" s="1436"/>
      <c r="G2143" s="1375" t="s">
        <v>899</v>
      </c>
      <c r="H2143" s="1630" t="s">
        <v>965</v>
      </c>
      <c r="I2143" s="1433">
        <f>VLOOKUP(H2134,'CNKT '!$C$256:$Z$325,19,0)</f>
        <v>0</v>
      </c>
      <c r="J2143" s="1379">
        <v>20000</v>
      </c>
      <c r="K2143" s="1377">
        <f>I2143*J2143</f>
        <v>0</v>
      </c>
      <c r="L2143" s="1372"/>
    </row>
    <row r="2144" spans="1:12" s="31" customFormat="1" ht="17.25" customHeight="1">
      <c r="A2144" s="1381" t="s">
        <v>123</v>
      </c>
      <c r="B2144" s="1631" t="s">
        <v>1085</v>
      </c>
      <c r="C2144" s="1382"/>
      <c r="D2144" s="1383"/>
      <c r="E2144" s="1382"/>
      <c r="F2144" s="1436"/>
      <c r="G2144" s="1381" t="s">
        <v>123</v>
      </c>
      <c r="H2144" s="1631" t="s">
        <v>1085</v>
      </c>
      <c r="I2144" s="1382"/>
      <c r="J2144" s="1383"/>
      <c r="K2144" s="1382"/>
      <c r="L2144" s="1372"/>
    </row>
    <row r="2145" spans="1:12" s="31" customFormat="1" ht="17.25" customHeight="1">
      <c r="A2145" s="1384" t="s">
        <v>124</v>
      </c>
      <c r="B2145" s="1632" t="s">
        <v>1086</v>
      </c>
      <c r="C2145" s="1382"/>
      <c r="D2145" s="1382"/>
      <c r="E2145" s="1382"/>
      <c r="F2145" s="1436"/>
      <c r="G2145" s="1384" t="s">
        <v>124</v>
      </c>
      <c r="H2145" s="1632" t="s">
        <v>1086</v>
      </c>
      <c r="I2145" s="1382"/>
      <c r="J2145" s="1382"/>
      <c r="K2145" s="1382"/>
      <c r="L2145" s="1372"/>
    </row>
    <row r="2146" spans="1:12" s="31" customFormat="1" ht="17.25" customHeight="1">
      <c r="A2146" s="1384" t="s">
        <v>125</v>
      </c>
      <c r="B2146" s="1633" t="s">
        <v>1087</v>
      </c>
      <c r="C2146" s="1382"/>
      <c r="D2146" s="1382"/>
      <c r="E2146" s="1377">
        <f>SUM(E2145)</f>
        <v>0</v>
      </c>
      <c r="F2146" s="1435"/>
      <c r="G2146" s="1384" t="s">
        <v>125</v>
      </c>
      <c r="H2146" s="1633" t="s">
        <v>1087</v>
      </c>
      <c r="I2146" s="1382"/>
      <c r="J2146" s="1382"/>
      <c r="K2146" s="1377">
        <f>SUM(K2145)</f>
        <v>0</v>
      </c>
      <c r="L2146" s="1372"/>
    </row>
    <row r="2147" spans="1:12" s="31" customFormat="1" ht="17.25" customHeight="1">
      <c r="A2147" s="1386" t="s">
        <v>126</v>
      </c>
      <c r="B2147" s="1634" t="s">
        <v>871</v>
      </c>
      <c r="C2147" s="1387"/>
      <c r="D2147" s="1387"/>
      <c r="E2147" s="1387">
        <f>(E2136+E2137+E2138+E2139+E2140+E2141+E2142+E2143)-E2146</f>
        <v>0</v>
      </c>
      <c r="F2147" s="1435"/>
      <c r="G2147" s="1386" t="s">
        <v>126</v>
      </c>
      <c r="H2147" s="1634" t="s">
        <v>871</v>
      </c>
      <c r="I2147" s="1387"/>
      <c r="J2147" s="1387"/>
      <c r="K2147" s="1387">
        <f>(K2136+K2137+K2138+K2139+K2140+K2141+K2142+K2143)-K2146</f>
        <v>0</v>
      </c>
      <c r="L2147" s="1389">
        <f>E2147+K2147</f>
        <v>0</v>
      </c>
    </row>
    <row r="2148" spans="1:12" s="31" customFormat="1" ht="69" customHeight="1">
      <c r="A2148" s="1449"/>
      <c r="B2148" s="1449"/>
      <c r="C2148" s="1449"/>
      <c r="D2148" s="1449"/>
      <c r="E2148" s="1449"/>
      <c r="F2148" s="1449"/>
      <c r="G2148" s="1449"/>
      <c r="H2148" s="1449"/>
      <c r="I2148" s="1449"/>
      <c r="J2148" s="1449"/>
      <c r="K2148" s="1449"/>
      <c r="L2148" s="1372"/>
    </row>
    <row r="2149" spans="1:12" s="31" customFormat="1" ht="17.25" customHeight="1">
      <c r="A2149" s="1445" t="str">
        <f>A2133</f>
        <v>LƯƠNG THÁNG 01/2025</v>
      </c>
      <c r="B2149" s="1449"/>
      <c r="C2149" s="1449"/>
      <c r="D2149" s="1449"/>
      <c r="E2149" s="1452">
        <f>VLOOKUP(B2150,'CNKT '!$C$256:$AD$325,26,0)</f>
        <v>0</v>
      </c>
      <c r="F2149" s="1436"/>
      <c r="G2149" s="1445" t="str">
        <f>A2149</f>
        <v>LƯƠNG THÁNG 01/2025</v>
      </c>
      <c r="H2149" s="1449"/>
      <c r="I2149" s="1449"/>
      <c r="J2149" s="1452"/>
      <c r="K2149" s="1452">
        <f>VLOOKUP(H2150,'CNKT '!$C$256:$AD$325,26,0)</f>
        <v>0</v>
      </c>
      <c r="L2149" s="1372"/>
    </row>
    <row r="2150" spans="1:12" s="31" customFormat="1" ht="17.25" customHeight="1">
      <c r="A2150" s="1391" t="s">
        <v>29</v>
      </c>
      <c r="B2150" s="1626" t="str">
        <f>'CNKT '!C268</f>
        <v>Cong Khăm</v>
      </c>
      <c r="C2150" s="1376"/>
      <c r="D2150" s="1626" t="s">
        <v>806</v>
      </c>
      <c r="E2150" s="1626" t="s">
        <v>32</v>
      </c>
      <c r="F2150" s="1436"/>
      <c r="G2150" s="1391" t="s">
        <v>29</v>
      </c>
      <c r="H2150" s="1626" t="str">
        <f>'CNKT '!C269</f>
        <v>T. Dở</v>
      </c>
      <c r="I2150" s="1376"/>
      <c r="J2150" s="1626" t="s">
        <v>806</v>
      </c>
      <c r="K2150" s="1626" t="s">
        <v>32</v>
      </c>
      <c r="L2150" s="1372"/>
    </row>
    <row r="2151" spans="1:12" s="31" customFormat="1" ht="17.25" customHeight="1">
      <c r="A2151" s="1375" t="s">
        <v>807</v>
      </c>
      <c r="B2151" s="1628" t="s">
        <v>1080</v>
      </c>
      <c r="C2151" s="1376" t="str">
        <f>VLOOKUP(B2150,'BTH mủ tạp'!$C$246:$AL$314,36,0)</f>
        <v>A</v>
      </c>
      <c r="D2151" s="1377"/>
      <c r="E2151" s="1377"/>
      <c r="F2151" s="1436"/>
      <c r="G2151" s="1375" t="s">
        <v>807</v>
      </c>
      <c r="H2151" s="1628" t="s">
        <v>1080</v>
      </c>
      <c r="I2151" s="1376" t="str">
        <f>VLOOKUP(H2150,'BTH mủ tạp'!$C$246:$AL$314,36,0)</f>
        <v>B</v>
      </c>
      <c r="J2151" s="1377"/>
      <c r="K2151" s="1377"/>
      <c r="L2151" s="1372"/>
    </row>
    <row r="2152" spans="1:12" s="31" customFormat="1" ht="17.25" customHeight="1">
      <c r="A2152" s="1375" t="s">
        <v>121</v>
      </c>
      <c r="B2152" s="1629" t="s">
        <v>865</v>
      </c>
      <c r="C2152" s="1378">
        <f>VLOOKUP(B2150,'CNKT '!$C$256:$Z$316,3,0)</f>
        <v>0</v>
      </c>
      <c r="D2152" s="1379">
        <v>25000</v>
      </c>
      <c r="E2152" s="1377">
        <f t="shared" ref="E2152:E2157" si="251">C2152*D2152</f>
        <v>0</v>
      </c>
      <c r="F2152" s="1436"/>
      <c r="G2152" s="1375" t="s">
        <v>121</v>
      </c>
      <c r="H2152" s="1629" t="s">
        <v>865</v>
      </c>
      <c r="I2152" s="1378">
        <f>VLOOKUP(H2150,'CNKT '!$C$256:$Z$316,3,0)</f>
        <v>0</v>
      </c>
      <c r="J2152" s="1379">
        <v>25000</v>
      </c>
      <c r="K2152" s="1377">
        <f t="shared" ref="K2152:K2157" si="252">I2152*J2152</f>
        <v>0</v>
      </c>
      <c r="L2152" s="1372"/>
    </row>
    <row r="2153" spans="1:12" s="31" customFormat="1" ht="17.25" customHeight="1">
      <c r="A2153" s="1375" t="s">
        <v>628</v>
      </c>
      <c r="B2153" s="1630" t="s">
        <v>1081</v>
      </c>
      <c r="C2153" s="1433">
        <f>VLOOKUP(B2150,'CNKT '!$C$256:$Z$316,11,0)</f>
        <v>0</v>
      </c>
      <c r="D2153" s="1380">
        <f>46.1*$B$2</f>
        <v>30241.600000000002</v>
      </c>
      <c r="E2153" s="1377">
        <f t="shared" si="251"/>
        <v>0</v>
      </c>
      <c r="F2153" s="1436"/>
      <c r="G2153" s="1375" t="s">
        <v>628</v>
      </c>
      <c r="H2153" s="1630" t="s">
        <v>1081</v>
      </c>
      <c r="I2153" s="1433">
        <f>VLOOKUP(H2150,'CNKT '!$C$256:$Z$316,11,0)</f>
        <v>0</v>
      </c>
      <c r="J2153" s="1380">
        <f>46.1*$B$2</f>
        <v>30241.600000000002</v>
      </c>
      <c r="K2153" s="1377">
        <f t="shared" si="252"/>
        <v>0</v>
      </c>
      <c r="L2153" s="1372"/>
    </row>
    <row r="2154" spans="1:12" s="31" customFormat="1" ht="17.25" customHeight="1">
      <c r="A2154" s="1375" t="s">
        <v>809</v>
      </c>
      <c r="B2154" s="1630" t="s">
        <v>1082</v>
      </c>
      <c r="C2154" s="1433">
        <f>VLOOKUP(B2150,'CNKT '!$C$256:$Z$316,12,0)</f>
        <v>0</v>
      </c>
      <c r="D2154" s="1379">
        <f>76.9*$B$2</f>
        <v>50446.400000000001</v>
      </c>
      <c r="E2154" s="1377">
        <f t="shared" si="251"/>
        <v>0</v>
      </c>
      <c r="F2154" s="1436"/>
      <c r="G2154" s="1375" t="s">
        <v>809</v>
      </c>
      <c r="H2154" s="1630" t="s">
        <v>1082</v>
      </c>
      <c r="I2154" s="1433">
        <f>VLOOKUP(H2150,'CNKT '!$C$256:$Z$316,12,0)</f>
        <v>0</v>
      </c>
      <c r="J2154" s="1379">
        <f>76.9*$B$2</f>
        <v>50446.400000000001</v>
      </c>
      <c r="K2154" s="1377">
        <f t="shared" si="252"/>
        <v>0</v>
      </c>
      <c r="L2154" s="1372"/>
    </row>
    <row r="2155" spans="1:12" s="31" customFormat="1" ht="17.25" customHeight="1">
      <c r="A2155" s="1375" t="s">
        <v>122</v>
      </c>
      <c r="B2155" s="1630" t="s">
        <v>1083</v>
      </c>
      <c r="C2155" s="1433">
        <f>VLOOKUP(B2150,'CNKT '!$C$256:$Z$316,8,0)</f>
        <v>0</v>
      </c>
      <c r="D2155" s="1379">
        <f>IF(C2151="A",6.1,IF(C2151="B",5.8,IF(C2151="C",5.5,IF(C2151="C.",5.5,IF(C2151="D",5.2)))))*$B$2</f>
        <v>4001.6</v>
      </c>
      <c r="E2155" s="1377">
        <f t="shared" si="251"/>
        <v>0</v>
      </c>
      <c r="F2155" s="1436"/>
      <c r="G2155" s="1375" t="s">
        <v>122</v>
      </c>
      <c r="H2155" s="1630" t="s">
        <v>1083</v>
      </c>
      <c r="I2155" s="1433">
        <f>VLOOKUP(H2150,'CNKT '!$C$256:$Z$316,8,0)</f>
        <v>0</v>
      </c>
      <c r="J2155" s="1379">
        <f>IF(I2151="A",6.1,IF(I2151="B",5.8,IF(I2151="C",5.5,IF(I2151="C.",5.5,IF(I2151="D",5.2)))))*$B$2</f>
        <v>3804.7999999999997</v>
      </c>
      <c r="K2155" s="1377">
        <f t="shared" si="252"/>
        <v>0</v>
      </c>
      <c r="L2155" s="1372"/>
    </row>
    <row r="2156" spans="1:12" s="31" customFormat="1" ht="17.25" customHeight="1">
      <c r="A2156" s="1375" t="s">
        <v>885</v>
      </c>
      <c r="B2156" s="1630" t="s">
        <v>1084</v>
      </c>
      <c r="C2156" s="1433">
        <f>VLOOKUP(B2150,'CNKT '!$C$256:$Z$316,15,0)</f>
        <v>0</v>
      </c>
      <c r="D2156" s="1380">
        <f>92.2*$B$2</f>
        <v>60483.200000000004</v>
      </c>
      <c r="E2156" s="1377">
        <f t="shared" si="251"/>
        <v>0</v>
      </c>
      <c r="F2156" s="1436"/>
      <c r="G2156" s="1375" t="s">
        <v>885</v>
      </c>
      <c r="H2156" s="1630" t="s">
        <v>1084</v>
      </c>
      <c r="I2156" s="1433">
        <f>VLOOKUP(H2150,'CNKT '!$C$256:$Z$316,15,0)</f>
        <v>0</v>
      </c>
      <c r="J2156" s="1380">
        <f>92.2*$B$2</f>
        <v>60483.200000000004</v>
      </c>
      <c r="K2156" s="1377">
        <f t="shared" si="252"/>
        <v>0</v>
      </c>
      <c r="L2156" s="1372"/>
    </row>
    <row r="2157" spans="1:12" s="31" customFormat="1" ht="17.25" customHeight="1">
      <c r="A2157" s="1375" t="s">
        <v>886</v>
      </c>
      <c r="B2157" s="1630" t="s">
        <v>964</v>
      </c>
      <c r="C2157" s="1433">
        <f>VLOOKUP(B2150,'CNKT '!$C$256:$Z$316,14,0)</f>
        <v>0</v>
      </c>
      <c r="D2157" s="1379">
        <f>153.6*$B$2</f>
        <v>100761.59999999999</v>
      </c>
      <c r="E2157" s="1377">
        <f t="shared" si="251"/>
        <v>0</v>
      </c>
      <c r="F2157" s="1436"/>
      <c r="G2157" s="1375" t="s">
        <v>886</v>
      </c>
      <c r="H2157" s="1630" t="s">
        <v>964</v>
      </c>
      <c r="I2157" s="1433">
        <f>VLOOKUP(H2150,'CNKT '!$C$256:$Z$316,14,0)</f>
        <v>0</v>
      </c>
      <c r="J2157" s="1379">
        <f>153.6*$B$2</f>
        <v>100761.59999999999</v>
      </c>
      <c r="K2157" s="1377">
        <f t="shared" si="252"/>
        <v>0</v>
      </c>
      <c r="L2157" s="1372"/>
    </row>
    <row r="2158" spans="1:12" s="31" customFormat="1" ht="17.25" customHeight="1">
      <c r="A2158" s="1375" t="s">
        <v>899</v>
      </c>
      <c r="B2158" s="1630" t="s">
        <v>965</v>
      </c>
      <c r="C2158" s="1433">
        <f>VLOOKUP(B2150,'CNKT '!$C$256:$Z$325,18,0)</f>
        <v>0</v>
      </c>
      <c r="D2158" s="1379">
        <v>10000</v>
      </c>
      <c r="E2158" s="1377">
        <f>C2158*D2158</f>
        <v>0</v>
      </c>
      <c r="F2158" s="1436"/>
      <c r="G2158" s="1375" t="s">
        <v>899</v>
      </c>
      <c r="H2158" s="1630" t="s">
        <v>965</v>
      </c>
      <c r="I2158" s="1433">
        <f>VLOOKUP(H2150,'CNKT '!$C$256:$Z$325,18,0)</f>
        <v>0</v>
      </c>
      <c r="J2158" s="1379">
        <v>10000</v>
      </c>
      <c r="K2158" s="1377">
        <f>I2158*J2158</f>
        <v>0</v>
      </c>
      <c r="L2158" s="1372"/>
    </row>
    <row r="2159" spans="1:12" s="31" customFormat="1" ht="17.25" customHeight="1">
      <c r="A2159" s="1375" t="s">
        <v>899</v>
      </c>
      <c r="B2159" s="1630" t="s">
        <v>965</v>
      </c>
      <c r="C2159" s="1433">
        <f>VLOOKUP(B2150,'CNKT '!$C$256:$Z$325,19,0)</f>
        <v>0</v>
      </c>
      <c r="D2159" s="1379">
        <v>20000</v>
      </c>
      <c r="E2159" s="1377">
        <f>C2159*D2159</f>
        <v>0</v>
      </c>
      <c r="F2159" s="1436"/>
      <c r="G2159" s="1375" t="s">
        <v>899</v>
      </c>
      <c r="H2159" s="1630" t="s">
        <v>965</v>
      </c>
      <c r="I2159" s="1433">
        <f>VLOOKUP(H2150,'CNKT '!$C$256:$Z$325,19,0)</f>
        <v>0</v>
      </c>
      <c r="J2159" s="1379">
        <v>20000</v>
      </c>
      <c r="K2159" s="1377">
        <f>I2159*J2159</f>
        <v>0</v>
      </c>
      <c r="L2159" s="1372"/>
    </row>
    <row r="2160" spans="1:12" s="31" customFormat="1" ht="17.25" customHeight="1">
      <c r="A2160" s="1381" t="s">
        <v>123</v>
      </c>
      <c r="B2160" s="1631" t="s">
        <v>1085</v>
      </c>
      <c r="C2160" s="1382"/>
      <c r="D2160" s="1383"/>
      <c r="E2160" s="1382"/>
      <c r="F2160" s="1436"/>
      <c r="G2160" s="1381" t="s">
        <v>123</v>
      </c>
      <c r="H2160" s="1631" t="s">
        <v>1085</v>
      </c>
      <c r="I2160" s="1382"/>
      <c r="J2160" s="1383"/>
      <c r="K2160" s="1382"/>
      <c r="L2160" s="1372"/>
    </row>
    <row r="2161" spans="1:12" s="31" customFormat="1" ht="17.25" customHeight="1">
      <c r="A2161" s="1384" t="s">
        <v>124</v>
      </c>
      <c r="B2161" s="1632" t="s">
        <v>1086</v>
      </c>
      <c r="C2161" s="1382"/>
      <c r="D2161" s="1382"/>
      <c r="E2161" s="1382"/>
      <c r="F2161" s="1436"/>
      <c r="G2161" s="1384" t="s">
        <v>124</v>
      </c>
      <c r="H2161" s="1632" t="s">
        <v>1086</v>
      </c>
      <c r="I2161" s="1382"/>
      <c r="J2161" s="1382"/>
      <c r="K2161" s="1382"/>
      <c r="L2161" s="1372"/>
    </row>
    <row r="2162" spans="1:12" s="31" customFormat="1" ht="17.25" customHeight="1">
      <c r="A2162" s="1384" t="s">
        <v>125</v>
      </c>
      <c r="B2162" s="1633" t="s">
        <v>1087</v>
      </c>
      <c r="C2162" s="1382"/>
      <c r="D2162" s="1382"/>
      <c r="E2162" s="1377">
        <f>SUM(E2161)</f>
        <v>0</v>
      </c>
      <c r="F2162" s="1423"/>
      <c r="G2162" s="1384" t="s">
        <v>125</v>
      </c>
      <c r="H2162" s="1633" t="s">
        <v>1087</v>
      </c>
      <c r="I2162" s="1382"/>
      <c r="J2162" s="1382"/>
      <c r="K2162" s="1377">
        <f>SUM(K2161)</f>
        <v>0</v>
      </c>
      <c r="L2162" s="1372"/>
    </row>
    <row r="2163" spans="1:12" s="31" customFormat="1" ht="17.25" customHeight="1">
      <c r="A2163" s="1386" t="s">
        <v>126</v>
      </c>
      <c r="B2163" s="1634" t="s">
        <v>871</v>
      </c>
      <c r="C2163" s="1387"/>
      <c r="D2163" s="1387"/>
      <c r="E2163" s="1387">
        <f>(E2152+E2153+E2154+E2155+E2156+E2157+E2158+E2159)-E2162</f>
        <v>0</v>
      </c>
      <c r="F2163" s="1423"/>
      <c r="G2163" s="1386" t="s">
        <v>126</v>
      </c>
      <c r="H2163" s="1634" t="s">
        <v>871</v>
      </c>
      <c r="I2163" s="1387"/>
      <c r="J2163" s="1387"/>
      <c r="K2163" s="1387">
        <f>(K2152+K2153+K2154+K2155+K2156+K2157+K2158+K2159)-K2162</f>
        <v>0</v>
      </c>
      <c r="L2163" s="1389">
        <f>E2163+K2163</f>
        <v>0</v>
      </c>
    </row>
    <row r="2164" spans="1:12" s="31" customFormat="1" ht="17.25" customHeight="1">
      <c r="A2164" s="1449"/>
      <c r="B2164" s="1449"/>
      <c r="C2164" s="1449"/>
      <c r="D2164" s="1449"/>
      <c r="E2164" s="1449"/>
      <c r="F2164" s="1449"/>
      <c r="G2164" s="1449"/>
      <c r="H2164" s="1449"/>
      <c r="I2164" s="1449"/>
      <c r="J2164" s="1449"/>
      <c r="K2164" s="1449"/>
      <c r="L2164" s="1372"/>
    </row>
    <row r="2165" spans="1:12" s="31" customFormat="1" ht="17.25" customHeight="1">
      <c r="A2165" s="1445" t="str">
        <f>A2149</f>
        <v>LƯƠNG THÁNG 01/2025</v>
      </c>
      <c r="B2165" s="1449"/>
      <c r="C2165" s="1449"/>
      <c r="D2165" s="1449"/>
      <c r="E2165" s="1452">
        <f>VLOOKUP(B2166,'CNKT '!$C$256:$AD$325,26,0)</f>
        <v>0</v>
      </c>
      <c r="F2165" s="1436"/>
      <c r="G2165" s="1445" t="str">
        <f>A2165</f>
        <v>LƯƠNG THÁNG 01/2025</v>
      </c>
      <c r="H2165" s="1449"/>
      <c r="I2165" s="1449"/>
      <c r="J2165" s="1452"/>
      <c r="K2165" s="1452">
        <f>VLOOKUP(H2166,'CNKT '!$C$256:$AD$325,26,0)</f>
        <v>0</v>
      </c>
      <c r="L2165" s="1372"/>
    </row>
    <row r="2166" spans="1:12" s="31" customFormat="1" ht="17.25" customHeight="1">
      <c r="A2166" s="1391" t="s">
        <v>29</v>
      </c>
      <c r="B2166" s="1626" t="str">
        <f>'CNKT '!C270</f>
        <v>N. Sủm</v>
      </c>
      <c r="C2166" s="1376"/>
      <c r="D2166" s="1626" t="s">
        <v>806</v>
      </c>
      <c r="E2166" s="1626" t="s">
        <v>32</v>
      </c>
      <c r="F2166" s="1436"/>
      <c r="G2166" s="1391" t="s">
        <v>29</v>
      </c>
      <c r="H2166" s="1626" t="str">
        <f>'CNKT '!C271</f>
        <v>T. Tắt</v>
      </c>
      <c r="I2166" s="1376"/>
      <c r="J2166" s="1626" t="s">
        <v>806</v>
      </c>
      <c r="K2166" s="1626" t="s">
        <v>32</v>
      </c>
      <c r="L2166" s="1372"/>
    </row>
    <row r="2167" spans="1:12" s="31" customFormat="1" ht="17.25" customHeight="1">
      <c r="A2167" s="1375" t="s">
        <v>807</v>
      </c>
      <c r="B2167" s="1628" t="s">
        <v>1080</v>
      </c>
      <c r="C2167" s="1376" t="str">
        <f>VLOOKUP(B2166,'BTH mủ tạp'!$C$246:$AL$314,36,0)</f>
        <v>C</v>
      </c>
      <c r="D2167" s="1377"/>
      <c r="E2167" s="1377"/>
      <c r="F2167" s="1436"/>
      <c r="G2167" s="1375" t="s">
        <v>807</v>
      </c>
      <c r="H2167" s="1628" t="s">
        <v>1080</v>
      </c>
      <c r="I2167" s="1376" t="str">
        <f>VLOOKUP(H2166,'BTH mủ tạp'!$C$246:$AL$314,36,0)</f>
        <v>B</v>
      </c>
      <c r="J2167" s="1377"/>
      <c r="K2167" s="1377"/>
      <c r="L2167" s="1372"/>
    </row>
    <row r="2168" spans="1:12" s="31" customFormat="1" ht="17.25" customHeight="1">
      <c r="A2168" s="1375" t="s">
        <v>121</v>
      </c>
      <c r="B2168" s="1629" t="s">
        <v>865</v>
      </c>
      <c r="C2168" s="1378">
        <f>VLOOKUP(B2166,'CNKT '!$C$256:$Z$316,3,0)</f>
        <v>0</v>
      </c>
      <c r="D2168" s="1379">
        <v>25000</v>
      </c>
      <c r="E2168" s="1377">
        <f t="shared" ref="E2168:E2173" si="253">C2168*D2168</f>
        <v>0</v>
      </c>
      <c r="F2168" s="1436"/>
      <c r="G2168" s="1375" t="s">
        <v>121</v>
      </c>
      <c r="H2168" s="1629" t="s">
        <v>865</v>
      </c>
      <c r="I2168" s="1378">
        <f>VLOOKUP(H2166,'CNKT '!$C$256:$Z$316,3,0)</f>
        <v>0</v>
      </c>
      <c r="J2168" s="1379">
        <v>25000</v>
      </c>
      <c r="K2168" s="1377">
        <f t="shared" ref="K2168:K2173" si="254">I2168*J2168</f>
        <v>0</v>
      </c>
      <c r="L2168" s="1372"/>
    </row>
    <row r="2169" spans="1:12" s="31" customFormat="1" ht="17.25" customHeight="1">
      <c r="A2169" s="1375" t="s">
        <v>628</v>
      </c>
      <c r="B2169" s="1630" t="s">
        <v>1081</v>
      </c>
      <c r="C2169" s="1433">
        <f>VLOOKUP(B2166,'CNKT '!$C$256:$Z$316,11,0)</f>
        <v>0</v>
      </c>
      <c r="D2169" s="1380">
        <f>46.1*$B$2</f>
        <v>30241.600000000002</v>
      </c>
      <c r="E2169" s="1377">
        <f t="shared" si="253"/>
        <v>0</v>
      </c>
      <c r="F2169" s="1436"/>
      <c r="G2169" s="1375" t="s">
        <v>628</v>
      </c>
      <c r="H2169" s="1630" t="s">
        <v>1081</v>
      </c>
      <c r="I2169" s="1433">
        <f>VLOOKUP(H2166,'CNKT '!$C$256:$Z$316,11,0)</f>
        <v>0</v>
      </c>
      <c r="J2169" s="1380">
        <f>46.1*$B$2</f>
        <v>30241.600000000002</v>
      </c>
      <c r="K2169" s="1377">
        <f t="shared" si="254"/>
        <v>0</v>
      </c>
      <c r="L2169" s="1372"/>
    </row>
    <row r="2170" spans="1:12" s="31" customFormat="1" ht="17.25" customHeight="1">
      <c r="A2170" s="1375" t="s">
        <v>809</v>
      </c>
      <c r="B2170" s="1630" t="s">
        <v>1082</v>
      </c>
      <c r="C2170" s="1433">
        <f>VLOOKUP(B2166,'CNKT '!$C$256:$Z$316,12,0)</f>
        <v>0</v>
      </c>
      <c r="D2170" s="1379">
        <f>76.9*$B$2</f>
        <v>50446.400000000001</v>
      </c>
      <c r="E2170" s="1377">
        <f t="shared" si="253"/>
        <v>0</v>
      </c>
      <c r="F2170" s="1436"/>
      <c r="G2170" s="1375" t="s">
        <v>809</v>
      </c>
      <c r="H2170" s="1630" t="s">
        <v>1082</v>
      </c>
      <c r="I2170" s="1433">
        <f>VLOOKUP(H2166,'CNKT '!$C$256:$Z$316,12,0)</f>
        <v>0</v>
      </c>
      <c r="J2170" s="1379">
        <f>76.9*$B$2</f>
        <v>50446.400000000001</v>
      </c>
      <c r="K2170" s="1377">
        <f t="shared" si="254"/>
        <v>0</v>
      </c>
      <c r="L2170" s="1372"/>
    </row>
    <row r="2171" spans="1:12" s="31" customFormat="1" ht="17.25" customHeight="1">
      <c r="A2171" s="1375" t="s">
        <v>122</v>
      </c>
      <c r="B2171" s="1630" t="s">
        <v>1083</v>
      </c>
      <c r="C2171" s="1433">
        <f>VLOOKUP(B2166,'CNKT '!$C$256:$Z$316,8,0)</f>
        <v>0</v>
      </c>
      <c r="D2171" s="1379">
        <f>IF(C2167="A",6.1,IF(C2167="B",5.8,IF(C2167="C",5.5,IF(C2167="C.",5.5,IF(C2167="D",5.2)))))*$B$2</f>
        <v>3608</v>
      </c>
      <c r="E2171" s="1377">
        <f t="shared" si="253"/>
        <v>0</v>
      </c>
      <c r="F2171" s="1436"/>
      <c r="G2171" s="1375" t="s">
        <v>122</v>
      </c>
      <c r="H2171" s="1630" t="s">
        <v>1083</v>
      </c>
      <c r="I2171" s="1433">
        <f>VLOOKUP(H2166,'CNKT '!$C$256:$Z$316,8,0)</f>
        <v>0</v>
      </c>
      <c r="J2171" s="1379">
        <f>IF(I2167="A",6.1,IF(I2167="B",5.8,IF(I2167="C",5.5,IF(I2167="C.",5.5,IF(I2167="D",5.2)))))*$B$2</f>
        <v>3804.7999999999997</v>
      </c>
      <c r="K2171" s="1377">
        <f t="shared" si="254"/>
        <v>0</v>
      </c>
      <c r="L2171" s="1372"/>
    </row>
    <row r="2172" spans="1:12" s="31" customFormat="1" ht="17.25" customHeight="1">
      <c r="A2172" s="1375" t="s">
        <v>885</v>
      </c>
      <c r="B2172" s="1630" t="s">
        <v>1084</v>
      </c>
      <c r="C2172" s="1433">
        <f>VLOOKUP(B2166,'CNKT '!$C$256:$Z$316,15,0)</f>
        <v>0</v>
      </c>
      <c r="D2172" s="1380">
        <f>92.2*$B$2</f>
        <v>60483.200000000004</v>
      </c>
      <c r="E2172" s="1377">
        <f t="shared" si="253"/>
        <v>0</v>
      </c>
      <c r="F2172" s="1436"/>
      <c r="G2172" s="1375" t="s">
        <v>885</v>
      </c>
      <c r="H2172" s="1630" t="s">
        <v>1084</v>
      </c>
      <c r="I2172" s="1433">
        <f>VLOOKUP(H2166,'CNKT '!$C$256:$Z$316,15,0)</f>
        <v>0</v>
      </c>
      <c r="J2172" s="1380">
        <f>92.2*$B$2</f>
        <v>60483.200000000004</v>
      </c>
      <c r="K2172" s="1377">
        <f t="shared" si="254"/>
        <v>0</v>
      </c>
      <c r="L2172" s="1372"/>
    </row>
    <row r="2173" spans="1:12" s="31" customFormat="1" ht="17.25" customHeight="1">
      <c r="A2173" s="1375" t="s">
        <v>886</v>
      </c>
      <c r="B2173" s="1630" t="s">
        <v>964</v>
      </c>
      <c r="C2173" s="1433">
        <f>VLOOKUP(B2166,'CNKT '!$C$256:$Z$316,14,0)</f>
        <v>0</v>
      </c>
      <c r="D2173" s="1379">
        <f>153.6*$B$2</f>
        <v>100761.59999999999</v>
      </c>
      <c r="E2173" s="1377">
        <f t="shared" si="253"/>
        <v>0</v>
      </c>
      <c r="F2173" s="1436"/>
      <c r="G2173" s="1375" t="s">
        <v>886</v>
      </c>
      <c r="H2173" s="1630" t="s">
        <v>964</v>
      </c>
      <c r="I2173" s="1433">
        <f>VLOOKUP(H2166,'CNKT '!$C$256:$Z$316,14,0)</f>
        <v>0</v>
      </c>
      <c r="J2173" s="1379">
        <f>153.6*$B$2</f>
        <v>100761.59999999999</v>
      </c>
      <c r="K2173" s="1377">
        <f t="shared" si="254"/>
        <v>0</v>
      </c>
      <c r="L2173" s="1372"/>
    </row>
    <row r="2174" spans="1:12" s="31" customFormat="1" ht="17.25" customHeight="1">
      <c r="A2174" s="1375" t="s">
        <v>899</v>
      </c>
      <c r="B2174" s="1630" t="s">
        <v>965</v>
      </c>
      <c r="C2174" s="1433">
        <f>VLOOKUP(B2166,'CNKT '!$C$256:$Z$325,18,0)</f>
        <v>0</v>
      </c>
      <c r="D2174" s="1379">
        <v>10000</v>
      </c>
      <c r="E2174" s="1377">
        <f>C2174*D2174</f>
        <v>0</v>
      </c>
      <c r="F2174" s="1436"/>
      <c r="G2174" s="1375" t="s">
        <v>899</v>
      </c>
      <c r="H2174" s="1630" t="s">
        <v>965</v>
      </c>
      <c r="I2174" s="1433">
        <f>VLOOKUP(H2166,'CNKT '!$C$256:$Z$325,18,0)</f>
        <v>0</v>
      </c>
      <c r="J2174" s="1379">
        <v>10000</v>
      </c>
      <c r="K2174" s="1377">
        <f>I2174*J2174</f>
        <v>0</v>
      </c>
      <c r="L2174" s="1372"/>
    </row>
    <row r="2175" spans="1:12" s="31" customFormat="1" ht="17.25" customHeight="1">
      <c r="A2175" s="1375" t="s">
        <v>899</v>
      </c>
      <c r="B2175" s="1630" t="s">
        <v>965</v>
      </c>
      <c r="C2175" s="1433">
        <f>VLOOKUP(B2166,'CNKT '!$C$256:$Z$325,19,0)</f>
        <v>0</v>
      </c>
      <c r="D2175" s="1379">
        <v>20000</v>
      </c>
      <c r="E2175" s="1377">
        <f>C2175*D2175</f>
        <v>0</v>
      </c>
      <c r="F2175" s="1436"/>
      <c r="G2175" s="1375" t="s">
        <v>899</v>
      </c>
      <c r="H2175" s="1630" t="s">
        <v>965</v>
      </c>
      <c r="I2175" s="1433">
        <f>VLOOKUP(H2166,'CNKT '!$C$256:$Z$325,19,0)</f>
        <v>0</v>
      </c>
      <c r="J2175" s="1379">
        <v>20000</v>
      </c>
      <c r="K2175" s="1377">
        <f>I2175*J2175</f>
        <v>0</v>
      </c>
      <c r="L2175" s="1372"/>
    </row>
    <row r="2176" spans="1:12" s="31" customFormat="1" ht="17.25" customHeight="1">
      <c r="A2176" s="1381" t="s">
        <v>123</v>
      </c>
      <c r="B2176" s="1631" t="s">
        <v>1085</v>
      </c>
      <c r="C2176" s="1382"/>
      <c r="D2176" s="1383"/>
      <c r="E2176" s="1382"/>
      <c r="F2176" s="1436"/>
      <c r="G2176" s="1381" t="s">
        <v>123</v>
      </c>
      <c r="H2176" s="1631" t="s">
        <v>1085</v>
      </c>
      <c r="I2176" s="1382"/>
      <c r="J2176" s="1383"/>
      <c r="K2176" s="1382"/>
      <c r="L2176" s="1372"/>
    </row>
    <row r="2177" spans="1:12" s="31" customFormat="1" ht="17.25" customHeight="1">
      <c r="A2177" s="1384" t="s">
        <v>124</v>
      </c>
      <c r="B2177" s="1632" t="s">
        <v>1086</v>
      </c>
      <c r="C2177" s="1382"/>
      <c r="D2177" s="1382"/>
      <c r="E2177" s="1382"/>
      <c r="F2177" s="1436"/>
      <c r="G2177" s="1384" t="s">
        <v>124</v>
      </c>
      <c r="H2177" s="1632" t="s">
        <v>1086</v>
      </c>
      <c r="I2177" s="1382"/>
      <c r="J2177" s="1382"/>
      <c r="K2177" s="1382"/>
      <c r="L2177" s="1372"/>
    </row>
    <row r="2178" spans="1:12" s="31" customFormat="1" ht="17.25" customHeight="1">
      <c r="A2178" s="1384" t="s">
        <v>125</v>
      </c>
      <c r="B2178" s="1633" t="s">
        <v>1087</v>
      </c>
      <c r="C2178" s="1382"/>
      <c r="D2178" s="1382"/>
      <c r="E2178" s="1377">
        <f>SUM(E2177)</f>
        <v>0</v>
      </c>
      <c r="F2178" s="1433"/>
      <c r="G2178" s="1384" t="s">
        <v>125</v>
      </c>
      <c r="H2178" s="1633" t="s">
        <v>1087</v>
      </c>
      <c r="I2178" s="1382"/>
      <c r="J2178" s="1382"/>
      <c r="K2178" s="1377">
        <f>SUM(K2177)</f>
        <v>0</v>
      </c>
      <c r="L2178" s="1372"/>
    </row>
    <row r="2179" spans="1:12" s="31" customFormat="1" ht="17.25" customHeight="1">
      <c r="A2179" s="1386" t="s">
        <v>126</v>
      </c>
      <c r="B2179" s="1634" t="s">
        <v>871</v>
      </c>
      <c r="C2179" s="1387"/>
      <c r="D2179" s="1387"/>
      <c r="E2179" s="1387">
        <f>(E2168+E2169+E2170+E2171+E2172+E2173+E2174+E2175)-E2178</f>
        <v>0</v>
      </c>
      <c r="F2179" s="1433"/>
      <c r="G2179" s="1386" t="s">
        <v>126</v>
      </c>
      <c r="H2179" s="1634" t="s">
        <v>871</v>
      </c>
      <c r="I2179" s="1387"/>
      <c r="J2179" s="1387"/>
      <c r="K2179" s="1387">
        <f>(K2168+K2169+K2170+K2171+K2172+K2173+K2174+K2175)-K2178</f>
        <v>0</v>
      </c>
      <c r="L2179" s="1389">
        <f>E2179+K2179</f>
        <v>0</v>
      </c>
    </row>
    <row r="2180" spans="1:12" s="31" customFormat="1" ht="17.25" customHeight="1">
      <c r="A2180" s="1449"/>
      <c r="B2180" s="1449"/>
      <c r="C2180" s="1449"/>
      <c r="D2180" s="1449"/>
      <c r="E2180" s="1449"/>
      <c r="F2180" s="1449"/>
      <c r="G2180" s="1449"/>
      <c r="H2180" s="1449"/>
      <c r="I2180" s="1449"/>
      <c r="J2180" s="1449"/>
      <c r="K2180" s="1449"/>
      <c r="L2180" s="1372"/>
    </row>
    <row r="2181" spans="1:12" s="31" customFormat="1" ht="17.25" customHeight="1">
      <c r="A2181" s="1445" t="str">
        <f>A2165</f>
        <v>LƯƠNG THÁNG 01/2025</v>
      </c>
      <c r="B2181" s="1449"/>
      <c r="C2181" s="1449"/>
      <c r="D2181" s="1449"/>
      <c r="E2181" s="1452">
        <f>VLOOKUP(B2182,'CNKT '!$C$256:$AD$325,26,0)</f>
        <v>0</v>
      </c>
      <c r="F2181" s="1436"/>
      <c r="G2181" s="1445" t="str">
        <f>A2181</f>
        <v>LƯƠNG THÁNG 01/2025</v>
      </c>
      <c r="H2181" s="1449"/>
      <c r="I2181" s="1449"/>
      <c r="J2181" s="1452"/>
      <c r="K2181" s="1452">
        <f>VLOOKUP(H2182,'CNKT '!$C$256:$AD$325,26,0)</f>
        <v>0</v>
      </c>
      <c r="L2181" s="1372"/>
    </row>
    <row r="2182" spans="1:12" s="31" customFormat="1" ht="17.25" customHeight="1">
      <c r="A2182" s="1391" t="s">
        <v>29</v>
      </c>
      <c r="B2182" s="1626" t="str">
        <f>'CNKT '!C272</f>
        <v>T Viêng</v>
      </c>
      <c r="C2182" s="1376"/>
      <c r="D2182" s="1626" t="s">
        <v>806</v>
      </c>
      <c r="E2182" s="1626" t="s">
        <v>32</v>
      </c>
      <c r="F2182" s="1436"/>
      <c r="G2182" s="1391" t="s">
        <v>29</v>
      </c>
      <c r="H2182" s="1626" t="str">
        <f>'CNKT '!C273</f>
        <v>T.Xê</v>
      </c>
      <c r="I2182" s="1376"/>
      <c r="J2182" s="1626" t="s">
        <v>806</v>
      </c>
      <c r="K2182" s="1626" t="s">
        <v>32</v>
      </c>
      <c r="L2182" s="1372"/>
    </row>
    <row r="2183" spans="1:12" s="31" customFormat="1" ht="17.25" customHeight="1">
      <c r="A2183" s="1375" t="s">
        <v>807</v>
      </c>
      <c r="B2183" s="1628" t="s">
        <v>1080</v>
      </c>
      <c r="C2183" s="1376" t="str">
        <f>VLOOKUP(B2182,'BTH mủ tạp'!$C$246:$AL$314,36,0)</f>
        <v>B</v>
      </c>
      <c r="D2183" s="1377"/>
      <c r="E2183" s="1377"/>
      <c r="F2183" s="1436"/>
      <c r="G2183" s="1375" t="s">
        <v>807</v>
      </c>
      <c r="H2183" s="1628" t="s">
        <v>1080</v>
      </c>
      <c r="I2183" s="1376" t="str">
        <f>VLOOKUP(H2182,'BTH mủ tạp'!$C$246:$AL$314,36,0)</f>
        <v>B</v>
      </c>
      <c r="J2183" s="1377"/>
      <c r="K2183" s="1377"/>
      <c r="L2183" s="1372"/>
    </row>
    <row r="2184" spans="1:12" s="31" customFormat="1" ht="17.25" customHeight="1">
      <c r="A2184" s="1375" t="s">
        <v>121</v>
      </c>
      <c r="B2184" s="1629" t="s">
        <v>865</v>
      </c>
      <c r="C2184" s="1378">
        <f>VLOOKUP(B2182,'CNKT '!$C$256:$Z$316,3,0)</f>
        <v>0</v>
      </c>
      <c r="D2184" s="1379">
        <v>25000</v>
      </c>
      <c r="E2184" s="1377">
        <f t="shared" ref="E2184:E2189" si="255">C2184*D2184</f>
        <v>0</v>
      </c>
      <c r="F2184" s="1436"/>
      <c r="G2184" s="1375" t="s">
        <v>121</v>
      </c>
      <c r="H2184" s="1629" t="s">
        <v>865</v>
      </c>
      <c r="I2184" s="1378">
        <f>VLOOKUP(H2182,'CNKT '!$C$256:$Z$316,3,0)</f>
        <v>0</v>
      </c>
      <c r="J2184" s="1379">
        <v>25000</v>
      </c>
      <c r="K2184" s="1377">
        <f t="shared" ref="K2184:K2189" si="256">I2184*J2184</f>
        <v>0</v>
      </c>
      <c r="L2184" s="1372"/>
    </row>
    <row r="2185" spans="1:12" s="31" customFormat="1" ht="17.25" customHeight="1">
      <c r="A2185" s="1375" t="s">
        <v>628</v>
      </c>
      <c r="B2185" s="1630" t="s">
        <v>1081</v>
      </c>
      <c r="C2185" s="1433">
        <f>VLOOKUP(B2182,'CNKT '!$C$256:$Z$316,11,0)</f>
        <v>0</v>
      </c>
      <c r="D2185" s="1380">
        <f>46.1*$B$2</f>
        <v>30241.600000000002</v>
      </c>
      <c r="E2185" s="1377">
        <f t="shared" si="255"/>
        <v>0</v>
      </c>
      <c r="F2185" s="1436"/>
      <c r="G2185" s="1375" t="s">
        <v>628</v>
      </c>
      <c r="H2185" s="1630" t="s">
        <v>1081</v>
      </c>
      <c r="I2185" s="1433">
        <f>VLOOKUP(H2182,'CNKT '!$C$256:$Z$316,11,0)</f>
        <v>0</v>
      </c>
      <c r="J2185" s="1380">
        <f>46.1*$B$2</f>
        <v>30241.600000000002</v>
      </c>
      <c r="K2185" s="1377">
        <f t="shared" si="256"/>
        <v>0</v>
      </c>
      <c r="L2185" s="1372"/>
    </row>
    <row r="2186" spans="1:12" s="31" customFormat="1" ht="17.25" customHeight="1">
      <c r="A2186" s="1375" t="s">
        <v>809</v>
      </c>
      <c r="B2186" s="1630" t="s">
        <v>1082</v>
      </c>
      <c r="C2186" s="1433">
        <f>VLOOKUP(B2182,'CNKT '!$C$256:$Z$316,12,0)</f>
        <v>0</v>
      </c>
      <c r="D2186" s="1379">
        <f>76.9*$B$2</f>
        <v>50446.400000000001</v>
      </c>
      <c r="E2186" s="1377">
        <f t="shared" si="255"/>
        <v>0</v>
      </c>
      <c r="F2186" s="1436"/>
      <c r="G2186" s="1375" t="s">
        <v>809</v>
      </c>
      <c r="H2186" s="1630" t="s">
        <v>1082</v>
      </c>
      <c r="I2186" s="1433">
        <f>VLOOKUP(H2182,'CNKT '!$C$256:$Z$316,12,0)</f>
        <v>0</v>
      </c>
      <c r="J2186" s="1379">
        <f>76.9*$B$2</f>
        <v>50446.400000000001</v>
      </c>
      <c r="K2186" s="1377">
        <f t="shared" si="256"/>
        <v>0</v>
      </c>
      <c r="L2186" s="1372"/>
    </row>
    <row r="2187" spans="1:12" s="31" customFormat="1" ht="17.25" customHeight="1">
      <c r="A2187" s="1375" t="s">
        <v>122</v>
      </c>
      <c r="B2187" s="1630" t="s">
        <v>1083</v>
      </c>
      <c r="C2187" s="1433">
        <f>VLOOKUP(B2182,'CNKT '!$C$256:$Z$316,8,0)</f>
        <v>0</v>
      </c>
      <c r="D2187" s="1379">
        <f>IF(C2183="A",6.1,IF(C2183="B",5.8,IF(C2183="C",5.5,IF(C2183="C.",5.5,IF(C2183="D",5.2)))))*$B$2</f>
        <v>3804.7999999999997</v>
      </c>
      <c r="E2187" s="1377">
        <f t="shared" si="255"/>
        <v>0</v>
      </c>
      <c r="F2187" s="1436"/>
      <c r="G2187" s="1375" t="s">
        <v>122</v>
      </c>
      <c r="H2187" s="1630" t="s">
        <v>1083</v>
      </c>
      <c r="I2187" s="1433">
        <f>VLOOKUP(H2182,'CNKT '!$C$256:$Z$316,8,0)</f>
        <v>0</v>
      </c>
      <c r="J2187" s="1379">
        <f>IF(I2183="A",6.1,IF(I2183="B",5.8,IF(I2183="C",5.5,IF(I2183="C.",5.5,IF(I2183="D",5.2)))))*$B$2</f>
        <v>3804.7999999999997</v>
      </c>
      <c r="K2187" s="1377">
        <f t="shared" si="256"/>
        <v>0</v>
      </c>
      <c r="L2187" s="1372"/>
    </row>
    <row r="2188" spans="1:12" s="31" customFormat="1" ht="17.25" customHeight="1">
      <c r="A2188" s="1375" t="s">
        <v>885</v>
      </c>
      <c r="B2188" s="1630" t="s">
        <v>1084</v>
      </c>
      <c r="C2188" s="1433">
        <f>VLOOKUP(B2182,'CNKT '!$C$256:$Z$316,15,0)</f>
        <v>0</v>
      </c>
      <c r="D2188" s="1380">
        <f>92.2*$B$2</f>
        <v>60483.200000000004</v>
      </c>
      <c r="E2188" s="1377">
        <f t="shared" si="255"/>
        <v>0</v>
      </c>
      <c r="F2188" s="1436"/>
      <c r="G2188" s="1375" t="s">
        <v>885</v>
      </c>
      <c r="H2188" s="1630" t="s">
        <v>1084</v>
      </c>
      <c r="I2188" s="1433">
        <f>VLOOKUP(H2182,'CNKT '!$C$256:$Z$316,15,0)</f>
        <v>0</v>
      </c>
      <c r="J2188" s="1380">
        <f>92.2*$B$2</f>
        <v>60483.200000000004</v>
      </c>
      <c r="K2188" s="1377">
        <f t="shared" si="256"/>
        <v>0</v>
      </c>
      <c r="L2188" s="1372"/>
    </row>
    <row r="2189" spans="1:12" s="31" customFormat="1" ht="17.25" customHeight="1">
      <c r="A2189" s="1375" t="s">
        <v>886</v>
      </c>
      <c r="B2189" s="1630" t="s">
        <v>964</v>
      </c>
      <c r="C2189" s="1433">
        <f>VLOOKUP(B2182,'CNKT '!$C$256:$Z$316,14,0)</f>
        <v>0</v>
      </c>
      <c r="D2189" s="1379">
        <f>153.6*$B$2</f>
        <v>100761.59999999999</v>
      </c>
      <c r="E2189" s="1377">
        <f t="shared" si="255"/>
        <v>0</v>
      </c>
      <c r="F2189" s="1436"/>
      <c r="G2189" s="1375" t="s">
        <v>886</v>
      </c>
      <c r="H2189" s="1630" t="s">
        <v>964</v>
      </c>
      <c r="I2189" s="1433">
        <f>VLOOKUP(H2182,'CNKT '!$C$256:$Z$316,14,0)</f>
        <v>0</v>
      </c>
      <c r="J2189" s="1379">
        <f>153.6*$B$2</f>
        <v>100761.59999999999</v>
      </c>
      <c r="K2189" s="1377">
        <f t="shared" si="256"/>
        <v>0</v>
      </c>
      <c r="L2189" s="1372"/>
    </row>
    <row r="2190" spans="1:12" s="31" customFormat="1" ht="17.25" customHeight="1">
      <c r="A2190" s="1375" t="s">
        <v>899</v>
      </c>
      <c r="B2190" s="1630" t="s">
        <v>965</v>
      </c>
      <c r="C2190" s="1433">
        <f>VLOOKUP(B2182,'CNKT '!$C$256:$Z$325,18,0)</f>
        <v>0</v>
      </c>
      <c r="D2190" s="1379">
        <v>10000</v>
      </c>
      <c r="E2190" s="1377">
        <f>C2190*D2190</f>
        <v>0</v>
      </c>
      <c r="F2190" s="1436"/>
      <c r="G2190" s="1375" t="s">
        <v>899</v>
      </c>
      <c r="H2190" s="1630" t="s">
        <v>965</v>
      </c>
      <c r="I2190" s="1433">
        <f>VLOOKUP(H2182,'CNKT '!$C$256:$Z$325,18,0)</f>
        <v>0</v>
      </c>
      <c r="J2190" s="1379">
        <v>10000</v>
      </c>
      <c r="K2190" s="1377">
        <f>I2190*J2190</f>
        <v>0</v>
      </c>
      <c r="L2190" s="1372"/>
    </row>
    <row r="2191" spans="1:12" s="31" customFormat="1" ht="17.25" customHeight="1">
      <c r="A2191" s="1375" t="s">
        <v>899</v>
      </c>
      <c r="B2191" s="1630" t="s">
        <v>965</v>
      </c>
      <c r="C2191" s="1433">
        <f>VLOOKUP(B2182,'CNKT '!$C$256:$Z$325,19,0)</f>
        <v>0</v>
      </c>
      <c r="D2191" s="1379">
        <v>20000</v>
      </c>
      <c r="E2191" s="1377">
        <f>C2191*D2191</f>
        <v>0</v>
      </c>
      <c r="F2191" s="1436"/>
      <c r="G2191" s="1375" t="s">
        <v>899</v>
      </c>
      <c r="H2191" s="1630" t="s">
        <v>965</v>
      </c>
      <c r="I2191" s="1433">
        <f>VLOOKUP(H2182,'CNKT '!$C$256:$Z$325,19,0)</f>
        <v>0</v>
      </c>
      <c r="J2191" s="1379">
        <v>20000</v>
      </c>
      <c r="K2191" s="1377">
        <f>I2191*J2191</f>
        <v>0</v>
      </c>
      <c r="L2191" s="1372"/>
    </row>
    <row r="2192" spans="1:12" s="31" customFormat="1" ht="17.25" customHeight="1">
      <c r="A2192" s="1381" t="s">
        <v>123</v>
      </c>
      <c r="B2192" s="1631" t="s">
        <v>1085</v>
      </c>
      <c r="C2192" s="1382"/>
      <c r="D2192" s="1383"/>
      <c r="E2192" s="1382"/>
      <c r="F2192" s="1436"/>
      <c r="G2192" s="1381" t="s">
        <v>123</v>
      </c>
      <c r="H2192" s="1631" t="s">
        <v>1085</v>
      </c>
      <c r="I2192" s="1382"/>
      <c r="J2192" s="1383"/>
      <c r="K2192" s="1382"/>
      <c r="L2192" s="1372"/>
    </row>
    <row r="2193" spans="1:12" s="31" customFormat="1" ht="17.25" customHeight="1">
      <c r="A2193" s="1384" t="s">
        <v>124</v>
      </c>
      <c r="B2193" s="1632" t="s">
        <v>1086</v>
      </c>
      <c r="C2193" s="1382"/>
      <c r="D2193" s="1382"/>
      <c r="E2193" s="1382"/>
      <c r="F2193" s="1436"/>
      <c r="G2193" s="1384" t="s">
        <v>124</v>
      </c>
      <c r="H2193" s="1632" t="s">
        <v>1086</v>
      </c>
      <c r="I2193" s="1382"/>
      <c r="J2193" s="1382"/>
      <c r="K2193" s="1382"/>
      <c r="L2193" s="1372"/>
    </row>
    <row r="2194" spans="1:12" s="31" customFormat="1" ht="17.25" customHeight="1">
      <c r="A2194" s="1384" t="s">
        <v>125</v>
      </c>
      <c r="B2194" s="1633" t="s">
        <v>1087</v>
      </c>
      <c r="C2194" s="1382"/>
      <c r="D2194" s="1382"/>
      <c r="E2194" s="1377">
        <f>SUM(E2193)</f>
        <v>0</v>
      </c>
      <c r="F2194" s="1435"/>
      <c r="G2194" s="1384" t="s">
        <v>125</v>
      </c>
      <c r="H2194" s="1633" t="s">
        <v>1087</v>
      </c>
      <c r="I2194" s="1382"/>
      <c r="J2194" s="1382"/>
      <c r="K2194" s="1377">
        <f>SUM(K2193)</f>
        <v>0</v>
      </c>
      <c r="L2194" s="1372"/>
    </row>
    <row r="2195" spans="1:12" s="31" customFormat="1" ht="17.25" customHeight="1">
      <c r="A2195" s="1386" t="s">
        <v>126</v>
      </c>
      <c r="B2195" s="1634" t="s">
        <v>871</v>
      </c>
      <c r="C2195" s="1387"/>
      <c r="D2195" s="1387"/>
      <c r="E2195" s="1387">
        <f>(E2184+E2185+E2186+E2187+E2188+E2189+E2190+E2191)-E2194</f>
        <v>0</v>
      </c>
      <c r="F2195" s="1435"/>
      <c r="G2195" s="1386" t="s">
        <v>126</v>
      </c>
      <c r="H2195" s="1634" t="s">
        <v>871</v>
      </c>
      <c r="I2195" s="1387"/>
      <c r="J2195" s="1387"/>
      <c r="K2195" s="1387">
        <f>(K2184+K2185+K2186+K2187+K2188+K2189+K2190+K2191)-K2194</f>
        <v>0</v>
      </c>
      <c r="L2195" s="1389">
        <f>E2195+K2195</f>
        <v>0</v>
      </c>
    </row>
    <row r="2196" spans="1:12" s="31" customFormat="1" ht="17.25" customHeight="1">
      <c r="A2196" s="1449"/>
      <c r="B2196" s="1449"/>
      <c r="C2196" s="1449"/>
      <c r="D2196" s="1449"/>
      <c r="E2196" s="1449"/>
      <c r="F2196" s="1449"/>
      <c r="G2196" s="1449"/>
      <c r="H2196" s="1449"/>
      <c r="I2196" s="1449"/>
      <c r="J2196" s="1449"/>
      <c r="K2196" s="1449"/>
      <c r="L2196" s="1372"/>
    </row>
    <row r="2197" spans="1:12" s="31" customFormat="1" ht="17.25" customHeight="1">
      <c r="A2197" s="1445" t="str">
        <f>A2181</f>
        <v>LƯƠNG THÁNG 01/2025</v>
      </c>
      <c r="B2197" s="1449"/>
      <c r="C2197" s="1449"/>
      <c r="D2197" s="1449"/>
      <c r="E2197" s="1452">
        <f>VLOOKUP(B2198,'CNKT '!$C$256:$AD$325,26,0)</f>
        <v>0</v>
      </c>
      <c r="F2197" s="1436"/>
      <c r="G2197" s="1445" t="str">
        <f>A2197</f>
        <v>LƯƠNG THÁNG 01/2025</v>
      </c>
      <c r="H2197" s="1449"/>
      <c r="I2197" s="1449"/>
      <c r="J2197" s="1452"/>
      <c r="K2197" s="1452">
        <f>VLOOKUP(H2198,'CNKT '!$C$256:$AD$325,26,0)</f>
        <v>0</v>
      </c>
      <c r="L2197" s="1372"/>
    </row>
    <row r="2198" spans="1:12" s="31" customFormat="1" ht="17.25" customHeight="1">
      <c r="A2198" s="1391" t="s">
        <v>29</v>
      </c>
      <c r="B2198" s="1626" t="str">
        <f>'CNKT '!C274</f>
        <v>T. Hách</v>
      </c>
      <c r="C2198" s="1376"/>
      <c r="D2198" s="1626" t="s">
        <v>806</v>
      </c>
      <c r="E2198" s="1626" t="s">
        <v>32</v>
      </c>
      <c r="F2198" s="1436"/>
      <c r="G2198" s="1391" t="s">
        <v>29</v>
      </c>
      <c r="H2198" s="1626" t="str">
        <f>'CNKT '!C275</f>
        <v>Khay Khăm</v>
      </c>
      <c r="I2198" s="1376"/>
      <c r="J2198" s="1626" t="s">
        <v>806</v>
      </c>
      <c r="K2198" s="1626" t="s">
        <v>32</v>
      </c>
      <c r="L2198" s="1372"/>
    </row>
    <row r="2199" spans="1:12" s="31" customFormat="1" ht="17.25" customHeight="1">
      <c r="A2199" s="1375" t="s">
        <v>807</v>
      </c>
      <c r="B2199" s="1628" t="s">
        <v>1080</v>
      </c>
      <c r="C2199" s="1376" t="str">
        <f>VLOOKUP(B2198,'BTH mủ tạp'!$C$246:$AL$314,36,0)</f>
        <v>B</v>
      </c>
      <c r="D2199" s="1377"/>
      <c r="E2199" s="1377"/>
      <c r="F2199" s="1436"/>
      <c r="G2199" s="1375" t="s">
        <v>807</v>
      </c>
      <c r="H2199" s="1628" t="s">
        <v>1080</v>
      </c>
      <c r="I2199" s="1376" t="str">
        <f>VLOOKUP(H2198,'BTH mủ tạp'!$C$246:$AL$314,36,0)</f>
        <v>C</v>
      </c>
      <c r="J2199" s="1377"/>
      <c r="K2199" s="1377"/>
      <c r="L2199" s="1372"/>
    </row>
    <row r="2200" spans="1:12" s="31" customFormat="1" ht="17.25" customHeight="1">
      <c r="A2200" s="1375" t="s">
        <v>121</v>
      </c>
      <c r="B2200" s="1629" t="s">
        <v>865</v>
      </c>
      <c r="C2200" s="1378">
        <f>VLOOKUP(B2198,'CNKT '!$C$256:$Z$316,3,0)</f>
        <v>0</v>
      </c>
      <c r="D2200" s="1379">
        <v>25000</v>
      </c>
      <c r="E2200" s="1377">
        <f t="shared" ref="E2200:E2205" si="257">C2200*D2200</f>
        <v>0</v>
      </c>
      <c r="F2200" s="1436"/>
      <c r="G2200" s="1375" t="s">
        <v>121</v>
      </c>
      <c r="H2200" s="1629" t="s">
        <v>865</v>
      </c>
      <c r="I2200" s="1378">
        <f>VLOOKUP(H2198,'CNKT '!$C$256:$Z$316,3,0)</f>
        <v>0</v>
      </c>
      <c r="J2200" s="1379">
        <v>25000</v>
      </c>
      <c r="K2200" s="1377">
        <f t="shared" ref="K2200:K2205" si="258">I2200*J2200</f>
        <v>0</v>
      </c>
      <c r="L2200" s="1372"/>
    </row>
    <row r="2201" spans="1:12" s="31" customFormat="1" ht="17.25" customHeight="1">
      <c r="A2201" s="1375" t="s">
        <v>628</v>
      </c>
      <c r="B2201" s="1630" t="s">
        <v>1081</v>
      </c>
      <c r="C2201" s="1433">
        <f>VLOOKUP(B2198,'CNKT '!$C$256:$Z$316,11,0)</f>
        <v>0</v>
      </c>
      <c r="D2201" s="1380">
        <f>46.1*$B$2</f>
        <v>30241.600000000002</v>
      </c>
      <c r="E2201" s="1377">
        <f t="shared" si="257"/>
        <v>0</v>
      </c>
      <c r="F2201" s="1436"/>
      <c r="G2201" s="1375" t="s">
        <v>628</v>
      </c>
      <c r="H2201" s="1630" t="s">
        <v>1081</v>
      </c>
      <c r="I2201" s="1433">
        <f>VLOOKUP(H2198,'CNKT '!$C$256:$Z$316,11,0)</f>
        <v>0</v>
      </c>
      <c r="J2201" s="1380">
        <f>46.1*$B$2</f>
        <v>30241.600000000002</v>
      </c>
      <c r="K2201" s="1377">
        <f t="shared" si="258"/>
        <v>0</v>
      </c>
      <c r="L2201" s="1372"/>
    </row>
    <row r="2202" spans="1:12" s="31" customFormat="1" ht="17.25" customHeight="1">
      <c r="A2202" s="1375" t="s">
        <v>809</v>
      </c>
      <c r="B2202" s="1630" t="s">
        <v>1082</v>
      </c>
      <c r="C2202" s="1433">
        <f>VLOOKUP(B2198,'CNKT '!$C$256:$Z$316,12,0)</f>
        <v>0</v>
      </c>
      <c r="D2202" s="1379">
        <f>76.9*$B$2</f>
        <v>50446.400000000001</v>
      </c>
      <c r="E2202" s="1377">
        <f t="shared" si="257"/>
        <v>0</v>
      </c>
      <c r="F2202" s="1436"/>
      <c r="G2202" s="1375" t="s">
        <v>809</v>
      </c>
      <c r="H2202" s="1630" t="s">
        <v>1082</v>
      </c>
      <c r="I2202" s="1433">
        <f>VLOOKUP(H2198,'CNKT '!$C$256:$Z$316,12,0)</f>
        <v>0</v>
      </c>
      <c r="J2202" s="1379">
        <f>76.9*$B$2</f>
        <v>50446.400000000001</v>
      </c>
      <c r="K2202" s="1377">
        <f t="shared" si="258"/>
        <v>0</v>
      </c>
      <c r="L2202" s="1372"/>
    </row>
    <row r="2203" spans="1:12" s="31" customFormat="1" ht="17.25" customHeight="1">
      <c r="A2203" s="1375" t="s">
        <v>122</v>
      </c>
      <c r="B2203" s="1630" t="s">
        <v>1083</v>
      </c>
      <c r="C2203" s="1433">
        <f>VLOOKUP(B2198,'CNKT '!$C$256:$Z$316,8,0)</f>
        <v>0</v>
      </c>
      <c r="D2203" s="1379">
        <f>IF(C2199="A",6.1,IF(C2199="B",5.8,IF(C2199="C",5.5,IF(C2199="C.",5.5,IF(C2199="D",5.2)))))*$B$2</f>
        <v>3804.7999999999997</v>
      </c>
      <c r="E2203" s="1377">
        <f t="shared" si="257"/>
        <v>0</v>
      </c>
      <c r="F2203" s="1436"/>
      <c r="G2203" s="1375" t="s">
        <v>122</v>
      </c>
      <c r="H2203" s="1630" t="s">
        <v>1083</v>
      </c>
      <c r="I2203" s="1433">
        <f>VLOOKUP(H2198,'CNKT '!$C$256:$Z$316,8,0)</f>
        <v>0</v>
      </c>
      <c r="J2203" s="1379">
        <f>IF(I2199="A",6.1,IF(I2199="B",5.8,IF(I2199="C",5.5,IF(I2199="C.",5.5,IF(I2199="D",5.2)))))*$B$2</f>
        <v>3608</v>
      </c>
      <c r="K2203" s="1377">
        <f t="shared" si="258"/>
        <v>0</v>
      </c>
      <c r="L2203" s="1372"/>
    </row>
    <row r="2204" spans="1:12" s="31" customFormat="1" ht="17.25" customHeight="1">
      <c r="A2204" s="1375" t="s">
        <v>885</v>
      </c>
      <c r="B2204" s="1630" t="s">
        <v>1084</v>
      </c>
      <c r="C2204" s="1433">
        <f>VLOOKUP(B2198,'CNKT '!$C$256:$Z$316,15,0)</f>
        <v>0</v>
      </c>
      <c r="D2204" s="1380">
        <f>92.2*$B$2</f>
        <v>60483.200000000004</v>
      </c>
      <c r="E2204" s="1377">
        <f t="shared" si="257"/>
        <v>0</v>
      </c>
      <c r="F2204" s="1436"/>
      <c r="G2204" s="1375" t="s">
        <v>885</v>
      </c>
      <c r="H2204" s="1630" t="s">
        <v>1084</v>
      </c>
      <c r="I2204" s="1433">
        <f>VLOOKUP(H2198,'CNKT '!$C$256:$Z$316,15,0)</f>
        <v>0</v>
      </c>
      <c r="J2204" s="1380">
        <f>92.2*$B$2</f>
        <v>60483.200000000004</v>
      </c>
      <c r="K2204" s="1377">
        <f t="shared" si="258"/>
        <v>0</v>
      </c>
      <c r="L2204" s="1372"/>
    </row>
    <row r="2205" spans="1:12" s="31" customFormat="1" ht="17.25" customHeight="1">
      <c r="A2205" s="1375" t="s">
        <v>886</v>
      </c>
      <c r="B2205" s="1630" t="s">
        <v>964</v>
      </c>
      <c r="C2205" s="1433">
        <f>VLOOKUP(B2198,'CNKT '!$C$256:$Z$316,14,0)</f>
        <v>0</v>
      </c>
      <c r="D2205" s="1379">
        <f>153.6*$B$2</f>
        <v>100761.59999999999</v>
      </c>
      <c r="E2205" s="1377">
        <f t="shared" si="257"/>
        <v>0</v>
      </c>
      <c r="F2205" s="1436"/>
      <c r="G2205" s="1375" t="s">
        <v>886</v>
      </c>
      <c r="H2205" s="1630" t="s">
        <v>964</v>
      </c>
      <c r="I2205" s="1433">
        <f>VLOOKUP(H2198,'CNKT '!$C$256:$Z$316,14,0)</f>
        <v>0</v>
      </c>
      <c r="J2205" s="1379">
        <f>153.6*$B$2</f>
        <v>100761.59999999999</v>
      </c>
      <c r="K2205" s="1377">
        <f t="shared" si="258"/>
        <v>0</v>
      </c>
      <c r="L2205" s="1372"/>
    </row>
    <row r="2206" spans="1:12" s="31" customFormat="1" ht="17.25" customHeight="1">
      <c r="A2206" s="1375" t="s">
        <v>899</v>
      </c>
      <c r="B2206" s="1630" t="s">
        <v>965</v>
      </c>
      <c r="C2206" s="1433">
        <f>VLOOKUP(B2198,'CNKT '!$C$256:$Z$325,18,0)</f>
        <v>0</v>
      </c>
      <c r="D2206" s="1379">
        <v>10000</v>
      </c>
      <c r="E2206" s="1377">
        <f>C2206*D2206</f>
        <v>0</v>
      </c>
      <c r="F2206" s="1436"/>
      <c r="G2206" s="1375" t="s">
        <v>899</v>
      </c>
      <c r="H2206" s="1630" t="s">
        <v>965</v>
      </c>
      <c r="I2206" s="1433">
        <f>VLOOKUP(H2198,'CNKT '!$C$256:$Z$325,18,0)</f>
        <v>0</v>
      </c>
      <c r="J2206" s="1379">
        <v>10000</v>
      </c>
      <c r="K2206" s="1377">
        <f>I2206*J2206</f>
        <v>0</v>
      </c>
      <c r="L2206" s="1372"/>
    </row>
    <row r="2207" spans="1:12" s="31" customFormat="1" ht="17.25" customHeight="1">
      <c r="A2207" s="1375" t="s">
        <v>899</v>
      </c>
      <c r="B2207" s="1630" t="s">
        <v>965</v>
      </c>
      <c r="C2207" s="1433">
        <f>VLOOKUP(B2198,'CNKT '!$C$256:$Z$325,19,0)</f>
        <v>0</v>
      </c>
      <c r="D2207" s="1379">
        <v>20000</v>
      </c>
      <c r="E2207" s="1377">
        <f>C2207*D2207</f>
        <v>0</v>
      </c>
      <c r="F2207" s="1436"/>
      <c r="G2207" s="1375" t="s">
        <v>899</v>
      </c>
      <c r="H2207" s="1630" t="s">
        <v>965</v>
      </c>
      <c r="I2207" s="1433">
        <f>VLOOKUP(H2198,'CNKT '!$C$256:$Z$325,19,0)</f>
        <v>0</v>
      </c>
      <c r="J2207" s="1379">
        <v>20000</v>
      </c>
      <c r="K2207" s="1377">
        <f>I2207*J2207</f>
        <v>0</v>
      </c>
      <c r="L2207" s="1372"/>
    </row>
    <row r="2208" spans="1:12" s="31" customFormat="1" ht="17.25" customHeight="1">
      <c r="A2208" s="1381" t="s">
        <v>123</v>
      </c>
      <c r="B2208" s="1631" t="s">
        <v>1085</v>
      </c>
      <c r="C2208" s="1382"/>
      <c r="D2208" s="1383"/>
      <c r="E2208" s="1382"/>
      <c r="F2208" s="1436"/>
      <c r="G2208" s="1381" t="s">
        <v>123</v>
      </c>
      <c r="H2208" s="1631" t="s">
        <v>1085</v>
      </c>
      <c r="I2208" s="1382"/>
      <c r="J2208" s="1383"/>
      <c r="K2208" s="1382"/>
      <c r="L2208" s="1372"/>
    </row>
    <row r="2209" spans="1:12" s="31" customFormat="1" ht="17.25" customHeight="1">
      <c r="A2209" s="1384" t="s">
        <v>124</v>
      </c>
      <c r="B2209" s="1632" t="s">
        <v>1086</v>
      </c>
      <c r="C2209" s="1382"/>
      <c r="D2209" s="1382"/>
      <c r="E2209" s="1382"/>
      <c r="F2209" s="1436"/>
      <c r="G2209" s="1384" t="s">
        <v>124</v>
      </c>
      <c r="H2209" s="1632" t="s">
        <v>1086</v>
      </c>
      <c r="I2209" s="1382"/>
      <c r="J2209" s="1382"/>
      <c r="K2209" s="1382"/>
      <c r="L2209" s="1372"/>
    </row>
    <row r="2210" spans="1:12" s="31" customFormat="1" ht="17.25" customHeight="1">
      <c r="A2210" s="1384" t="s">
        <v>125</v>
      </c>
      <c r="B2210" s="1633" t="s">
        <v>1087</v>
      </c>
      <c r="C2210" s="1382"/>
      <c r="D2210" s="1382"/>
      <c r="E2210" s="1377">
        <f>SUM(E2209)</f>
        <v>0</v>
      </c>
      <c r="F2210" s="1423"/>
      <c r="G2210" s="1384" t="s">
        <v>125</v>
      </c>
      <c r="H2210" s="1633" t="s">
        <v>1087</v>
      </c>
      <c r="I2210" s="1382"/>
      <c r="J2210" s="1382"/>
      <c r="K2210" s="1377">
        <f>SUM(K2209)</f>
        <v>0</v>
      </c>
      <c r="L2210" s="1372"/>
    </row>
    <row r="2211" spans="1:12" s="31" customFormat="1" ht="17.25" customHeight="1">
      <c r="A2211" s="1386" t="s">
        <v>126</v>
      </c>
      <c r="B2211" s="1634" t="s">
        <v>871</v>
      </c>
      <c r="C2211" s="1387"/>
      <c r="D2211" s="1387"/>
      <c r="E2211" s="1387">
        <f>(E2200+E2201+E2202+E2203+E2204+E2205+E2206+E2207)-E2210</f>
        <v>0</v>
      </c>
      <c r="F2211" s="1423"/>
      <c r="G2211" s="1386" t="s">
        <v>126</v>
      </c>
      <c r="H2211" s="1634" t="s">
        <v>871</v>
      </c>
      <c r="I2211" s="1387"/>
      <c r="J2211" s="1387"/>
      <c r="K2211" s="1387">
        <f>(K2200+K2201+K2202+K2203+K2204+K2205+K2206+K2207)-K2210</f>
        <v>0</v>
      </c>
      <c r="L2211" s="1389">
        <f>E2211+K2211</f>
        <v>0</v>
      </c>
    </row>
    <row r="2212" spans="1:12" s="31" customFormat="1" ht="17.25" customHeight="1">
      <c r="A2212" s="1449"/>
      <c r="B2212" s="1449"/>
      <c r="C2212" s="1449"/>
      <c r="D2212" s="1449"/>
      <c r="E2212" s="1449"/>
      <c r="F2212" s="1449"/>
      <c r="G2212" s="1449"/>
      <c r="H2212" s="1449"/>
      <c r="I2212" s="1449"/>
      <c r="J2212" s="1449"/>
      <c r="K2212" s="1449"/>
      <c r="L2212" s="1372"/>
    </row>
    <row r="2213" spans="1:12" s="31" customFormat="1" ht="17.25" customHeight="1">
      <c r="A2213" s="1445" t="str">
        <f>A2197</f>
        <v>LƯƠNG THÁNG 01/2025</v>
      </c>
      <c r="B2213" s="1449"/>
      <c r="C2213" s="1449"/>
      <c r="D2213" s="1449"/>
      <c r="E2213" s="1452">
        <f>VLOOKUP(B2214,'CNKT '!$C$256:$AD$325,26,0)</f>
        <v>0</v>
      </c>
      <c r="F2213" s="1436"/>
      <c r="G2213" s="1445" t="str">
        <f>A2213</f>
        <v>LƯƠNG THÁNG 01/2025</v>
      </c>
      <c r="H2213" s="1449"/>
      <c r="I2213" s="1449"/>
      <c r="J2213" s="1452"/>
      <c r="K2213" s="1452">
        <f>VLOOKUP(H2214,'CNKT '!$C$256:$AD$325,26,0)</f>
        <v>0</v>
      </c>
      <c r="L2213" s="1372"/>
    </row>
    <row r="2214" spans="1:12" s="31" customFormat="1" ht="17.25" customHeight="1">
      <c r="A2214" s="1391" t="s">
        <v>29</v>
      </c>
      <c r="B2214" s="1626" t="str">
        <f>'CNKT '!C276</f>
        <v>N. Kẻ</v>
      </c>
      <c r="C2214" s="1376"/>
      <c r="D2214" s="1626" t="s">
        <v>806</v>
      </c>
      <c r="E2214" s="1626" t="s">
        <v>32</v>
      </c>
      <c r="F2214" s="1436"/>
      <c r="G2214" s="1391" t="s">
        <v>29</v>
      </c>
      <c r="H2214" s="1626" t="str">
        <f>'CNKT '!C277</f>
        <v>T. Chăn (4)</v>
      </c>
      <c r="I2214" s="1376"/>
      <c r="J2214" s="1626" t="s">
        <v>806</v>
      </c>
      <c r="K2214" s="1626" t="s">
        <v>32</v>
      </c>
      <c r="L2214" s="1372"/>
    </row>
    <row r="2215" spans="1:12" s="31" customFormat="1" ht="17.25" customHeight="1">
      <c r="A2215" s="1375" t="s">
        <v>807</v>
      </c>
      <c r="B2215" s="1628" t="s">
        <v>1080</v>
      </c>
      <c r="C2215" s="1376" t="str">
        <f>VLOOKUP(B2214,'BTH mủ tạp'!$C$246:$AL$314,36,0)</f>
        <v>C</v>
      </c>
      <c r="D2215" s="1377"/>
      <c r="E2215" s="1377"/>
      <c r="F2215" s="1436"/>
      <c r="G2215" s="1375" t="s">
        <v>807</v>
      </c>
      <c r="H2215" s="1628" t="s">
        <v>1080</v>
      </c>
      <c r="I2215" s="1376" t="str">
        <f>VLOOKUP(H2214,'BTH mủ tạp'!$C$246:$AL$314,36,0)</f>
        <v>B</v>
      </c>
      <c r="J2215" s="1377"/>
      <c r="K2215" s="1377"/>
      <c r="L2215" s="1372"/>
    </row>
    <row r="2216" spans="1:12" s="31" customFormat="1" ht="17.25" customHeight="1">
      <c r="A2216" s="1375" t="s">
        <v>121</v>
      </c>
      <c r="B2216" s="1629" t="s">
        <v>865</v>
      </c>
      <c r="C2216" s="1378">
        <f>VLOOKUP(B2214,'CNKT '!$C$256:$Z$316,3,0)</f>
        <v>0</v>
      </c>
      <c r="D2216" s="1379">
        <v>25000</v>
      </c>
      <c r="E2216" s="1377">
        <f t="shared" ref="E2216:E2221" si="259">C2216*D2216</f>
        <v>0</v>
      </c>
      <c r="F2216" s="1436"/>
      <c r="G2216" s="1375" t="s">
        <v>121</v>
      </c>
      <c r="H2216" s="1629" t="s">
        <v>865</v>
      </c>
      <c r="I2216" s="1378">
        <f>VLOOKUP(H2214,'CNKT '!$C$256:$Z$316,3,0)</f>
        <v>0</v>
      </c>
      <c r="J2216" s="1379">
        <v>25000</v>
      </c>
      <c r="K2216" s="1377">
        <f t="shared" ref="K2216:K2221" si="260">I2216*J2216</f>
        <v>0</v>
      </c>
      <c r="L2216" s="1372"/>
    </row>
    <row r="2217" spans="1:12" s="31" customFormat="1" ht="17.25" customHeight="1">
      <c r="A2217" s="1375" t="s">
        <v>628</v>
      </c>
      <c r="B2217" s="1630" t="s">
        <v>1081</v>
      </c>
      <c r="C2217" s="1433">
        <f>VLOOKUP(B2214,'CNKT '!$C$256:$Z$316,11,0)</f>
        <v>0</v>
      </c>
      <c r="D2217" s="1380">
        <f>46.1*$B$2</f>
        <v>30241.600000000002</v>
      </c>
      <c r="E2217" s="1377">
        <f t="shared" si="259"/>
        <v>0</v>
      </c>
      <c r="F2217" s="1436"/>
      <c r="G2217" s="1375" t="s">
        <v>628</v>
      </c>
      <c r="H2217" s="1630" t="s">
        <v>1081</v>
      </c>
      <c r="I2217" s="1433">
        <f>VLOOKUP(H2214,'CNKT '!$C$256:$Z$316,11,0)</f>
        <v>0</v>
      </c>
      <c r="J2217" s="1380">
        <f>46.1*$B$2</f>
        <v>30241.600000000002</v>
      </c>
      <c r="K2217" s="1377">
        <f t="shared" si="260"/>
        <v>0</v>
      </c>
      <c r="L2217" s="1372"/>
    </row>
    <row r="2218" spans="1:12" s="31" customFormat="1" ht="17.25" customHeight="1">
      <c r="A2218" s="1375" t="s">
        <v>809</v>
      </c>
      <c r="B2218" s="1630" t="s">
        <v>1082</v>
      </c>
      <c r="C2218" s="1433">
        <f>VLOOKUP(B2214,'CNKT '!$C$256:$Z$316,12,0)</f>
        <v>0</v>
      </c>
      <c r="D2218" s="1379">
        <f>76.9*$B$2</f>
        <v>50446.400000000001</v>
      </c>
      <c r="E2218" s="1377">
        <f t="shared" si="259"/>
        <v>0</v>
      </c>
      <c r="F2218" s="1436"/>
      <c r="G2218" s="1375" t="s">
        <v>809</v>
      </c>
      <c r="H2218" s="1630" t="s">
        <v>1082</v>
      </c>
      <c r="I2218" s="1433">
        <f>VLOOKUP(H2214,'CNKT '!$C$256:$Z$316,12,0)</f>
        <v>0</v>
      </c>
      <c r="J2218" s="1379">
        <f>76.9*$B$2</f>
        <v>50446.400000000001</v>
      </c>
      <c r="K2218" s="1377">
        <f t="shared" si="260"/>
        <v>0</v>
      </c>
      <c r="L2218" s="1372"/>
    </row>
    <row r="2219" spans="1:12" s="31" customFormat="1" ht="17.25" customHeight="1">
      <c r="A2219" s="1375" t="s">
        <v>122</v>
      </c>
      <c r="B2219" s="1630" t="s">
        <v>1083</v>
      </c>
      <c r="C2219" s="1433">
        <f>VLOOKUP(B2214,'CNKT '!$C$256:$Z$316,8,0)</f>
        <v>0</v>
      </c>
      <c r="D2219" s="1379">
        <f>IF(C2215="A",6.1,IF(C2215="B",5.8,IF(C2215="C",5.5,IF(C2215="C.",5.5,IF(C2215="D",5.2)))))*$B$2</f>
        <v>3608</v>
      </c>
      <c r="E2219" s="1377">
        <f t="shared" si="259"/>
        <v>0</v>
      </c>
      <c r="F2219" s="1436"/>
      <c r="G2219" s="1375" t="s">
        <v>122</v>
      </c>
      <c r="H2219" s="1630" t="s">
        <v>1083</v>
      </c>
      <c r="I2219" s="1433">
        <f>VLOOKUP(H2214,'CNKT '!$C$256:$Z$316,8,0)</f>
        <v>0</v>
      </c>
      <c r="J2219" s="1379">
        <f>IF(I2215="A",6.1,IF(I2215="B",5.8,IF(I2215="C",5.5,IF(I2215="C.",5.5,IF(I2215="D",5.2)))))*$B$2</f>
        <v>3804.7999999999997</v>
      </c>
      <c r="K2219" s="1377">
        <f t="shared" si="260"/>
        <v>0</v>
      </c>
      <c r="L2219" s="1372"/>
    </row>
    <row r="2220" spans="1:12" s="31" customFormat="1" ht="17.25" customHeight="1">
      <c r="A2220" s="1375" t="s">
        <v>885</v>
      </c>
      <c r="B2220" s="1630" t="s">
        <v>1084</v>
      </c>
      <c r="C2220" s="1433">
        <f>VLOOKUP(B2214,'CNKT '!$C$256:$Z$316,15,0)</f>
        <v>0</v>
      </c>
      <c r="D2220" s="1380">
        <f>92.2*$B$2</f>
        <v>60483.200000000004</v>
      </c>
      <c r="E2220" s="1377">
        <f t="shared" si="259"/>
        <v>0</v>
      </c>
      <c r="F2220" s="1436"/>
      <c r="G2220" s="1375" t="s">
        <v>885</v>
      </c>
      <c r="H2220" s="1630" t="s">
        <v>1084</v>
      </c>
      <c r="I2220" s="1433">
        <f>VLOOKUP(H2214,'CNKT '!$C$256:$Z$316,15,0)</f>
        <v>0</v>
      </c>
      <c r="J2220" s="1380">
        <f>92.2*$B$2</f>
        <v>60483.200000000004</v>
      </c>
      <c r="K2220" s="1377">
        <f t="shared" si="260"/>
        <v>0</v>
      </c>
      <c r="L2220" s="1372"/>
    </row>
    <row r="2221" spans="1:12" s="31" customFormat="1" ht="17.25" customHeight="1">
      <c r="A2221" s="1375" t="s">
        <v>886</v>
      </c>
      <c r="B2221" s="1630" t="s">
        <v>964</v>
      </c>
      <c r="C2221" s="1433">
        <f>VLOOKUP(B2214,'CNKT '!$C$256:$Z$316,14,0)</f>
        <v>0</v>
      </c>
      <c r="D2221" s="1379">
        <f>153.6*$B$2</f>
        <v>100761.59999999999</v>
      </c>
      <c r="E2221" s="1377">
        <f t="shared" si="259"/>
        <v>0</v>
      </c>
      <c r="F2221" s="1436"/>
      <c r="G2221" s="1375" t="s">
        <v>886</v>
      </c>
      <c r="H2221" s="1630" t="s">
        <v>964</v>
      </c>
      <c r="I2221" s="1433">
        <f>VLOOKUP(H2214,'CNKT '!$C$256:$Z$316,14,0)</f>
        <v>0</v>
      </c>
      <c r="J2221" s="1379">
        <f>153.6*$B$2</f>
        <v>100761.59999999999</v>
      </c>
      <c r="K2221" s="1377">
        <f t="shared" si="260"/>
        <v>0</v>
      </c>
      <c r="L2221" s="1372"/>
    </row>
    <row r="2222" spans="1:12" s="31" customFormat="1" ht="17.25" customHeight="1">
      <c r="A2222" s="1375" t="s">
        <v>899</v>
      </c>
      <c r="B2222" s="1630" t="s">
        <v>965</v>
      </c>
      <c r="C2222" s="1433">
        <f>VLOOKUP(B2214,'CNKT '!$C$256:$Z$325,18,0)</f>
        <v>0</v>
      </c>
      <c r="D2222" s="1379">
        <v>10000</v>
      </c>
      <c r="E2222" s="1377">
        <f>C2222*D2222</f>
        <v>0</v>
      </c>
      <c r="F2222" s="1436"/>
      <c r="G2222" s="1375" t="s">
        <v>899</v>
      </c>
      <c r="H2222" s="1630" t="s">
        <v>965</v>
      </c>
      <c r="I2222" s="1433">
        <f>VLOOKUP(H2214,'CNKT '!$C$256:$Z$325,18,0)</f>
        <v>0</v>
      </c>
      <c r="J2222" s="1379">
        <v>10000</v>
      </c>
      <c r="K2222" s="1377">
        <f>I2222*J2222</f>
        <v>0</v>
      </c>
      <c r="L2222" s="1372"/>
    </row>
    <row r="2223" spans="1:12" s="31" customFormat="1" ht="17.25" customHeight="1">
      <c r="A2223" s="1375" t="s">
        <v>899</v>
      </c>
      <c r="B2223" s="1630" t="s">
        <v>965</v>
      </c>
      <c r="C2223" s="1433">
        <f>VLOOKUP(B2214,'CNKT '!$C$256:$Z$325,19,0)</f>
        <v>0</v>
      </c>
      <c r="D2223" s="1379">
        <v>20000</v>
      </c>
      <c r="E2223" s="1377">
        <f>C2223*D2223</f>
        <v>0</v>
      </c>
      <c r="F2223" s="1436"/>
      <c r="G2223" s="1375" t="s">
        <v>899</v>
      </c>
      <c r="H2223" s="1630" t="s">
        <v>965</v>
      </c>
      <c r="I2223" s="1433">
        <f>VLOOKUP(H2214,'CNKT '!$C$256:$Z$325,19,0)</f>
        <v>0</v>
      </c>
      <c r="J2223" s="1379">
        <v>20000</v>
      </c>
      <c r="K2223" s="1377">
        <f>I2223*J2223</f>
        <v>0</v>
      </c>
      <c r="L2223" s="1372"/>
    </row>
    <row r="2224" spans="1:12" s="31" customFormat="1" ht="17.25" customHeight="1">
      <c r="A2224" s="1381" t="s">
        <v>123</v>
      </c>
      <c r="B2224" s="1631" t="s">
        <v>1085</v>
      </c>
      <c r="C2224" s="1382"/>
      <c r="D2224" s="1383"/>
      <c r="E2224" s="1382"/>
      <c r="F2224" s="1436"/>
      <c r="G2224" s="1381" t="s">
        <v>123</v>
      </c>
      <c r="H2224" s="1631" t="s">
        <v>1085</v>
      </c>
      <c r="I2224" s="1382"/>
      <c r="J2224" s="1383"/>
      <c r="K2224" s="1382"/>
      <c r="L2224" s="1372"/>
    </row>
    <row r="2225" spans="1:12" s="31" customFormat="1" ht="17.25" customHeight="1">
      <c r="A2225" s="1384" t="s">
        <v>124</v>
      </c>
      <c r="B2225" s="1632" t="s">
        <v>1086</v>
      </c>
      <c r="C2225" s="1382"/>
      <c r="D2225" s="1382"/>
      <c r="E2225" s="1382"/>
      <c r="F2225" s="1436"/>
      <c r="G2225" s="1384" t="s">
        <v>124</v>
      </c>
      <c r="H2225" s="1632" t="s">
        <v>1086</v>
      </c>
      <c r="I2225" s="1382"/>
      <c r="J2225" s="1382"/>
      <c r="K2225" s="1382"/>
      <c r="L2225" s="1372"/>
    </row>
    <row r="2226" spans="1:12" s="31" customFormat="1" ht="17.25" customHeight="1">
      <c r="A2226" s="1384" t="s">
        <v>125</v>
      </c>
      <c r="B2226" s="1633" t="s">
        <v>1087</v>
      </c>
      <c r="C2226" s="1382"/>
      <c r="D2226" s="1382"/>
      <c r="E2226" s="1377">
        <f>SUM(E2225)</f>
        <v>0</v>
      </c>
      <c r="F2226" s="1433"/>
      <c r="G2226" s="1384" t="s">
        <v>125</v>
      </c>
      <c r="H2226" s="1633" t="s">
        <v>1087</v>
      </c>
      <c r="I2226" s="1382"/>
      <c r="J2226" s="1382"/>
      <c r="K2226" s="1377">
        <f>SUM(K2225)</f>
        <v>0</v>
      </c>
      <c r="L2226" s="1372"/>
    </row>
    <row r="2227" spans="1:12" s="31" customFormat="1" ht="17.25" customHeight="1">
      <c r="A2227" s="1386" t="s">
        <v>126</v>
      </c>
      <c r="B2227" s="1634" t="s">
        <v>871</v>
      </c>
      <c r="C2227" s="1387"/>
      <c r="D2227" s="1387"/>
      <c r="E2227" s="1387">
        <f>(E2216+E2217+E2218+E2219+E2220+E2221+E2222+E2223)-E2226</f>
        <v>0</v>
      </c>
      <c r="F2227" s="1433"/>
      <c r="G2227" s="1386" t="s">
        <v>126</v>
      </c>
      <c r="H2227" s="1634" t="s">
        <v>871</v>
      </c>
      <c r="I2227" s="1387"/>
      <c r="J2227" s="1387"/>
      <c r="K2227" s="1387">
        <f>(K2216+K2217+K2218+K2219+K2220+K2221+K2222+K2223)-K2226</f>
        <v>0</v>
      </c>
      <c r="L2227" s="1389">
        <f>E2227+K2227</f>
        <v>0</v>
      </c>
    </row>
    <row r="2228" spans="1:12" s="31" customFormat="1" ht="64.5" customHeight="1">
      <c r="A2228" s="1449"/>
      <c r="B2228" s="1449"/>
      <c r="C2228" s="1449"/>
      <c r="D2228" s="1449"/>
      <c r="E2228" s="1449"/>
      <c r="F2228" s="1449"/>
      <c r="G2228" s="1449"/>
      <c r="H2228" s="1449"/>
      <c r="I2228" s="1449"/>
      <c r="J2228" s="1449"/>
      <c r="K2228" s="1449"/>
      <c r="L2228" s="1372"/>
    </row>
    <row r="2229" spans="1:12" s="31" customFormat="1" ht="17.25" customHeight="1">
      <c r="A2229" s="1445" t="str">
        <f>A2213</f>
        <v>LƯƠNG THÁNG 01/2025</v>
      </c>
      <c r="B2229" s="1449"/>
      <c r="C2229" s="1449"/>
      <c r="D2229" s="1449"/>
      <c r="E2229" s="1452">
        <f>VLOOKUP(B2230,'CNKT '!$C$256:$AD$325,26,0)</f>
        <v>0</v>
      </c>
      <c r="F2229" s="1436"/>
      <c r="G2229" s="1445" t="str">
        <f>A2229</f>
        <v>LƯƠNG THÁNG 01/2025</v>
      </c>
      <c r="H2229" s="1449"/>
      <c r="I2229" s="1449"/>
      <c r="J2229" s="1452"/>
      <c r="K2229" s="1452">
        <f>VLOOKUP(H2230,'CNKT '!$C$256:$AD$325,26,0)</f>
        <v>0</v>
      </c>
      <c r="L2229" s="1372"/>
    </row>
    <row r="2230" spans="1:12" s="31" customFormat="1" ht="17.25" customHeight="1">
      <c r="A2230" s="1391" t="s">
        <v>29</v>
      </c>
      <c r="B2230" s="1626" t="str">
        <f>'CNKT '!C278</f>
        <v>T.Mon</v>
      </c>
      <c r="C2230" s="1376"/>
      <c r="D2230" s="1626" t="s">
        <v>806</v>
      </c>
      <c r="E2230" s="1626" t="s">
        <v>32</v>
      </c>
      <c r="F2230" s="1436"/>
      <c r="G2230" s="1391" t="s">
        <v>29</v>
      </c>
      <c r="H2230" s="1626" t="str">
        <f>'CNKT '!C279</f>
        <v>N.. Đeng</v>
      </c>
      <c r="I2230" s="1376"/>
      <c r="J2230" s="1626" t="s">
        <v>806</v>
      </c>
      <c r="K2230" s="1626" t="s">
        <v>32</v>
      </c>
      <c r="L2230" s="1372"/>
    </row>
    <row r="2231" spans="1:12" s="31" customFormat="1" ht="17.25" customHeight="1">
      <c r="A2231" s="1375" t="s">
        <v>807</v>
      </c>
      <c r="B2231" s="1628" t="s">
        <v>1080</v>
      </c>
      <c r="C2231" s="1376" t="str">
        <f>VLOOKUP(B2230,'BTH mủ tạp'!$C$246:$AL$314,36,0)</f>
        <v>B</v>
      </c>
      <c r="D2231" s="1377"/>
      <c r="E2231" s="1377"/>
      <c r="F2231" s="1436"/>
      <c r="G2231" s="1375" t="s">
        <v>807</v>
      </c>
      <c r="H2231" s="1628" t="s">
        <v>1080</v>
      </c>
      <c r="I2231" s="1376" t="str">
        <f>VLOOKUP(H2230,'BTH mủ tạp'!$C$246:$AL$314,36,0)</f>
        <v>B</v>
      </c>
      <c r="J2231" s="1377"/>
      <c r="K2231" s="1377"/>
      <c r="L2231" s="1372"/>
    </row>
    <row r="2232" spans="1:12" s="31" customFormat="1" ht="17.25" customHeight="1">
      <c r="A2232" s="1375" t="s">
        <v>121</v>
      </c>
      <c r="B2232" s="1629" t="s">
        <v>865</v>
      </c>
      <c r="C2232" s="1378">
        <f>VLOOKUP(B2230,'CNKT '!$C$256:$Z$316,3,0)</f>
        <v>0</v>
      </c>
      <c r="D2232" s="1379">
        <v>25000</v>
      </c>
      <c r="E2232" s="1377">
        <f t="shared" ref="E2232:E2237" si="261">C2232*D2232</f>
        <v>0</v>
      </c>
      <c r="F2232" s="1436"/>
      <c r="G2232" s="1375" t="s">
        <v>121</v>
      </c>
      <c r="H2232" s="1629" t="s">
        <v>865</v>
      </c>
      <c r="I2232" s="1378">
        <f>VLOOKUP(H2230,'CNKT '!$C$256:$Z$316,3,0)</f>
        <v>0</v>
      </c>
      <c r="J2232" s="1379">
        <v>25000</v>
      </c>
      <c r="K2232" s="1377">
        <f t="shared" ref="K2232:K2237" si="262">I2232*J2232</f>
        <v>0</v>
      </c>
      <c r="L2232" s="1372"/>
    </row>
    <row r="2233" spans="1:12" s="31" customFormat="1" ht="17.25" customHeight="1">
      <c r="A2233" s="1375" t="s">
        <v>628</v>
      </c>
      <c r="B2233" s="1630" t="s">
        <v>1081</v>
      </c>
      <c r="C2233" s="1433">
        <f>VLOOKUP(B2230,'CNKT '!$C$256:$Z$316,11,0)</f>
        <v>0</v>
      </c>
      <c r="D2233" s="1380">
        <f>46.1*$B$2</f>
        <v>30241.600000000002</v>
      </c>
      <c r="E2233" s="1377">
        <f t="shared" si="261"/>
        <v>0</v>
      </c>
      <c r="F2233" s="1436"/>
      <c r="G2233" s="1375" t="s">
        <v>628</v>
      </c>
      <c r="H2233" s="1630" t="s">
        <v>1081</v>
      </c>
      <c r="I2233" s="1433">
        <f>VLOOKUP(H2230,'CNKT '!$C$256:$Z$316,11,0)</f>
        <v>0</v>
      </c>
      <c r="J2233" s="1380">
        <f>46.1*$B$2</f>
        <v>30241.600000000002</v>
      </c>
      <c r="K2233" s="1377">
        <f t="shared" si="262"/>
        <v>0</v>
      </c>
      <c r="L2233" s="1372"/>
    </row>
    <row r="2234" spans="1:12" s="31" customFormat="1" ht="17.25" customHeight="1">
      <c r="A2234" s="1375" t="s">
        <v>809</v>
      </c>
      <c r="B2234" s="1630" t="s">
        <v>1082</v>
      </c>
      <c r="C2234" s="1433">
        <f>VLOOKUP(B2230,'CNKT '!$C$256:$Z$316,12,0)</f>
        <v>0</v>
      </c>
      <c r="D2234" s="1379">
        <f>76.9*$B$2</f>
        <v>50446.400000000001</v>
      </c>
      <c r="E2234" s="1377">
        <f t="shared" si="261"/>
        <v>0</v>
      </c>
      <c r="F2234" s="1436"/>
      <c r="G2234" s="1375" t="s">
        <v>809</v>
      </c>
      <c r="H2234" s="1630" t="s">
        <v>1082</v>
      </c>
      <c r="I2234" s="1433">
        <f>VLOOKUP(H2230,'CNKT '!$C$256:$Z$316,12,0)</f>
        <v>0</v>
      </c>
      <c r="J2234" s="1379">
        <f>76.9*$B$2</f>
        <v>50446.400000000001</v>
      </c>
      <c r="K2234" s="1377">
        <f t="shared" si="262"/>
        <v>0</v>
      </c>
      <c r="L2234" s="1372"/>
    </row>
    <row r="2235" spans="1:12" s="31" customFormat="1" ht="17.25" customHeight="1">
      <c r="A2235" s="1375" t="s">
        <v>122</v>
      </c>
      <c r="B2235" s="1630" t="s">
        <v>1083</v>
      </c>
      <c r="C2235" s="1433">
        <f>VLOOKUP(B2230,'CNKT '!$C$256:$Z$316,8,0)</f>
        <v>0</v>
      </c>
      <c r="D2235" s="1379">
        <f>IF(C2231="A",6.1,IF(C2231="B",5.8,IF(C2231="C",5.5,IF(C2231="C.",5.5,IF(C2231="D",5.2)))))*$B$2</f>
        <v>3804.7999999999997</v>
      </c>
      <c r="E2235" s="1377">
        <f t="shared" si="261"/>
        <v>0</v>
      </c>
      <c r="F2235" s="1436"/>
      <c r="G2235" s="1375" t="s">
        <v>122</v>
      </c>
      <c r="H2235" s="1630" t="s">
        <v>1083</v>
      </c>
      <c r="I2235" s="1433">
        <f>VLOOKUP(H2230,'CNKT '!$C$256:$Z$316,8,0)</f>
        <v>0</v>
      </c>
      <c r="J2235" s="1379">
        <f>IF(I2231="A",6.1,IF(I2231="B",5.8,IF(I2231="C",5.5,IF(I2231="C.",5.5,IF(I2231="D",5.2)))))*$B$2</f>
        <v>3804.7999999999997</v>
      </c>
      <c r="K2235" s="1377">
        <f t="shared" si="262"/>
        <v>0</v>
      </c>
      <c r="L2235" s="1372"/>
    </row>
    <row r="2236" spans="1:12" s="31" customFormat="1" ht="17.25" customHeight="1">
      <c r="A2236" s="1375" t="s">
        <v>885</v>
      </c>
      <c r="B2236" s="1630" t="s">
        <v>1084</v>
      </c>
      <c r="C2236" s="1433">
        <f>VLOOKUP(B2230,'CNKT '!$C$256:$Z$316,15,0)</f>
        <v>0</v>
      </c>
      <c r="D2236" s="1380">
        <f>92.2*$B$2</f>
        <v>60483.200000000004</v>
      </c>
      <c r="E2236" s="1377">
        <f t="shared" si="261"/>
        <v>0</v>
      </c>
      <c r="F2236" s="1436"/>
      <c r="G2236" s="1375" t="s">
        <v>885</v>
      </c>
      <c r="H2236" s="1630" t="s">
        <v>1084</v>
      </c>
      <c r="I2236" s="1433">
        <f>VLOOKUP(H2230,'CNKT '!$C$256:$Z$316,15,0)</f>
        <v>0</v>
      </c>
      <c r="J2236" s="1380">
        <f>92.2*$B$2</f>
        <v>60483.200000000004</v>
      </c>
      <c r="K2236" s="1377">
        <f t="shared" si="262"/>
        <v>0</v>
      </c>
      <c r="L2236" s="1372"/>
    </row>
    <row r="2237" spans="1:12" s="31" customFormat="1" ht="17.25" customHeight="1">
      <c r="A2237" s="1375" t="s">
        <v>886</v>
      </c>
      <c r="B2237" s="1630" t="s">
        <v>964</v>
      </c>
      <c r="C2237" s="1433">
        <f>VLOOKUP(B2230,'CNKT '!$C$256:$Z$316,14,0)</f>
        <v>0</v>
      </c>
      <c r="D2237" s="1379">
        <f>153.6*$B$2</f>
        <v>100761.59999999999</v>
      </c>
      <c r="E2237" s="1377">
        <f t="shared" si="261"/>
        <v>0</v>
      </c>
      <c r="F2237" s="1436"/>
      <c r="G2237" s="1375" t="s">
        <v>886</v>
      </c>
      <c r="H2237" s="1630" t="s">
        <v>964</v>
      </c>
      <c r="I2237" s="1433">
        <f>VLOOKUP(H2230,'CNKT '!$C$256:$Z$316,14,0)</f>
        <v>0</v>
      </c>
      <c r="J2237" s="1379">
        <f>153.6*$B$2</f>
        <v>100761.59999999999</v>
      </c>
      <c r="K2237" s="1377">
        <f t="shared" si="262"/>
        <v>0</v>
      </c>
      <c r="L2237" s="1372"/>
    </row>
    <row r="2238" spans="1:12" s="31" customFormat="1" ht="17.25" customHeight="1">
      <c r="A2238" s="1375" t="s">
        <v>899</v>
      </c>
      <c r="B2238" s="1630" t="s">
        <v>965</v>
      </c>
      <c r="C2238" s="1433">
        <f>VLOOKUP(B2230,'CNKT '!$C$256:$Z$325,18,0)</f>
        <v>0</v>
      </c>
      <c r="D2238" s="1379">
        <v>10000</v>
      </c>
      <c r="E2238" s="1377">
        <f>C2238*D2238</f>
        <v>0</v>
      </c>
      <c r="F2238" s="1436"/>
      <c r="G2238" s="1375" t="s">
        <v>899</v>
      </c>
      <c r="H2238" s="1630" t="s">
        <v>965</v>
      </c>
      <c r="I2238" s="1433">
        <f>VLOOKUP(H2230,'CNKT '!$C$256:$Z$325,18,0)</f>
        <v>0</v>
      </c>
      <c r="J2238" s="1379">
        <v>10000</v>
      </c>
      <c r="K2238" s="1377">
        <f>I2238*J2238</f>
        <v>0</v>
      </c>
      <c r="L2238" s="1372"/>
    </row>
    <row r="2239" spans="1:12" s="31" customFormat="1" ht="17.25" customHeight="1">
      <c r="A2239" s="1375" t="s">
        <v>899</v>
      </c>
      <c r="B2239" s="1630" t="s">
        <v>965</v>
      </c>
      <c r="C2239" s="1433">
        <f>VLOOKUP(B2230,'CNKT '!$C$256:$Z$325,19,0)</f>
        <v>0</v>
      </c>
      <c r="D2239" s="1379">
        <v>20000</v>
      </c>
      <c r="E2239" s="1377">
        <f>C2239*D2239</f>
        <v>0</v>
      </c>
      <c r="F2239" s="1436"/>
      <c r="G2239" s="1375" t="s">
        <v>899</v>
      </c>
      <c r="H2239" s="1630" t="s">
        <v>965</v>
      </c>
      <c r="I2239" s="1433">
        <f>VLOOKUP(H2230,'CNKT '!$C$256:$Z$325,19,0)</f>
        <v>0</v>
      </c>
      <c r="J2239" s="1379">
        <v>20000</v>
      </c>
      <c r="K2239" s="1377">
        <f>I2239*J2239</f>
        <v>0</v>
      </c>
      <c r="L2239" s="1372"/>
    </row>
    <row r="2240" spans="1:12" s="31" customFormat="1" ht="17.25" customHeight="1">
      <c r="A2240" s="1381" t="s">
        <v>123</v>
      </c>
      <c r="B2240" s="1631" t="s">
        <v>1085</v>
      </c>
      <c r="C2240" s="1382"/>
      <c r="D2240" s="1383"/>
      <c r="E2240" s="1382"/>
      <c r="F2240" s="1436"/>
      <c r="G2240" s="1381" t="s">
        <v>123</v>
      </c>
      <c r="H2240" s="1631" t="s">
        <v>1085</v>
      </c>
      <c r="I2240" s="1382"/>
      <c r="J2240" s="1383"/>
      <c r="K2240" s="1382"/>
      <c r="L2240" s="1372"/>
    </row>
    <row r="2241" spans="1:12" s="31" customFormat="1" ht="17.25" customHeight="1">
      <c r="A2241" s="1384" t="s">
        <v>124</v>
      </c>
      <c r="B2241" s="1632" t="s">
        <v>1086</v>
      </c>
      <c r="C2241" s="1382"/>
      <c r="D2241" s="1382"/>
      <c r="E2241" s="1382"/>
      <c r="F2241" s="1436"/>
      <c r="G2241" s="1384" t="s">
        <v>124</v>
      </c>
      <c r="H2241" s="1632" t="s">
        <v>1086</v>
      </c>
      <c r="I2241" s="1382"/>
      <c r="J2241" s="1382"/>
      <c r="K2241" s="1382"/>
      <c r="L2241" s="1372"/>
    </row>
    <row r="2242" spans="1:12" s="31" customFormat="1" ht="17.25" customHeight="1">
      <c r="A2242" s="1384" t="s">
        <v>125</v>
      </c>
      <c r="B2242" s="1633" t="s">
        <v>1087</v>
      </c>
      <c r="C2242" s="1382"/>
      <c r="D2242" s="1382"/>
      <c r="E2242" s="1377">
        <f>SUM(E2241)</f>
        <v>0</v>
      </c>
      <c r="F2242" s="1435"/>
      <c r="G2242" s="1384" t="s">
        <v>125</v>
      </c>
      <c r="H2242" s="1633" t="s">
        <v>1087</v>
      </c>
      <c r="I2242" s="1382"/>
      <c r="J2242" s="1382"/>
      <c r="K2242" s="1377">
        <f>SUM(K2241)</f>
        <v>0</v>
      </c>
      <c r="L2242" s="1372"/>
    </row>
    <row r="2243" spans="1:12" s="31" customFormat="1" ht="17.25" customHeight="1">
      <c r="A2243" s="1386" t="s">
        <v>126</v>
      </c>
      <c r="B2243" s="1634" t="s">
        <v>871</v>
      </c>
      <c r="C2243" s="1387"/>
      <c r="D2243" s="1387"/>
      <c r="E2243" s="1387">
        <f>(E2232+E2233+E2234+E2235+E2236+E2237+E2238+E2239)-E2242</f>
        <v>0</v>
      </c>
      <c r="F2243" s="1435"/>
      <c r="G2243" s="1386" t="s">
        <v>126</v>
      </c>
      <c r="H2243" s="1634" t="s">
        <v>871</v>
      </c>
      <c r="I2243" s="1387"/>
      <c r="J2243" s="1387"/>
      <c r="K2243" s="1387">
        <f>(K2232+K2233+K2234+K2235+K2236+K2237+K2238+K2239)-K2242</f>
        <v>0</v>
      </c>
      <c r="L2243" s="1389">
        <f>E2243+K2243</f>
        <v>0</v>
      </c>
    </row>
    <row r="2244" spans="1:12" s="31" customFormat="1" ht="17.25" customHeight="1">
      <c r="A2244" s="1449"/>
      <c r="B2244" s="1449"/>
      <c r="C2244" s="1449"/>
      <c r="D2244" s="1449"/>
      <c r="E2244" s="1449"/>
      <c r="F2244" s="1449"/>
      <c r="G2244" s="1449"/>
      <c r="H2244" s="1449"/>
      <c r="I2244" s="1449"/>
      <c r="J2244" s="1449"/>
      <c r="K2244" s="1449"/>
      <c r="L2244" s="1372"/>
    </row>
    <row r="2245" spans="1:12" s="31" customFormat="1" ht="17.25" customHeight="1">
      <c r="A2245" s="1445" t="str">
        <f>A2229</f>
        <v>LƯƠNG THÁNG 01/2025</v>
      </c>
      <c r="B2245" s="1449"/>
      <c r="C2245" s="1449"/>
      <c r="D2245" s="1449"/>
      <c r="E2245" s="1452">
        <f>VLOOKUP(B2246,'CNKT '!$C$256:$AD$325,26,0)</f>
        <v>0</v>
      </c>
      <c r="F2245" s="1436"/>
      <c r="G2245" s="1445" t="str">
        <f>A2245</f>
        <v>LƯƠNG THÁNG 01/2025</v>
      </c>
      <c r="H2245" s="1449"/>
      <c r="I2245" s="1449"/>
      <c r="J2245" s="1452"/>
      <c r="K2245" s="1452">
        <f>VLOOKUP(H2246,'CNKT '!$C$256:$AD$325,26,0)</f>
        <v>0</v>
      </c>
      <c r="L2245" s="1372"/>
    </row>
    <row r="2246" spans="1:12" s="31" customFormat="1" ht="17.25" customHeight="1">
      <c r="A2246" s="1391" t="s">
        <v>29</v>
      </c>
      <c r="B2246" s="1626" t="str">
        <f>'CNKT '!C280</f>
        <v>T. Cơ</v>
      </c>
      <c r="C2246" s="1376"/>
      <c r="D2246" s="1626" t="s">
        <v>806</v>
      </c>
      <c r="E2246" s="1626" t="s">
        <v>32</v>
      </c>
      <c r="F2246" s="1436"/>
      <c r="G2246" s="1391" t="s">
        <v>29</v>
      </c>
      <c r="H2246" s="1626" t="str">
        <f>'CNKT '!C281</f>
        <v>T Phết</v>
      </c>
      <c r="I2246" s="1376"/>
      <c r="J2246" s="1626" t="s">
        <v>806</v>
      </c>
      <c r="K2246" s="1626" t="s">
        <v>32</v>
      </c>
      <c r="L2246" s="1372"/>
    </row>
    <row r="2247" spans="1:12" s="31" customFormat="1" ht="17.25" customHeight="1">
      <c r="A2247" s="1375" t="s">
        <v>807</v>
      </c>
      <c r="B2247" s="1628" t="s">
        <v>1080</v>
      </c>
      <c r="C2247" s="1376" t="str">
        <f>VLOOKUP(B2246,'BTH mủ tạp'!$C$246:$AL$314,36,0)</f>
        <v>C</v>
      </c>
      <c r="D2247" s="1377"/>
      <c r="E2247" s="1377"/>
      <c r="F2247" s="1436"/>
      <c r="G2247" s="1375" t="s">
        <v>807</v>
      </c>
      <c r="H2247" s="1628" t="s">
        <v>1080</v>
      </c>
      <c r="I2247" s="1376" t="str">
        <f>VLOOKUP(H2246,'BTH mủ tạp'!$C$246:$AL$314,36,0)</f>
        <v>B</v>
      </c>
      <c r="J2247" s="1377"/>
      <c r="K2247" s="1377"/>
      <c r="L2247" s="1372"/>
    </row>
    <row r="2248" spans="1:12" s="31" customFormat="1" ht="17.25" customHeight="1">
      <c r="A2248" s="1375" t="s">
        <v>121</v>
      </c>
      <c r="B2248" s="1629" t="s">
        <v>865</v>
      </c>
      <c r="C2248" s="1378">
        <f>VLOOKUP(B2246,'CNKT '!$C$256:$Z$316,3,0)</f>
        <v>0</v>
      </c>
      <c r="D2248" s="1379">
        <v>25000</v>
      </c>
      <c r="E2248" s="1377">
        <f t="shared" ref="E2248:E2253" si="263">C2248*D2248</f>
        <v>0</v>
      </c>
      <c r="F2248" s="1436"/>
      <c r="G2248" s="1375" t="s">
        <v>121</v>
      </c>
      <c r="H2248" s="1629" t="s">
        <v>865</v>
      </c>
      <c r="I2248" s="1378">
        <f>VLOOKUP(H2246,'CNKT '!$C$256:$Z$316,3,0)</f>
        <v>0</v>
      </c>
      <c r="J2248" s="1379">
        <v>25000</v>
      </c>
      <c r="K2248" s="1377">
        <f t="shared" ref="K2248:K2253" si="264">I2248*J2248</f>
        <v>0</v>
      </c>
      <c r="L2248" s="1372"/>
    </row>
    <row r="2249" spans="1:12" s="31" customFormat="1" ht="17.25" customHeight="1">
      <c r="A2249" s="1375" t="s">
        <v>628</v>
      </c>
      <c r="B2249" s="1630" t="s">
        <v>1081</v>
      </c>
      <c r="C2249" s="1433">
        <f>VLOOKUP(B2246,'CNKT '!$C$256:$Z$316,11,0)</f>
        <v>0</v>
      </c>
      <c r="D2249" s="1380">
        <f>46.1*$B$2</f>
        <v>30241.600000000002</v>
      </c>
      <c r="E2249" s="1377">
        <f t="shared" si="263"/>
        <v>0</v>
      </c>
      <c r="F2249" s="1436"/>
      <c r="G2249" s="1375" t="s">
        <v>628</v>
      </c>
      <c r="H2249" s="1630" t="s">
        <v>1081</v>
      </c>
      <c r="I2249" s="1433">
        <f>VLOOKUP(H2246,'CNKT '!$C$256:$Z$316,11,0)</f>
        <v>0</v>
      </c>
      <c r="J2249" s="1380">
        <f>46.1*$B$2</f>
        <v>30241.600000000002</v>
      </c>
      <c r="K2249" s="1377">
        <f t="shared" si="264"/>
        <v>0</v>
      </c>
      <c r="L2249" s="1372"/>
    </row>
    <row r="2250" spans="1:12" s="31" customFormat="1" ht="17.25" customHeight="1">
      <c r="A2250" s="1375" t="s">
        <v>809</v>
      </c>
      <c r="B2250" s="1630" t="s">
        <v>1082</v>
      </c>
      <c r="C2250" s="1433">
        <f>VLOOKUP(B2246,'CNKT '!$C$256:$Z$316,12,0)</f>
        <v>0</v>
      </c>
      <c r="D2250" s="1379">
        <f>76.9*$B$2</f>
        <v>50446.400000000001</v>
      </c>
      <c r="E2250" s="1377">
        <f t="shared" si="263"/>
        <v>0</v>
      </c>
      <c r="F2250" s="1436"/>
      <c r="G2250" s="1375" t="s">
        <v>809</v>
      </c>
      <c r="H2250" s="1630" t="s">
        <v>1082</v>
      </c>
      <c r="I2250" s="1433">
        <f>VLOOKUP(H2246,'CNKT '!$C$256:$Z$316,12,0)</f>
        <v>0</v>
      </c>
      <c r="J2250" s="1379">
        <f>76.9*$B$2</f>
        <v>50446.400000000001</v>
      </c>
      <c r="K2250" s="1377">
        <f t="shared" si="264"/>
        <v>0</v>
      </c>
      <c r="L2250" s="1372"/>
    </row>
    <row r="2251" spans="1:12" s="31" customFormat="1" ht="17.25" customHeight="1">
      <c r="A2251" s="1375" t="s">
        <v>122</v>
      </c>
      <c r="B2251" s="1630" t="s">
        <v>1083</v>
      </c>
      <c r="C2251" s="1433">
        <f>VLOOKUP(B2246,'CNKT '!$C$256:$Z$316,8,0)</f>
        <v>0</v>
      </c>
      <c r="D2251" s="1379">
        <f>IF(C2247="A",6.1,IF(C2247="B",5.8,IF(C2247="C",5.5,IF(C2247="C.",5.5,IF(C2247="D",5.2)))))*$B$2</f>
        <v>3608</v>
      </c>
      <c r="E2251" s="1377">
        <f t="shared" si="263"/>
        <v>0</v>
      </c>
      <c r="F2251" s="1436"/>
      <c r="G2251" s="1375" t="s">
        <v>122</v>
      </c>
      <c r="H2251" s="1630" t="s">
        <v>1083</v>
      </c>
      <c r="I2251" s="1433">
        <f>VLOOKUP(H2246,'CNKT '!$C$256:$Z$316,8,0)</f>
        <v>0</v>
      </c>
      <c r="J2251" s="1379">
        <f>IF(I2247="A",6.1,IF(I2247="B",5.8,IF(I2247="C",5.5,IF(I2247="C.",5.5,IF(I2247="D",5.2)))))*$B$2</f>
        <v>3804.7999999999997</v>
      </c>
      <c r="K2251" s="1377">
        <f t="shared" si="264"/>
        <v>0</v>
      </c>
      <c r="L2251" s="1372"/>
    </row>
    <row r="2252" spans="1:12" s="31" customFormat="1" ht="17.25" customHeight="1">
      <c r="A2252" s="1375" t="s">
        <v>885</v>
      </c>
      <c r="B2252" s="1630" t="s">
        <v>1084</v>
      </c>
      <c r="C2252" s="1433">
        <f>VLOOKUP(B2246,'CNKT '!$C$256:$Z$316,15,0)</f>
        <v>0</v>
      </c>
      <c r="D2252" s="1380">
        <f>92.2*$B$2</f>
        <v>60483.200000000004</v>
      </c>
      <c r="E2252" s="1377">
        <f t="shared" si="263"/>
        <v>0</v>
      </c>
      <c r="F2252" s="1436"/>
      <c r="G2252" s="1375" t="s">
        <v>885</v>
      </c>
      <c r="H2252" s="1630" t="s">
        <v>1084</v>
      </c>
      <c r="I2252" s="1433">
        <f>VLOOKUP(H2246,'CNKT '!$C$256:$Z$316,15,0)</f>
        <v>0</v>
      </c>
      <c r="J2252" s="1380">
        <f>92.2*$B$2</f>
        <v>60483.200000000004</v>
      </c>
      <c r="K2252" s="1377">
        <f t="shared" si="264"/>
        <v>0</v>
      </c>
      <c r="L2252" s="1372"/>
    </row>
    <row r="2253" spans="1:12" s="31" customFormat="1" ht="17.25" customHeight="1">
      <c r="A2253" s="1375" t="s">
        <v>886</v>
      </c>
      <c r="B2253" s="1630" t="s">
        <v>964</v>
      </c>
      <c r="C2253" s="1433">
        <f>VLOOKUP(B2246,'CNKT '!$C$256:$Z$316,14,0)</f>
        <v>0</v>
      </c>
      <c r="D2253" s="1379">
        <f>153.6*$B$2</f>
        <v>100761.59999999999</v>
      </c>
      <c r="E2253" s="1377">
        <f t="shared" si="263"/>
        <v>0</v>
      </c>
      <c r="F2253" s="1436"/>
      <c r="G2253" s="1375" t="s">
        <v>886</v>
      </c>
      <c r="H2253" s="1630" t="s">
        <v>964</v>
      </c>
      <c r="I2253" s="1433">
        <f>VLOOKUP(H2246,'CNKT '!$C$256:$Z$316,14,0)</f>
        <v>0</v>
      </c>
      <c r="J2253" s="1379">
        <f>153.6*$B$2</f>
        <v>100761.59999999999</v>
      </c>
      <c r="K2253" s="1377">
        <f t="shared" si="264"/>
        <v>0</v>
      </c>
      <c r="L2253" s="1372"/>
    </row>
    <row r="2254" spans="1:12" s="31" customFormat="1" ht="17.25" customHeight="1">
      <c r="A2254" s="1375" t="s">
        <v>899</v>
      </c>
      <c r="B2254" s="1630" t="s">
        <v>965</v>
      </c>
      <c r="C2254" s="1433">
        <f>VLOOKUP(B2246,'CNKT '!$C$256:$Z$325,18,0)</f>
        <v>0</v>
      </c>
      <c r="D2254" s="1379">
        <v>10000</v>
      </c>
      <c r="E2254" s="1377">
        <f>C2254*D2254</f>
        <v>0</v>
      </c>
      <c r="F2254" s="1436"/>
      <c r="G2254" s="1375" t="s">
        <v>899</v>
      </c>
      <c r="H2254" s="1630" t="s">
        <v>965</v>
      </c>
      <c r="I2254" s="1433">
        <f>VLOOKUP(H2246,'CNKT '!$C$256:$Z$325,18,0)</f>
        <v>0</v>
      </c>
      <c r="J2254" s="1379">
        <v>10000</v>
      </c>
      <c r="K2254" s="1377">
        <f>I2254*J2254</f>
        <v>0</v>
      </c>
      <c r="L2254" s="1372"/>
    </row>
    <row r="2255" spans="1:12" s="31" customFormat="1" ht="17.25" customHeight="1">
      <c r="A2255" s="1375" t="s">
        <v>899</v>
      </c>
      <c r="B2255" s="1630" t="s">
        <v>965</v>
      </c>
      <c r="C2255" s="1433">
        <f>VLOOKUP(B2246,'CNKT '!$C$256:$Z$325,19,0)</f>
        <v>0</v>
      </c>
      <c r="D2255" s="1379">
        <v>20000</v>
      </c>
      <c r="E2255" s="1377">
        <f>C2255*D2255</f>
        <v>0</v>
      </c>
      <c r="F2255" s="1436"/>
      <c r="G2255" s="1375" t="s">
        <v>899</v>
      </c>
      <c r="H2255" s="1630" t="s">
        <v>965</v>
      </c>
      <c r="I2255" s="1433">
        <f>VLOOKUP(H2246,'CNKT '!$C$256:$Z$325,19,0)</f>
        <v>0</v>
      </c>
      <c r="J2255" s="1379">
        <v>20000</v>
      </c>
      <c r="K2255" s="1377">
        <f>I2255*J2255</f>
        <v>0</v>
      </c>
      <c r="L2255" s="1372"/>
    </row>
    <row r="2256" spans="1:12" s="31" customFormat="1" ht="17.25" customHeight="1">
      <c r="A2256" s="1381" t="s">
        <v>123</v>
      </c>
      <c r="B2256" s="1631" t="s">
        <v>1085</v>
      </c>
      <c r="C2256" s="1382"/>
      <c r="D2256" s="1383"/>
      <c r="E2256" s="1382"/>
      <c r="F2256" s="1436"/>
      <c r="G2256" s="1381" t="s">
        <v>123</v>
      </c>
      <c r="H2256" s="1631" t="s">
        <v>1085</v>
      </c>
      <c r="I2256" s="1382"/>
      <c r="J2256" s="1383"/>
      <c r="K2256" s="1382"/>
      <c r="L2256" s="1372"/>
    </row>
    <row r="2257" spans="1:12" s="31" customFormat="1" ht="17.25" customHeight="1">
      <c r="A2257" s="1384" t="s">
        <v>124</v>
      </c>
      <c r="B2257" s="1632" t="s">
        <v>1086</v>
      </c>
      <c r="C2257" s="1382"/>
      <c r="D2257" s="1382"/>
      <c r="E2257" s="1382"/>
      <c r="F2257" s="1436"/>
      <c r="G2257" s="1384" t="s">
        <v>124</v>
      </c>
      <c r="H2257" s="1632" t="s">
        <v>1086</v>
      </c>
      <c r="I2257" s="1382"/>
      <c r="J2257" s="1382"/>
      <c r="K2257" s="1382"/>
      <c r="L2257" s="1372"/>
    </row>
    <row r="2258" spans="1:12" s="31" customFormat="1" ht="17.25" customHeight="1">
      <c r="A2258" s="1384" t="s">
        <v>125</v>
      </c>
      <c r="B2258" s="1633" t="s">
        <v>1087</v>
      </c>
      <c r="C2258" s="1382"/>
      <c r="D2258" s="1382"/>
      <c r="E2258" s="1377">
        <f>SUM(E2257)</f>
        <v>0</v>
      </c>
      <c r="F2258" s="1423"/>
      <c r="G2258" s="1384" t="s">
        <v>125</v>
      </c>
      <c r="H2258" s="1633" t="s">
        <v>1087</v>
      </c>
      <c r="I2258" s="1382"/>
      <c r="J2258" s="1382"/>
      <c r="K2258" s="1377">
        <f>SUM(K2257)</f>
        <v>0</v>
      </c>
      <c r="L2258" s="1372"/>
    </row>
    <row r="2259" spans="1:12" s="31" customFormat="1" ht="17.25" customHeight="1">
      <c r="A2259" s="1386" t="s">
        <v>126</v>
      </c>
      <c r="B2259" s="1634" t="s">
        <v>871</v>
      </c>
      <c r="C2259" s="1387"/>
      <c r="D2259" s="1387"/>
      <c r="E2259" s="1387">
        <f>(E2248+E2249+E2250+E2251+E2252+E2253+E2254+E2255)-E2258</f>
        <v>0</v>
      </c>
      <c r="F2259" s="1423"/>
      <c r="G2259" s="1386" t="s">
        <v>126</v>
      </c>
      <c r="H2259" s="1634" t="s">
        <v>871</v>
      </c>
      <c r="I2259" s="1387"/>
      <c r="J2259" s="1387"/>
      <c r="K2259" s="1387">
        <f>(K2248+K2249+K2250+K2251+K2252+K2253+K2254+K2255)-K2258</f>
        <v>0</v>
      </c>
      <c r="L2259" s="1389">
        <f>E2259+K2259</f>
        <v>0</v>
      </c>
    </row>
    <row r="2260" spans="1:12" s="31" customFormat="1" ht="17.25" customHeight="1">
      <c r="A2260" s="1449"/>
      <c r="B2260" s="1449"/>
      <c r="C2260" s="1449"/>
      <c r="D2260" s="1449"/>
      <c r="E2260" s="1449"/>
      <c r="F2260" s="1449"/>
      <c r="G2260" s="1449"/>
      <c r="H2260" s="1449"/>
      <c r="I2260" s="1449"/>
      <c r="J2260" s="1449"/>
      <c r="K2260" s="1449"/>
      <c r="L2260" s="1372"/>
    </row>
    <row r="2261" spans="1:12" s="31" customFormat="1" ht="17.25" customHeight="1">
      <c r="A2261" s="1445" t="str">
        <f>A2245</f>
        <v>LƯƠNG THÁNG 01/2025</v>
      </c>
      <c r="B2261" s="1449"/>
      <c r="C2261" s="1449"/>
      <c r="D2261" s="1449"/>
      <c r="E2261" s="1452">
        <f>VLOOKUP(B2262,'CNKT '!$C$256:$AD$325,26,0)</f>
        <v>0</v>
      </c>
      <c r="F2261" s="1436"/>
      <c r="G2261" s="1445" t="str">
        <f>A2261</f>
        <v>LƯƠNG THÁNG 01/2025</v>
      </c>
      <c r="H2261" s="1449"/>
      <c r="I2261" s="1449"/>
      <c r="J2261" s="1452"/>
      <c r="K2261" s="1452">
        <f>VLOOKUP(H2262,'CNKT '!$C$256:$AD$325,26,0)</f>
        <v>0</v>
      </c>
      <c r="L2261" s="1372"/>
    </row>
    <row r="2262" spans="1:12" s="31" customFormat="1" ht="17.25" customHeight="1">
      <c r="A2262" s="1391" t="s">
        <v>29</v>
      </c>
      <c r="B2262" s="1626" t="str">
        <f>'CNKT '!C282</f>
        <v>N. Chay</v>
      </c>
      <c r="C2262" s="1376"/>
      <c r="D2262" s="1626" t="s">
        <v>806</v>
      </c>
      <c r="E2262" s="1626" t="s">
        <v>32</v>
      </c>
      <c r="F2262" s="1436"/>
      <c r="G2262" s="1391" t="s">
        <v>29</v>
      </c>
      <c r="H2262" s="1626" t="str">
        <f>'CNKT '!C283</f>
        <v>T. Sắc</v>
      </c>
      <c r="I2262" s="1376"/>
      <c r="J2262" s="1626" t="s">
        <v>806</v>
      </c>
      <c r="K2262" s="1626" t="s">
        <v>32</v>
      </c>
      <c r="L2262" s="1372"/>
    </row>
    <row r="2263" spans="1:12" s="31" customFormat="1" ht="17.25" customHeight="1">
      <c r="A2263" s="1375" t="s">
        <v>807</v>
      </c>
      <c r="B2263" s="1628" t="s">
        <v>1080</v>
      </c>
      <c r="C2263" s="1376" t="str">
        <f>VLOOKUP(B2262,'BTH mủ tạp'!$C$246:$AL$314,36,0)</f>
        <v>B</v>
      </c>
      <c r="D2263" s="1377"/>
      <c r="E2263" s="1377"/>
      <c r="F2263" s="1436"/>
      <c r="G2263" s="1375" t="s">
        <v>807</v>
      </c>
      <c r="H2263" s="1628" t="s">
        <v>1080</v>
      </c>
      <c r="I2263" s="1376" t="str">
        <f>VLOOKUP(H2262,'BTH mủ tạp'!$C$246:$AL$314,36,0)</f>
        <v>C</v>
      </c>
      <c r="J2263" s="1377"/>
      <c r="K2263" s="1377"/>
      <c r="L2263" s="1372"/>
    </row>
    <row r="2264" spans="1:12" s="31" customFormat="1" ht="17.25" customHeight="1">
      <c r="A2264" s="1375" t="s">
        <v>121</v>
      </c>
      <c r="B2264" s="1629" t="s">
        <v>865</v>
      </c>
      <c r="C2264" s="1378">
        <f>VLOOKUP(B2262,'CNKT '!$C$256:$Z$316,3,0)</f>
        <v>0</v>
      </c>
      <c r="D2264" s="1379">
        <v>25000</v>
      </c>
      <c r="E2264" s="1377">
        <f t="shared" ref="E2264:E2269" si="265">C2264*D2264</f>
        <v>0</v>
      </c>
      <c r="F2264" s="1436"/>
      <c r="G2264" s="1375" t="s">
        <v>121</v>
      </c>
      <c r="H2264" s="1629" t="s">
        <v>865</v>
      </c>
      <c r="I2264" s="1378">
        <f>VLOOKUP(H2262,'CNKT '!$C$256:$Z$316,3,0)</f>
        <v>0</v>
      </c>
      <c r="J2264" s="1379">
        <v>25000</v>
      </c>
      <c r="K2264" s="1377">
        <f t="shared" ref="K2264:K2269" si="266">I2264*J2264</f>
        <v>0</v>
      </c>
      <c r="L2264" s="1372"/>
    </row>
    <row r="2265" spans="1:12" s="31" customFormat="1" ht="17.25" customHeight="1">
      <c r="A2265" s="1375" t="s">
        <v>628</v>
      </c>
      <c r="B2265" s="1630" t="s">
        <v>1081</v>
      </c>
      <c r="C2265" s="1433">
        <f>VLOOKUP(B2262,'CNKT '!$C$256:$Z$316,11,0)</f>
        <v>0</v>
      </c>
      <c r="D2265" s="1380">
        <f>46.1*$B$2</f>
        <v>30241.600000000002</v>
      </c>
      <c r="E2265" s="1377">
        <f t="shared" si="265"/>
        <v>0</v>
      </c>
      <c r="F2265" s="1436"/>
      <c r="G2265" s="1375" t="s">
        <v>628</v>
      </c>
      <c r="H2265" s="1630" t="s">
        <v>1081</v>
      </c>
      <c r="I2265" s="1433">
        <f>VLOOKUP(H2262,'CNKT '!$C$256:$Z$316,11,0)</f>
        <v>0</v>
      </c>
      <c r="J2265" s="1380">
        <f>46.1*$B$2</f>
        <v>30241.600000000002</v>
      </c>
      <c r="K2265" s="1377">
        <f t="shared" si="266"/>
        <v>0</v>
      </c>
      <c r="L2265" s="1372"/>
    </row>
    <row r="2266" spans="1:12" s="31" customFormat="1" ht="17.25" customHeight="1">
      <c r="A2266" s="1375" t="s">
        <v>809</v>
      </c>
      <c r="B2266" s="1630" t="s">
        <v>1082</v>
      </c>
      <c r="C2266" s="1433">
        <f>VLOOKUP(B2262,'CNKT '!$C$256:$Z$316,12,0)</f>
        <v>0</v>
      </c>
      <c r="D2266" s="1379">
        <f>76.9*$B$2</f>
        <v>50446.400000000001</v>
      </c>
      <c r="E2266" s="1377">
        <f t="shared" si="265"/>
        <v>0</v>
      </c>
      <c r="F2266" s="1436"/>
      <c r="G2266" s="1375" t="s">
        <v>809</v>
      </c>
      <c r="H2266" s="1630" t="s">
        <v>1082</v>
      </c>
      <c r="I2266" s="1433">
        <f>VLOOKUP(H2262,'CNKT '!$C$256:$Z$316,12,0)</f>
        <v>0</v>
      </c>
      <c r="J2266" s="1379">
        <f>76.9*$B$2</f>
        <v>50446.400000000001</v>
      </c>
      <c r="K2266" s="1377">
        <f t="shared" si="266"/>
        <v>0</v>
      </c>
      <c r="L2266" s="1372"/>
    </row>
    <row r="2267" spans="1:12" s="31" customFormat="1" ht="17.25" customHeight="1">
      <c r="A2267" s="1375" t="s">
        <v>122</v>
      </c>
      <c r="B2267" s="1630" t="s">
        <v>1083</v>
      </c>
      <c r="C2267" s="1433">
        <f>VLOOKUP(B2262,'CNKT '!$C$256:$Z$316,8,0)</f>
        <v>0</v>
      </c>
      <c r="D2267" s="1379">
        <f>IF(C2263="A",6.1,IF(C2263="B",5.8,IF(C2263="C",5.5,IF(C2263="C.",5.5,IF(C2263="D",5.2)))))*$B$2</f>
        <v>3804.7999999999997</v>
      </c>
      <c r="E2267" s="1377">
        <f t="shared" si="265"/>
        <v>0</v>
      </c>
      <c r="F2267" s="1436"/>
      <c r="G2267" s="1375" t="s">
        <v>122</v>
      </c>
      <c r="H2267" s="1630" t="s">
        <v>1083</v>
      </c>
      <c r="I2267" s="1433">
        <f>VLOOKUP(H2262,'CNKT '!$C$256:$Z$316,8,0)</f>
        <v>0</v>
      </c>
      <c r="J2267" s="1379">
        <f>IF(I2263="A",6.1,IF(I2263="B",5.8,IF(I2263="C",5.5,IF(I2263="C.",5.5,IF(I2263="D",5.2)))))*$B$2</f>
        <v>3608</v>
      </c>
      <c r="K2267" s="1377">
        <f t="shared" si="266"/>
        <v>0</v>
      </c>
      <c r="L2267" s="1372"/>
    </row>
    <row r="2268" spans="1:12" s="31" customFormat="1" ht="17.25" customHeight="1">
      <c r="A2268" s="1375" t="s">
        <v>885</v>
      </c>
      <c r="B2268" s="1630" t="s">
        <v>1084</v>
      </c>
      <c r="C2268" s="1433">
        <f>VLOOKUP(B2262,'CNKT '!$C$256:$Z$316,15,0)</f>
        <v>0</v>
      </c>
      <c r="D2268" s="1380">
        <f>92.2*$B$2</f>
        <v>60483.200000000004</v>
      </c>
      <c r="E2268" s="1377">
        <f t="shared" si="265"/>
        <v>0</v>
      </c>
      <c r="F2268" s="1436"/>
      <c r="G2268" s="1375" t="s">
        <v>885</v>
      </c>
      <c r="H2268" s="1630" t="s">
        <v>1084</v>
      </c>
      <c r="I2268" s="1433">
        <f>VLOOKUP(H2262,'CNKT '!$C$256:$Z$316,15,0)</f>
        <v>0</v>
      </c>
      <c r="J2268" s="1380">
        <f>92.2*$B$2</f>
        <v>60483.200000000004</v>
      </c>
      <c r="K2268" s="1377">
        <f t="shared" si="266"/>
        <v>0</v>
      </c>
      <c r="L2268" s="1372"/>
    </row>
    <row r="2269" spans="1:12" s="31" customFormat="1" ht="17.25" customHeight="1">
      <c r="A2269" s="1375" t="s">
        <v>886</v>
      </c>
      <c r="B2269" s="1630" t="s">
        <v>964</v>
      </c>
      <c r="C2269" s="1433">
        <f>VLOOKUP(B2262,'CNKT '!$C$256:$Z$316,14,0)</f>
        <v>0</v>
      </c>
      <c r="D2269" s="1379">
        <f>153.6*$B$2</f>
        <v>100761.59999999999</v>
      </c>
      <c r="E2269" s="1377">
        <f t="shared" si="265"/>
        <v>0</v>
      </c>
      <c r="F2269" s="1436"/>
      <c r="G2269" s="1375" t="s">
        <v>886</v>
      </c>
      <c r="H2269" s="1630" t="s">
        <v>964</v>
      </c>
      <c r="I2269" s="1433">
        <f>VLOOKUP(H2262,'CNKT '!$C$256:$Z$316,14,0)</f>
        <v>0</v>
      </c>
      <c r="J2269" s="1379">
        <f>153.6*$B$2</f>
        <v>100761.59999999999</v>
      </c>
      <c r="K2269" s="1377">
        <f t="shared" si="266"/>
        <v>0</v>
      </c>
      <c r="L2269" s="1372"/>
    </row>
    <row r="2270" spans="1:12" s="31" customFormat="1" ht="17.25" customHeight="1">
      <c r="A2270" s="1375" t="s">
        <v>899</v>
      </c>
      <c r="B2270" s="1630" t="s">
        <v>965</v>
      </c>
      <c r="C2270" s="1433">
        <f>VLOOKUP(B2262,'CNKT '!$C$256:$Z$325,18,0)</f>
        <v>0</v>
      </c>
      <c r="D2270" s="1379">
        <v>10000</v>
      </c>
      <c r="E2270" s="1377">
        <f>C2270*D2270</f>
        <v>0</v>
      </c>
      <c r="F2270" s="1436"/>
      <c r="G2270" s="1375" t="s">
        <v>899</v>
      </c>
      <c r="H2270" s="1630" t="s">
        <v>965</v>
      </c>
      <c r="I2270" s="1433">
        <f>VLOOKUP(H2262,'CNKT '!$C$256:$Z$325,18,0)</f>
        <v>0</v>
      </c>
      <c r="J2270" s="1379">
        <v>10000</v>
      </c>
      <c r="K2270" s="1377">
        <f>I2270*J2270</f>
        <v>0</v>
      </c>
      <c r="L2270" s="1372"/>
    </row>
    <row r="2271" spans="1:12" s="31" customFormat="1" ht="17.25" customHeight="1">
      <c r="A2271" s="1375" t="s">
        <v>899</v>
      </c>
      <c r="B2271" s="1630" t="s">
        <v>965</v>
      </c>
      <c r="C2271" s="1433">
        <f>VLOOKUP(B2262,'CNKT '!$C$256:$Z$325,19,0)</f>
        <v>0</v>
      </c>
      <c r="D2271" s="1379">
        <v>20000</v>
      </c>
      <c r="E2271" s="1377">
        <f>C2271*D2271</f>
        <v>0</v>
      </c>
      <c r="F2271" s="1436"/>
      <c r="G2271" s="1375" t="s">
        <v>899</v>
      </c>
      <c r="H2271" s="1630" t="s">
        <v>965</v>
      </c>
      <c r="I2271" s="1433">
        <f>VLOOKUP(H2262,'CNKT '!$C$256:$Z$325,19,0)</f>
        <v>0</v>
      </c>
      <c r="J2271" s="1379">
        <v>20000</v>
      </c>
      <c r="K2271" s="1377">
        <f>I2271*J2271</f>
        <v>0</v>
      </c>
      <c r="L2271" s="1372"/>
    </row>
    <row r="2272" spans="1:12" s="31" customFormat="1" ht="17.25" customHeight="1">
      <c r="A2272" s="1381" t="s">
        <v>123</v>
      </c>
      <c r="B2272" s="1631" t="s">
        <v>1085</v>
      </c>
      <c r="C2272" s="1382"/>
      <c r="D2272" s="1383"/>
      <c r="E2272" s="1382"/>
      <c r="F2272" s="1436"/>
      <c r="G2272" s="1381" t="s">
        <v>123</v>
      </c>
      <c r="H2272" s="1631" t="s">
        <v>1085</v>
      </c>
      <c r="I2272" s="1382"/>
      <c r="J2272" s="1383"/>
      <c r="K2272" s="1382"/>
      <c r="L2272" s="1372"/>
    </row>
    <row r="2273" spans="1:12" s="31" customFormat="1" ht="17.25" customHeight="1">
      <c r="A2273" s="1384" t="s">
        <v>124</v>
      </c>
      <c r="B2273" s="1632" t="s">
        <v>1086</v>
      </c>
      <c r="C2273" s="1382"/>
      <c r="D2273" s="1382"/>
      <c r="E2273" s="1382"/>
      <c r="F2273" s="1436"/>
      <c r="G2273" s="1384" t="s">
        <v>124</v>
      </c>
      <c r="H2273" s="1632" t="s">
        <v>1086</v>
      </c>
      <c r="I2273" s="1382"/>
      <c r="J2273" s="1382"/>
      <c r="K2273" s="1382"/>
      <c r="L2273" s="1372"/>
    </row>
    <row r="2274" spans="1:12" s="31" customFormat="1" ht="17.25" customHeight="1">
      <c r="A2274" s="1384" t="s">
        <v>125</v>
      </c>
      <c r="B2274" s="1633" t="s">
        <v>1087</v>
      </c>
      <c r="C2274" s="1382"/>
      <c r="D2274" s="1382"/>
      <c r="E2274" s="1377">
        <f>SUM(E2273)</f>
        <v>0</v>
      </c>
      <c r="F2274" s="1423"/>
      <c r="G2274" s="1384" t="s">
        <v>125</v>
      </c>
      <c r="H2274" s="1633" t="s">
        <v>1087</v>
      </c>
      <c r="I2274" s="1382"/>
      <c r="J2274" s="1382"/>
      <c r="K2274" s="1377">
        <f>SUM(K2273)</f>
        <v>0</v>
      </c>
      <c r="L2274" s="1372"/>
    </row>
    <row r="2275" spans="1:12" s="31" customFormat="1" ht="17.25" customHeight="1">
      <c r="A2275" s="1386" t="s">
        <v>126</v>
      </c>
      <c r="B2275" s="1634" t="s">
        <v>871</v>
      </c>
      <c r="C2275" s="1387"/>
      <c r="D2275" s="1387"/>
      <c r="E2275" s="1387">
        <f>(E2264+E2265+E2266+E2267+E2268+E2269+E2270+E2271)-E2274</f>
        <v>0</v>
      </c>
      <c r="F2275" s="1423"/>
      <c r="G2275" s="1386" t="s">
        <v>126</v>
      </c>
      <c r="H2275" s="1634" t="s">
        <v>871</v>
      </c>
      <c r="I2275" s="1387"/>
      <c r="J2275" s="1387"/>
      <c r="K2275" s="1387">
        <f>(K2264+K2265+K2266+K2267+K2268+K2269+K2270+K2271)-K2274</f>
        <v>0</v>
      </c>
      <c r="L2275" s="1389">
        <f>E2275+K2275</f>
        <v>0</v>
      </c>
    </row>
    <row r="2276" spans="1:12" s="31" customFormat="1" ht="17.25" customHeight="1">
      <c r="A2276" s="1449"/>
      <c r="B2276" s="1449"/>
      <c r="C2276" s="1449"/>
      <c r="D2276" s="1449"/>
      <c r="E2276" s="1449"/>
      <c r="F2276" s="1449"/>
      <c r="G2276" s="1449"/>
      <c r="H2276" s="1449"/>
      <c r="I2276" s="1449"/>
      <c r="J2276" s="1449"/>
      <c r="K2276" s="1449"/>
      <c r="L2276" s="1372"/>
    </row>
    <row r="2277" spans="1:12" s="31" customFormat="1" ht="17.25" customHeight="1">
      <c r="A2277" s="1445" t="str">
        <f>A2261</f>
        <v>LƯƠNG THÁNG 01/2025</v>
      </c>
      <c r="B2277" s="1449"/>
      <c r="C2277" s="1449"/>
      <c r="D2277" s="1449"/>
      <c r="E2277" s="1452">
        <f>VLOOKUP(B2278,'CNKT '!$C$256:$AD$325,26,0)</f>
        <v>0</v>
      </c>
      <c r="F2277" s="1436"/>
      <c r="G2277" s="1445" t="str">
        <f>A2277</f>
        <v>LƯƠNG THÁNG 01/2025</v>
      </c>
      <c r="H2277" s="1449"/>
      <c r="I2277" s="1449"/>
      <c r="J2277" s="1452"/>
      <c r="K2277" s="1452">
        <f>VLOOKUP(H2278,'CNKT '!$C$256:$AD$325,26,0)</f>
        <v>0</v>
      </c>
      <c r="L2277" s="1372"/>
    </row>
    <row r="2278" spans="1:12" s="31" customFormat="1" ht="17.25" customHeight="1">
      <c r="A2278" s="1391" t="s">
        <v>29</v>
      </c>
      <c r="B2278" s="1626" t="str">
        <f>'CNKT '!C284</f>
        <v>T. Đông</v>
      </c>
      <c r="C2278" s="1376"/>
      <c r="D2278" s="1626" t="s">
        <v>806</v>
      </c>
      <c r="E2278" s="1626" t="s">
        <v>32</v>
      </c>
      <c r="F2278" s="1436"/>
      <c r="G2278" s="1391" t="s">
        <v>29</v>
      </c>
      <c r="H2278" s="1626" t="str">
        <f>'CNKT '!C285</f>
        <v>N. Lao</v>
      </c>
      <c r="I2278" s="1376"/>
      <c r="J2278" s="1626" t="s">
        <v>806</v>
      </c>
      <c r="K2278" s="1626" t="s">
        <v>32</v>
      </c>
      <c r="L2278" s="1372"/>
    </row>
    <row r="2279" spans="1:12" s="31" customFormat="1" ht="17.25" customHeight="1">
      <c r="A2279" s="1375" t="s">
        <v>807</v>
      </c>
      <c r="B2279" s="1628" t="s">
        <v>1080</v>
      </c>
      <c r="C2279" s="1376" t="str">
        <f>VLOOKUP(B2278,'BTH mủ tạp'!$C$246:$AL$314,36,0)</f>
        <v>C</v>
      </c>
      <c r="D2279" s="1377"/>
      <c r="E2279" s="1377"/>
      <c r="F2279" s="1436"/>
      <c r="G2279" s="1375" t="s">
        <v>807</v>
      </c>
      <c r="H2279" s="1628" t="s">
        <v>1080</v>
      </c>
      <c r="I2279" s="1376" t="str">
        <f>VLOOKUP(H2278,'BTH mủ tạp'!$C$246:$AL$314,36,0)</f>
        <v>B</v>
      </c>
      <c r="J2279" s="1377"/>
      <c r="K2279" s="1377"/>
      <c r="L2279" s="1372"/>
    </row>
    <row r="2280" spans="1:12" s="31" customFormat="1" ht="17.25" customHeight="1">
      <c r="A2280" s="1375" t="s">
        <v>121</v>
      </c>
      <c r="B2280" s="1629" t="s">
        <v>865</v>
      </c>
      <c r="C2280" s="1378">
        <f>VLOOKUP(B2278,'CNKT '!$C$256:$Z$316,3,0)</f>
        <v>0</v>
      </c>
      <c r="D2280" s="1379">
        <v>25000</v>
      </c>
      <c r="E2280" s="1377">
        <f t="shared" ref="E2280:E2285" si="267">C2280*D2280</f>
        <v>0</v>
      </c>
      <c r="F2280" s="1436"/>
      <c r="G2280" s="1375" t="s">
        <v>121</v>
      </c>
      <c r="H2280" s="1629" t="s">
        <v>865</v>
      </c>
      <c r="I2280" s="1378">
        <f>VLOOKUP(H2278,'CNKT '!$C$256:$Z$316,3,0)</f>
        <v>0</v>
      </c>
      <c r="J2280" s="1379">
        <v>25000</v>
      </c>
      <c r="K2280" s="1377">
        <f t="shared" ref="K2280:K2285" si="268">I2280*J2280</f>
        <v>0</v>
      </c>
      <c r="L2280" s="1372"/>
    </row>
    <row r="2281" spans="1:12" s="31" customFormat="1" ht="17.25" customHeight="1">
      <c r="A2281" s="1375" t="s">
        <v>628</v>
      </c>
      <c r="B2281" s="1630" t="s">
        <v>1081</v>
      </c>
      <c r="C2281" s="1433">
        <f>VLOOKUP(B2278,'CNKT '!$C$256:$Z$316,11,0)</f>
        <v>0</v>
      </c>
      <c r="D2281" s="1380">
        <f>46.1*$B$2</f>
        <v>30241.600000000002</v>
      </c>
      <c r="E2281" s="1377">
        <f t="shared" si="267"/>
        <v>0</v>
      </c>
      <c r="F2281" s="1436"/>
      <c r="G2281" s="1375" t="s">
        <v>628</v>
      </c>
      <c r="H2281" s="1630" t="s">
        <v>1081</v>
      </c>
      <c r="I2281" s="1433">
        <f>VLOOKUP(H2278,'CNKT '!$C$256:$Z$316,11,0)</f>
        <v>0</v>
      </c>
      <c r="J2281" s="1380">
        <f>46.1*$B$2</f>
        <v>30241.600000000002</v>
      </c>
      <c r="K2281" s="1377">
        <f t="shared" si="268"/>
        <v>0</v>
      </c>
      <c r="L2281" s="1372"/>
    </row>
    <row r="2282" spans="1:12" s="31" customFormat="1" ht="17.25" customHeight="1">
      <c r="A2282" s="1375" t="s">
        <v>809</v>
      </c>
      <c r="B2282" s="1630" t="s">
        <v>1082</v>
      </c>
      <c r="C2282" s="1433">
        <f>VLOOKUP(B2278,'CNKT '!$C$256:$Z$316,12,0)</f>
        <v>0</v>
      </c>
      <c r="D2282" s="1379">
        <f>76.9*$B$2</f>
        <v>50446.400000000001</v>
      </c>
      <c r="E2282" s="1377">
        <f t="shared" si="267"/>
        <v>0</v>
      </c>
      <c r="F2282" s="1436"/>
      <c r="G2282" s="1375" t="s">
        <v>809</v>
      </c>
      <c r="H2282" s="1630" t="s">
        <v>1082</v>
      </c>
      <c r="I2282" s="1433">
        <f>VLOOKUP(H2278,'CNKT '!$C$256:$Z$316,12,0)</f>
        <v>0</v>
      </c>
      <c r="J2282" s="1379">
        <f>76.9*$B$2</f>
        <v>50446.400000000001</v>
      </c>
      <c r="K2282" s="1377">
        <f t="shared" si="268"/>
        <v>0</v>
      </c>
      <c r="L2282" s="1372"/>
    </row>
    <row r="2283" spans="1:12" s="31" customFormat="1" ht="17.25" customHeight="1">
      <c r="A2283" s="1375" t="s">
        <v>122</v>
      </c>
      <c r="B2283" s="1630" t="s">
        <v>1083</v>
      </c>
      <c r="C2283" s="1433">
        <f>VLOOKUP(B2278,'CNKT '!$C$256:$Z$316,8,0)</f>
        <v>0</v>
      </c>
      <c r="D2283" s="1379">
        <f>IF(C2279="A",6.1,IF(C2279="B",5.8,IF(C2279="C",5.5,IF(C2279="C.",5.5,IF(C2279="D",5.2)))))*$B$2</f>
        <v>3608</v>
      </c>
      <c r="E2283" s="1377">
        <f t="shared" si="267"/>
        <v>0</v>
      </c>
      <c r="F2283" s="1436"/>
      <c r="G2283" s="1375" t="s">
        <v>122</v>
      </c>
      <c r="H2283" s="1630" t="s">
        <v>1083</v>
      </c>
      <c r="I2283" s="1433">
        <f>VLOOKUP(H2278,'CNKT '!$C$256:$Z$316,8,0)</f>
        <v>0</v>
      </c>
      <c r="J2283" s="1379">
        <f>IF(I2279="A",6.1,IF(I2279="B",5.8,IF(I2279="C",5.5,IF(I2279="C.",5.5,IF(I2279="D",5.2)))))*$B$2</f>
        <v>3804.7999999999997</v>
      </c>
      <c r="K2283" s="1377">
        <f t="shared" si="268"/>
        <v>0</v>
      </c>
      <c r="L2283" s="1372"/>
    </row>
    <row r="2284" spans="1:12" s="31" customFormat="1" ht="17.25" customHeight="1">
      <c r="A2284" s="1375" t="s">
        <v>885</v>
      </c>
      <c r="B2284" s="1630" t="s">
        <v>1084</v>
      </c>
      <c r="C2284" s="1433">
        <f>VLOOKUP(B2278,'CNKT '!$C$256:$Z$316,15,0)</f>
        <v>0</v>
      </c>
      <c r="D2284" s="1380">
        <f>92.2*$B$2</f>
        <v>60483.200000000004</v>
      </c>
      <c r="E2284" s="1377">
        <f t="shared" si="267"/>
        <v>0</v>
      </c>
      <c r="F2284" s="1436"/>
      <c r="G2284" s="1375" t="s">
        <v>885</v>
      </c>
      <c r="H2284" s="1630" t="s">
        <v>1084</v>
      </c>
      <c r="I2284" s="1433">
        <f>VLOOKUP(H2278,'CNKT '!$C$256:$Z$316,15,0)</f>
        <v>0</v>
      </c>
      <c r="J2284" s="1380">
        <f>92.2*$B$2</f>
        <v>60483.200000000004</v>
      </c>
      <c r="K2284" s="1377">
        <f t="shared" si="268"/>
        <v>0</v>
      </c>
      <c r="L2284" s="1372"/>
    </row>
    <row r="2285" spans="1:12" s="31" customFormat="1" ht="17.25" customHeight="1">
      <c r="A2285" s="1375" t="s">
        <v>886</v>
      </c>
      <c r="B2285" s="1630" t="s">
        <v>964</v>
      </c>
      <c r="C2285" s="1433">
        <f>VLOOKUP(B2278,'CNKT '!$C$256:$Z$316,14,0)</f>
        <v>0</v>
      </c>
      <c r="D2285" s="1379">
        <f>153.6*$B$2</f>
        <v>100761.59999999999</v>
      </c>
      <c r="E2285" s="1377">
        <f t="shared" si="267"/>
        <v>0</v>
      </c>
      <c r="F2285" s="1436"/>
      <c r="G2285" s="1375" t="s">
        <v>886</v>
      </c>
      <c r="H2285" s="1630" t="s">
        <v>964</v>
      </c>
      <c r="I2285" s="1433">
        <f>VLOOKUP(H2278,'CNKT '!$C$256:$Z$316,14,0)</f>
        <v>0</v>
      </c>
      <c r="J2285" s="1379">
        <f>153.6*$B$2</f>
        <v>100761.59999999999</v>
      </c>
      <c r="K2285" s="1377">
        <f t="shared" si="268"/>
        <v>0</v>
      </c>
      <c r="L2285" s="1372"/>
    </row>
    <row r="2286" spans="1:12" s="31" customFormat="1" ht="17.25" customHeight="1">
      <c r="A2286" s="1375" t="s">
        <v>899</v>
      </c>
      <c r="B2286" s="1630" t="s">
        <v>965</v>
      </c>
      <c r="C2286" s="1433">
        <f>VLOOKUP(B2278,'CNKT '!$C$256:$Z$325,18,0)</f>
        <v>0</v>
      </c>
      <c r="D2286" s="1379">
        <v>10000</v>
      </c>
      <c r="E2286" s="1377">
        <f>C2286*D2286</f>
        <v>0</v>
      </c>
      <c r="F2286" s="1436"/>
      <c r="G2286" s="1375" t="s">
        <v>899</v>
      </c>
      <c r="H2286" s="1630" t="s">
        <v>965</v>
      </c>
      <c r="I2286" s="1433">
        <f>VLOOKUP(H2278,'CNKT '!$C$256:$Z$325,18,0)</f>
        <v>0</v>
      </c>
      <c r="J2286" s="1379">
        <v>10000</v>
      </c>
      <c r="K2286" s="1377">
        <f>I2286*J2286</f>
        <v>0</v>
      </c>
      <c r="L2286" s="1372"/>
    </row>
    <row r="2287" spans="1:12" s="31" customFormat="1" ht="17.25" customHeight="1">
      <c r="A2287" s="1375" t="s">
        <v>899</v>
      </c>
      <c r="B2287" s="1630" t="s">
        <v>965</v>
      </c>
      <c r="C2287" s="1433">
        <f>VLOOKUP(B2278,'CNKT '!$C$256:$Z$325,19,0)</f>
        <v>0</v>
      </c>
      <c r="D2287" s="1379">
        <v>20000</v>
      </c>
      <c r="E2287" s="1377">
        <f>C2287*D2287</f>
        <v>0</v>
      </c>
      <c r="F2287" s="1436"/>
      <c r="G2287" s="1375" t="s">
        <v>899</v>
      </c>
      <c r="H2287" s="1630" t="s">
        <v>965</v>
      </c>
      <c r="I2287" s="1433">
        <f>VLOOKUP(H2278,'CNKT '!$C$256:$Z$325,19,0)</f>
        <v>0</v>
      </c>
      <c r="J2287" s="1379">
        <v>20000</v>
      </c>
      <c r="K2287" s="1377">
        <f>I2287*J2287</f>
        <v>0</v>
      </c>
      <c r="L2287" s="1372"/>
    </row>
    <row r="2288" spans="1:12" s="31" customFormat="1" ht="17.25" customHeight="1">
      <c r="A2288" s="1381" t="s">
        <v>123</v>
      </c>
      <c r="B2288" s="1631" t="s">
        <v>1085</v>
      </c>
      <c r="C2288" s="1382"/>
      <c r="D2288" s="1383"/>
      <c r="E2288" s="1382"/>
      <c r="F2288" s="1436"/>
      <c r="G2288" s="1381" t="s">
        <v>123</v>
      </c>
      <c r="H2288" s="1631" t="s">
        <v>1085</v>
      </c>
      <c r="I2288" s="1382"/>
      <c r="J2288" s="1383"/>
      <c r="K2288" s="1382"/>
      <c r="L2288" s="1372"/>
    </row>
    <row r="2289" spans="1:12" s="31" customFormat="1" ht="17.25" customHeight="1">
      <c r="A2289" s="1384" t="s">
        <v>124</v>
      </c>
      <c r="B2289" s="1632" t="s">
        <v>1086</v>
      </c>
      <c r="C2289" s="1382"/>
      <c r="D2289" s="1382"/>
      <c r="E2289" s="1382"/>
      <c r="F2289" s="1436"/>
      <c r="G2289" s="1384" t="s">
        <v>124</v>
      </c>
      <c r="H2289" s="1632" t="s">
        <v>1086</v>
      </c>
      <c r="I2289" s="1382"/>
      <c r="J2289" s="1382"/>
      <c r="K2289" s="1382"/>
      <c r="L2289" s="1372"/>
    </row>
    <row r="2290" spans="1:12" s="31" customFormat="1" ht="17.25" customHeight="1">
      <c r="A2290" s="1384" t="s">
        <v>125</v>
      </c>
      <c r="B2290" s="1633" t="s">
        <v>1087</v>
      </c>
      <c r="C2290" s="1382"/>
      <c r="D2290" s="1382"/>
      <c r="E2290" s="1377">
        <f>SUM(E2289)</f>
        <v>0</v>
      </c>
      <c r="F2290" s="1432"/>
      <c r="G2290" s="1384" t="s">
        <v>125</v>
      </c>
      <c r="H2290" s="1633" t="s">
        <v>1087</v>
      </c>
      <c r="I2290" s="1382"/>
      <c r="J2290" s="1382"/>
      <c r="K2290" s="1377">
        <f>SUM(K2289)</f>
        <v>0</v>
      </c>
      <c r="L2290" s="1372"/>
    </row>
    <row r="2291" spans="1:12" s="31" customFormat="1" ht="17.25" customHeight="1">
      <c r="A2291" s="1386" t="s">
        <v>126</v>
      </c>
      <c r="B2291" s="1634" t="s">
        <v>871</v>
      </c>
      <c r="C2291" s="1387"/>
      <c r="D2291" s="1387"/>
      <c r="E2291" s="1387">
        <f>(E2280+E2281+E2282+E2283+E2284+E2285+E2286+E2287)-E2290</f>
        <v>0</v>
      </c>
      <c r="F2291" s="1432"/>
      <c r="G2291" s="1386" t="s">
        <v>126</v>
      </c>
      <c r="H2291" s="1634" t="s">
        <v>871</v>
      </c>
      <c r="I2291" s="1387"/>
      <c r="J2291" s="1387"/>
      <c r="K2291" s="1387">
        <f>(K2280+K2281+K2282+K2283+K2284+K2285+K2286+K2287)-K2290</f>
        <v>0</v>
      </c>
      <c r="L2291" s="1389">
        <f>E2291+K2291</f>
        <v>0</v>
      </c>
    </row>
    <row r="2292" spans="1:12" s="31" customFormat="1" ht="17.25" customHeight="1">
      <c r="A2292" s="1449"/>
      <c r="B2292" s="1449"/>
      <c r="C2292" s="1449"/>
      <c r="D2292" s="1449"/>
      <c r="E2292" s="1449"/>
      <c r="F2292" s="1449"/>
      <c r="G2292" s="1449"/>
      <c r="H2292" s="1449"/>
      <c r="I2292" s="1449"/>
      <c r="J2292" s="1449"/>
      <c r="K2292" s="1449"/>
      <c r="L2292" s="1372"/>
    </row>
    <row r="2293" spans="1:12" s="31" customFormat="1" ht="17.25" customHeight="1">
      <c r="A2293" s="1445" t="str">
        <f>A2277</f>
        <v>LƯƠNG THÁNG 01/2025</v>
      </c>
      <c r="B2293" s="1449"/>
      <c r="C2293" s="1449"/>
      <c r="D2293" s="1449"/>
      <c r="E2293" s="1452">
        <f>VLOOKUP(B2294,'CNKT '!$C$256:$AD$325,26,0)</f>
        <v>0</v>
      </c>
      <c r="F2293" s="1436"/>
      <c r="G2293" s="1445" t="str">
        <f>A2293</f>
        <v>LƯƠNG THÁNG 01/2025</v>
      </c>
      <c r="H2293" s="1449"/>
      <c r="I2293" s="1449"/>
      <c r="J2293" s="1452"/>
      <c r="K2293" s="1452">
        <f>VLOOKUP(H2294,'CNKT '!$C$256:$AD$325,26,0)</f>
        <v>0</v>
      </c>
      <c r="L2293" s="1372"/>
    </row>
    <row r="2294" spans="1:12" s="31" customFormat="1" ht="17.25" customHeight="1">
      <c r="A2294" s="1391" t="s">
        <v>29</v>
      </c>
      <c r="B2294" s="1626" t="str">
        <f>'CNKT '!C286</f>
        <v>N. Xum Xi</v>
      </c>
      <c r="C2294" s="1376"/>
      <c r="D2294" s="1626" t="s">
        <v>806</v>
      </c>
      <c r="E2294" s="1626" t="s">
        <v>32</v>
      </c>
      <c r="F2294" s="1436"/>
      <c r="G2294" s="1391" t="s">
        <v>29</v>
      </c>
      <c r="H2294" s="1626" t="str">
        <f>'CNKT '!C287</f>
        <v xml:space="preserve">T. Xi </v>
      </c>
      <c r="I2294" s="1376"/>
      <c r="J2294" s="1626" t="s">
        <v>806</v>
      </c>
      <c r="K2294" s="1626" t="s">
        <v>32</v>
      </c>
      <c r="L2294" s="1372"/>
    </row>
    <row r="2295" spans="1:12" s="31" customFormat="1" ht="17.25" customHeight="1">
      <c r="A2295" s="1375" t="s">
        <v>807</v>
      </c>
      <c r="B2295" s="1628" t="s">
        <v>1080</v>
      </c>
      <c r="C2295" s="1376" t="str">
        <f>VLOOKUP(B2294,'BTH mủ tạp'!$C$246:$AL$314,36,0)</f>
        <v>B</v>
      </c>
      <c r="D2295" s="1377"/>
      <c r="E2295" s="1377"/>
      <c r="F2295" s="1436"/>
      <c r="G2295" s="1375" t="s">
        <v>807</v>
      </c>
      <c r="H2295" s="1628" t="s">
        <v>1080</v>
      </c>
      <c r="I2295" s="1376" t="str">
        <f>VLOOKUP(H2294,'BTH mủ tạp'!$C$246:$AL$314,36,0)</f>
        <v>B</v>
      </c>
      <c r="J2295" s="1377"/>
      <c r="K2295" s="1377"/>
      <c r="L2295" s="1372"/>
    </row>
    <row r="2296" spans="1:12" s="31" customFormat="1" ht="17.25" customHeight="1">
      <c r="A2296" s="1375" t="s">
        <v>121</v>
      </c>
      <c r="B2296" s="1629" t="s">
        <v>865</v>
      </c>
      <c r="C2296" s="1378">
        <f>VLOOKUP(B2294,'CNKT '!$C$256:$Z$316,3,0)</f>
        <v>0</v>
      </c>
      <c r="D2296" s="1379">
        <v>25000</v>
      </c>
      <c r="E2296" s="1377">
        <f t="shared" ref="E2296:E2301" si="269">C2296*D2296</f>
        <v>0</v>
      </c>
      <c r="F2296" s="1436"/>
      <c r="G2296" s="1375" t="s">
        <v>121</v>
      </c>
      <c r="H2296" s="1629" t="s">
        <v>865</v>
      </c>
      <c r="I2296" s="1378">
        <f>VLOOKUP(H2294,'CNKT '!$C$256:$Z$316,3,0)</f>
        <v>0</v>
      </c>
      <c r="J2296" s="1379">
        <v>25000</v>
      </c>
      <c r="K2296" s="1377">
        <f t="shared" ref="K2296:K2301" si="270">I2296*J2296</f>
        <v>0</v>
      </c>
      <c r="L2296" s="1372"/>
    </row>
    <row r="2297" spans="1:12" s="31" customFormat="1" ht="17.25" customHeight="1">
      <c r="A2297" s="1375" t="s">
        <v>628</v>
      </c>
      <c r="B2297" s="1630" t="s">
        <v>1081</v>
      </c>
      <c r="C2297" s="1433">
        <f>VLOOKUP(B2294,'CNKT '!$C$256:$Z$316,11,0)</f>
        <v>0</v>
      </c>
      <c r="D2297" s="1380">
        <f>46.1*$B$2</f>
        <v>30241.600000000002</v>
      </c>
      <c r="E2297" s="1377">
        <f t="shared" si="269"/>
        <v>0</v>
      </c>
      <c r="F2297" s="1436"/>
      <c r="G2297" s="1375" t="s">
        <v>628</v>
      </c>
      <c r="H2297" s="1630" t="s">
        <v>1081</v>
      </c>
      <c r="I2297" s="1433">
        <f>VLOOKUP(H2294,'CNKT '!$C$256:$Z$316,11,0)</f>
        <v>0</v>
      </c>
      <c r="J2297" s="1380">
        <f>46.1*$B$2</f>
        <v>30241.600000000002</v>
      </c>
      <c r="K2297" s="1377">
        <f t="shared" si="270"/>
        <v>0</v>
      </c>
      <c r="L2297" s="1372"/>
    </row>
    <row r="2298" spans="1:12" s="31" customFormat="1" ht="17.25" customHeight="1">
      <c r="A2298" s="1375" t="s">
        <v>809</v>
      </c>
      <c r="B2298" s="1630" t="s">
        <v>1082</v>
      </c>
      <c r="C2298" s="1433">
        <f>VLOOKUP(B2294,'CNKT '!$C$256:$Z$316,12,0)</f>
        <v>0</v>
      </c>
      <c r="D2298" s="1379">
        <f>76.9*$B$2</f>
        <v>50446.400000000001</v>
      </c>
      <c r="E2298" s="1377">
        <f t="shared" si="269"/>
        <v>0</v>
      </c>
      <c r="F2298" s="1436"/>
      <c r="G2298" s="1375" t="s">
        <v>809</v>
      </c>
      <c r="H2298" s="1630" t="s">
        <v>1082</v>
      </c>
      <c r="I2298" s="1433">
        <f>VLOOKUP(H2294,'CNKT '!$C$256:$Z$316,12,0)</f>
        <v>0</v>
      </c>
      <c r="J2298" s="1379">
        <f>76.9*$B$2</f>
        <v>50446.400000000001</v>
      </c>
      <c r="K2298" s="1377">
        <f t="shared" si="270"/>
        <v>0</v>
      </c>
      <c r="L2298" s="1372"/>
    </row>
    <row r="2299" spans="1:12" s="31" customFormat="1" ht="17.25" customHeight="1">
      <c r="A2299" s="1375" t="s">
        <v>122</v>
      </c>
      <c r="B2299" s="1630" t="s">
        <v>1083</v>
      </c>
      <c r="C2299" s="1433">
        <f>VLOOKUP(B2294,'CNKT '!$C$256:$Z$316,8,0)</f>
        <v>0</v>
      </c>
      <c r="D2299" s="1379">
        <f>IF(C2295="A",6.1,IF(C2295="B",5.8,IF(C2295="C",5.5,IF(C2295="C.",5.5,IF(C2295="D",5.2)))))*$B$2</f>
        <v>3804.7999999999997</v>
      </c>
      <c r="E2299" s="1377">
        <f t="shared" si="269"/>
        <v>0</v>
      </c>
      <c r="F2299" s="1436"/>
      <c r="G2299" s="1375" t="s">
        <v>122</v>
      </c>
      <c r="H2299" s="1630" t="s">
        <v>1083</v>
      </c>
      <c r="I2299" s="1433">
        <f>VLOOKUP(H2294,'CNKT '!$C$256:$Z$316,8,0)</f>
        <v>0</v>
      </c>
      <c r="J2299" s="1379">
        <f>IF(I2295="A",6.1,IF(I2295="B",5.8,IF(I2295="C",5.5,IF(I2295="C.",5.5,IF(I2295="D",5.2)))))*$B$2</f>
        <v>3804.7999999999997</v>
      </c>
      <c r="K2299" s="1377">
        <f t="shared" si="270"/>
        <v>0</v>
      </c>
      <c r="L2299" s="1372"/>
    </row>
    <row r="2300" spans="1:12" s="31" customFormat="1" ht="17.25" customHeight="1">
      <c r="A2300" s="1375" t="s">
        <v>885</v>
      </c>
      <c r="B2300" s="1630" t="s">
        <v>1084</v>
      </c>
      <c r="C2300" s="1433">
        <f>VLOOKUP(B2294,'CNKT '!$C$256:$Z$316,15,0)</f>
        <v>0</v>
      </c>
      <c r="D2300" s="1380">
        <f>92.2*$B$2</f>
        <v>60483.200000000004</v>
      </c>
      <c r="E2300" s="1377">
        <f t="shared" si="269"/>
        <v>0</v>
      </c>
      <c r="F2300" s="1436"/>
      <c r="G2300" s="1375" t="s">
        <v>885</v>
      </c>
      <c r="H2300" s="1630" t="s">
        <v>1084</v>
      </c>
      <c r="I2300" s="1433">
        <f>VLOOKUP(H2294,'CNKT '!$C$256:$Z$316,15,0)</f>
        <v>0</v>
      </c>
      <c r="J2300" s="1380">
        <f>92.2*$B$2</f>
        <v>60483.200000000004</v>
      </c>
      <c r="K2300" s="1377">
        <f t="shared" si="270"/>
        <v>0</v>
      </c>
      <c r="L2300" s="1372"/>
    </row>
    <row r="2301" spans="1:12" s="31" customFormat="1" ht="17.25" customHeight="1">
      <c r="A2301" s="1375" t="s">
        <v>886</v>
      </c>
      <c r="B2301" s="1630" t="s">
        <v>964</v>
      </c>
      <c r="C2301" s="1433">
        <f>VLOOKUP(B2294,'CNKT '!$C$256:$Z$316,14,0)</f>
        <v>0</v>
      </c>
      <c r="D2301" s="1379">
        <f>153.6*$B$2</f>
        <v>100761.59999999999</v>
      </c>
      <c r="E2301" s="1377">
        <f t="shared" si="269"/>
        <v>0</v>
      </c>
      <c r="F2301" s="1436"/>
      <c r="G2301" s="1375" t="s">
        <v>886</v>
      </c>
      <c r="H2301" s="1630" t="s">
        <v>964</v>
      </c>
      <c r="I2301" s="1433">
        <f>VLOOKUP(H2294,'CNKT '!$C$256:$Z$316,14,0)</f>
        <v>0</v>
      </c>
      <c r="J2301" s="1379">
        <f>153.6*$B$2</f>
        <v>100761.59999999999</v>
      </c>
      <c r="K2301" s="1377">
        <f t="shared" si="270"/>
        <v>0</v>
      </c>
      <c r="L2301" s="1372"/>
    </row>
    <row r="2302" spans="1:12" s="31" customFormat="1" ht="17.25" customHeight="1">
      <c r="A2302" s="1375" t="s">
        <v>899</v>
      </c>
      <c r="B2302" s="1630" t="s">
        <v>965</v>
      </c>
      <c r="C2302" s="1433">
        <f>VLOOKUP(B2294,'CNKT '!$C$256:$Z$325,18,0)</f>
        <v>0</v>
      </c>
      <c r="D2302" s="1379">
        <v>10000</v>
      </c>
      <c r="E2302" s="1377">
        <f>C2302*D2302</f>
        <v>0</v>
      </c>
      <c r="F2302" s="1436"/>
      <c r="G2302" s="1375" t="s">
        <v>899</v>
      </c>
      <c r="H2302" s="1630" t="s">
        <v>965</v>
      </c>
      <c r="I2302" s="1433">
        <f>VLOOKUP(H2294,'CNKT '!$C$256:$Z$325,18,0)</f>
        <v>0</v>
      </c>
      <c r="J2302" s="1379">
        <v>10000</v>
      </c>
      <c r="K2302" s="1377">
        <f>I2302*J2302</f>
        <v>0</v>
      </c>
      <c r="L2302" s="1372"/>
    </row>
    <row r="2303" spans="1:12" s="31" customFormat="1" ht="17.25" customHeight="1">
      <c r="A2303" s="1375" t="s">
        <v>899</v>
      </c>
      <c r="B2303" s="1630" t="s">
        <v>965</v>
      </c>
      <c r="C2303" s="1433">
        <f>VLOOKUP(B2294,'CNKT '!$C$256:$Z$325,19,0)</f>
        <v>0</v>
      </c>
      <c r="D2303" s="1379">
        <v>20000</v>
      </c>
      <c r="E2303" s="1377">
        <f>C2303*D2303</f>
        <v>0</v>
      </c>
      <c r="F2303" s="1436"/>
      <c r="G2303" s="1375" t="s">
        <v>899</v>
      </c>
      <c r="H2303" s="1630" t="s">
        <v>965</v>
      </c>
      <c r="I2303" s="1433">
        <f>VLOOKUP(H2294,'CNKT '!$C$256:$Z$325,19,0)</f>
        <v>0</v>
      </c>
      <c r="J2303" s="1379">
        <v>20000</v>
      </c>
      <c r="K2303" s="1377">
        <f>I2303*J2303</f>
        <v>0</v>
      </c>
      <c r="L2303" s="1372"/>
    </row>
    <row r="2304" spans="1:12" s="31" customFormat="1" ht="17.25" customHeight="1">
      <c r="A2304" s="1381" t="s">
        <v>123</v>
      </c>
      <c r="B2304" s="1631" t="s">
        <v>1085</v>
      </c>
      <c r="C2304" s="1382"/>
      <c r="D2304" s="1383"/>
      <c r="E2304" s="1382"/>
      <c r="F2304" s="1436"/>
      <c r="G2304" s="1381" t="s">
        <v>123</v>
      </c>
      <c r="H2304" s="1631" t="s">
        <v>1085</v>
      </c>
      <c r="I2304" s="1382"/>
      <c r="J2304" s="1383"/>
      <c r="K2304" s="1382"/>
      <c r="L2304" s="1372"/>
    </row>
    <row r="2305" spans="1:12" s="31" customFormat="1" ht="17.25" customHeight="1">
      <c r="A2305" s="1384" t="s">
        <v>124</v>
      </c>
      <c r="B2305" s="1632" t="s">
        <v>1086</v>
      </c>
      <c r="C2305" s="1382"/>
      <c r="D2305" s="1382"/>
      <c r="E2305" s="1382"/>
      <c r="F2305" s="1436"/>
      <c r="G2305" s="1384" t="s">
        <v>124</v>
      </c>
      <c r="H2305" s="1632" t="s">
        <v>1086</v>
      </c>
      <c r="I2305" s="1382"/>
      <c r="J2305" s="1382"/>
      <c r="K2305" s="1382"/>
      <c r="L2305" s="1372"/>
    </row>
    <row r="2306" spans="1:12" s="31" customFormat="1" ht="17.25" customHeight="1">
      <c r="A2306" s="1384" t="s">
        <v>125</v>
      </c>
      <c r="B2306" s="1633" t="s">
        <v>1087</v>
      </c>
      <c r="C2306" s="1382"/>
      <c r="D2306" s="1382"/>
      <c r="E2306" s="1377">
        <f>SUM(E2305)</f>
        <v>0</v>
      </c>
      <c r="F2306" s="1423"/>
      <c r="G2306" s="1384" t="s">
        <v>125</v>
      </c>
      <c r="H2306" s="1633" t="s">
        <v>1087</v>
      </c>
      <c r="I2306" s="1382"/>
      <c r="J2306" s="1382"/>
      <c r="K2306" s="1377">
        <f>SUM(K2305)</f>
        <v>0</v>
      </c>
      <c r="L2306" s="1372"/>
    </row>
    <row r="2307" spans="1:12" s="31" customFormat="1" ht="17.25" customHeight="1">
      <c r="A2307" s="1386" t="s">
        <v>126</v>
      </c>
      <c r="B2307" s="1634" t="s">
        <v>871</v>
      </c>
      <c r="C2307" s="1387"/>
      <c r="D2307" s="1387"/>
      <c r="E2307" s="1387">
        <f>(E2296+E2297+E2298+E2299+E2300+E2301+E2302+E2303)-E2306</f>
        <v>0</v>
      </c>
      <c r="F2307" s="1423"/>
      <c r="G2307" s="1386" t="s">
        <v>126</v>
      </c>
      <c r="H2307" s="1634" t="s">
        <v>871</v>
      </c>
      <c r="I2307" s="1387"/>
      <c r="J2307" s="1387"/>
      <c r="K2307" s="1387">
        <f>(K2296+K2297+K2298+K2299+K2300+K2301+K2302+K2303)-K2306</f>
        <v>0</v>
      </c>
      <c r="L2307" s="1389">
        <f>E2307+K2307</f>
        <v>0</v>
      </c>
    </row>
    <row r="2308" spans="1:12" s="31" customFormat="1" ht="67.5" customHeight="1">
      <c r="A2308" s="1449"/>
      <c r="B2308" s="1449"/>
      <c r="C2308" s="1449"/>
      <c r="D2308" s="1449"/>
      <c r="E2308" s="1449"/>
      <c r="F2308" s="1449"/>
      <c r="G2308" s="1449"/>
      <c r="H2308" s="1449"/>
      <c r="I2308" s="1449"/>
      <c r="J2308" s="1449"/>
      <c r="K2308" s="1449"/>
      <c r="L2308" s="1372"/>
    </row>
    <row r="2309" spans="1:12" s="31" customFormat="1" ht="17.25" customHeight="1">
      <c r="A2309" s="1445" t="str">
        <f>A2293</f>
        <v>LƯƠNG THÁNG 01/2025</v>
      </c>
      <c r="B2309" s="1449"/>
      <c r="C2309" s="1449"/>
      <c r="D2309" s="1449"/>
      <c r="E2309" s="1452">
        <f>VLOOKUP(B2310,'CNKT '!$C$256:$AD$325,26,0)</f>
        <v>0</v>
      </c>
      <c r="F2309" s="1436"/>
      <c r="G2309" s="1445" t="str">
        <f>A2309</f>
        <v>LƯƠNG THÁNG 01/2025</v>
      </c>
      <c r="H2309" s="1449"/>
      <c r="I2309" s="1449"/>
      <c r="J2309" s="1452"/>
      <c r="K2309" s="1452">
        <f>VLOOKUP(H2310,'CNKT '!$C$256:$AD$325,26,0)</f>
        <v>0</v>
      </c>
      <c r="L2309" s="1372"/>
    </row>
    <row r="2310" spans="1:12" s="31" customFormat="1" ht="17.25" customHeight="1">
      <c r="A2310" s="1391" t="s">
        <v>29</v>
      </c>
      <c r="B2310" s="1626" t="str">
        <f>'CNKT '!C288</f>
        <v>T Pết</v>
      </c>
      <c r="C2310" s="1376"/>
      <c r="D2310" s="1626" t="s">
        <v>806</v>
      </c>
      <c r="E2310" s="1626" t="s">
        <v>32</v>
      </c>
      <c r="F2310" s="1436"/>
      <c r="G2310" s="1391" t="s">
        <v>29</v>
      </c>
      <c r="H2310" s="1626" t="str">
        <f>'CNKT '!C289</f>
        <v>T. Von</v>
      </c>
      <c r="I2310" s="1376"/>
      <c r="J2310" s="1626" t="s">
        <v>806</v>
      </c>
      <c r="K2310" s="1626" t="s">
        <v>32</v>
      </c>
      <c r="L2310" s="1372"/>
    </row>
    <row r="2311" spans="1:12" s="31" customFormat="1" ht="17.25" customHeight="1">
      <c r="A2311" s="1375" t="s">
        <v>807</v>
      </c>
      <c r="B2311" s="1628" t="s">
        <v>1080</v>
      </c>
      <c r="C2311" s="1376" t="str">
        <f>VLOOKUP(B2310,'BTH mủ tạp'!$C$246:$AL$314,36,0)</f>
        <v>B</v>
      </c>
      <c r="D2311" s="1377"/>
      <c r="E2311" s="1377"/>
      <c r="F2311" s="1436"/>
      <c r="G2311" s="1375" t="s">
        <v>807</v>
      </c>
      <c r="H2311" s="1628" t="s">
        <v>1080</v>
      </c>
      <c r="I2311" s="1376" t="str">
        <f>VLOOKUP(H2310,'BTH mủ tạp'!$C$246:$AL$314,36,0)</f>
        <v>B</v>
      </c>
      <c r="J2311" s="1377"/>
      <c r="K2311" s="1377"/>
      <c r="L2311" s="1372"/>
    </row>
    <row r="2312" spans="1:12" s="31" customFormat="1" ht="17.25" customHeight="1">
      <c r="A2312" s="1375" t="s">
        <v>121</v>
      </c>
      <c r="B2312" s="1629" t="s">
        <v>865</v>
      </c>
      <c r="C2312" s="1378">
        <f>VLOOKUP(B2310,'CNKT '!$C$256:$Z$316,3,0)</f>
        <v>0</v>
      </c>
      <c r="D2312" s="1379">
        <v>25000</v>
      </c>
      <c r="E2312" s="1377">
        <f t="shared" ref="E2312:E2317" si="271">C2312*D2312</f>
        <v>0</v>
      </c>
      <c r="F2312" s="1436"/>
      <c r="G2312" s="1375" t="s">
        <v>121</v>
      </c>
      <c r="H2312" s="1629" t="s">
        <v>865</v>
      </c>
      <c r="I2312" s="1378">
        <f>VLOOKUP(H2310,'CNKT '!$C$256:$Z$316,3,0)</f>
        <v>0</v>
      </c>
      <c r="J2312" s="1379">
        <v>25000</v>
      </c>
      <c r="K2312" s="1377">
        <f t="shared" ref="K2312:K2317" si="272">I2312*J2312</f>
        <v>0</v>
      </c>
      <c r="L2312" s="1372"/>
    </row>
    <row r="2313" spans="1:12" s="31" customFormat="1" ht="17.25" customHeight="1">
      <c r="A2313" s="1375" t="s">
        <v>628</v>
      </c>
      <c r="B2313" s="1630" t="s">
        <v>1081</v>
      </c>
      <c r="C2313" s="1433">
        <f>VLOOKUP(B2310,'CNKT '!$C$256:$Z$316,11,0)</f>
        <v>0</v>
      </c>
      <c r="D2313" s="1380">
        <f>46.1*$B$2</f>
        <v>30241.600000000002</v>
      </c>
      <c r="E2313" s="1377">
        <f t="shared" si="271"/>
        <v>0</v>
      </c>
      <c r="F2313" s="1436"/>
      <c r="G2313" s="1375" t="s">
        <v>628</v>
      </c>
      <c r="H2313" s="1630" t="s">
        <v>1081</v>
      </c>
      <c r="I2313" s="1433">
        <f>VLOOKUP(H2310,'CNKT '!$C$256:$Z$316,11,0)</f>
        <v>0</v>
      </c>
      <c r="J2313" s="1380">
        <f>46.1*$B$2</f>
        <v>30241.600000000002</v>
      </c>
      <c r="K2313" s="1377">
        <f t="shared" si="272"/>
        <v>0</v>
      </c>
      <c r="L2313" s="1372"/>
    </row>
    <row r="2314" spans="1:12" s="31" customFormat="1" ht="17.25" customHeight="1">
      <c r="A2314" s="1375" t="s">
        <v>809</v>
      </c>
      <c r="B2314" s="1630" t="s">
        <v>1082</v>
      </c>
      <c r="C2314" s="1433">
        <f>VLOOKUP(B2310,'CNKT '!$C$256:$Z$316,12,0)</f>
        <v>0</v>
      </c>
      <c r="D2314" s="1379">
        <f>76.9*$B$2</f>
        <v>50446.400000000001</v>
      </c>
      <c r="E2314" s="1377">
        <f t="shared" si="271"/>
        <v>0</v>
      </c>
      <c r="F2314" s="1436"/>
      <c r="G2314" s="1375" t="s">
        <v>809</v>
      </c>
      <c r="H2314" s="1630" t="s">
        <v>1082</v>
      </c>
      <c r="I2314" s="1433">
        <f>VLOOKUP(H2310,'CNKT '!$C$256:$Z$316,12,0)</f>
        <v>0</v>
      </c>
      <c r="J2314" s="1379">
        <f>76.9*$B$2</f>
        <v>50446.400000000001</v>
      </c>
      <c r="K2314" s="1377">
        <f t="shared" si="272"/>
        <v>0</v>
      </c>
      <c r="L2314" s="1372"/>
    </row>
    <row r="2315" spans="1:12" s="31" customFormat="1" ht="17.25" customHeight="1">
      <c r="A2315" s="1375" t="s">
        <v>122</v>
      </c>
      <c r="B2315" s="1630" t="s">
        <v>1083</v>
      </c>
      <c r="C2315" s="1433">
        <f>VLOOKUP(B2310,'CNKT '!$C$256:$Z$316,8,0)</f>
        <v>0</v>
      </c>
      <c r="D2315" s="1379">
        <f>IF(C2311="A",6.1,IF(C2311="B",5.8,IF(C2311="C",5.5,IF(C2311="C.",5.5,IF(C2311="D",5.2)))))*$B$2</f>
        <v>3804.7999999999997</v>
      </c>
      <c r="E2315" s="1377">
        <f t="shared" si="271"/>
        <v>0</v>
      </c>
      <c r="F2315" s="1436"/>
      <c r="G2315" s="1375" t="s">
        <v>122</v>
      </c>
      <c r="H2315" s="1630" t="s">
        <v>1083</v>
      </c>
      <c r="I2315" s="1433">
        <f>VLOOKUP(H2310,'CNKT '!$C$256:$Z$316,8,0)</f>
        <v>0</v>
      </c>
      <c r="J2315" s="1379">
        <f>IF(I2311="A",6.1,IF(I2311="B",5.8,IF(I2311="C",5.5,IF(I2311="C.",5.5,IF(I2311="D",5.2)))))*$B$2</f>
        <v>3804.7999999999997</v>
      </c>
      <c r="K2315" s="1377">
        <f t="shared" si="272"/>
        <v>0</v>
      </c>
      <c r="L2315" s="1372"/>
    </row>
    <row r="2316" spans="1:12" s="31" customFormat="1" ht="17.25" customHeight="1">
      <c r="A2316" s="1375" t="s">
        <v>885</v>
      </c>
      <c r="B2316" s="1630" t="s">
        <v>1084</v>
      </c>
      <c r="C2316" s="1433">
        <f>VLOOKUP(B2310,'CNKT '!$C$256:$Z$316,15,0)</f>
        <v>0</v>
      </c>
      <c r="D2316" s="1380">
        <f>92.2*$B$2</f>
        <v>60483.200000000004</v>
      </c>
      <c r="E2316" s="1377">
        <f t="shared" si="271"/>
        <v>0</v>
      </c>
      <c r="F2316" s="1436"/>
      <c r="G2316" s="1375" t="s">
        <v>885</v>
      </c>
      <c r="H2316" s="1630" t="s">
        <v>1084</v>
      </c>
      <c r="I2316" s="1433">
        <f>VLOOKUP(H2310,'CNKT '!$C$256:$Z$316,15,0)</f>
        <v>0</v>
      </c>
      <c r="J2316" s="1380">
        <f>92.2*$B$2</f>
        <v>60483.200000000004</v>
      </c>
      <c r="K2316" s="1377">
        <f t="shared" si="272"/>
        <v>0</v>
      </c>
      <c r="L2316" s="1372"/>
    </row>
    <row r="2317" spans="1:12" s="31" customFormat="1" ht="17.25" customHeight="1">
      <c r="A2317" s="1375" t="s">
        <v>886</v>
      </c>
      <c r="B2317" s="1630" t="s">
        <v>964</v>
      </c>
      <c r="C2317" s="1433">
        <f>VLOOKUP(B2310,'CNKT '!$C$256:$Z$316,14,0)</f>
        <v>0</v>
      </c>
      <c r="D2317" s="1379">
        <f>153.6*$B$2</f>
        <v>100761.59999999999</v>
      </c>
      <c r="E2317" s="1377">
        <f t="shared" si="271"/>
        <v>0</v>
      </c>
      <c r="F2317" s="1436"/>
      <c r="G2317" s="1375" t="s">
        <v>886</v>
      </c>
      <c r="H2317" s="1630" t="s">
        <v>964</v>
      </c>
      <c r="I2317" s="1433">
        <f>VLOOKUP(H2310,'CNKT '!$C$256:$Z$316,14,0)</f>
        <v>0</v>
      </c>
      <c r="J2317" s="1379">
        <f>153.6*$B$2</f>
        <v>100761.59999999999</v>
      </c>
      <c r="K2317" s="1377">
        <f t="shared" si="272"/>
        <v>0</v>
      </c>
      <c r="L2317" s="1372"/>
    </row>
    <row r="2318" spans="1:12" s="31" customFormat="1" ht="17.25" customHeight="1">
      <c r="A2318" s="1375" t="s">
        <v>899</v>
      </c>
      <c r="B2318" s="1630" t="s">
        <v>965</v>
      </c>
      <c r="C2318" s="1433">
        <f>VLOOKUP(B2310,'CNKT '!$C$256:$Z$325,18,0)</f>
        <v>0</v>
      </c>
      <c r="D2318" s="1379">
        <v>10000</v>
      </c>
      <c r="E2318" s="1377">
        <f>C2318*D2318</f>
        <v>0</v>
      </c>
      <c r="F2318" s="1436"/>
      <c r="G2318" s="1375" t="s">
        <v>899</v>
      </c>
      <c r="H2318" s="1630" t="s">
        <v>965</v>
      </c>
      <c r="I2318" s="1433">
        <f>VLOOKUP(H2310,'CNKT '!$C$256:$Z$325,18,0)</f>
        <v>0</v>
      </c>
      <c r="J2318" s="1379">
        <v>10000</v>
      </c>
      <c r="K2318" s="1377">
        <f>I2318*J2318</f>
        <v>0</v>
      </c>
      <c r="L2318" s="1372"/>
    </row>
    <row r="2319" spans="1:12" s="31" customFormat="1" ht="17.25" customHeight="1">
      <c r="A2319" s="1375" t="s">
        <v>899</v>
      </c>
      <c r="B2319" s="1630" t="s">
        <v>965</v>
      </c>
      <c r="C2319" s="1433">
        <f>VLOOKUP(B2310,'CNKT '!$C$256:$Z$325,19,0)</f>
        <v>0</v>
      </c>
      <c r="D2319" s="1379">
        <v>20000</v>
      </c>
      <c r="E2319" s="1377">
        <f>C2319*D2319</f>
        <v>0</v>
      </c>
      <c r="F2319" s="1436"/>
      <c r="G2319" s="1375" t="s">
        <v>899</v>
      </c>
      <c r="H2319" s="1630" t="s">
        <v>965</v>
      </c>
      <c r="I2319" s="1433">
        <f>VLOOKUP(H2310,'CNKT '!$C$256:$Z$325,19,0)</f>
        <v>0</v>
      </c>
      <c r="J2319" s="1379">
        <v>20000</v>
      </c>
      <c r="K2319" s="1377">
        <f>I2319*J2319</f>
        <v>0</v>
      </c>
      <c r="L2319" s="1372"/>
    </row>
    <row r="2320" spans="1:12" s="31" customFormat="1" ht="17.25" customHeight="1">
      <c r="A2320" s="1381" t="s">
        <v>123</v>
      </c>
      <c r="B2320" s="1631" t="s">
        <v>1085</v>
      </c>
      <c r="C2320" s="1382"/>
      <c r="D2320" s="1383"/>
      <c r="E2320" s="1382"/>
      <c r="F2320" s="1436"/>
      <c r="G2320" s="1381" t="s">
        <v>123</v>
      </c>
      <c r="H2320" s="1631" t="s">
        <v>1085</v>
      </c>
      <c r="I2320" s="1382"/>
      <c r="J2320" s="1383"/>
      <c r="K2320" s="1382"/>
      <c r="L2320" s="1372"/>
    </row>
    <row r="2321" spans="1:12" s="31" customFormat="1" ht="17.25" customHeight="1">
      <c r="A2321" s="1384" t="s">
        <v>124</v>
      </c>
      <c r="B2321" s="1632" t="s">
        <v>1086</v>
      </c>
      <c r="C2321" s="1382"/>
      <c r="D2321" s="1382"/>
      <c r="E2321" s="1382"/>
      <c r="F2321" s="1436"/>
      <c r="G2321" s="1384" t="s">
        <v>124</v>
      </c>
      <c r="H2321" s="1632" t="s">
        <v>1086</v>
      </c>
      <c r="I2321" s="1382"/>
      <c r="J2321" s="1382"/>
      <c r="K2321" s="1382"/>
      <c r="L2321" s="1372"/>
    </row>
    <row r="2322" spans="1:12" s="31" customFormat="1" ht="17.25" customHeight="1">
      <c r="A2322" s="1384" t="s">
        <v>125</v>
      </c>
      <c r="B2322" s="1633" t="s">
        <v>1087</v>
      </c>
      <c r="C2322" s="1382"/>
      <c r="D2322" s="1382"/>
      <c r="E2322" s="1377">
        <f>SUM(E2321)</f>
        <v>0</v>
      </c>
      <c r="F2322" s="1423"/>
      <c r="G2322" s="1384" t="s">
        <v>125</v>
      </c>
      <c r="H2322" s="1633" t="s">
        <v>1087</v>
      </c>
      <c r="I2322" s="1382"/>
      <c r="J2322" s="1382"/>
      <c r="K2322" s="1377">
        <f>SUM(K2321)</f>
        <v>0</v>
      </c>
      <c r="L2322" s="1372"/>
    </row>
    <row r="2323" spans="1:12" s="31" customFormat="1" ht="17.25" customHeight="1">
      <c r="A2323" s="1386" t="s">
        <v>126</v>
      </c>
      <c r="B2323" s="1634" t="s">
        <v>871</v>
      </c>
      <c r="C2323" s="1387"/>
      <c r="D2323" s="1387"/>
      <c r="E2323" s="1387">
        <f>(E2312+E2313+E2314+E2315+E2316+E2317+E2318+E2319)-E2322</f>
        <v>0</v>
      </c>
      <c r="F2323" s="1423"/>
      <c r="G2323" s="1386" t="s">
        <v>126</v>
      </c>
      <c r="H2323" s="1634" t="s">
        <v>871</v>
      </c>
      <c r="I2323" s="1387"/>
      <c r="J2323" s="1387"/>
      <c r="K2323" s="1387">
        <f>(K2312+K2313+K2314+K2315+K2316+K2317+K2318+K2319)-K2322</f>
        <v>0</v>
      </c>
      <c r="L2323" s="1389">
        <f>E2323+K2323</f>
        <v>0</v>
      </c>
    </row>
    <row r="2324" spans="1:12" s="31" customFormat="1" ht="17.25" customHeight="1">
      <c r="A2324" s="1449"/>
      <c r="B2324" s="1449"/>
      <c r="C2324" s="1449"/>
      <c r="D2324" s="1449"/>
      <c r="E2324" s="1449"/>
      <c r="F2324" s="1449"/>
      <c r="G2324" s="1449"/>
      <c r="H2324" s="1449"/>
      <c r="I2324" s="1449"/>
      <c r="J2324" s="1449"/>
      <c r="K2324" s="1449"/>
      <c r="L2324" s="1372"/>
    </row>
    <row r="2325" spans="1:12" s="31" customFormat="1" ht="17.25" customHeight="1">
      <c r="A2325" s="1445" t="str">
        <f>A2309</f>
        <v>LƯƠNG THÁNG 01/2025</v>
      </c>
      <c r="B2325" s="1449"/>
      <c r="C2325" s="1449"/>
      <c r="D2325" s="1449"/>
      <c r="E2325" s="1452">
        <f>VLOOKUP(B2326,'CNKT '!$C$256:$AD$325,26,0)</f>
        <v>0</v>
      </c>
      <c r="F2325" s="1436"/>
      <c r="G2325" s="1445" t="str">
        <f>A2325</f>
        <v>LƯƠNG THÁNG 01/2025</v>
      </c>
      <c r="H2325" s="1449"/>
      <c r="I2325" s="1449"/>
      <c r="J2325" s="1452"/>
      <c r="K2325" s="1452">
        <f>VLOOKUP(H2326,'CNKT '!$C$256:$AD$325,26,0)</f>
        <v>0</v>
      </c>
      <c r="L2325" s="1372"/>
    </row>
    <row r="2326" spans="1:12" s="31" customFormat="1" ht="17.25" customHeight="1">
      <c r="A2326" s="1391" t="s">
        <v>29</v>
      </c>
      <c r="B2326" s="1626" t="str">
        <f>'CNKT '!C290</f>
        <v>Khăm Xúc</v>
      </c>
      <c r="C2326" s="1376"/>
      <c r="D2326" s="1626" t="s">
        <v>806</v>
      </c>
      <c r="E2326" s="1626" t="s">
        <v>32</v>
      </c>
      <c r="F2326" s="1436"/>
      <c r="G2326" s="1391" t="s">
        <v>29</v>
      </c>
      <c r="H2326" s="1626" t="str">
        <f>'CNKT '!C291</f>
        <v>T. Phút</v>
      </c>
      <c r="I2326" s="1376"/>
      <c r="J2326" s="1626" t="s">
        <v>806</v>
      </c>
      <c r="K2326" s="1626" t="s">
        <v>32</v>
      </c>
      <c r="L2326" s="1372"/>
    </row>
    <row r="2327" spans="1:12" s="31" customFormat="1" ht="17.25" customHeight="1">
      <c r="A2327" s="1375" t="s">
        <v>807</v>
      </c>
      <c r="B2327" s="1628" t="s">
        <v>1080</v>
      </c>
      <c r="C2327" s="1376" t="str">
        <f>VLOOKUP(B2326,'BTH mủ tạp'!$C$246:$AL$314,36,0)</f>
        <v>B</v>
      </c>
      <c r="D2327" s="1377"/>
      <c r="E2327" s="1377"/>
      <c r="F2327" s="1436"/>
      <c r="G2327" s="1375" t="s">
        <v>807</v>
      </c>
      <c r="H2327" s="1628" t="s">
        <v>1080</v>
      </c>
      <c r="I2327" s="1376" t="str">
        <f>VLOOKUP(H2326,'BTH mủ tạp'!$C$246:$AL$314,36,0)</f>
        <v>B</v>
      </c>
      <c r="J2327" s="1377"/>
      <c r="K2327" s="1377"/>
      <c r="L2327" s="1372"/>
    </row>
    <row r="2328" spans="1:12" s="31" customFormat="1" ht="17.25" customHeight="1">
      <c r="A2328" s="1375" t="s">
        <v>121</v>
      </c>
      <c r="B2328" s="1629" t="s">
        <v>865</v>
      </c>
      <c r="C2328" s="1378">
        <f>VLOOKUP(B2326,'CNKT '!$C$256:$Z$316,3,0)</f>
        <v>0</v>
      </c>
      <c r="D2328" s="1379">
        <v>25000</v>
      </c>
      <c r="E2328" s="1377">
        <f t="shared" ref="E2328:E2333" si="273">C2328*D2328</f>
        <v>0</v>
      </c>
      <c r="F2328" s="1436"/>
      <c r="G2328" s="1375" t="s">
        <v>121</v>
      </c>
      <c r="H2328" s="1629" t="s">
        <v>865</v>
      </c>
      <c r="I2328" s="1378">
        <f>VLOOKUP(H2326,'CNKT '!$C$256:$Z$316,3,0)</f>
        <v>0</v>
      </c>
      <c r="J2328" s="1379">
        <v>25000</v>
      </c>
      <c r="K2328" s="1377">
        <f t="shared" ref="K2328:K2333" si="274">I2328*J2328</f>
        <v>0</v>
      </c>
      <c r="L2328" s="1372"/>
    </row>
    <row r="2329" spans="1:12" s="31" customFormat="1" ht="17.25" customHeight="1">
      <c r="A2329" s="1375" t="s">
        <v>628</v>
      </c>
      <c r="B2329" s="1630" t="s">
        <v>1081</v>
      </c>
      <c r="C2329" s="1433">
        <f>VLOOKUP(B2326,'CNKT '!$C$256:$Z$316,11,0)</f>
        <v>0</v>
      </c>
      <c r="D2329" s="1380">
        <f>46.1*$B$2</f>
        <v>30241.600000000002</v>
      </c>
      <c r="E2329" s="1377">
        <f t="shared" si="273"/>
        <v>0</v>
      </c>
      <c r="F2329" s="1436"/>
      <c r="G2329" s="1375" t="s">
        <v>628</v>
      </c>
      <c r="H2329" s="1630" t="s">
        <v>1081</v>
      </c>
      <c r="I2329" s="1433">
        <f>VLOOKUP(H2326,'CNKT '!$C$256:$Z$316,11,0)</f>
        <v>0</v>
      </c>
      <c r="J2329" s="1380">
        <f>46.1*$B$2</f>
        <v>30241.600000000002</v>
      </c>
      <c r="K2329" s="1377">
        <f t="shared" si="274"/>
        <v>0</v>
      </c>
      <c r="L2329" s="1372"/>
    </row>
    <row r="2330" spans="1:12" s="31" customFormat="1" ht="17.25" customHeight="1">
      <c r="A2330" s="1375" t="s">
        <v>809</v>
      </c>
      <c r="B2330" s="1630" t="s">
        <v>1082</v>
      </c>
      <c r="C2330" s="1433">
        <f>VLOOKUP(B2326,'CNKT '!$C$256:$Z$316,12,0)</f>
        <v>0</v>
      </c>
      <c r="D2330" s="1379">
        <f>76.9*$B$2</f>
        <v>50446.400000000001</v>
      </c>
      <c r="E2330" s="1377">
        <f t="shared" si="273"/>
        <v>0</v>
      </c>
      <c r="F2330" s="1436"/>
      <c r="G2330" s="1375" t="s">
        <v>809</v>
      </c>
      <c r="H2330" s="1630" t="s">
        <v>1082</v>
      </c>
      <c r="I2330" s="1433">
        <f>VLOOKUP(H2326,'CNKT '!$C$256:$Z$316,12,0)</f>
        <v>0</v>
      </c>
      <c r="J2330" s="1379">
        <f>76.9*$B$2</f>
        <v>50446.400000000001</v>
      </c>
      <c r="K2330" s="1377">
        <f t="shared" si="274"/>
        <v>0</v>
      </c>
      <c r="L2330" s="1372"/>
    </row>
    <row r="2331" spans="1:12" s="31" customFormat="1" ht="17.25" customHeight="1">
      <c r="A2331" s="1375" t="s">
        <v>122</v>
      </c>
      <c r="B2331" s="1630" t="s">
        <v>1083</v>
      </c>
      <c r="C2331" s="1433">
        <f>VLOOKUP(B2326,'CNKT '!$C$256:$Z$316,8,0)</f>
        <v>0</v>
      </c>
      <c r="D2331" s="1379">
        <f>IF(C2327="A",6.1,IF(C2327="B",5.8,IF(C2327="C",5.5,IF(C2327="C.",5.5,IF(C2327="D",5.2)))))*$B$2</f>
        <v>3804.7999999999997</v>
      </c>
      <c r="E2331" s="1377">
        <f t="shared" si="273"/>
        <v>0</v>
      </c>
      <c r="F2331" s="1436"/>
      <c r="G2331" s="1375" t="s">
        <v>122</v>
      </c>
      <c r="H2331" s="1630" t="s">
        <v>1083</v>
      </c>
      <c r="I2331" s="1433">
        <f>VLOOKUP(H2326,'CNKT '!$C$256:$Z$316,8,0)</f>
        <v>0</v>
      </c>
      <c r="J2331" s="1379">
        <f>IF(I2327="A",6.1,IF(I2327="B",5.8,IF(I2327="C",5.5,IF(I2327="C.",5.5,IF(I2327="D",5.2)))))*$B$2</f>
        <v>3804.7999999999997</v>
      </c>
      <c r="K2331" s="1377">
        <f t="shared" si="274"/>
        <v>0</v>
      </c>
      <c r="L2331" s="1372"/>
    </row>
    <row r="2332" spans="1:12" s="31" customFormat="1" ht="17.25" customHeight="1">
      <c r="A2332" s="1375" t="s">
        <v>885</v>
      </c>
      <c r="B2332" s="1630" t="s">
        <v>1084</v>
      </c>
      <c r="C2332" s="1433">
        <f>VLOOKUP(B2326,'CNKT '!$C$256:$Z$316,15,0)</f>
        <v>0</v>
      </c>
      <c r="D2332" s="1380">
        <f>92.2*$B$2</f>
        <v>60483.200000000004</v>
      </c>
      <c r="E2332" s="1377">
        <f t="shared" si="273"/>
        <v>0</v>
      </c>
      <c r="F2332" s="1436"/>
      <c r="G2332" s="1375" t="s">
        <v>885</v>
      </c>
      <c r="H2332" s="1630" t="s">
        <v>1084</v>
      </c>
      <c r="I2332" s="1433">
        <f>VLOOKUP(H2326,'CNKT '!$C$256:$Z$316,15,0)</f>
        <v>0</v>
      </c>
      <c r="J2332" s="1380">
        <f>92.2*$B$2</f>
        <v>60483.200000000004</v>
      </c>
      <c r="K2332" s="1377">
        <f t="shared" si="274"/>
        <v>0</v>
      </c>
      <c r="L2332" s="1372"/>
    </row>
    <row r="2333" spans="1:12" s="31" customFormat="1" ht="17.25" customHeight="1">
      <c r="A2333" s="1375" t="s">
        <v>886</v>
      </c>
      <c r="B2333" s="1630" t="s">
        <v>964</v>
      </c>
      <c r="C2333" s="1433">
        <f>VLOOKUP(B2326,'CNKT '!$C$256:$Z$316,14,0)</f>
        <v>0</v>
      </c>
      <c r="D2333" s="1379">
        <f>153.6*$B$2</f>
        <v>100761.59999999999</v>
      </c>
      <c r="E2333" s="1377">
        <f t="shared" si="273"/>
        <v>0</v>
      </c>
      <c r="F2333" s="1436"/>
      <c r="G2333" s="1375" t="s">
        <v>886</v>
      </c>
      <c r="H2333" s="1630" t="s">
        <v>964</v>
      </c>
      <c r="I2333" s="1433">
        <f>VLOOKUP(H2326,'CNKT '!$C$256:$Z$316,14,0)</f>
        <v>0</v>
      </c>
      <c r="J2333" s="1379">
        <f>153.6*$B$2</f>
        <v>100761.59999999999</v>
      </c>
      <c r="K2333" s="1377">
        <f t="shared" si="274"/>
        <v>0</v>
      </c>
      <c r="L2333" s="1372"/>
    </row>
    <row r="2334" spans="1:12" s="31" customFormat="1" ht="17.25" customHeight="1">
      <c r="A2334" s="1375" t="s">
        <v>899</v>
      </c>
      <c r="B2334" s="1630" t="s">
        <v>965</v>
      </c>
      <c r="C2334" s="1433">
        <f>VLOOKUP(B2326,'CNKT '!$C$256:$Z$325,18,0)</f>
        <v>0</v>
      </c>
      <c r="D2334" s="1379">
        <v>10000</v>
      </c>
      <c r="E2334" s="1377">
        <f>C2334*D2334</f>
        <v>0</v>
      </c>
      <c r="F2334" s="1436"/>
      <c r="G2334" s="1375" t="s">
        <v>899</v>
      </c>
      <c r="H2334" s="1630" t="s">
        <v>965</v>
      </c>
      <c r="I2334" s="1433">
        <f>VLOOKUP(H2326,'CNKT '!$C$256:$Z$325,18,0)</f>
        <v>0</v>
      </c>
      <c r="J2334" s="1379">
        <v>10000</v>
      </c>
      <c r="K2334" s="1377">
        <f>I2334*J2334</f>
        <v>0</v>
      </c>
      <c r="L2334" s="1372"/>
    </row>
    <row r="2335" spans="1:12" s="31" customFormat="1" ht="17.25" customHeight="1">
      <c r="A2335" s="1375" t="s">
        <v>899</v>
      </c>
      <c r="B2335" s="1630" t="s">
        <v>965</v>
      </c>
      <c r="C2335" s="1433">
        <f>VLOOKUP(B2326,'CNKT '!$C$256:$Z$325,19,0)</f>
        <v>0</v>
      </c>
      <c r="D2335" s="1379">
        <v>20000</v>
      </c>
      <c r="E2335" s="1377">
        <f>C2335*D2335</f>
        <v>0</v>
      </c>
      <c r="F2335" s="1436"/>
      <c r="G2335" s="1375" t="s">
        <v>899</v>
      </c>
      <c r="H2335" s="1630" t="s">
        <v>965</v>
      </c>
      <c r="I2335" s="1433">
        <f>VLOOKUP(H2326,'CNKT '!$C$256:$Z$325,19,0)</f>
        <v>0</v>
      </c>
      <c r="J2335" s="1379">
        <v>20000</v>
      </c>
      <c r="K2335" s="1377">
        <f>I2335*J2335</f>
        <v>0</v>
      </c>
      <c r="L2335" s="1372"/>
    </row>
    <row r="2336" spans="1:12" s="31" customFormat="1" ht="17.25" customHeight="1">
      <c r="A2336" s="1381" t="s">
        <v>123</v>
      </c>
      <c r="B2336" s="1631" t="s">
        <v>1085</v>
      </c>
      <c r="C2336" s="1382"/>
      <c r="D2336" s="1383"/>
      <c r="E2336" s="1382"/>
      <c r="F2336" s="1436"/>
      <c r="G2336" s="1381" t="s">
        <v>123</v>
      </c>
      <c r="H2336" s="1631" t="s">
        <v>1085</v>
      </c>
      <c r="I2336" s="1382"/>
      <c r="J2336" s="1383"/>
      <c r="K2336" s="1382"/>
      <c r="L2336" s="1372"/>
    </row>
    <row r="2337" spans="1:12" s="31" customFormat="1" ht="17.25" customHeight="1">
      <c r="A2337" s="1384" t="s">
        <v>124</v>
      </c>
      <c r="B2337" s="1632" t="s">
        <v>1086</v>
      </c>
      <c r="C2337" s="1382"/>
      <c r="D2337" s="1382"/>
      <c r="E2337" s="1382"/>
      <c r="F2337" s="1436"/>
      <c r="G2337" s="1384" t="s">
        <v>124</v>
      </c>
      <c r="H2337" s="1632" t="s">
        <v>1086</v>
      </c>
      <c r="I2337" s="1382"/>
      <c r="J2337" s="1382"/>
      <c r="K2337" s="1382"/>
      <c r="L2337" s="1372"/>
    </row>
    <row r="2338" spans="1:12" s="31" customFormat="1" ht="17.25" customHeight="1">
      <c r="A2338" s="1384" t="s">
        <v>125</v>
      </c>
      <c r="B2338" s="1633" t="s">
        <v>1087</v>
      </c>
      <c r="C2338" s="1382"/>
      <c r="D2338" s="1382"/>
      <c r="E2338" s="1377">
        <f>SUM(E2337)</f>
        <v>0</v>
      </c>
      <c r="F2338" s="1432"/>
      <c r="G2338" s="1384" t="s">
        <v>125</v>
      </c>
      <c r="H2338" s="1633" t="s">
        <v>1087</v>
      </c>
      <c r="I2338" s="1382"/>
      <c r="J2338" s="1382"/>
      <c r="K2338" s="1377">
        <f>SUM(K2337)</f>
        <v>0</v>
      </c>
      <c r="L2338" s="1372"/>
    </row>
    <row r="2339" spans="1:12" s="31" customFormat="1" ht="17.25" customHeight="1">
      <c r="A2339" s="1386" t="s">
        <v>126</v>
      </c>
      <c r="B2339" s="1634" t="s">
        <v>871</v>
      </c>
      <c r="C2339" s="1387"/>
      <c r="D2339" s="1387"/>
      <c r="E2339" s="1387">
        <f>(E2328+E2329+E2330+E2331+E2332+E2333+E2334+E2335)-E2338</f>
        <v>0</v>
      </c>
      <c r="F2339" s="1432"/>
      <c r="G2339" s="1386" t="s">
        <v>126</v>
      </c>
      <c r="H2339" s="1634" t="s">
        <v>871</v>
      </c>
      <c r="I2339" s="1387"/>
      <c r="J2339" s="1387"/>
      <c r="K2339" s="1387">
        <f>(K2328+K2329+K2330+K2331+K2332+K2333+K2334+K2335)-K2338</f>
        <v>0</v>
      </c>
      <c r="L2339" s="1389">
        <f>E2339+K2339</f>
        <v>0</v>
      </c>
    </row>
    <row r="2340" spans="1:12" s="31" customFormat="1" ht="17.25" customHeight="1">
      <c r="A2340" s="1449"/>
      <c r="B2340" s="1449"/>
      <c r="C2340" s="1449"/>
      <c r="D2340" s="1449"/>
      <c r="E2340" s="1449"/>
      <c r="F2340" s="1449"/>
      <c r="G2340" s="1449"/>
      <c r="H2340" s="1449"/>
      <c r="I2340" s="1449"/>
      <c r="J2340" s="1449"/>
      <c r="K2340" s="1449"/>
      <c r="L2340" s="1372"/>
    </row>
    <row r="2341" spans="1:12" s="31" customFormat="1" ht="17.25" customHeight="1">
      <c r="A2341" s="1445" t="str">
        <f>A2325</f>
        <v>LƯƠNG THÁNG 01/2025</v>
      </c>
      <c r="B2341" s="1449"/>
      <c r="C2341" s="1449"/>
      <c r="D2341" s="1449"/>
      <c r="E2341" s="1452">
        <f>VLOOKUP(B2342,'CNKT '!$C$256:$AD$325,26,0)</f>
        <v>0</v>
      </c>
      <c r="F2341" s="1436"/>
      <c r="G2341" s="1445" t="str">
        <f>A2341</f>
        <v>LƯƠNG THÁNG 01/2025</v>
      </c>
      <c r="H2341" s="1449"/>
      <c r="I2341" s="1449"/>
      <c r="J2341" s="1452"/>
      <c r="K2341" s="1452">
        <f>VLOOKUP(H2342,'CNKT '!$C$256:$AD$325,26,0)</f>
        <v>0</v>
      </c>
      <c r="L2341" s="1372"/>
    </row>
    <row r="2342" spans="1:12" s="31" customFormat="1" ht="17.25" customHeight="1">
      <c r="A2342" s="1391" t="s">
        <v>29</v>
      </c>
      <c r="B2342" s="1626" t="str">
        <f>'CNKT '!C292</f>
        <v>T. Be</v>
      </c>
      <c r="C2342" s="1376"/>
      <c r="D2342" s="1626" t="s">
        <v>806</v>
      </c>
      <c r="E2342" s="1626" t="s">
        <v>32</v>
      </c>
      <c r="F2342" s="1436"/>
      <c r="G2342" s="1391" t="s">
        <v>29</v>
      </c>
      <c r="H2342" s="1626" t="str">
        <f>'CNKT '!C293</f>
        <v>T . Mưn</v>
      </c>
      <c r="I2342" s="1376"/>
      <c r="J2342" s="1626" t="s">
        <v>806</v>
      </c>
      <c r="K2342" s="1626" t="s">
        <v>32</v>
      </c>
      <c r="L2342" s="1372"/>
    </row>
    <row r="2343" spans="1:12" s="31" customFormat="1" ht="17.25" customHeight="1">
      <c r="A2343" s="1375" t="s">
        <v>807</v>
      </c>
      <c r="B2343" s="1628" t="s">
        <v>1080</v>
      </c>
      <c r="C2343" s="1376" t="str">
        <f>VLOOKUP(B2342,'BTH mủ tạp'!$C$246:$AL$314,36,0)</f>
        <v>C</v>
      </c>
      <c r="D2343" s="1377"/>
      <c r="E2343" s="1377"/>
      <c r="F2343" s="1436"/>
      <c r="G2343" s="1375" t="s">
        <v>807</v>
      </c>
      <c r="H2343" s="1628" t="s">
        <v>1080</v>
      </c>
      <c r="I2343" s="1376" t="str">
        <f>VLOOKUP(H2342,'BTH mủ tạp'!$C$246:$AL$314,36,0)</f>
        <v>B</v>
      </c>
      <c r="J2343" s="1377"/>
      <c r="K2343" s="1377"/>
      <c r="L2343" s="1372"/>
    </row>
    <row r="2344" spans="1:12" s="31" customFormat="1" ht="17.25" customHeight="1">
      <c r="A2344" s="1375" t="s">
        <v>121</v>
      </c>
      <c r="B2344" s="1629" t="s">
        <v>865</v>
      </c>
      <c r="C2344" s="1378">
        <f>VLOOKUP(B2342,'CNKT '!$C$256:$Z$316,3,0)</f>
        <v>0</v>
      </c>
      <c r="D2344" s="1379">
        <v>25000</v>
      </c>
      <c r="E2344" s="1377">
        <f t="shared" ref="E2344:E2349" si="275">C2344*D2344</f>
        <v>0</v>
      </c>
      <c r="F2344" s="1436"/>
      <c r="G2344" s="1375" t="s">
        <v>121</v>
      </c>
      <c r="H2344" s="1629" t="s">
        <v>865</v>
      </c>
      <c r="I2344" s="1378">
        <f>VLOOKUP(H2342,'CNKT '!$C$256:$Z$316,3,0)</f>
        <v>0</v>
      </c>
      <c r="J2344" s="1379">
        <v>25000</v>
      </c>
      <c r="K2344" s="1377">
        <f t="shared" ref="K2344:K2349" si="276">I2344*J2344</f>
        <v>0</v>
      </c>
      <c r="L2344" s="1372"/>
    </row>
    <row r="2345" spans="1:12" s="31" customFormat="1" ht="17.25" customHeight="1">
      <c r="A2345" s="1375" t="s">
        <v>628</v>
      </c>
      <c r="B2345" s="1630" t="s">
        <v>1081</v>
      </c>
      <c r="C2345" s="1433">
        <f>VLOOKUP(B2342,'CNKT '!$C$256:$Z$316,11,0)</f>
        <v>0</v>
      </c>
      <c r="D2345" s="1380">
        <f>46.1*$B$2</f>
        <v>30241.600000000002</v>
      </c>
      <c r="E2345" s="1377">
        <f t="shared" si="275"/>
        <v>0</v>
      </c>
      <c r="F2345" s="1436"/>
      <c r="G2345" s="1375" t="s">
        <v>628</v>
      </c>
      <c r="H2345" s="1630" t="s">
        <v>1081</v>
      </c>
      <c r="I2345" s="1433">
        <f>VLOOKUP(H2342,'CNKT '!$C$256:$Z$316,11,0)</f>
        <v>0</v>
      </c>
      <c r="J2345" s="1380">
        <f>46.1*$B$2</f>
        <v>30241.600000000002</v>
      </c>
      <c r="K2345" s="1377">
        <f t="shared" si="276"/>
        <v>0</v>
      </c>
      <c r="L2345" s="1372"/>
    </row>
    <row r="2346" spans="1:12" s="31" customFormat="1" ht="17.25" customHeight="1">
      <c r="A2346" s="1375" t="s">
        <v>809</v>
      </c>
      <c r="B2346" s="1630" t="s">
        <v>1082</v>
      </c>
      <c r="C2346" s="1433">
        <f>VLOOKUP(B2342,'CNKT '!$C$256:$Z$316,12,0)</f>
        <v>0</v>
      </c>
      <c r="D2346" s="1379">
        <f>76.9*$B$2</f>
        <v>50446.400000000001</v>
      </c>
      <c r="E2346" s="1377">
        <f t="shared" si="275"/>
        <v>0</v>
      </c>
      <c r="F2346" s="1436"/>
      <c r="G2346" s="1375" t="s">
        <v>809</v>
      </c>
      <c r="H2346" s="1630" t="s">
        <v>1082</v>
      </c>
      <c r="I2346" s="1433">
        <f>VLOOKUP(H2342,'CNKT '!$C$256:$Z$316,12,0)</f>
        <v>0</v>
      </c>
      <c r="J2346" s="1379">
        <f>76.9*$B$2</f>
        <v>50446.400000000001</v>
      </c>
      <c r="K2346" s="1377">
        <f t="shared" si="276"/>
        <v>0</v>
      </c>
      <c r="L2346" s="1372"/>
    </row>
    <row r="2347" spans="1:12" s="31" customFormat="1" ht="17.25" customHeight="1">
      <c r="A2347" s="1375" t="s">
        <v>122</v>
      </c>
      <c r="B2347" s="1630" t="s">
        <v>1083</v>
      </c>
      <c r="C2347" s="1433">
        <f>VLOOKUP(B2342,'CNKT '!$C$256:$Z$316,8,0)</f>
        <v>0</v>
      </c>
      <c r="D2347" s="1379">
        <f>IF(C2343="A",6.1,IF(C2343="B",5.8,IF(C2343="C",5.5,IF(C2343="C.",5.5,IF(C2343="D",5.2)))))*$B$2</f>
        <v>3608</v>
      </c>
      <c r="E2347" s="1377">
        <f t="shared" si="275"/>
        <v>0</v>
      </c>
      <c r="F2347" s="1436"/>
      <c r="G2347" s="1375" t="s">
        <v>122</v>
      </c>
      <c r="H2347" s="1630" t="s">
        <v>1083</v>
      </c>
      <c r="I2347" s="1433">
        <f>VLOOKUP(H2342,'CNKT '!$C$256:$Z$316,8,0)</f>
        <v>0</v>
      </c>
      <c r="J2347" s="1379">
        <f>IF(I2343="A",6.1,IF(I2343="B",5.8,IF(I2343="C",5.5,IF(I2343="C.",5.5,IF(I2343="D",5.2)))))*$B$2</f>
        <v>3804.7999999999997</v>
      </c>
      <c r="K2347" s="1377">
        <f t="shared" si="276"/>
        <v>0</v>
      </c>
      <c r="L2347" s="1372"/>
    </row>
    <row r="2348" spans="1:12" s="31" customFormat="1" ht="17.25" customHeight="1">
      <c r="A2348" s="1375" t="s">
        <v>885</v>
      </c>
      <c r="B2348" s="1630" t="s">
        <v>1084</v>
      </c>
      <c r="C2348" s="1433">
        <f>VLOOKUP(B2342,'CNKT '!$C$256:$Z$316,15,0)</f>
        <v>0</v>
      </c>
      <c r="D2348" s="1380">
        <f>92.2*$B$2</f>
        <v>60483.200000000004</v>
      </c>
      <c r="E2348" s="1377">
        <f t="shared" si="275"/>
        <v>0</v>
      </c>
      <c r="F2348" s="1436"/>
      <c r="G2348" s="1375" t="s">
        <v>885</v>
      </c>
      <c r="H2348" s="1630" t="s">
        <v>1084</v>
      </c>
      <c r="I2348" s="1433">
        <f>VLOOKUP(H2342,'CNKT '!$C$256:$Z$316,15,0)</f>
        <v>0</v>
      </c>
      <c r="J2348" s="1380">
        <f>92.2*$B$2</f>
        <v>60483.200000000004</v>
      </c>
      <c r="K2348" s="1377">
        <f t="shared" si="276"/>
        <v>0</v>
      </c>
      <c r="L2348" s="1372"/>
    </row>
    <row r="2349" spans="1:12" s="31" customFormat="1" ht="17.25" customHeight="1">
      <c r="A2349" s="1375" t="s">
        <v>886</v>
      </c>
      <c r="B2349" s="1630" t="s">
        <v>964</v>
      </c>
      <c r="C2349" s="1433">
        <f>VLOOKUP(B2342,'CNKT '!$C$256:$Z$316,14,0)</f>
        <v>0</v>
      </c>
      <c r="D2349" s="1379">
        <f>153.6*$B$2</f>
        <v>100761.59999999999</v>
      </c>
      <c r="E2349" s="1377">
        <f t="shared" si="275"/>
        <v>0</v>
      </c>
      <c r="F2349" s="1436"/>
      <c r="G2349" s="1375" t="s">
        <v>886</v>
      </c>
      <c r="H2349" s="1630" t="s">
        <v>964</v>
      </c>
      <c r="I2349" s="1433">
        <f>VLOOKUP(H2342,'CNKT '!$C$256:$Z$316,14,0)</f>
        <v>0</v>
      </c>
      <c r="J2349" s="1379">
        <f>153.6*$B$2</f>
        <v>100761.59999999999</v>
      </c>
      <c r="K2349" s="1377">
        <f t="shared" si="276"/>
        <v>0</v>
      </c>
      <c r="L2349" s="1372"/>
    </row>
    <row r="2350" spans="1:12" s="31" customFormat="1" ht="17.25" customHeight="1">
      <c r="A2350" s="1375" t="s">
        <v>899</v>
      </c>
      <c r="B2350" s="1630" t="s">
        <v>965</v>
      </c>
      <c r="C2350" s="1433">
        <f>VLOOKUP(B2342,'CNKT '!$C$256:$Z$325,18,0)</f>
        <v>0</v>
      </c>
      <c r="D2350" s="1379">
        <v>10000</v>
      </c>
      <c r="E2350" s="1377">
        <f>C2350*D2350</f>
        <v>0</v>
      </c>
      <c r="F2350" s="1436"/>
      <c r="G2350" s="1375" t="s">
        <v>899</v>
      </c>
      <c r="H2350" s="1630" t="s">
        <v>965</v>
      </c>
      <c r="I2350" s="1433">
        <f>VLOOKUP(H2342,'CNKT '!$C$256:$Z$325,18,0)</f>
        <v>0</v>
      </c>
      <c r="J2350" s="1379">
        <v>10000</v>
      </c>
      <c r="K2350" s="1377">
        <f>I2350*J2350</f>
        <v>0</v>
      </c>
      <c r="L2350" s="1372"/>
    </row>
    <row r="2351" spans="1:12" s="31" customFormat="1" ht="17.25" customHeight="1">
      <c r="A2351" s="1375" t="s">
        <v>899</v>
      </c>
      <c r="B2351" s="1630" t="s">
        <v>965</v>
      </c>
      <c r="C2351" s="1433">
        <f>VLOOKUP(B2342,'CNKT '!$C$256:$Z$325,19,0)</f>
        <v>0</v>
      </c>
      <c r="D2351" s="1379">
        <v>20000</v>
      </c>
      <c r="E2351" s="1377">
        <f>C2351*D2351</f>
        <v>0</v>
      </c>
      <c r="F2351" s="1436"/>
      <c r="G2351" s="1375" t="s">
        <v>899</v>
      </c>
      <c r="H2351" s="1630" t="s">
        <v>965</v>
      </c>
      <c r="I2351" s="1433">
        <f>VLOOKUP(H2342,'CNKT '!$C$256:$Z$325,19,0)</f>
        <v>0</v>
      </c>
      <c r="J2351" s="1379">
        <v>20000</v>
      </c>
      <c r="K2351" s="1377">
        <f>I2351*J2351</f>
        <v>0</v>
      </c>
      <c r="L2351" s="1372"/>
    </row>
    <row r="2352" spans="1:12" s="31" customFormat="1" ht="17.25" customHeight="1">
      <c r="A2352" s="1381" t="s">
        <v>123</v>
      </c>
      <c r="B2352" s="1631" t="s">
        <v>1085</v>
      </c>
      <c r="C2352" s="1382"/>
      <c r="D2352" s="1383"/>
      <c r="E2352" s="1382"/>
      <c r="F2352" s="1436"/>
      <c r="G2352" s="1381" t="s">
        <v>123</v>
      </c>
      <c r="H2352" s="1631" t="s">
        <v>1085</v>
      </c>
      <c r="I2352" s="1382"/>
      <c r="J2352" s="1383"/>
      <c r="K2352" s="1382"/>
      <c r="L2352" s="1372"/>
    </row>
    <row r="2353" spans="1:12" s="31" customFormat="1" ht="17.25" customHeight="1">
      <c r="A2353" s="1384" t="s">
        <v>124</v>
      </c>
      <c r="B2353" s="1632" t="s">
        <v>1086</v>
      </c>
      <c r="C2353" s="1382"/>
      <c r="D2353" s="1382"/>
      <c r="E2353" s="1382"/>
      <c r="F2353" s="1436"/>
      <c r="G2353" s="1384" t="s">
        <v>124</v>
      </c>
      <c r="H2353" s="1632" t="s">
        <v>1086</v>
      </c>
      <c r="I2353" s="1382"/>
      <c r="J2353" s="1382"/>
      <c r="K2353" s="1382"/>
      <c r="L2353" s="1372"/>
    </row>
    <row r="2354" spans="1:12" s="31" customFormat="1" ht="17.25" customHeight="1">
      <c r="A2354" s="1384" t="s">
        <v>125</v>
      </c>
      <c r="B2354" s="1633" t="s">
        <v>1087</v>
      </c>
      <c r="C2354" s="1382"/>
      <c r="D2354" s="1382"/>
      <c r="E2354" s="1377">
        <f>SUM(E2353)</f>
        <v>0</v>
      </c>
      <c r="F2354" s="1423"/>
      <c r="G2354" s="1384" t="s">
        <v>125</v>
      </c>
      <c r="H2354" s="1633" t="s">
        <v>1087</v>
      </c>
      <c r="I2354" s="1382"/>
      <c r="J2354" s="1382"/>
      <c r="K2354" s="1377">
        <f>SUM(K2353)</f>
        <v>0</v>
      </c>
      <c r="L2354" s="1372"/>
    </row>
    <row r="2355" spans="1:12" s="31" customFormat="1" ht="17.25" customHeight="1">
      <c r="A2355" s="1386" t="s">
        <v>126</v>
      </c>
      <c r="B2355" s="1634" t="s">
        <v>871</v>
      </c>
      <c r="C2355" s="1387"/>
      <c r="D2355" s="1387"/>
      <c r="E2355" s="1387">
        <f>(E2344+E2345+E2346+E2347+E2348+E2349+E2350+E2351)-E2354</f>
        <v>0</v>
      </c>
      <c r="F2355" s="1423"/>
      <c r="G2355" s="1386" t="s">
        <v>126</v>
      </c>
      <c r="H2355" s="1634" t="s">
        <v>871</v>
      </c>
      <c r="I2355" s="1387"/>
      <c r="J2355" s="1387"/>
      <c r="K2355" s="1387">
        <f>(K2344+K2345+K2346+K2347+K2348+K2349+K2350+K2351)-K2354</f>
        <v>0</v>
      </c>
      <c r="L2355" s="1389">
        <f>E2355+K2355</f>
        <v>0</v>
      </c>
    </row>
    <row r="2356" spans="1:12" s="31" customFormat="1" ht="17.25" customHeight="1">
      <c r="A2356" s="1449"/>
      <c r="B2356" s="1449"/>
      <c r="C2356" s="1449"/>
      <c r="D2356" s="1449"/>
      <c r="E2356" s="1449"/>
      <c r="F2356" s="1449"/>
      <c r="G2356" s="1449"/>
      <c r="H2356" s="1449"/>
      <c r="I2356" s="1449"/>
      <c r="J2356" s="1449"/>
      <c r="K2356" s="1449"/>
      <c r="L2356" s="1372"/>
    </row>
    <row r="2357" spans="1:12" s="31" customFormat="1" ht="17.25" customHeight="1">
      <c r="A2357" s="1445" t="str">
        <f>A2341</f>
        <v>LƯƠNG THÁNG 01/2025</v>
      </c>
      <c r="B2357" s="1449"/>
      <c r="C2357" s="1449"/>
      <c r="D2357" s="1449"/>
      <c r="E2357" s="1452">
        <f>VLOOKUP(B2358,'CNKT '!$C$256:$AD$325,26,0)</f>
        <v>0</v>
      </c>
      <c r="F2357" s="1436"/>
      <c r="G2357" s="1445" t="str">
        <f>A2357</f>
        <v>LƯƠNG THÁNG 01/2025</v>
      </c>
      <c r="H2357" s="1449"/>
      <c r="I2357" s="1449"/>
      <c r="J2357" s="1452"/>
      <c r="K2357" s="1452">
        <f>VLOOKUP(H2358,'CNKT '!$C$256:$AD$325,26,0)</f>
        <v>0</v>
      </c>
      <c r="L2357" s="1372"/>
    </row>
    <row r="2358" spans="1:12" s="31" customFormat="1" ht="17.25" customHeight="1">
      <c r="A2358" s="1391" t="s">
        <v>29</v>
      </c>
      <c r="B2358" s="1626" t="str">
        <f>'CNKT '!C294</f>
        <v>T. Ô</v>
      </c>
      <c r="C2358" s="1376"/>
      <c r="D2358" s="1626" t="s">
        <v>806</v>
      </c>
      <c r="E2358" s="1626" t="s">
        <v>32</v>
      </c>
      <c r="F2358" s="1436"/>
      <c r="G2358" s="1391" t="s">
        <v>29</v>
      </c>
      <c r="H2358" s="1626" t="str">
        <f>'CNKT '!C295</f>
        <v>N. Lem</v>
      </c>
      <c r="I2358" s="1376"/>
      <c r="J2358" s="1626" t="s">
        <v>806</v>
      </c>
      <c r="K2358" s="1626" t="s">
        <v>32</v>
      </c>
      <c r="L2358" s="1372"/>
    </row>
    <row r="2359" spans="1:12" s="31" customFormat="1" ht="17.25" customHeight="1">
      <c r="A2359" s="1375" t="s">
        <v>807</v>
      </c>
      <c r="B2359" s="1628" t="s">
        <v>1080</v>
      </c>
      <c r="C2359" s="1376" t="str">
        <f>VLOOKUP(B2358,'BTH mủ tạp'!$C$246:$AL$314,36,0)</f>
        <v>B</v>
      </c>
      <c r="D2359" s="1377"/>
      <c r="E2359" s="1377"/>
      <c r="F2359" s="1436"/>
      <c r="G2359" s="1375" t="s">
        <v>807</v>
      </c>
      <c r="H2359" s="1628" t="s">
        <v>1080</v>
      </c>
      <c r="I2359" s="1376" t="str">
        <f>VLOOKUP(H2358,'BTH mủ tạp'!$C$246:$AL$314,36,0)</f>
        <v>C</v>
      </c>
      <c r="J2359" s="1377"/>
      <c r="K2359" s="1377"/>
      <c r="L2359" s="1372"/>
    </row>
    <row r="2360" spans="1:12" s="31" customFormat="1" ht="17.25" customHeight="1">
      <c r="A2360" s="1375" t="s">
        <v>121</v>
      </c>
      <c r="B2360" s="1629" t="s">
        <v>865</v>
      </c>
      <c r="C2360" s="1378">
        <f>VLOOKUP(B2358,'CNKT '!$C$256:$Z$316,3,0)</f>
        <v>0</v>
      </c>
      <c r="D2360" s="1379">
        <v>25000</v>
      </c>
      <c r="E2360" s="1377">
        <f t="shared" ref="E2360:E2365" si="277">C2360*D2360</f>
        <v>0</v>
      </c>
      <c r="F2360" s="1436"/>
      <c r="G2360" s="1375" t="s">
        <v>121</v>
      </c>
      <c r="H2360" s="1629" t="s">
        <v>865</v>
      </c>
      <c r="I2360" s="1378">
        <f>VLOOKUP(H2358,'CNKT '!$C$256:$Z$316,3,0)</f>
        <v>0</v>
      </c>
      <c r="J2360" s="1379">
        <v>25000</v>
      </c>
      <c r="K2360" s="1377">
        <f t="shared" ref="K2360:K2365" si="278">I2360*J2360</f>
        <v>0</v>
      </c>
      <c r="L2360" s="1372"/>
    </row>
    <row r="2361" spans="1:12" s="31" customFormat="1" ht="17.25" customHeight="1">
      <c r="A2361" s="1375" t="s">
        <v>628</v>
      </c>
      <c r="B2361" s="1630" t="s">
        <v>1081</v>
      </c>
      <c r="C2361" s="1433">
        <f>VLOOKUP(B2358,'CNKT '!$C$256:$Z$316,11,0)</f>
        <v>0</v>
      </c>
      <c r="D2361" s="1380">
        <f>46.1*$B$2</f>
        <v>30241.600000000002</v>
      </c>
      <c r="E2361" s="1377">
        <f t="shared" si="277"/>
        <v>0</v>
      </c>
      <c r="F2361" s="1436"/>
      <c r="G2361" s="1375" t="s">
        <v>628</v>
      </c>
      <c r="H2361" s="1630" t="s">
        <v>1081</v>
      </c>
      <c r="I2361" s="1433">
        <f>VLOOKUP(H2358,'CNKT '!$C$256:$Z$316,11,0)</f>
        <v>0</v>
      </c>
      <c r="J2361" s="1380">
        <f>46.1*$B$2</f>
        <v>30241.600000000002</v>
      </c>
      <c r="K2361" s="1377">
        <f t="shared" si="278"/>
        <v>0</v>
      </c>
      <c r="L2361" s="1372"/>
    </row>
    <row r="2362" spans="1:12" s="31" customFormat="1" ht="17.25" customHeight="1">
      <c r="A2362" s="1375" t="s">
        <v>809</v>
      </c>
      <c r="B2362" s="1630" t="s">
        <v>1082</v>
      </c>
      <c r="C2362" s="1433">
        <f>VLOOKUP(B2358,'CNKT '!$C$256:$Z$316,12,0)</f>
        <v>0</v>
      </c>
      <c r="D2362" s="1379">
        <f>76.9*$B$2</f>
        <v>50446.400000000001</v>
      </c>
      <c r="E2362" s="1377">
        <f t="shared" si="277"/>
        <v>0</v>
      </c>
      <c r="F2362" s="1436"/>
      <c r="G2362" s="1375" t="s">
        <v>809</v>
      </c>
      <c r="H2362" s="1630" t="s">
        <v>1082</v>
      </c>
      <c r="I2362" s="1433">
        <f>VLOOKUP(H2358,'CNKT '!$C$256:$Z$316,12,0)</f>
        <v>0</v>
      </c>
      <c r="J2362" s="1379">
        <f>76.9*$B$2</f>
        <v>50446.400000000001</v>
      </c>
      <c r="K2362" s="1377">
        <f t="shared" si="278"/>
        <v>0</v>
      </c>
      <c r="L2362" s="1372"/>
    </row>
    <row r="2363" spans="1:12" s="31" customFormat="1" ht="17.25" customHeight="1">
      <c r="A2363" s="1375" t="s">
        <v>122</v>
      </c>
      <c r="B2363" s="1630" t="s">
        <v>1083</v>
      </c>
      <c r="C2363" s="1433">
        <f>VLOOKUP(B2358,'CNKT '!$C$256:$Z$316,8,0)</f>
        <v>0</v>
      </c>
      <c r="D2363" s="1379">
        <f>IF(C2359="A",6.1,IF(C2359="B",5.8,IF(C2359="C",5.5,IF(C2359="C.",5.5,IF(C2359="D",5.2)))))*$B$2</f>
        <v>3804.7999999999997</v>
      </c>
      <c r="E2363" s="1377">
        <f t="shared" si="277"/>
        <v>0</v>
      </c>
      <c r="F2363" s="1436"/>
      <c r="G2363" s="1375" t="s">
        <v>122</v>
      </c>
      <c r="H2363" s="1630" t="s">
        <v>1083</v>
      </c>
      <c r="I2363" s="1433">
        <f>VLOOKUP(H2358,'CNKT '!$C$256:$Z$316,8,0)</f>
        <v>0</v>
      </c>
      <c r="J2363" s="1379">
        <f>IF(I2359="A",6.1,IF(I2359="B",5.8,IF(I2359="C",5.5,IF(I2359="C.",5.5,IF(I2359="D",5.2)))))*$B$2</f>
        <v>3608</v>
      </c>
      <c r="K2363" s="1377">
        <f t="shared" si="278"/>
        <v>0</v>
      </c>
      <c r="L2363" s="1372"/>
    </row>
    <row r="2364" spans="1:12" s="31" customFormat="1" ht="17.25" customHeight="1">
      <c r="A2364" s="1375" t="s">
        <v>885</v>
      </c>
      <c r="B2364" s="1630" t="s">
        <v>1084</v>
      </c>
      <c r="C2364" s="1433">
        <f>VLOOKUP(B2358,'CNKT '!$C$256:$Z$316,15,0)</f>
        <v>0</v>
      </c>
      <c r="D2364" s="1380">
        <f>92.2*$B$2</f>
        <v>60483.200000000004</v>
      </c>
      <c r="E2364" s="1377">
        <f t="shared" si="277"/>
        <v>0</v>
      </c>
      <c r="F2364" s="1436"/>
      <c r="G2364" s="1375" t="s">
        <v>885</v>
      </c>
      <c r="H2364" s="1630" t="s">
        <v>1084</v>
      </c>
      <c r="I2364" s="1433">
        <f>VLOOKUP(H2358,'CNKT '!$C$256:$Z$316,15,0)</f>
        <v>0</v>
      </c>
      <c r="J2364" s="1380">
        <f>92.2*$B$2</f>
        <v>60483.200000000004</v>
      </c>
      <c r="K2364" s="1377">
        <f t="shared" si="278"/>
        <v>0</v>
      </c>
      <c r="L2364" s="1372"/>
    </row>
    <row r="2365" spans="1:12" s="31" customFormat="1" ht="17.25" customHeight="1">
      <c r="A2365" s="1375" t="s">
        <v>886</v>
      </c>
      <c r="B2365" s="1630" t="s">
        <v>964</v>
      </c>
      <c r="C2365" s="1433">
        <f>VLOOKUP(B2358,'CNKT '!$C$256:$Z$316,14,0)</f>
        <v>0</v>
      </c>
      <c r="D2365" s="1379">
        <f>153.6*$B$2</f>
        <v>100761.59999999999</v>
      </c>
      <c r="E2365" s="1377">
        <f t="shared" si="277"/>
        <v>0</v>
      </c>
      <c r="F2365" s="1436"/>
      <c r="G2365" s="1375" t="s">
        <v>886</v>
      </c>
      <c r="H2365" s="1630" t="s">
        <v>964</v>
      </c>
      <c r="I2365" s="1433">
        <f>VLOOKUP(H2358,'CNKT '!$C$256:$Z$316,14,0)</f>
        <v>0</v>
      </c>
      <c r="J2365" s="1379">
        <f>153.6*$B$2</f>
        <v>100761.59999999999</v>
      </c>
      <c r="K2365" s="1377">
        <f t="shared" si="278"/>
        <v>0</v>
      </c>
      <c r="L2365" s="1372"/>
    </row>
    <row r="2366" spans="1:12" s="31" customFormat="1" ht="17.25" customHeight="1">
      <c r="A2366" s="1375" t="s">
        <v>899</v>
      </c>
      <c r="B2366" s="1630" t="s">
        <v>965</v>
      </c>
      <c r="C2366" s="1433">
        <f>VLOOKUP(B2358,'CNKT '!$C$256:$Z$325,18,0)</f>
        <v>0</v>
      </c>
      <c r="D2366" s="1379">
        <v>10000</v>
      </c>
      <c r="E2366" s="1377">
        <f>C2366*D2366</f>
        <v>0</v>
      </c>
      <c r="F2366" s="1436"/>
      <c r="G2366" s="1375" t="s">
        <v>899</v>
      </c>
      <c r="H2366" s="1630" t="s">
        <v>965</v>
      </c>
      <c r="I2366" s="1433">
        <f>VLOOKUP(H2358,'CNKT '!$C$256:$Z$325,18,0)</f>
        <v>0</v>
      </c>
      <c r="J2366" s="1379">
        <v>10000</v>
      </c>
      <c r="K2366" s="1377">
        <f>I2366*J2366</f>
        <v>0</v>
      </c>
      <c r="L2366" s="1372"/>
    </row>
    <row r="2367" spans="1:12" s="31" customFormat="1" ht="17.25" customHeight="1">
      <c r="A2367" s="1375" t="s">
        <v>899</v>
      </c>
      <c r="B2367" s="1630" t="s">
        <v>965</v>
      </c>
      <c r="C2367" s="1433">
        <f>VLOOKUP(B2358,'CNKT '!$C$256:$Z$325,19,0)</f>
        <v>0</v>
      </c>
      <c r="D2367" s="1379">
        <v>20000</v>
      </c>
      <c r="E2367" s="1377">
        <f>C2367*D2367</f>
        <v>0</v>
      </c>
      <c r="F2367" s="1436"/>
      <c r="G2367" s="1375" t="s">
        <v>899</v>
      </c>
      <c r="H2367" s="1630" t="s">
        <v>965</v>
      </c>
      <c r="I2367" s="1433">
        <f>VLOOKUP(H2358,'CNKT '!$C$256:$Z$325,19,0)</f>
        <v>0</v>
      </c>
      <c r="J2367" s="1379">
        <v>20000</v>
      </c>
      <c r="K2367" s="1377">
        <f>I2367*J2367</f>
        <v>0</v>
      </c>
      <c r="L2367" s="1372"/>
    </row>
    <row r="2368" spans="1:12" s="31" customFormat="1" ht="17.25" customHeight="1">
      <c r="A2368" s="1381" t="s">
        <v>123</v>
      </c>
      <c r="B2368" s="1631" t="s">
        <v>1085</v>
      </c>
      <c r="C2368" s="1382"/>
      <c r="D2368" s="1383"/>
      <c r="E2368" s="1382"/>
      <c r="F2368" s="1436"/>
      <c r="G2368" s="1381" t="s">
        <v>123</v>
      </c>
      <c r="H2368" s="1631" t="s">
        <v>1085</v>
      </c>
      <c r="I2368" s="1382"/>
      <c r="J2368" s="1383"/>
      <c r="K2368" s="1382"/>
      <c r="L2368" s="1372"/>
    </row>
    <row r="2369" spans="1:12" s="31" customFormat="1" ht="17.25" customHeight="1">
      <c r="A2369" s="1384" t="s">
        <v>124</v>
      </c>
      <c r="B2369" s="1632" t="s">
        <v>1086</v>
      </c>
      <c r="C2369" s="1382"/>
      <c r="D2369" s="1382"/>
      <c r="E2369" s="1382"/>
      <c r="F2369" s="1436"/>
      <c r="G2369" s="1384" t="s">
        <v>124</v>
      </c>
      <c r="H2369" s="1632" t="s">
        <v>1086</v>
      </c>
      <c r="I2369" s="1382"/>
      <c r="J2369" s="1382"/>
      <c r="K2369" s="1382"/>
      <c r="L2369" s="1372"/>
    </row>
    <row r="2370" spans="1:12" s="31" customFormat="1" ht="17.25" customHeight="1">
      <c r="A2370" s="1384" t="s">
        <v>125</v>
      </c>
      <c r="B2370" s="1633" t="s">
        <v>1087</v>
      </c>
      <c r="C2370" s="1382"/>
      <c r="D2370" s="1382"/>
      <c r="E2370" s="1377">
        <f>SUM(E2369)</f>
        <v>0</v>
      </c>
      <c r="F2370" s="1423"/>
      <c r="G2370" s="1384" t="s">
        <v>125</v>
      </c>
      <c r="H2370" s="1633" t="s">
        <v>1087</v>
      </c>
      <c r="I2370" s="1382"/>
      <c r="J2370" s="1382"/>
      <c r="K2370" s="1377">
        <f>SUM(K2369)</f>
        <v>0</v>
      </c>
      <c r="L2370" s="1372"/>
    </row>
    <row r="2371" spans="1:12" s="31" customFormat="1" ht="17.25" customHeight="1">
      <c r="A2371" s="1386" t="s">
        <v>126</v>
      </c>
      <c r="B2371" s="1634" t="s">
        <v>871</v>
      </c>
      <c r="C2371" s="1387"/>
      <c r="D2371" s="1387"/>
      <c r="E2371" s="1387">
        <f>(E2360+E2361+E2362+E2363+E2364+E2365+E2366+E2367)-E2370</f>
        <v>0</v>
      </c>
      <c r="F2371" s="1423"/>
      <c r="G2371" s="1386" t="s">
        <v>126</v>
      </c>
      <c r="H2371" s="1634" t="s">
        <v>871</v>
      </c>
      <c r="I2371" s="1387"/>
      <c r="J2371" s="1387"/>
      <c r="K2371" s="1387">
        <f>(K2360+K2361+K2362+K2363+K2364+K2365+K2366+K2367)-K2370</f>
        <v>0</v>
      </c>
      <c r="L2371" s="1389">
        <f>E2371+K2371</f>
        <v>0</v>
      </c>
    </row>
    <row r="2372" spans="1:12" s="31" customFormat="1" ht="17.25" customHeight="1">
      <c r="A2372" s="1449"/>
      <c r="B2372" s="1449"/>
      <c r="C2372" s="1449"/>
      <c r="D2372" s="1449"/>
      <c r="E2372" s="1449"/>
      <c r="F2372" s="1449"/>
      <c r="G2372" s="1449"/>
      <c r="H2372" s="1449"/>
      <c r="I2372" s="1449"/>
      <c r="J2372" s="1449"/>
      <c r="K2372" s="1449"/>
      <c r="L2372" s="1372"/>
    </row>
    <row r="2373" spans="1:12" s="31" customFormat="1" ht="17.25" customHeight="1">
      <c r="A2373" s="1445" t="str">
        <f>A2357</f>
        <v>LƯƠNG THÁNG 01/2025</v>
      </c>
      <c r="B2373" s="1449"/>
      <c r="C2373" s="1449"/>
      <c r="D2373" s="1449"/>
      <c r="E2373" s="1452">
        <f>VLOOKUP(B2374,'CNKT '!$C$256:$AD$325,26,0)</f>
        <v>0</v>
      </c>
      <c r="F2373" s="1436"/>
      <c r="G2373" s="1445" t="str">
        <f>A2373</f>
        <v>LƯƠNG THÁNG 01/2025</v>
      </c>
      <c r="H2373" s="1449"/>
      <c r="I2373" s="1449"/>
      <c r="J2373" s="1452"/>
      <c r="K2373" s="1452">
        <f>VLOOKUP(H2374,'CNKT '!$C$256:$AD$325,26,0)</f>
        <v>0</v>
      </c>
      <c r="L2373" s="1372"/>
    </row>
    <row r="2374" spans="1:12" s="31" customFormat="1" ht="17.25" customHeight="1">
      <c r="A2374" s="1391" t="s">
        <v>29</v>
      </c>
      <c r="B2374" s="1626" t="str">
        <f>'CNKT '!C296</f>
        <v>T. Nọi (4)</v>
      </c>
      <c r="C2374" s="1376"/>
      <c r="D2374" s="1626" t="s">
        <v>806</v>
      </c>
      <c r="E2374" s="1626" t="s">
        <v>32</v>
      </c>
      <c r="F2374" s="1436"/>
      <c r="G2374" s="1391" t="s">
        <v>29</v>
      </c>
      <c r="H2374" s="1626" t="str">
        <f>'CNKT '!C297</f>
        <v>T. Mi</v>
      </c>
      <c r="I2374" s="1376"/>
      <c r="J2374" s="1626" t="s">
        <v>806</v>
      </c>
      <c r="K2374" s="1626" t="s">
        <v>32</v>
      </c>
      <c r="L2374" s="1372"/>
    </row>
    <row r="2375" spans="1:12" s="31" customFormat="1" ht="17.25" customHeight="1">
      <c r="A2375" s="1375" t="s">
        <v>807</v>
      </c>
      <c r="B2375" s="1628" t="s">
        <v>1080</v>
      </c>
      <c r="C2375" s="1376" t="str">
        <f>VLOOKUP(B2374,'BTH mủ tạp'!$C$246:$AL$314,36,0)</f>
        <v>B</v>
      </c>
      <c r="D2375" s="1377"/>
      <c r="E2375" s="1377"/>
      <c r="F2375" s="1436"/>
      <c r="G2375" s="1375" t="s">
        <v>807</v>
      </c>
      <c r="H2375" s="1628" t="s">
        <v>1080</v>
      </c>
      <c r="I2375" s="1376" t="str">
        <f>VLOOKUP(H2374,'BTH mủ tạp'!$C$246:$AL$314,36,0)</f>
        <v>B</v>
      </c>
      <c r="J2375" s="1377"/>
      <c r="K2375" s="1377"/>
      <c r="L2375" s="1372"/>
    </row>
    <row r="2376" spans="1:12" s="31" customFormat="1" ht="17.25" customHeight="1">
      <c r="A2376" s="1375" t="s">
        <v>121</v>
      </c>
      <c r="B2376" s="1629" t="s">
        <v>865</v>
      </c>
      <c r="C2376" s="1378">
        <f>VLOOKUP(B2374,'CNKT '!$C$256:$Z$316,3,0)</f>
        <v>0</v>
      </c>
      <c r="D2376" s="1379">
        <v>25000</v>
      </c>
      <c r="E2376" s="1377">
        <f t="shared" ref="E2376:E2381" si="279">C2376*D2376</f>
        <v>0</v>
      </c>
      <c r="F2376" s="1436"/>
      <c r="G2376" s="1375" t="s">
        <v>121</v>
      </c>
      <c r="H2376" s="1629" t="s">
        <v>865</v>
      </c>
      <c r="I2376" s="1378">
        <f>VLOOKUP(H2374,'CNKT '!$C$256:$Z$316,3,0)</f>
        <v>0</v>
      </c>
      <c r="J2376" s="1379">
        <v>25000</v>
      </c>
      <c r="K2376" s="1377">
        <f t="shared" ref="K2376:K2381" si="280">I2376*J2376</f>
        <v>0</v>
      </c>
      <c r="L2376" s="1372"/>
    </row>
    <row r="2377" spans="1:12" s="31" customFormat="1" ht="17.25" customHeight="1">
      <c r="A2377" s="1375" t="s">
        <v>628</v>
      </c>
      <c r="B2377" s="1630" t="s">
        <v>1081</v>
      </c>
      <c r="C2377" s="1433">
        <f>VLOOKUP(B2374,'CNKT '!$C$256:$Z$316,11,0)</f>
        <v>0</v>
      </c>
      <c r="D2377" s="1380">
        <f>46.1*$B$2</f>
        <v>30241.600000000002</v>
      </c>
      <c r="E2377" s="1377">
        <f t="shared" si="279"/>
        <v>0</v>
      </c>
      <c r="F2377" s="1436"/>
      <c r="G2377" s="1375" t="s">
        <v>628</v>
      </c>
      <c r="H2377" s="1630" t="s">
        <v>1081</v>
      </c>
      <c r="I2377" s="1433">
        <f>VLOOKUP(H2374,'CNKT '!$C$256:$Z$316,11,0)</f>
        <v>0</v>
      </c>
      <c r="J2377" s="1380">
        <f>46.1*$B$2</f>
        <v>30241.600000000002</v>
      </c>
      <c r="K2377" s="1377">
        <f t="shared" si="280"/>
        <v>0</v>
      </c>
      <c r="L2377" s="1372"/>
    </row>
    <row r="2378" spans="1:12" s="31" customFormat="1" ht="17.25" customHeight="1">
      <c r="A2378" s="1375" t="s">
        <v>809</v>
      </c>
      <c r="B2378" s="1630" t="s">
        <v>1082</v>
      </c>
      <c r="C2378" s="1433">
        <f>VLOOKUP(B2374,'CNKT '!$C$256:$Z$316,12,0)</f>
        <v>0</v>
      </c>
      <c r="D2378" s="1379">
        <f>76.9*$B$2</f>
        <v>50446.400000000001</v>
      </c>
      <c r="E2378" s="1377">
        <f t="shared" si="279"/>
        <v>0</v>
      </c>
      <c r="F2378" s="1436"/>
      <c r="G2378" s="1375" t="s">
        <v>809</v>
      </c>
      <c r="H2378" s="1630" t="s">
        <v>1082</v>
      </c>
      <c r="I2378" s="1433">
        <f>VLOOKUP(H2374,'CNKT '!$C$256:$Z$316,12,0)</f>
        <v>0</v>
      </c>
      <c r="J2378" s="1379">
        <f>76.9*$B$2</f>
        <v>50446.400000000001</v>
      </c>
      <c r="K2378" s="1377">
        <f t="shared" si="280"/>
        <v>0</v>
      </c>
      <c r="L2378" s="1372"/>
    </row>
    <row r="2379" spans="1:12" s="31" customFormat="1" ht="17.25" customHeight="1">
      <c r="A2379" s="1375" t="s">
        <v>122</v>
      </c>
      <c r="B2379" s="1630" t="s">
        <v>1083</v>
      </c>
      <c r="C2379" s="1433">
        <f>VLOOKUP(B2374,'CNKT '!$C$256:$Z$316,8,0)</f>
        <v>0</v>
      </c>
      <c r="D2379" s="1379">
        <f>IF(C2375="A",6.1,IF(C2375="B",5.8,IF(C2375="C",5.5,IF(C2375="C.",5.5,IF(C2375="D",5.2)))))*$B$2</f>
        <v>3804.7999999999997</v>
      </c>
      <c r="E2379" s="1377">
        <f t="shared" si="279"/>
        <v>0</v>
      </c>
      <c r="F2379" s="1436"/>
      <c r="G2379" s="1375" t="s">
        <v>122</v>
      </c>
      <c r="H2379" s="1630" t="s">
        <v>1083</v>
      </c>
      <c r="I2379" s="1433">
        <f>VLOOKUP(H2374,'CNKT '!$C$256:$Z$316,8,0)</f>
        <v>0</v>
      </c>
      <c r="J2379" s="1379">
        <f>IF(I2375="A",6.1,IF(I2375="B",5.8,IF(I2375="C",5.5,IF(I2375="C.",5.5,IF(I2375="D",5.2)))))*$B$2</f>
        <v>3804.7999999999997</v>
      </c>
      <c r="K2379" s="1377">
        <f t="shared" si="280"/>
        <v>0</v>
      </c>
      <c r="L2379" s="1372"/>
    </row>
    <row r="2380" spans="1:12" s="31" customFormat="1" ht="17.25" customHeight="1">
      <c r="A2380" s="1375" t="s">
        <v>885</v>
      </c>
      <c r="B2380" s="1630" t="s">
        <v>1084</v>
      </c>
      <c r="C2380" s="1433">
        <f>VLOOKUP(B2374,'CNKT '!$C$256:$Z$316,15,0)</f>
        <v>0</v>
      </c>
      <c r="D2380" s="1380">
        <f>92.2*$B$2</f>
        <v>60483.200000000004</v>
      </c>
      <c r="E2380" s="1377">
        <f t="shared" si="279"/>
        <v>0</v>
      </c>
      <c r="F2380" s="1436"/>
      <c r="G2380" s="1375" t="s">
        <v>885</v>
      </c>
      <c r="H2380" s="1630" t="s">
        <v>1084</v>
      </c>
      <c r="I2380" s="1433">
        <f>VLOOKUP(H2374,'CNKT '!$C$256:$Z$316,15,0)</f>
        <v>0</v>
      </c>
      <c r="J2380" s="1380">
        <f>92.2*$B$2</f>
        <v>60483.200000000004</v>
      </c>
      <c r="K2380" s="1377">
        <f t="shared" si="280"/>
        <v>0</v>
      </c>
      <c r="L2380" s="1372"/>
    </row>
    <row r="2381" spans="1:12" s="31" customFormat="1" ht="17.25" customHeight="1">
      <c r="A2381" s="1375" t="s">
        <v>886</v>
      </c>
      <c r="B2381" s="1630" t="s">
        <v>964</v>
      </c>
      <c r="C2381" s="1433">
        <f>VLOOKUP(B2374,'CNKT '!$C$256:$Z$316,14,0)</f>
        <v>0</v>
      </c>
      <c r="D2381" s="1379">
        <f>153.6*$B$2</f>
        <v>100761.59999999999</v>
      </c>
      <c r="E2381" s="1377">
        <f t="shared" si="279"/>
        <v>0</v>
      </c>
      <c r="F2381" s="1436"/>
      <c r="G2381" s="1375" t="s">
        <v>886</v>
      </c>
      <c r="H2381" s="1630" t="s">
        <v>964</v>
      </c>
      <c r="I2381" s="1433">
        <f>VLOOKUP(H2374,'CNKT '!$C$256:$Z$316,14,0)</f>
        <v>0</v>
      </c>
      <c r="J2381" s="1379">
        <f>153.6*$B$2</f>
        <v>100761.59999999999</v>
      </c>
      <c r="K2381" s="1377">
        <f t="shared" si="280"/>
        <v>0</v>
      </c>
      <c r="L2381" s="1372"/>
    </row>
    <row r="2382" spans="1:12" s="31" customFormat="1" ht="17.25" customHeight="1">
      <c r="A2382" s="1375" t="s">
        <v>899</v>
      </c>
      <c r="B2382" s="1630" t="s">
        <v>965</v>
      </c>
      <c r="C2382" s="1433">
        <f>VLOOKUP(B2374,'CNKT '!$C$256:$Z$325,18,0)</f>
        <v>0</v>
      </c>
      <c r="D2382" s="1379">
        <v>10000</v>
      </c>
      <c r="E2382" s="1377">
        <f>C2382*D2382</f>
        <v>0</v>
      </c>
      <c r="F2382" s="1436"/>
      <c r="G2382" s="1375" t="s">
        <v>899</v>
      </c>
      <c r="H2382" s="1630" t="s">
        <v>965</v>
      </c>
      <c r="I2382" s="1433">
        <f>VLOOKUP(H2374,'CNKT '!$C$256:$Z$325,18,0)</f>
        <v>0</v>
      </c>
      <c r="J2382" s="1379">
        <v>10000</v>
      </c>
      <c r="K2382" s="1377">
        <f>I2382*J2382</f>
        <v>0</v>
      </c>
      <c r="L2382" s="1372"/>
    </row>
    <row r="2383" spans="1:12" s="31" customFormat="1" ht="17.25" customHeight="1">
      <c r="A2383" s="1375" t="s">
        <v>899</v>
      </c>
      <c r="B2383" s="1630" t="s">
        <v>965</v>
      </c>
      <c r="C2383" s="1433">
        <f>VLOOKUP(B2374,'CNKT '!$C$256:$Z$325,19,0)</f>
        <v>0</v>
      </c>
      <c r="D2383" s="1379">
        <v>20000</v>
      </c>
      <c r="E2383" s="1377">
        <f>C2383*D2383</f>
        <v>0</v>
      </c>
      <c r="F2383" s="1436"/>
      <c r="G2383" s="1375" t="s">
        <v>899</v>
      </c>
      <c r="H2383" s="1630" t="s">
        <v>965</v>
      </c>
      <c r="I2383" s="1433">
        <f>VLOOKUP(H2374,'CNKT '!$C$256:$Z$325,19,0)</f>
        <v>0</v>
      </c>
      <c r="J2383" s="1379">
        <v>20000</v>
      </c>
      <c r="K2383" s="1377">
        <f>I2383*J2383</f>
        <v>0</v>
      </c>
      <c r="L2383" s="1372"/>
    </row>
    <row r="2384" spans="1:12" s="31" customFormat="1" ht="17.25" customHeight="1">
      <c r="A2384" s="1381" t="s">
        <v>123</v>
      </c>
      <c r="B2384" s="1631" t="s">
        <v>1085</v>
      </c>
      <c r="C2384" s="1382"/>
      <c r="D2384" s="1383"/>
      <c r="E2384" s="1382"/>
      <c r="F2384" s="1436"/>
      <c r="G2384" s="1381" t="s">
        <v>123</v>
      </c>
      <c r="H2384" s="1631" t="s">
        <v>1085</v>
      </c>
      <c r="I2384" s="1382"/>
      <c r="J2384" s="1383"/>
      <c r="K2384" s="1382"/>
      <c r="L2384" s="1372"/>
    </row>
    <row r="2385" spans="1:12" s="31" customFormat="1" ht="17.25" customHeight="1">
      <c r="A2385" s="1384" t="s">
        <v>124</v>
      </c>
      <c r="B2385" s="1632" t="s">
        <v>1086</v>
      </c>
      <c r="C2385" s="1382"/>
      <c r="D2385" s="1382"/>
      <c r="E2385" s="1382"/>
      <c r="F2385" s="1436"/>
      <c r="G2385" s="1384" t="s">
        <v>124</v>
      </c>
      <c r="H2385" s="1632" t="s">
        <v>1086</v>
      </c>
      <c r="I2385" s="1382"/>
      <c r="J2385" s="1382"/>
      <c r="K2385" s="1382"/>
      <c r="L2385" s="1372"/>
    </row>
    <row r="2386" spans="1:12" s="31" customFormat="1" ht="17.25" customHeight="1">
      <c r="A2386" s="1384" t="s">
        <v>125</v>
      </c>
      <c r="B2386" s="1633" t="s">
        <v>1087</v>
      </c>
      <c r="C2386" s="1382"/>
      <c r="D2386" s="1382"/>
      <c r="E2386" s="1377">
        <f>SUM(E2385)</f>
        <v>0</v>
      </c>
      <c r="F2386" s="1423"/>
      <c r="G2386" s="1384" t="s">
        <v>125</v>
      </c>
      <c r="H2386" s="1633" t="s">
        <v>1087</v>
      </c>
      <c r="I2386" s="1382"/>
      <c r="J2386" s="1382"/>
      <c r="K2386" s="1377">
        <f>SUM(K2385)</f>
        <v>0</v>
      </c>
      <c r="L2386" s="1372"/>
    </row>
    <row r="2387" spans="1:12" s="31" customFormat="1" ht="17.25" customHeight="1">
      <c r="A2387" s="1386" t="s">
        <v>126</v>
      </c>
      <c r="B2387" s="1634" t="s">
        <v>871</v>
      </c>
      <c r="C2387" s="1387"/>
      <c r="D2387" s="1387"/>
      <c r="E2387" s="1387">
        <f>(E2376+E2377+E2378+E2379+E2380+E2381+E2382+E2383)-E2386</f>
        <v>0</v>
      </c>
      <c r="F2387" s="1423"/>
      <c r="G2387" s="1386" t="s">
        <v>126</v>
      </c>
      <c r="H2387" s="1634" t="s">
        <v>871</v>
      </c>
      <c r="I2387" s="1387"/>
      <c r="J2387" s="1387"/>
      <c r="K2387" s="1387">
        <f>(K2376+K2377+K2378+K2379+K2380+K2381+K2382+K2383)-K2386</f>
        <v>0</v>
      </c>
      <c r="L2387" s="1389">
        <f>E2387+K2387</f>
        <v>0</v>
      </c>
    </row>
    <row r="2388" spans="1:12" s="31" customFormat="1" ht="69.75" customHeight="1">
      <c r="A2388" s="1449"/>
      <c r="B2388" s="1449"/>
      <c r="C2388" s="1449"/>
      <c r="D2388" s="1449"/>
      <c r="E2388" s="1449"/>
      <c r="F2388" s="1449"/>
      <c r="G2388" s="1449"/>
      <c r="H2388" s="1449"/>
      <c r="I2388" s="1449"/>
      <c r="J2388" s="1449"/>
      <c r="K2388" s="1449"/>
      <c r="L2388" s="1372"/>
    </row>
    <row r="2389" spans="1:12" s="31" customFormat="1" ht="17.25" customHeight="1">
      <c r="A2389" s="1445" t="str">
        <f>A2373</f>
        <v>LƯƠNG THÁNG 01/2025</v>
      </c>
      <c r="B2389" s="1449"/>
      <c r="C2389" s="1449"/>
      <c r="D2389" s="1449"/>
      <c r="E2389" s="1452">
        <f>VLOOKUP(B2390,'CNKT '!$C$256:$AD$325,26,0)</f>
        <v>0</v>
      </c>
      <c r="F2389" s="1436"/>
      <c r="G2389" s="1445" t="str">
        <f>A2389</f>
        <v>LƯƠNG THÁNG 01/2025</v>
      </c>
      <c r="H2389" s="1449"/>
      <c r="I2389" s="1449"/>
      <c r="J2389" s="1452"/>
      <c r="K2389" s="1452">
        <f>VLOOKUP(H2390,'CNKT '!$C$256:$AD$325,26,0)</f>
        <v>0</v>
      </c>
      <c r="L2389" s="1372"/>
    </row>
    <row r="2390" spans="1:12" s="31" customFormat="1" ht="17.25" customHeight="1">
      <c r="A2390" s="1391" t="s">
        <v>29</v>
      </c>
      <c r="B2390" s="1626" t="str">
        <f>'CNKT '!C298</f>
        <v>T. Lẹ</v>
      </c>
      <c r="C2390" s="1376"/>
      <c r="D2390" s="1626" t="s">
        <v>806</v>
      </c>
      <c r="E2390" s="1626" t="s">
        <v>32</v>
      </c>
      <c r="F2390" s="1436"/>
      <c r="G2390" s="1391" t="s">
        <v>29</v>
      </c>
      <c r="H2390" s="1626" t="str">
        <f>'CNKT '!C299</f>
        <v>N. Sum Kang</v>
      </c>
      <c r="I2390" s="1376"/>
      <c r="J2390" s="1626" t="s">
        <v>806</v>
      </c>
      <c r="K2390" s="1626" t="s">
        <v>32</v>
      </c>
      <c r="L2390" s="1372"/>
    </row>
    <row r="2391" spans="1:12" s="31" customFormat="1" ht="17.25" customHeight="1">
      <c r="A2391" s="1375" t="s">
        <v>807</v>
      </c>
      <c r="B2391" s="1628" t="s">
        <v>1080</v>
      </c>
      <c r="C2391" s="1376" t="str">
        <f>VLOOKUP(B2390,'BTH mủ tạp'!$C$246:$AL$314,36,0)</f>
        <v>B</v>
      </c>
      <c r="D2391" s="1377"/>
      <c r="E2391" s="1377"/>
      <c r="F2391" s="1436"/>
      <c r="G2391" s="1375" t="s">
        <v>807</v>
      </c>
      <c r="H2391" s="1628" t="s">
        <v>1080</v>
      </c>
      <c r="I2391" s="1376" t="str">
        <f>VLOOKUP(H2390,'BTH mủ tạp'!$C$246:$AL$314,36,0)</f>
        <v>C</v>
      </c>
      <c r="J2391" s="1377"/>
      <c r="K2391" s="1377"/>
      <c r="L2391" s="1372"/>
    </row>
    <row r="2392" spans="1:12" s="31" customFormat="1" ht="17.25" customHeight="1">
      <c r="A2392" s="1375" t="s">
        <v>121</v>
      </c>
      <c r="B2392" s="1629" t="s">
        <v>865</v>
      </c>
      <c r="C2392" s="1378">
        <f>VLOOKUP(B2390,'CNKT '!$C$256:$Z$316,3,0)</f>
        <v>0</v>
      </c>
      <c r="D2392" s="1379">
        <v>25000</v>
      </c>
      <c r="E2392" s="1377">
        <f t="shared" ref="E2392:E2397" si="281">C2392*D2392</f>
        <v>0</v>
      </c>
      <c r="F2392" s="1436"/>
      <c r="G2392" s="1375" t="s">
        <v>121</v>
      </c>
      <c r="H2392" s="1629" t="s">
        <v>865</v>
      </c>
      <c r="I2392" s="1378">
        <f>VLOOKUP(H2390,'CNKT '!$C$256:$Z$316,3,0)</f>
        <v>0</v>
      </c>
      <c r="J2392" s="1379">
        <v>25000</v>
      </c>
      <c r="K2392" s="1377">
        <f t="shared" ref="K2392:K2397" si="282">I2392*J2392</f>
        <v>0</v>
      </c>
      <c r="L2392" s="1372"/>
    </row>
    <row r="2393" spans="1:12" s="31" customFormat="1" ht="17.25" customHeight="1">
      <c r="A2393" s="1375" t="s">
        <v>628</v>
      </c>
      <c r="B2393" s="1630" t="s">
        <v>1081</v>
      </c>
      <c r="C2393" s="1433">
        <f>VLOOKUP(B2390,'CNKT '!$C$256:$Z$316,11,0)</f>
        <v>0</v>
      </c>
      <c r="D2393" s="1380">
        <f>46.1*$B$2</f>
        <v>30241.600000000002</v>
      </c>
      <c r="E2393" s="1377">
        <f t="shared" si="281"/>
        <v>0</v>
      </c>
      <c r="F2393" s="1436"/>
      <c r="G2393" s="1375" t="s">
        <v>628</v>
      </c>
      <c r="H2393" s="1630" t="s">
        <v>1081</v>
      </c>
      <c r="I2393" s="1433">
        <f>VLOOKUP(H2390,'CNKT '!$C$256:$Z$316,11,0)</f>
        <v>0</v>
      </c>
      <c r="J2393" s="1380">
        <f>46.1*$B$2</f>
        <v>30241.600000000002</v>
      </c>
      <c r="K2393" s="1377">
        <f t="shared" si="282"/>
        <v>0</v>
      </c>
      <c r="L2393" s="1372"/>
    </row>
    <row r="2394" spans="1:12" s="31" customFormat="1" ht="17.25" customHeight="1">
      <c r="A2394" s="1375" t="s">
        <v>809</v>
      </c>
      <c r="B2394" s="1630" t="s">
        <v>1082</v>
      </c>
      <c r="C2394" s="1433">
        <f>VLOOKUP(B2390,'CNKT '!$C$256:$Z$316,12,0)</f>
        <v>0</v>
      </c>
      <c r="D2394" s="1379">
        <f>76.9*$B$2</f>
        <v>50446.400000000001</v>
      </c>
      <c r="E2394" s="1377">
        <f t="shared" si="281"/>
        <v>0</v>
      </c>
      <c r="F2394" s="1436"/>
      <c r="G2394" s="1375" t="s">
        <v>809</v>
      </c>
      <c r="H2394" s="1630" t="s">
        <v>1082</v>
      </c>
      <c r="I2394" s="1433">
        <f>VLOOKUP(H2390,'CNKT '!$C$256:$Z$316,12,0)</f>
        <v>0</v>
      </c>
      <c r="J2394" s="1379">
        <f>76.9*$B$2</f>
        <v>50446.400000000001</v>
      </c>
      <c r="K2394" s="1377">
        <f t="shared" si="282"/>
        <v>0</v>
      </c>
      <c r="L2394" s="1372"/>
    </row>
    <row r="2395" spans="1:12" s="31" customFormat="1" ht="17.25" customHeight="1">
      <c r="A2395" s="1375" t="s">
        <v>122</v>
      </c>
      <c r="B2395" s="1630" t="s">
        <v>1083</v>
      </c>
      <c r="C2395" s="1433">
        <f>VLOOKUP(B2390,'CNKT '!$C$256:$Z$316,8,0)</f>
        <v>0</v>
      </c>
      <c r="D2395" s="1379">
        <f>IF(C2391="A",6.1,IF(C2391="B",5.8,IF(C2391="C",5.5,IF(C2391="C.",5.5,IF(C2391="D",5.2)))))*$B$2</f>
        <v>3804.7999999999997</v>
      </c>
      <c r="E2395" s="1377">
        <f t="shared" si="281"/>
        <v>0</v>
      </c>
      <c r="F2395" s="1436"/>
      <c r="G2395" s="1375" t="s">
        <v>122</v>
      </c>
      <c r="H2395" s="1630" t="s">
        <v>1083</v>
      </c>
      <c r="I2395" s="1433">
        <f>VLOOKUP(H2390,'CNKT '!$C$256:$Z$316,8,0)</f>
        <v>0</v>
      </c>
      <c r="J2395" s="1379">
        <f>IF(I2391="A",6.1,IF(I2391="B",5.8,IF(I2391="C",5.5,IF(I2391="C.",5.5,IF(I2391="D",5.2)))))*$B$2</f>
        <v>3608</v>
      </c>
      <c r="K2395" s="1377">
        <f t="shared" si="282"/>
        <v>0</v>
      </c>
      <c r="L2395" s="1372"/>
    </row>
    <row r="2396" spans="1:12" s="31" customFormat="1" ht="17.25" customHeight="1">
      <c r="A2396" s="1375" t="s">
        <v>885</v>
      </c>
      <c r="B2396" s="1630" t="s">
        <v>1084</v>
      </c>
      <c r="C2396" s="1433">
        <f>VLOOKUP(B2390,'CNKT '!$C$256:$Z$316,15,0)</f>
        <v>0</v>
      </c>
      <c r="D2396" s="1380">
        <f>92.2*$B$2</f>
        <v>60483.200000000004</v>
      </c>
      <c r="E2396" s="1377">
        <f t="shared" si="281"/>
        <v>0</v>
      </c>
      <c r="F2396" s="1436"/>
      <c r="G2396" s="1375" t="s">
        <v>885</v>
      </c>
      <c r="H2396" s="1630" t="s">
        <v>1084</v>
      </c>
      <c r="I2396" s="1433">
        <f>VLOOKUP(H2390,'CNKT '!$C$256:$Z$316,15,0)</f>
        <v>0</v>
      </c>
      <c r="J2396" s="1380">
        <f>92.2*$B$2</f>
        <v>60483.200000000004</v>
      </c>
      <c r="K2396" s="1377">
        <f t="shared" si="282"/>
        <v>0</v>
      </c>
      <c r="L2396" s="1372"/>
    </row>
    <row r="2397" spans="1:12" s="31" customFormat="1" ht="17.25" customHeight="1">
      <c r="A2397" s="1375" t="s">
        <v>886</v>
      </c>
      <c r="B2397" s="1630" t="s">
        <v>964</v>
      </c>
      <c r="C2397" s="1433">
        <f>VLOOKUP(B2390,'CNKT '!$C$256:$Z$316,14,0)</f>
        <v>0</v>
      </c>
      <c r="D2397" s="1379">
        <f>153.6*$B$2</f>
        <v>100761.59999999999</v>
      </c>
      <c r="E2397" s="1377">
        <f t="shared" si="281"/>
        <v>0</v>
      </c>
      <c r="F2397" s="1436"/>
      <c r="G2397" s="1375" t="s">
        <v>886</v>
      </c>
      <c r="H2397" s="1630" t="s">
        <v>964</v>
      </c>
      <c r="I2397" s="1433">
        <f>VLOOKUP(H2390,'CNKT '!$C$256:$Z$316,14,0)</f>
        <v>0</v>
      </c>
      <c r="J2397" s="1379">
        <f>153.6*$B$2</f>
        <v>100761.59999999999</v>
      </c>
      <c r="K2397" s="1377">
        <f t="shared" si="282"/>
        <v>0</v>
      </c>
      <c r="L2397" s="1372"/>
    </row>
    <row r="2398" spans="1:12" s="31" customFormat="1" ht="17.25" customHeight="1">
      <c r="A2398" s="1375" t="s">
        <v>899</v>
      </c>
      <c r="B2398" s="1630" t="s">
        <v>965</v>
      </c>
      <c r="C2398" s="1433">
        <f>VLOOKUP(B2390,'CNKT '!$C$256:$Z$325,18,0)</f>
        <v>0</v>
      </c>
      <c r="D2398" s="1379">
        <v>10000</v>
      </c>
      <c r="E2398" s="1377">
        <f>C2398*D2398</f>
        <v>0</v>
      </c>
      <c r="F2398" s="1436"/>
      <c r="G2398" s="1375" t="s">
        <v>899</v>
      </c>
      <c r="H2398" s="1630" t="s">
        <v>965</v>
      </c>
      <c r="I2398" s="1433">
        <f>VLOOKUP(H2390,'CNKT '!$C$256:$Z$325,18,0)</f>
        <v>0</v>
      </c>
      <c r="J2398" s="1379">
        <v>10000</v>
      </c>
      <c r="K2398" s="1377">
        <f>I2398*J2398</f>
        <v>0</v>
      </c>
      <c r="L2398" s="1372"/>
    </row>
    <row r="2399" spans="1:12" s="31" customFormat="1" ht="17.25" customHeight="1">
      <c r="A2399" s="1375" t="s">
        <v>899</v>
      </c>
      <c r="B2399" s="1630" t="s">
        <v>965</v>
      </c>
      <c r="C2399" s="1433">
        <f>VLOOKUP(B2390,'CNKT '!$C$256:$Z$325,19,0)</f>
        <v>0</v>
      </c>
      <c r="D2399" s="1379">
        <v>20000</v>
      </c>
      <c r="E2399" s="1377">
        <f>C2399*D2399</f>
        <v>0</v>
      </c>
      <c r="F2399" s="1436"/>
      <c r="G2399" s="1375" t="s">
        <v>899</v>
      </c>
      <c r="H2399" s="1630" t="s">
        <v>965</v>
      </c>
      <c r="I2399" s="1433">
        <f>VLOOKUP(H2390,'CNKT '!$C$256:$Z$325,19,0)</f>
        <v>0</v>
      </c>
      <c r="J2399" s="1379">
        <v>20000</v>
      </c>
      <c r="K2399" s="1377">
        <f>I2399*J2399</f>
        <v>0</v>
      </c>
      <c r="L2399" s="1372"/>
    </row>
    <row r="2400" spans="1:12" s="31" customFormat="1" ht="17.25" customHeight="1">
      <c r="A2400" s="1381" t="s">
        <v>123</v>
      </c>
      <c r="B2400" s="1631" t="s">
        <v>1085</v>
      </c>
      <c r="C2400" s="1382"/>
      <c r="D2400" s="1383"/>
      <c r="E2400" s="1382"/>
      <c r="F2400" s="1436"/>
      <c r="G2400" s="1381" t="s">
        <v>123</v>
      </c>
      <c r="H2400" s="1631" t="s">
        <v>1085</v>
      </c>
      <c r="I2400" s="1382"/>
      <c r="J2400" s="1383"/>
      <c r="K2400" s="1382"/>
      <c r="L2400" s="1372"/>
    </row>
    <row r="2401" spans="1:12" s="31" customFormat="1" ht="17.25" customHeight="1">
      <c r="A2401" s="1384" t="s">
        <v>124</v>
      </c>
      <c r="B2401" s="1632" t="s">
        <v>1086</v>
      </c>
      <c r="C2401" s="1382"/>
      <c r="D2401" s="1382"/>
      <c r="E2401" s="1382"/>
      <c r="F2401" s="1436"/>
      <c r="G2401" s="1384" t="s">
        <v>124</v>
      </c>
      <c r="H2401" s="1632" t="s">
        <v>1086</v>
      </c>
      <c r="I2401" s="1382"/>
      <c r="J2401" s="1382"/>
      <c r="K2401" s="1382"/>
      <c r="L2401" s="1372"/>
    </row>
    <row r="2402" spans="1:12" s="31" customFormat="1" ht="17.25" customHeight="1">
      <c r="A2402" s="1384" t="s">
        <v>125</v>
      </c>
      <c r="B2402" s="1633" t="s">
        <v>1087</v>
      </c>
      <c r="C2402" s="1382"/>
      <c r="D2402" s="1382"/>
      <c r="E2402" s="1377">
        <f>SUM(E2401)</f>
        <v>0</v>
      </c>
      <c r="F2402" s="1423"/>
      <c r="G2402" s="1384" t="s">
        <v>125</v>
      </c>
      <c r="H2402" s="1633" t="s">
        <v>1087</v>
      </c>
      <c r="I2402" s="1382"/>
      <c r="J2402" s="1382"/>
      <c r="K2402" s="1377">
        <f>SUM(K2401)</f>
        <v>0</v>
      </c>
      <c r="L2402" s="1372"/>
    </row>
    <row r="2403" spans="1:12" s="31" customFormat="1" ht="17.25" customHeight="1">
      <c r="A2403" s="1386" t="s">
        <v>126</v>
      </c>
      <c r="B2403" s="1634" t="s">
        <v>871</v>
      </c>
      <c r="C2403" s="1387"/>
      <c r="D2403" s="1387"/>
      <c r="E2403" s="1387">
        <f>(E2392+E2393+E2394+E2395+E2396+E2397+E2398+E2399)-E2402</f>
        <v>0</v>
      </c>
      <c r="F2403" s="1423"/>
      <c r="G2403" s="1386" t="s">
        <v>126</v>
      </c>
      <c r="H2403" s="1634" t="s">
        <v>871</v>
      </c>
      <c r="I2403" s="1387"/>
      <c r="J2403" s="1387"/>
      <c r="K2403" s="1387">
        <f>(K2392+K2393+K2394+K2395+K2396+K2397+K2398+K2399)-K2402</f>
        <v>0</v>
      </c>
      <c r="L2403" s="1389">
        <f>E2403+K2403</f>
        <v>0</v>
      </c>
    </row>
    <row r="2404" spans="1:12" s="31" customFormat="1" ht="17.25" customHeight="1">
      <c r="A2404" s="1449"/>
      <c r="B2404" s="1449"/>
      <c r="C2404" s="1449"/>
      <c r="D2404" s="1449"/>
      <c r="E2404" s="1449"/>
      <c r="F2404" s="1449"/>
      <c r="G2404" s="1449"/>
      <c r="H2404" s="1449"/>
      <c r="I2404" s="1449"/>
      <c r="J2404" s="1449"/>
      <c r="K2404" s="1449"/>
      <c r="L2404" s="1372"/>
    </row>
    <row r="2405" spans="1:12" s="31" customFormat="1" ht="17.25" customHeight="1">
      <c r="A2405" s="1445" t="str">
        <f>A2389</f>
        <v>LƯƠNG THÁNG 01/2025</v>
      </c>
      <c r="B2405" s="1449"/>
      <c r="C2405" s="1449"/>
      <c r="D2405" s="1449"/>
      <c r="E2405" s="1452">
        <f>VLOOKUP(B2406,'CNKT '!$C$256:$AD$325,26,0)</f>
        <v>0</v>
      </c>
      <c r="F2405" s="1436"/>
      <c r="G2405" s="1445" t="str">
        <f>A2405</f>
        <v>LƯƠNG THÁNG 01/2025</v>
      </c>
      <c r="H2405" s="1449"/>
      <c r="I2405" s="1449"/>
      <c r="J2405" s="1452"/>
      <c r="K2405" s="1452">
        <f>VLOOKUP(H2406,'CNKT '!$C$256:$AD$325,26,0)</f>
        <v>0</v>
      </c>
      <c r="L2405" s="1372"/>
    </row>
    <row r="2406" spans="1:12" s="31" customFormat="1" ht="17.25" customHeight="1">
      <c r="A2406" s="1391" t="s">
        <v>29</v>
      </c>
      <c r="B2406" s="1626" t="str">
        <f>'CNKT '!C300</f>
        <v xml:space="preserve">N. Khăm </v>
      </c>
      <c r="C2406" s="1376"/>
      <c r="D2406" s="1626" t="s">
        <v>806</v>
      </c>
      <c r="E2406" s="1626" t="s">
        <v>32</v>
      </c>
      <c r="F2406" s="1436"/>
      <c r="G2406" s="1391" t="s">
        <v>29</v>
      </c>
      <c r="H2406" s="1626" t="str">
        <f>'CNKT '!C301</f>
        <v>T. Xủm</v>
      </c>
      <c r="I2406" s="1376"/>
      <c r="J2406" s="1626" t="s">
        <v>806</v>
      </c>
      <c r="K2406" s="1626" t="s">
        <v>32</v>
      </c>
      <c r="L2406" s="1372"/>
    </row>
    <row r="2407" spans="1:12" s="31" customFormat="1" ht="17.25" customHeight="1">
      <c r="A2407" s="1375" t="s">
        <v>807</v>
      </c>
      <c r="B2407" s="1628" t="s">
        <v>1080</v>
      </c>
      <c r="C2407" s="1376" t="str">
        <f>VLOOKUP(B2406,'BTH mủ tạp'!$C$246:$AL$314,36,0)</f>
        <v>B</v>
      </c>
      <c r="D2407" s="1377"/>
      <c r="E2407" s="1377"/>
      <c r="F2407" s="1436"/>
      <c r="G2407" s="1375" t="s">
        <v>807</v>
      </c>
      <c r="H2407" s="1628" t="s">
        <v>1080</v>
      </c>
      <c r="I2407" s="1376" t="str">
        <f>VLOOKUP(H2406,'BTH mủ tạp'!$C$246:$AL$314,36,0)</f>
        <v>B</v>
      </c>
      <c r="J2407" s="1377"/>
      <c r="K2407" s="1377"/>
      <c r="L2407" s="1372"/>
    </row>
    <row r="2408" spans="1:12" s="31" customFormat="1" ht="17.25" customHeight="1">
      <c r="A2408" s="1375" t="s">
        <v>121</v>
      </c>
      <c r="B2408" s="1629" t="s">
        <v>865</v>
      </c>
      <c r="C2408" s="1378">
        <f>VLOOKUP(B2406,'CNKT '!$C$256:$Z$316,3,0)</f>
        <v>0</v>
      </c>
      <c r="D2408" s="1379">
        <v>25000</v>
      </c>
      <c r="E2408" s="1377">
        <f t="shared" ref="E2408:E2413" si="283">C2408*D2408</f>
        <v>0</v>
      </c>
      <c r="F2408" s="1436"/>
      <c r="G2408" s="1375" t="s">
        <v>121</v>
      </c>
      <c r="H2408" s="1629" t="s">
        <v>865</v>
      </c>
      <c r="I2408" s="1378">
        <f>VLOOKUP(H2406,'CNKT '!$C$256:$Z$316,3,0)</f>
        <v>0</v>
      </c>
      <c r="J2408" s="1379">
        <v>25000</v>
      </c>
      <c r="K2408" s="1377">
        <f t="shared" ref="K2408:K2413" si="284">I2408*J2408</f>
        <v>0</v>
      </c>
      <c r="L2408" s="1372"/>
    </row>
    <row r="2409" spans="1:12" s="31" customFormat="1" ht="17.25" customHeight="1">
      <c r="A2409" s="1375" t="s">
        <v>628</v>
      </c>
      <c r="B2409" s="1630" t="s">
        <v>1081</v>
      </c>
      <c r="C2409" s="1433">
        <f>VLOOKUP(B2406,'CNKT '!$C$256:$Z$316,11,0)</f>
        <v>0</v>
      </c>
      <c r="D2409" s="1380">
        <f>46.1*$B$2</f>
        <v>30241.600000000002</v>
      </c>
      <c r="E2409" s="1377">
        <f t="shared" si="283"/>
        <v>0</v>
      </c>
      <c r="F2409" s="1436"/>
      <c r="G2409" s="1375" t="s">
        <v>628</v>
      </c>
      <c r="H2409" s="1630" t="s">
        <v>1081</v>
      </c>
      <c r="I2409" s="1433">
        <f>VLOOKUP(H2406,'CNKT '!$C$256:$Z$316,11,0)</f>
        <v>0</v>
      </c>
      <c r="J2409" s="1380">
        <f>46.1*$B$2</f>
        <v>30241.600000000002</v>
      </c>
      <c r="K2409" s="1377">
        <f t="shared" si="284"/>
        <v>0</v>
      </c>
      <c r="L2409" s="1372"/>
    </row>
    <row r="2410" spans="1:12" s="31" customFormat="1" ht="17.25" customHeight="1">
      <c r="A2410" s="1375" t="s">
        <v>809</v>
      </c>
      <c r="B2410" s="1630" t="s">
        <v>1082</v>
      </c>
      <c r="C2410" s="1433">
        <f>VLOOKUP(B2406,'CNKT '!$C$256:$Z$316,12,0)</f>
        <v>0</v>
      </c>
      <c r="D2410" s="1379">
        <f>76.9*$B$2</f>
        <v>50446.400000000001</v>
      </c>
      <c r="E2410" s="1377">
        <f t="shared" si="283"/>
        <v>0</v>
      </c>
      <c r="F2410" s="1436"/>
      <c r="G2410" s="1375" t="s">
        <v>809</v>
      </c>
      <c r="H2410" s="1630" t="s">
        <v>1082</v>
      </c>
      <c r="I2410" s="1433">
        <f>VLOOKUP(H2406,'CNKT '!$C$256:$Z$316,12,0)</f>
        <v>0</v>
      </c>
      <c r="J2410" s="1379">
        <f>76.9*$B$2</f>
        <v>50446.400000000001</v>
      </c>
      <c r="K2410" s="1377">
        <f t="shared" si="284"/>
        <v>0</v>
      </c>
      <c r="L2410" s="1372"/>
    </row>
    <row r="2411" spans="1:12" s="31" customFormat="1" ht="17.25" customHeight="1">
      <c r="A2411" s="1375" t="s">
        <v>122</v>
      </c>
      <c r="B2411" s="1630" t="s">
        <v>1083</v>
      </c>
      <c r="C2411" s="1433">
        <f>VLOOKUP(B2406,'CNKT '!$C$256:$Z$316,8,0)</f>
        <v>0</v>
      </c>
      <c r="D2411" s="1379">
        <f>IF(C2407="A",6.1,IF(C2407="B",5.8,IF(C2407="C",5.5,IF(C2407="C.",5.5,IF(C2407="D",5.2)))))*$B$2</f>
        <v>3804.7999999999997</v>
      </c>
      <c r="E2411" s="1377">
        <f t="shared" si="283"/>
        <v>0</v>
      </c>
      <c r="F2411" s="1436"/>
      <c r="G2411" s="1375" t="s">
        <v>122</v>
      </c>
      <c r="H2411" s="1630" t="s">
        <v>1083</v>
      </c>
      <c r="I2411" s="1433">
        <f>VLOOKUP(H2406,'CNKT '!$C$256:$Z$316,8,0)</f>
        <v>0</v>
      </c>
      <c r="J2411" s="1379">
        <f>IF(I2407="A",6.1,IF(I2407="B",5.8,IF(I2407="C",5.5,IF(I2407="C.",5.5,IF(I2407="D",5.2)))))*$B$2</f>
        <v>3804.7999999999997</v>
      </c>
      <c r="K2411" s="1377">
        <f t="shared" si="284"/>
        <v>0</v>
      </c>
      <c r="L2411" s="1372"/>
    </row>
    <row r="2412" spans="1:12" s="31" customFormat="1" ht="17.25" customHeight="1">
      <c r="A2412" s="1375" t="s">
        <v>885</v>
      </c>
      <c r="B2412" s="1630" t="s">
        <v>1084</v>
      </c>
      <c r="C2412" s="1433">
        <f>VLOOKUP(B2406,'CNKT '!$C$256:$Z$316,15,0)</f>
        <v>0</v>
      </c>
      <c r="D2412" s="1380">
        <f>92.2*$B$2</f>
        <v>60483.200000000004</v>
      </c>
      <c r="E2412" s="1377">
        <f t="shared" si="283"/>
        <v>0</v>
      </c>
      <c r="F2412" s="1436"/>
      <c r="G2412" s="1375" t="s">
        <v>885</v>
      </c>
      <c r="H2412" s="1630" t="s">
        <v>1084</v>
      </c>
      <c r="I2412" s="1433">
        <f>VLOOKUP(H2406,'CNKT '!$C$256:$Z$316,15,0)</f>
        <v>0</v>
      </c>
      <c r="J2412" s="1380">
        <f>92.2*$B$2</f>
        <v>60483.200000000004</v>
      </c>
      <c r="K2412" s="1377">
        <f t="shared" si="284"/>
        <v>0</v>
      </c>
      <c r="L2412" s="1372"/>
    </row>
    <row r="2413" spans="1:12" s="31" customFormat="1" ht="17.25" customHeight="1">
      <c r="A2413" s="1375" t="s">
        <v>886</v>
      </c>
      <c r="B2413" s="1630" t="s">
        <v>964</v>
      </c>
      <c r="C2413" s="1433">
        <f>VLOOKUP(B2406,'CNKT '!$C$256:$Z$316,14,0)</f>
        <v>0</v>
      </c>
      <c r="D2413" s="1379">
        <f>153.6*$B$2</f>
        <v>100761.59999999999</v>
      </c>
      <c r="E2413" s="1377">
        <f t="shared" si="283"/>
        <v>0</v>
      </c>
      <c r="F2413" s="1436"/>
      <c r="G2413" s="1375" t="s">
        <v>886</v>
      </c>
      <c r="H2413" s="1630" t="s">
        <v>964</v>
      </c>
      <c r="I2413" s="1433">
        <f>VLOOKUP(H2406,'CNKT '!$C$256:$Z$316,14,0)</f>
        <v>0</v>
      </c>
      <c r="J2413" s="1379">
        <f>153.6*$B$2</f>
        <v>100761.59999999999</v>
      </c>
      <c r="K2413" s="1377">
        <f t="shared" si="284"/>
        <v>0</v>
      </c>
      <c r="L2413" s="1372"/>
    </row>
    <row r="2414" spans="1:12" s="31" customFormat="1" ht="17.25" customHeight="1">
      <c r="A2414" s="1375" t="s">
        <v>899</v>
      </c>
      <c r="B2414" s="1630" t="s">
        <v>965</v>
      </c>
      <c r="C2414" s="1433">
        <f>VLOOKUP(B2406,'CNKT '!$C$256:$Z$325,18,0)</f>
        <v>0</v>
      </c>
      <c r="D2414" s="1379">
        <v>10000</v>
      </c>
      <c r="E2414" s="1377">
        <f>C2414*D2414</f>
        <v>0</v>
      </c>
      <c r="F2414" s="1436"/>
      <c r="G2414" s="1375" t="s">
        <v>899</v>
      </c>
      <c r="H2414" s="1630" t="s">
        <v>965</v>
      </c>
      <c r="I2414" s="1433">
        <f>VLOOKUP(H2406,'CNKT '!$C$256:$Z$325,18,0)</f>
        <v>0</v>
      </c>
      <c r="J2414" s="1379">
        <v>10000</v>
      </c>
      <c r="K2414" s="1377">
        <f>I2414*J2414</f>
        <v>0</v>
      </c>
      <c r="L2414" s="1372"/>
    </row>
    <row r="2415" spans="1:12" s="31" customFormat="1" ht="17.25" customHeight="1">
      <c r="A2415" s="1375" t="s">
        <v>899</v>
      </c>
      <c r="B2415" s="1630" t="s">
        <v>965</v>
      </c>
      <c r="C2415" s="1433">
        <f>VLOOKUP(B2406,'CNKT '!$C$256:$Z$325,19,0)</f>
        <v>0</v>
      </c>
      <c r="D2415" s="1379">
        <v>20000</v>
      </c>
      <c r="E2415" s="1377">
        <f>C2415*D2415</f>
        <v>0</v>
      </c>
      <c r="F2415" s="1436"/>
      <c r="G2415" s="1375" t="s">
        <v>899</v>
      </c>
      <c r="H2415" s="1630" t="s">
        <v>965</v>
      </c>
      <c r="I2415" s="1433">
        <f>VLOOKUP(H2406,'CNKT '!$C$256:$Z$325,19,0)</f>
        <v>0</v>
      </c>
      <c r="J2415" s="1379">
        <v>20000</v>
      </c>
      <c r="K2415" s="1377">
        <f>I2415*J2415</f>
        <v>0</v>
      </c>
      <c r="L2415" s="1372"/>
    </row>
    <row r="2416" spans="1:12" s="31" customFormat="1" ht="17.25" customHeight="1">
      <c r="A2416" s="1381" t="s">
        <v>123</v>
      </c>
      <c r="B2416" s="1631" t="s">
        <v>1085</v>
      </c>
      <c r="C2416" s="1382"/>
      <c r="D2416" s="1383"/>
      <c r="E2416" s="1382"/>
      <c r="F2416" s="1436"/>
      <c r="G2416" s="1381" t="s">
        <v>123</v>
      </c>
      <c r="H2416" s="1631" t="s">
        <v>1085</v>
      </c>
      <c r="I2416" s="1382"/>
      <c r="J2416" s="1383"/>
      <c r="K2416" s="1382"/>
      <c r="L2416" s="1372"/>
    </row>
    <row r="2417" spans="1:12" s="31" customFormat="1" ht="17.25" customHeight="1">
      <c r="A2417" s="1384" t="s">
        <v>124</v>
      </c>
      <c r="B2417" s="1632" t="s">
        <v>1086</v>
      </c>
      <c r="C2417" s="1382"/>
      <c r="D2417" s="1382"/>
      <c r="E2417" s="1382"/>
      <c r="F2417" s="1436"/>
      <c r="G2417" s="1384" t="s">
        <v>124</v>
      </c>
      <c r="H2417" s="1632" t="s">
        <v>1086</v>
      </c>
      <c r="I2417" s="1382"/>
      <c r="J2417" s="1382"/>
      <c r="K2417" s="1382"/>
      <c r="L2417" s="1372"/>
    </row>
    <row r="2418" spans="1:12" s="31" customFormat="1" ht="17.25" customHeight="1">
      <c r="A2418" s="1384" t="s">
        <v>125</v>
      </c>
      <c r="B2418" s="1633" t="s">
        <v>1087</v>
      </c>
      <c r="C2418" s="1382"/>
      <c r="D2418" s="1382"/>
      <c r="E2418" s="1377">
        <f>SUM(E2417)</f>
        <v>0</v>
      </c>
      <c r="F2418" s="1423"/>
      <c r="G2418" s="1384" t="s">
        <v>125</v>
      </c>
      <c r="H2418" s="1633" t="s">
        <v>1087</v>
      </c>
      <c r="I2418" s="1382"/>
      <c r="J2418" s="1382"/>
      <c r="K2418" s="1377">
        <f>SUM(K2417)</f>
        <v>0</v>
      </c>
      <c r="L2418" s="1372"/>
    </row>
    <row r="2419" spans="1:12" s="31" customFormat="1" ht="17.25" customHeight="1">
      <c r="A2419" s="1386" t="s">
        <v>126</v>
      </c>
      <c r="B2419" s="1634" t="s">
        <v>871</v>
      </c>
      <c r="C2419" s="1387"/>
      <c r="D2419" s="1387"/>
      <c r="E2419" s="1387">
        <f>(E2408+E2409+E2410+E2411+E2412+E2413+E2414+E2415)-E2418</f>
        <v>0</v>
      </c>
      <c r="F2419" s="1423"/>
      <c r="G2419" s="1386" t="s">
        <v>126</v>
      </c>
      <c r="H2419" s="1634" t="s">
        <v>871</v>
      </c>
      <c r="I2419" s="1387"/>
      <c r="J2419" s="1387"/>
      <c r="K2419" s="1387">
        <f>(K2408+K2409+K2410+K2411+K2412+K2413+K2414+K2415)-K2418</f>
        <v>0</v>
      </c>
      <c r="L2419" s="1389">
        <f>E2419+K2419</f>
        <v>0</v>
      </c>
    </row>
    <row r="2420" spans="1:12" s="31" customFormat="1" ht="17.25" customHeight="1">
      <c r="A2420" s="1449"/>
      <c r="B2420" s="1449"/>
      <c r="C2420" s="1449"/>
      <c r="D2420" s="1449"/>
      <c r="E2420" s="1449"/>
      <c r="F2420" s="1449"/>
      <c r="G2420" s="1449"/>
      <c r="H2420" s="1449"/>
      <c r="I2420" s="1449"/>
      <c r="J2420" s="1449"/>
      <c r="K2420" s="1449"/>
      <c r="L2420" s="1372"/>
    </row>
    <row r="2421" spans="1:12" s="31" customFormat="1" ht="17.25" customHeight="1">
      <c r="A2421" s="1445" t="str">
        <f>A2405</f>
        <v>LƯƠNG THÁNG 01/2025</v>
      </c>
      <c r="B2421" s="1449"/>
      <c r="C2421" s="1449"/>
      <c r="D2421" s="1449"/>
      <c r="E2421" s="1452">
        <f>VLOOKUP(B2422,'CNKT '!$C$256:$AD$325,26,0)</f>
        <v>0</v>
      </c>
      <c r="F2421" s="1436"/>
      <c r="G2421" s="1445" t="str">
        <f>A2421</f>
        <v>LƯƠNG THÁNG 01/2025</v>
      </c>
      <c r="H2421" s="1449"/>
      <c r="I2421" s="1449"/>
      <c r="J2421" s="1452"/>
      <c r="K2421" s="1452">
        <f>VLOOKUP(H2422,'CNKT '!$C$256:$AD$325,26,0)</f>
        <v>0</v>
      </c>
      <c r="L2421" s="1372"/>
    </row>
    <row r="2422" spans="1:12" s="31" customFormat="1" ht="17.25" customHeight="1">
      <c r="A2422" s="1391" t="s">
        <v>29</v>
      </c>
      <c r="B2422" s="1626" t="str">
        <f>'CNKT '!C302</f>
        <v>N. Keo Khăm</v>
      </c>
      <c r="C2422" s="1376"/>
      <c r="D2422" s="1626" t="s">
        <v>806</v>
      </c>
      <c r="E2422" s="1626" t="s">
        <v>32</v>
      </c>
      <c r="F2422" s="1436"/>
      <c r="G2422" s="1391" t="s">
        <v>29</v>
      </c>
      <c r="H2422" s="1626" t="str">
        <f>'CNKT '!C303</f>
        <v>T. Choi</v>
      </c>
      <c r="I2422" s="1376"/>
      <c r="J2422" s="1626" t="s">
        <v>806</v>
      </c>
      <c r="K2422" s="1626" t="s">
        <v>32</v>
      </c>
      <c r="L2422" s="1372"/>
    </row>
    <row r="2423" spans="1:12" s="31" customFormat="1" ht="17.25" customHeight="1">
      <c r="A2423" s="1375" t="s">
        <v>807</v>
      </c>
      <c r="B2423" s="1628" t="s">
        <v>1080</v>
      </c>
      <c r="C2423" s="1376" t="str">
        <f>VLOOKUP(B2422,'BTH mủ tạp'!$C$246:$AL$314,36,0)</f>
        <v>B</v>
      </c>
      <c r="D2423" s="1377"/>
      <c r="E2423" s="1377"/>
      <c r="F2423" s="1436"/>
      <c r="G2423" s="1375" t="s">
        <v>807</v>
      </c>
      <c r="H2423" s="1628" t="s">
        <v>1080</v>
      </c>
      <c r="I2423" s="1376" t="str">
        <f>VLOOKUP(H2422,'BTH mủ tạp'!$C$246:$AL$314,36,0)</f>
        <v>A</v>
      </c>
      <c r="J2423" s="1377"/>
      <c r="K2423" s="1377"/>
      <c r="L2423" s="1372"/>
    </row>
    <row r="2424" spans="1:12" s="31" customFormat="1" ht="17.25" customHeight="1">
      <c r="A2424" s="1375" t="s">
        <v>121</v>
      </c>
      <c r="B2424" s="1629" t="s">
        <v>865</v>
      </c>
      <c r="C2424" s="1378">
        <f>VLOOKUP(B2422,'CNKT '!$C$256:$Z$316,3,0)</f>
        <v>0</v>
      </c>
      <c r="D2424" s="1379">
        <v>25000</v>
      </c>
      <c r="E2424" s="1377">
        <f t="shared" ref="E2424:E2429" si="285">C2424*D2424</f>
        <v>0</v>
      </c>
      <c r="F2424" s="1436"/>
      <c r="G2424" s="1375" t="s">
        <v>121</v>
      </c>
      <c r="H2424" s="1629" t="s">
        <v>865</v>
      </c>
      <c r="I2424" s="1378">
        <f>VLOOKUP(H2422,'CNKT '!$C$256:$Z$316,3,0)</f>
        <v>0</v>
      </c>
      <c r="J2424" s="1379">
        <v>25000</v>
      </c>
      <c r="K2424" s="1377">
        <f t="shared" ref="K2424:K2429" si="286">I2424*J2424</f>
        <v>0</v>
      </c>
      <c r="L2424" s="1372"/>
    </row>
    <row r="2425" spans="1:12" s="31" customFormat="1" ht="17.25" customHeight="1">
      <c r="A2425" s="1375" t="s">
        <v>628</v>
      </c>
      <c r="B2425" s="1630" t="s">
        <v>1081</v>
      </c>
      <c r="C2425" s="1433">
        <f>VLOOKUP(B2422,'CNKT '!$C$256:$Z$316,11,0)</f>
        <v>0</v>
      </c>
      <c r="D2425" s="1380">
        <f>46.1*$B$2</f>
        <v>30241.600000000002</v>
      </c>
      <c r="E2425" s="1377">
        <f t="shared" si="285"/>
        <v>0</v>
      </c>
      <c r="F2425" s="1436"/>
      <c r="G2425" s="1375" t="s">
        <v>628</v>
      </c>
      <c r="H2425" s="1630" t="s">
        <v>1081</v>
      </c>
      <c r="I2425" s="1433">
        <f>VLOOKUP(H2422,'CNKT '!$C$256:$Z$316,11,0)</f>
        <v>0</v>
      </c>
      <c r="J2425" s="1380">
        <f>46.1*$B$2</f>
        <v>30241.600000000002</v>
      </c>
      <c r="K2425" s="1377">
        <f t="shared" si="286"/>
        <v>0</v>
      </c>
      <c r="L2425" s="1372"/>
    </row>
    <row r="2426" spans="1:12" s="31" customFormat="1" ht="17.25" customHeight="1">
      <c r="A2426" s="1375" t="s">
        <v>809</v>
      </c>
      <c r="B2426" s="1630" t="s">
        <v>1082</v>
      </c>
      <c r="C2426" s="1433">
        <f>VLOOKUP(B2422,'CNKT '!$C$256:$Z$316,12,0)</f>
        <v>0</v>
      </c>
      <c r="D2426" s="1379">
        <f>76.9*$B$2</f>
        <v>50446.400000000001</v>
      </c>
      <c r="E2426" s="1377">
        <f t="shared" si="285"/>
        <v>0</v>
      </c>
      <c r="F2426" s="1436"/>
      <c r="G2426" s="1375" t="s">
        <v>809</v>
      </c>
      <c r="H2426" s="1630" t="s">
        <v>1082</v>
      </c>
      <c r="I2426" s="1433">
        <f>VLOOKUP(H2422,'CNKT '!$C$256:$Z$316,12,0)</f>
        <v>0</v>
      </c>
      <c r="J2426" s="1379">
        <f>76.9*$B$2</f>
        <v>50446.400000000001</v>
      </c>
      <c r="K2426" s="1377">
        <f t="shared" si="286"/>
        <v>0</v>
      </c>
      <c r="L2426" s="1372"/>
    </row>
    <row r="2427" spans="1:12" s="31" customFormat="1" ht="17.25" customHeight="1">
      <c r="A2427" s="1375" t="s">
        <v>122</v>
      </c>
      <c r="B2427" s="1630" t="s">
        <v>1083</v>
      </c>
      <c r="C2427" s="1433">
        <f>VLOOKUP(B2422,'CNKT '!$C$256:$Z$316,8,0)</f>
        <v>0</v>
      </c>
      <c r="D2427" s="1379">
        <f>IF(C2423="A",6.1,IF(C2423="B",5.8,IF(C2423="C",5.5,IF(C2423="C.",5.5,IF(C2423="D",5.2)))))*$B$2</f>
        <v>3804.7999999999997</v>
      </c>
      <c r="E2427" s="1377">
        <f t="shared" si="285"/>
        <v>0</v>
      </c>
      <c r="F2427" s="1436"/>
      <c r="G2427" s="1375" t="s">
        <v>122</v>
      </c>
      <c r="H2427" s="1630" t="s">
        <v>1083</v>
      </c>
      <c r="I2427" s="1433">
        <f>VLOOKUP(H2422,'CNKT '!$C$256:$Z$316,8,0)</f>
        <v>0</v>
      </c>
      <c r="J2427" s="1379">
        <f>IF(I2423="A",6.1,IF(I2423="B",5.8,IF(I2423="C",5.5,IF(I2423="C.",5.5,IF(I2423="D",5.2)))))*$B$2</f>
        <v>4001.6</v>
      </c>
      <c r="K2427" s="1377">
        <f t="shared" si="286"/>
        <v>0</v>
      </c>
      <c r="L2427" s="1372"/>
    </row>
    <row r="2428" spans="1:12" s="31" customFormat="1" ht="17.25" customHeight="1">
      <c r="A2428" s="1375" t="s">
        <v>885</v>
      </c>
      <c r="B2428" s="1630" t="s">
        <v>1084</v>
      </c>
      <c r="C2428" s="1433">
        <f>VLOOKUP(B2422,'CNKT '!$C$256:$Z$316,15,0)</f>
        <v>0</v>
      </c>
      <c r="D2428" s="1380">
        <f>92.2*$B$2</f>
        <v>60483.200000000004</v>
      </c>
      <c r="E2428" s="1377">
        <f t="shared" si="285"/>
        <v>0</v>
      </c>
      <c r="F2428" s="1436"/>
      <c r="G2428" s="1375" t="s">
        <v>885</v>
      </c>
      <c r="H2428" s="1630" t="s">
        <v>1084</v>
      </c>
      <c r="I2428" s="1433">
        <f>VLOOKUP(H2422,'CNKT '!$C$256:$Z$316,15,0)</f>
        <v>0</v>
      </c>
      <c r="J2428" s="1380">
        <f>92.2*$B$2</f>
        <v>60483.200000000004</v>
      </c>
      <c r="K2428" s="1377">
        <f t="shared" si="286"/>
        <v>0</v>
      </c>
      <c r="L2428" s="1372"/>
    </row>
    <row r="2429" spans="1:12" s="31" customFormat="1" ht="17.25" customHeight="1">
      <c r="A2429" s="1375" t="s">
        <v>886</v>
      </c>
      <c r="B2429" s="1630" t="s">
        <v>964</v>
      </c>
      <c r="C2429" s="1433">
        <f>VLOOKUP(B2422,'CNKT '!$C$256:$Z$316,14,0)</f>
        <v>0</v>
      </c>
      <c r="D2429" s="1379">
        <f>153.6*$B$2</f>
        <v>100761.59999999999</v>
      </c>
      <c r="E2429" s="1377">
        <f t="shared" si="285"/>
        <v>0</v>
      </c>
      <c r="F2429" s="1436"/>
      <c r="G2429" s="1375" t="s">
        <v>886</v>
      </c>
      <c r="H2429" s="1630" t="s">
        <v>964</v>
      </c>
      <c r="I2429" s="1433">
        <f>VLOOKUP(H2422,'CNKT '!$C$256:$Z$316,14,0)</f>
        <v>0</v>
      </c>
      <c r="J2429" s="1379">
        <f>153.6*$B$2</f>
        <v>100761.59999999999</v>
      </c>
      <c r="K2429" s="1377">
        <f t="shared" si="286"/>
        <v>0</v>
      </c>
      <c r="L2429" s="1372"/>
    </row>
    <row r="2430" spans="1:12" s="31" customFormat="1" ht="17.25" customHeight="1">
      <c r="A2430" s="1375" t="s">
        <v>899</v>
      </c>
      <c r="B2430" s="1630" t="s">
        <v>965</v>
      </c>
      <c r="C2430" s="1433">
        <f>VLOOKUP(B2422,'CNKT '!$C$256:$Z$325,18,0)</f>
        <v>0</v>
      </c>
      <c r="D2430" s="1379">
        <v>10000</v>
      </c>
      <c r="E2430" s="1377">
        <f>C2430*D2430</f>
        <v>0</v>
      </c>
      <c r="F2430" s="1436"/>
      <c r="G2430" s="1375" t="s">
        <v>899</v>
      </c>
      <c r="H2430" s="1630" t="s">
        <v>965</v>
      </c>
      <c r="I2430" s="1433">
        <f>VLOOKUP(H2422,'CNKT '!$C$256:$Z$325,18,0)</f>
        <v>0</v>
      </c>
      <c r="J2430" s="1379">
        <v>10000</v>
      </c>
      <c r="K2430" s="1377">
        <f>I2430*J2430</f>
        <v>0</v>
      </c>
      <c r="L2430" s="1372"/>
    </row>
    <row r="2431" spans="1:12" s="31" customFormat="1" ht="17.25" customHeight="1">
      <c r="A2431" s="1375" t="s">
        <v>899</v>
      </c>
      <c r="B2431" s="1630" t="s">
        <v>965</v>
      </c>
      <c r="C2431" s="1433">
        <f>VLOOKUP(B2422,'CNKT '!$C$256:$Z$325,19,0)</f>
        <v>0</v>
      </c>
      <c r="D2431" s="1379">
        <v>20000</v>
      </c>
      <c r="E2431" s="1377">
        <f>C2431*D2431</f>
        <v>0</v>
      </c>
      <c r="F2431" s="1436"/>
      <c r="G2431" s="1375" t="s">
        <v>899</v>
      </c>
      <c r="H2431" s="1630" t="s">
        <v>965</v>
      </c>
      <c r="I2431" s="1433">
        <f>VLOOKUP(H2422,'CNKT '!$C$256:$Z$325,19,0)</f>
        <v>0</v>
      </c>
      <c r="J2431" s="1379">
        <v>20000</v>
      </c>
      <c r="K2431" s="1377">
        <f>I2431*J2431</f>
        <v>0</v>
      </c>
      <c r="L2431" s="1372"/>
    </row>
    <row r="2432" spans="1:12" s="31" customFormat="1" ht="17.25" customHeight="1">
      <c r="A2432" s="1381" t="s">
        <v>123</v>
      </c>
      <c r="B2432" s="1631" t="s">
        <v>1085</v>
      </c>
      <c r="C2432" s="1382"/>
      <c r="D2432" s="1383"/>
      <c r="E2432" s="1382"/>
      <c r="F2432" s="1436"/>
      <c r="G2432" s="1381" t="s">
        <v>123</v>
      </c>
      <c r="H2432" s="1631" t="s">
        <v>1085</v>
      </c>
      <c r="I2432" s="1382"/>
      <c r="J2432" s="1383"/>
      <c r="K2432" s="1382"/>
      <c r="L2432" s="1372"/>
    </row>
    <row r="2433" spans="1:12" s="31" customFormat="1" ht="17.25" customHeight="1">
      <c r="A2433" s="1384" t="s">
        <v>124</v>
      </c>
      <c r="B2433" s="1632" t="s">
        <v>1086</v>
      </c>
      <c r="C2433" s="1382"/>
      <c r="D2433" s="1382"/>
      <c r="E2433" s="1382"/>
      <c r="F2433" s="1436"/>
      <c r="G2433" s="1384" t="s">
        <v>124</v>
      </c>
      <c r="H2433" s="1632" t="s">
        <v>1086</v>
      </c>
      <c r="I2433" s="1382"/>
      <c r="J2433" s="1382"/>
      <c r="K2433" s="1382"/>
      <c r="L2433" s="1372"/>
    </row>
    <row r="2434" spans="1:12" s="31" customFormat="1" ht="17.25" customHeight="1">
      <c r="A2434" s="1384" t="s">
        <v>125</v>
      </c>
      <c r="B2434" s="1633" t="s">
        <v>1087</v>
      </c>
      <c r="C2434" s="1382"/>
      <c r="D2434" s="1382"/>
      <c r="E2434" s="1377">
        <f>SUM(E2433)</f>
        <v>0</v>
      </c>
      <c r="F2434" s="1423"/>
      <c r="G2434" s="1384" t="s">
        <v>125</v>
      </c>
      <c r="H2434" s="1633" t="s">
        <v>1087</v>
      </c>
      <c r="I2434" s="1382"/>
      <c r="J2434" s="1382"/>
      <c r="K2434" s="1377">
        <f>SUM(K2433)</f>
        <v>0</v>
      </c>
      <c r="L2434" s="1372"/>
    </row>
    <row r="2435" spans="1:12" s="31" customFormat="1" ht="17.25" customHeight="1">
      <c r="A2435" s="1386" t="s">
        <v>126</v>
      </c>
      <c r="B2435" s="1634" t="s">
        <v>871</v>
      </c>
      <c r="C2435" s="1387"/>
      <c r="D2435" s="1387"/>
      <c r="E2435" s="1387">
        <f>(E2424+E2425+E2426+E2427+E2428+E2429+E2430+E2431)-E2434</f>
        <v>0</v>
      </c>
      <c r="F2435" s="1423"/>
      <c r="G2435" s="1386" t="s">
        <v>126</v>
      </c>
      <c r="H2435" s="1634" t="s">
        <v>871</v>
      </c>
      <c r="I2435" s="1387"/>
      <c r="J2435" s="1387"/>
      <c r="K2435" s="1387">
        <f>(K2424+K2425+K2426+K2427+K2428+K2429+K2430+K2431)-K2434</f>
        <v>0</v>
      </c>
      <c r="L2435" s="1389">
        <f>E2435+K2435</f>
        <v>0</v>
      </c>
    </row>
    <row r="2436" spans="1:12" s="31" customFormat="1" ht="17.25" customHeight="1">
      <c r="A2436" s="1449"/>
      <c r="B2436" s="1449"/>
      <c r="C2436" s="1449"/>
      <c r="D2436" s="1449"/>
      <c r="E2436" s="1449"/>
      <c r="F2436" s="1449"/>
      <c r="G2436" s="1449"/>
      <c r="H2436" s="1449"/>
      <c r="I2436" s="1449"/>
      <c r="J2436" s="1449"/>
      <c r="K2436" s="1449"/>
      <c r="L2436" s="1372"/>
    </row>
    <row r="2437" spans="1:12" s="31" customFormat="1" ht="17.25" customHeight="1">
      <c r="A2437" s="1445" t="str">
        <f>A2421</f>
        <v>LƯƠNG THÁNG 01/2025</v>
      </c>
      <c r="B2437" s="1449"/>
      <c r="C2437" s="1449"/>
      <c r="D2437" s="1449"/>
      <c r="E2437" s="1452">
        <f>VLOOKUP(B2438,'CNKT '!$C$256:$AD$325,26,0)</f>
        <v>0</v>
      </c>
      <c r="F2437" s="1436"/>
      <c r="G2437" s="1445" t="str">
        <f>A2437</f>
        <v>LƯƠNG THÁNG 01/2025</v>
      </c>
      <c r="H2437" s="1449"/>
      <c r="I2437" s="1449"/>
      <c r="J2437" s="1452"/>
      <c r="K2437" s="1452">
        <f>VLOOKUP(H2438,'CNKT '!$C$256:$AD$325,26,0)</f>
        <v>0</v>
      </c>
      <c r="L2437" s="1372"/>
    </row>
    <row r="2438" spans="1:12" s="31" customFormat="1" ht="17.25" customHeight="1">
      <c r="A2438" s="1391" t="s">
        <v>29</v>
      </c>
      <c r="B2438" s="1626" t="str">
        <f>'CNKT '!C304</f>
        <v>N. Phút</v>
      </c>
      <c r="C2438" s="1376"/>
      <c r="D2438" s="1626" t="s">
        <v>806</v>
      </c>
      <c r="E2438" s="1626" t="s">
        <v>32</v>
      </c>
      <c r="F2438" s="1436"/>
      <c r="G2438" s="1391" t="s">
        <v>29</v>
      </c>
      <c r="H2438" s="1626" t="str">
        <f>'CNKT '!C305</f>
        <v>Vông Chăn</v>
      </c>
      <c r="I2438" s="1376"/>
      <c r="J2438" s="1626" t="s">
        <v>806</v>
      </c>
      <c r="K2438" s="1626" t="s">
        <v>32</v>
      </c>
      <c r="L2438" s="1372"/>
    </row>
    <row r="2439" spans="1:12" s="31" customFormat="1" ht="17.25" customHeight="1">
      <c r="A2439" s="1375" t="s">
        <v>807</v>
      </c>
      <c r="B2439" s="1628" t="s">
        <v>1080</v>
      </c>
      <c r="C2439" s="1376" t="str">
        <f>VLOOKUP(B2438,'BTH mủ tạp'!$C$246:$AL$314,36,0)</f>
        <v>A</v>
      </c>
      <c r="D2439" s="1377"/>
      <c r="E2439" s="1377"/>
      <c r="F2439" s="1436"/>
      <c r="G2439" s="1375" t="s">
        <v>807</v>
      </c>
      <c r="H2439" s="1628" t="s">
        <v>1080</v>
      </c>
      <c r="I2439" s="1376" t="str">
        <f>VLOOKUP(H2438,'BTH mủ tạp'!$C$246:$AL$314,36,0)</f>
        <v>B</v>
      </c>
      <c r="J2439" s="1377"/>
      <c r="K2439" s="1377"/>
      <c r="L2439" s="1372"/>
    </row>
    <row r="2440" spans="1:12" s="31" customFormat="1" ht="17.25" customHeight="1">
      <c r="A2440" s="1375" t="s">
        <v>121</v>
      </c>
      <c r="B2440" s="1629" t="s">
        <v>865</v>
      </c>
      <c r="C2440" s="1378">
        <f>VLOOKUP(B2438,'CNKT '!$C$256:$Z$316,3,0)</f>
        <v>0</v>
      </c>
      <c r="D2440" s="1379">
        <v>25000</v>
      </c>
      <c r="E2440" s="1377">
        <f t="shared" ref="E2440:E2445" si="287">C2440*D2440</f>
        <v>0</v>
      </c>
      <c r="F2440" s="1436"/>
      <c r="G2440" s="1375" t="s">
        <v>121</v>
      </c>
      <c r="H2440" s="1629" t="s">
        <v>865</v>
      </c>
      <c r="I2440" s="1378">
        <f>VLOOKUP(H2438,'CNKT '!$C$256:$Z$316,3,0)</f>
        <v>0</v>
      </c>
      <c r="J2440" s="1379">
        <v>25000</v>
      </c>
      <c r="K2440" s="1377">
        <f t="shared" ref="K2440:K2445" si="288">I2440*J2440</f>
        <v>0</v>
      </c>
      <c r="L2440" s="1372"/>
    </row>
    <row r="2441" spans="1:12" s="31" customFormat="1" ht="17.25" customHeight="1">
      <c r="A2441" s="1375" t="s">
        <v>628</v>
      </c>
      <c r="B2441" s="1630" t="s">
        <v>1081</v>
      </c>
      <c r="C2441" s="1433">
        <f>VLOOKUP(B2438,'CNKT '!$C$256:$Z$316,11,0)</f>
        <v>0</v>
      </c>
      <c r="D2441" s="1380">
        <f>46.1*$B$2</f>
        <v>30241.600000000002</v>
      </c>
      <c r="E2441" s="1377">
        <f t="shared" si="287"/>
        <v>0</v>
      </c>
      <c r="F2441" s="1436"/>
      <c r="G2441" s="1375" t="s">
        <v>628</v>
      </c>
      <c r="H2441" s="1630" t="s">
        <v>1081</v>
      </c>
      <c r="I2441" s="1433">
        <f>VLOOKUP(H2438,'CNKT '!$C$256:$Z$316,11,0)</f>
        <v>0</v>
      </c>
      <c r="J2441" s="1380">
        <f>46.1*$B$2</f>
        <v>30241.600000000002</v>
      </c>
      <c r="K2441" s="1377">
        <f t="shared" si="288"/>
        <v>0</v>
      </c>
      <c r="L2441" s="1372"/>
    </row>
    <row r="2442" spans="1:12" s="31" customFormat="1" ht="17.25" customHeight="1">
      <c r="A2442" s="1375" t="s">
        <v>809</v>
      </c>
      <c r="B2442" s="1630" t="s">
        <v>1082</v>
      </c>
      <c r="C2442" s="1433">
        <f>VLOOKUP(B2438,'CNKT '!$C$256:$Z$316,12,0)</f>
        <v>0</v>
      </c>
      <c r="D2442" s="1379">
        <f>76.9*$B$2</f>
        <v>50446.400000000001</v>
      </c>
      <c r="E2442" s="1377">
        <f t="shared" si="287"/>
        <v>0</v>
      </c>
      <c r="F2442" s="1436"/>
      <c r="G2442" s="1375" t="s">
        <v>809</v>
      </c>
      <c r="H2442" s="1630" t="s">
        <v>1082</v>
      </c>
      <c r="I2442" s="1433">
        <f>VLOOKUP(H2438,'CNKT '!$C$256:$Z$316,12,0)</f>
        <v>0</v>
      </c>
      <c r="J2442" s="1379">
        <f>76.9*$B$2</f>
        <v>50446.400000000001</v>
      </c>
      <c r="K2442" s="1377">
        <f t="shared" si="288"/>
        <v>0</v>
      </c>
      <c r="L2442" s="1372"/>
    </row>
    <row r="2443" spans="1:12" s="31" customFormat="1" ht="17.25" customHeight="1">
      <c r="A2443" s="1375" t="s">
        <v>122</v>
      </c>
      <c r="B2443" s="1630" t="s">
        <v>1083</v>
      </c>
      <c r="C2443" s="1433">
        <f>VLOOKUP(B2438,'CNKT '!$C$256:$Z$316,8,0)</f>
        <v>0</v>
      </c>
      <c r="D2443" s="1379">
        <f>IF(C2439="A",6.1,IF(C2439="B",5.8,IF(C2439="C",5.5,IF(C2439="C.",5.5,IF(C2439="D",5.2)))))*$B$2</f>
        <v>4001.6</v>
      </c>
      <c r="E2443" s="1377">
        <f t="shared" si="287"/>
        <v>0</v>
      </c>
      <c r="F2443" s="1436"/>
      <c r="G2443" s="1375" t="s">
        <v>122</v>
      </c>
      <c r="H2443" s="1630" t="s">
        <v>1083</v>
      </c>
      <c r="I2443" s="1433">
        <f>VLOOKUP(H2438,'CNKT '!$C$256:$Z$316,8,0)</f>
        <v>0</v>
      </c>
      <c r="J2443" s="1379">
        <f>IF(I2439="A",6.1,IF(I2439="B",5.8,IF(I2439="C",5.5,IF(I2439="C.",5.5,IF(I2439="D",5.2)))))*$B$2</f>
        <v>3804.7999999999997</v>
      </c>
      <c r="K2443" s="1377">
        <f t="shared" si="288"/>
        <v>0</v>
      </c>
      <c r="L2443" s="1372"/>
    </row>
    <row r="2444" spans="1:12" s="31" customFormat="1" ht="17.25" customHeight="1">
      <c r="A2444" s="1375" t="s">
        <v>885</v>
      </c>
      <c r="B2444" s="1630" t="s">
        <v>1084</v>
      </c>
      <c r="C2444" s="1433">
        <f>VLOOKUP(B2438,'CNKT '!$C$256:$Z$316,15,0)</f>
        <v>0</v>
      </c>
      <c r="D2444" s="1380">
        <f>92.2*$B$2</f>
        <v>60483.200000000004</v>
      </c>
      <c r="E2444" s="1377">
        <f t="shared" si="287"/>
        <v>0</v>
      </c>
      <c r="F2444" s="1436"/>
      <c r="G2444" s="1375" t="s">
        <v>885</v>
      </c>
      <c r="H2444" s="1630" t="s">
        <v>1084</v>
      </c>
      <c r="I2444" s="1433">
        <f>VLOOKUP(H2438,'CNKT '!$C$256:$Z$316,15,0)</f>
        <v>0</v>
      </c>
      <c r="J2444" s="1380">
        <f>92.2*$B$2</f>
        <v>60483.200000000004</v>
      </c>
      <c r="K2444" s="1377">
        <f t="shared" si="288"/>
        <v>0</v>
      </c>
      <c r="L2444" s="1372"/>
    </row>
    <row r="2445" spans="1:12" s="31" customFormat="1" ht="17.25" customHeight="1">
      <c r="A2445" s="1375" t="s">
        <v>886</v>
      </c>
      <c r="B2445" s="1630" t="s">
        <v>964</v>
      </c>
      <c r="C2445" s="1433">
        <f>VLOOKUP(B2438,'CNKT '!$C$256:$Z$316,14,0)</f>
        <v>0</v>
      </c>
      <c r="D2445" s="1379">
        <f>153.6*$B$2</f>
        <v>100761.59999999999</v>
      </c>
      <c r="E2445" s="1377">
        <f t="shared" si="287"/>
        <v>0</v>
      </c>
      <c r="F2445" s="1436"/>
      <c r="G2445" s="1375" t="s">
        <v>886</v>
      </c>
      <c r="H2445" s="1630" t="s">
        <v>964</v>
      </c>
      <c r="I2445" s="1433">
        <f>VLOOKUP(H2438,'CNKT '!$C$256:$Z$316,14,0)</f>
        <v>0</v>
      </c>
      <c r="J2445" s="1379">
        <f>153.6*$B$2</f>
        <v>100761.59999999999</v>
      </c>
      <c r="K2445" s="1377">
        <f t="shared" si="288"/>
        <v>0</v>
      </c>
      <c r="L2445" s="1372"/>
    </row>
    <row r="2446" spans="1:12" s="31" customFormat="1" ht="17.25" customHeight="1">
      <c r="A2446" s="1375" t="s">
        <v>899</v>
      </c>
      <c r="B2446" s="1630" t="s">
        <v>965</v>
      </c>
      <c r="C2446" s="1433">
        <f>VLOOKUP(B2438,'CNKT '!$C$256:$Z$325,18,0)</f>
        <v>0</v>
      </c>
      <c r="D2446" s="1379">
        <v>10000</v>
      </c>
      <c r="E2446" s="1377">
        <f>C2446*D2446</f>
        <v>0</v>
      </c>
      <c r="F2446" s="1436"/>
      <c r="G2446" s="1375" t="s">
        <v>899</v>
      </c>
      <c r="H2446" s="1630" t="s">
        <v>965</v>
      </c>
      <c r="I2446" s="1433">
        <f>VLOOKUP(H2438,'CNKT '!$C$256:$Z$325,18,0)</f>
        <v>0</v>
      </c>
      <c r="J2446" s="1379">
        <v>10000</v>
      </c>
      <c r="K2446" s="1377">
        <f>I2446*J2446</f>
        <v>0</v>
      </c>
      <c r="L2446" s="1372"/>
    </row>
    <row r="2447" spans="1:12" s="31" customFormat="1" ht="17.25" customHeight="1">
      <c r="A2447" s="1375" t="s">
        <v>899</v>
      </c>
      <c r="B2447" s="1630" t="s">
        <v>965</v>
      </c>
      <c r="C2447" s="1433">
        <f>VLOOKUP(B2438,'CNKT '!$C$256:$Z$325,19,0)</f>
        <v>0</v>
      </c>
      <c r="D2447" s="1379">
        <v>20000</v>
      </c>
      <c r="E2447" s="1377">
        <f>C2447*D2447</f>
        <v>0</v>
      </c>
      <c r="F2447" s="1436"/>
      <c r="G2447" s="1375" t="s">
        <v>899</v>
      </c>
      <c r="H2447" s="1630" t="s">
        <v>965</v>
      </c>
      <c r="I2447" s="1433">
        <f>VLOOKUP(H2438,'CNKT '!$C$256:$Z$325,19,0)</f>
        <v>0</v>
      </c>
      <c r="J2447" s="1379">
        <v>20000</v>
      </c>
      <c r="K2447" s="1377">
        <f>I2447*J2447</f>
        <v>0</v>
      </c>
      <c r="L2447" s="1372"/>
    </row>
    <row r="2448" spans="1:12" s="31" customFormat="1" ht="17.25" customHeight="1">
      <c r="A2448" s="1381" t="s">
        <v>123</v>
      </c>
      <c r="B2448" s="1631" t="s">
        <v>1085</v>
      </c>
      <c r="C2448" s="1382"/>
      <c r="D2448" s="1383"/>
      <c r="E2448" s="1382"/>
      <c r="F2448" s="1436"/>
      <c r="G2448" s="1381" t="s">
        <v>123</v>
      </c>
      <c r="H2448" s="1631" t="s">
        <v>1085</v>
      </c>
      <c r="I2448" s="1382"/>
      <c r="J2448" s="1383"/>
      <c r="K2448" s="1382"/>
      <c r="L2448" s="1372"/>
    </row>
    <row r="2449" spans="1:12" s="31" customFormat="1" ht="17.25" customHeight="1">
      <c r="A2449" s="1384" t="s">
        <v>124</v>
      </c>
      <c r="B2449" s="1632" t="s">
        <v>1086</v>
      </c>
      <c r="C2449" s="1382"/>
      <c r="D2449" s="1382"/>
      <c r="E2449" s="1382"/>
      <c r="F2449" s="1436"/>
      <c r="G2449" s="1384" t="s">
        <v>124</v>
      </c>
      <c r="H2449" s="1632" t="s">
        <v>1086</v>
      </c>
      <c r="I2449" s="1382"/>
      <c r="J2449" s="1382"/>
      <c r="K2449" s="1382"/>
      <c r="L2449" s="1372"/>
    </row>
    <row r="2450" spans="1:12" s="31" customFormat="1" ht="17.25" customHeight="1">
      <c r="A2450" s="1384" t="s">
        <v>125</v>
      </c>
      <c r="B2450" s="1633" t="s">
        <v>1087</v>
      </c>
      <c r="C2450" s="1382"/>
      <c r="D2450" s="1382"/>
      <c r="E2450" s="1377">
        <f>SUM(E2449)</f>
        <v>0</v>
      </c>
      <c r="F2450" s="1423"/>
      <c r="G2450" s="1384" t="s">
        <v>125</v>
      </c>
      <c r="H2450" s="1633" t="s">
        <v>1087</v>
      </c>
      <c r="I2450" s="1382"/>
      <c r="J2450" s="1382"/>
      <c r="K2450" s="1377">
        <f>SUM(K2449)</f>
        <v>0</v>
      </c>
      <c r="L2450" s="1389"/>
    </row>
    <row r="2451" spans="1:12" s="31" customFormat="1" ht="17.25" customHeight="1">
      <c r="A2451" s="1386" t="s">
        <v>126</v>
      </c>
      <c r="B2451" s="1634" t="s">
        <v>871</v>
      </c>
      <c r="C2451" s="1387"/>
      <c r="D2451" s="1387"/>
      <c r="E2451" s="1387">
        <f>(E2440+E2441+E2442+E2443+E2444+E2445+E2446+E2447)-E2450</f>
        <v>0</v>
      </c>
      <c r="F2451" s="1423"/>
      <c r="G2451" s="1386" t="s">
        <v>126</v>
      </c>
      <c r="H2451" s="1634" t="s">
        <v>871</v>
      </c>
      <c r="I2451" s="1387"/>
      <c r="J2451" s="1387"/>
      <c r="K2451" s="1387">
        <f>(K2440+K2441+K2442+K2443+K2444+K2445+K2446+K2447)-K2450</f>
        <v>0</v>
      </c>
      <c r="L2451" s="1389">
        <f>E2451+K2451</f>
        <v>0</v>
      </c>
    </row>
    <row r="2452" spans="1:12" s="31" customFormat="1" ht="17.25" customHeight="1">
      <c r="A2452" s="1449"/>
      <c r="B2452" s="1449"/>
      <c r="C2452" s="1449"/>
      <c r="D2452" s="1449"/>
      <c r="E2452" s="1449"/>
      <c r="F2452" s="1449"/>
      <c r="G2452" s="1449"/>
      <c r="H2452" s="1449"/>
      <c r="I2452" s="1449"/>
      <c r="J2452" s="1449"/>
      <c r="K2452" s="1449"/>
      <c r="L2452" s="1389"/>
    </row>
    <row r="2453" spans="1:12" s="31" customFormat="1" ht="17.25" customHeight="1">
      <c r="A2453" s="1445" t="str">
        <f>A2437</f>
        <v>LƯƠNG THÁNG 01/2025</v>
      </c>
      <c r="B2453" s="1449"/>
      <c r="C2453" s="1449"/>
      <c r="D2453" s="1449"/>
      <c r="E2453" s="1452">
        <f>VLOOKUP(B2454,'CNKT '!$C$256:$AD$325,26,0)</f>
        <v>0</v>
      </c>
      <c r="F2453" s="1436"/>
      <c r="G2453" s="1445" t="str">
        <f>A2453</f>
        <v>LƯƠNG THÁNG 01/2025</v>
      </c>
      <c r="H2453" s="1449"/>
      <c r="I2453" s="1449"/>
      <c r="J2453" s="1452"/>
      <c r="K2453" s="1452">
        <f>VLOOKUP(H2454,'CNKT '!$C$256:$AD$325,26,0)</f>
        <v>0</v>
      </c>
      <c r="L2453" s="1389"/>
    </row>
    <row r="2454" spans="1:12" s="31" customFormat="1" ht="17.25" customHeight="1">
      <c r="A2454" s="1391" t="s">
        <v>29</v>
      </c>
      <c r="B2454" s="1626" t="str">
        <f>'CNKT '!C306</f>
        <v>T. Mựt</v>
      </c>
      <c r="C2454" s="1376"/>
      <c r="D2454" s="1626" t="s">
        <v>806</v>
      </c>
      <c r="E2454" s="1626" t="s">
        <v>32</v>
      </c>
      <c r="F2454" s="1436"/>
      <c r="G2454" s="1391" t="s">
        <v>29</v>
      </c>
      <c r="H2454" s="1626" t="str">
        <f>'CNKT '!C307</f>
        <v>Bun Lôm</v>
      </c>
      <c r="I2454" s="1376"/>
      <c r="J2454" s="1626" t="s">
        <v>806</v>
      </c>
      <c r="K2454" s="1626" t="s">
        <v>32</v>
      </c>
      <c r="L2454" s="1372"/>
    </row>
    <row r="2455" spans="1:12" s="31" customFormat="1" ht="17.25" customHeight="1">
      <c r="A2455" s="1375" t="s">
        <v>807</v>
      </c>
      <c r="B2455" s="1628" t="s">
        <v>1080</v>
      </c>
      <c r="C2455" s="1376" t="str">
        <f>VLOOKUP(B2454,'BTH mủ tạp'!$C$246:$AL$314,36,0)</f>
        <v>B</v>
      </c>
      <c r="D2455" s="1377"/>
      <c r="E2455" s="1377"/>
      <c r="F2455" s="1436"/>
      <c r="G2455" s="1375" t="s">
        <v>807</v>
      </c>
      <c r="H2455" s="1628" t="s">
        <v>1080</v>
      </c>
      <c r="I2455" s="1376" t="str">
        <f>VLOOKUP(H2454,'BTH mủ tạp'!$C$246:$AL$314,36,0)</f>
        <v>C</v>
      </c>
      <c r="J2455" s="1377"/>
      <c r="K2455" s="1377"/>
      <c r="L2455" s="1372"/>
    </row>
    <row r="2456" spans="1:12" s="31" customFormat="1" ht="17.25" customHeight="1">
      <c r="A2456" s="1375" t="s">
        <v>121</v>
      </c>
      <c r="B2456" s="1629" t="s">
        <v>865</v>
      </c>
      <c r="C2456" s="1378">
        <f>VLOOKUP(B2454,'CNKT '!$C$256:$Z$316,3,0)</f>
        <v>0</v>
      </c>
      <c r="D2456" s="1379">
        <v>25000</v>
      </c>
      <c r="E2456" s="1377">
        <f t="shared" ref="E2456:E2461" si="289">C2456*D2456</f>
        <v>0</v>
      </c>
      <c r="F2456" s="1436"/>
      <c r="G2456" s="1375" t="s">
        <v>121</v>
      </c>
      <c r="H2456" s="1629" t="s">
        <v>865</v>
      </c>
      <c r="I2456" s="1378">
        <f>VLOOKUP(H2454,'CNKT '!$C$256:$Z$316,3,0)</f>
        <v>0</v>
      </c>
      <c r="J2456" s="1379">
        <v>25000</v>
      </c>
      <c r="K2456" s="1377">
        <f t="shared" ref="K2456:K2461" si="290">I2456*J2456</f>
        <v>0</v>
      </c>
      <c r="L2456" s="1372"/>
    </row>
    <row r="2457" spans="1:12" s="31" customFormat="1" ht="17.25" customHeight="1">
      <c r="A2457" s="1375" t="s">
        <v>628</v>
      </c>
      <c r="B2457" s="1630" t="s">
        <v>1081</v>
      </c>
      <c r="C2457" s="1433">
        <f>VLOOKUP(B2454,'CNKT '!$C$256:$Z$316,11,0)</f>
        <v>0</v>
      </c>
      <c r="D2457" s="1380">
        <f>46.1*$B$2</f>
        <v>30241.600000000002</v>
      </c>
      <c r="E2457" s="1377">
        <f t="shared" si="289"/>
        <v>0</v>
      </c>
      <c r="F2457" s="1436"/>
      <c r="G2457" s="1375" t="s">
        <v>628</v>
      </c>
      <c r="H2457" s="1630" t="s">
        <v>1081</v>
      </c>
      <c r="I2457" s="1433">
        <f>VLOOKUP(H2454,'CNKT '!$C$256:$Z$316,11,0)</f>
        <v>0</v>
      </c>
      <c r="J2457" s="1380">
        <f>46.1*$B$2</f>
        <v>30241.600000000002</v>
      </c>
      <c r="K2457" s="1377">
        <f t="shared" si="290"/>
        <v>0</v>
      </c>
      <c r="L2457" s="1372"/>
    </row>
    <row r="2458" spans="1:12" s="31" customFormat="1" ht="17.25" customHeight="1">
      <c r="A2458" s="1375" t="s">
        <v>809</v>
      </c>
      <c r="B2458" s="1630" t="s">
        <v>1082</v>
      </c>
      <c r="C2458" s="1433">
        <f>VLOOKUP(B2454,'CNKT '!$C$256:$Z$316,12,0)</f>
        <v>0</v>
      </c>
      <c r="D2458" s="1379">
        <f>76.9*$B$2</f>
        <v>50446.400000000001</v>
      </c>
      <c r="E2458" s="1377">
        <f t="shared" si="289"/>
        <v>0</v>
      </c>
      <c r="F2458" s="1436"/>
      <c r="G2458" s="1375" t="s">
        <v>809</v>
      </c>
      <c r="H2458" s="1630" t="s">
        <v>1082</v>
      </c>
      <c r="I2458" s="1433">
        <f>VLOOKUP(H2454,'CNKT '!$C$256:$Z$316,12,0)</f>
        <v>0</v>
      </c>
      <c r="J2458" s="1379">
        <f>76.9*$B$2</f>
        <v>50446.400000000001</v>
      </c>
      <c r="K2458" s="1377">
        <f t="shared" si="290"/>
        <v>0</v>
      </c>
      <c r="L2458" s="1372"/>
    </row>
    <row r="2459" spans="1:12" s="31" customFormat="1" ht="17.25" customHeight="1">
      <c r="A2459" s="1375" t="s">
        <v>122</v>
      </c>
      <c r="B2459" s="1630" t="s">
        <v>1083</v>
      </c>
      <c r="C2459" s="1433">
        <f>VLOOKUP(B2454,'CNKT '!$C$256:$Z$316,8,0)</f>
        <v>0</v>
      </c>
      <c r="D2459" s="1379">
        <f>IF(C2455="A",6.1,IF(C2455="B",5.8,IF(C2455="C",5.5,IF(C2455="C.",5.5,IF(C2455="D",5.2)))))*$B$2</f>
        <v>3804.7999999999997</v>
      </c>
      <c r="E2459" s="1377">
        <f t="shared" si="289"/>
        <v>0</v>
      </c>
      <c r="F2459" s="1436"/>
      <c r="G2459" s="1375" t="s">
        <v>122</v>
      </c>
      <c r="H2459" s="1630" t="s">
        <v>1083</v>
      </c>
      <c r="I2459" s="1433">
        <f>VLOOKUP(H2454,'CNKT '!$C$256:$Z$316,8,0)</f>
        <v>0</v>
      </c>
      <c r="J2459" s="1379">
        <f>IF(I2455="A",6.1,IF(I2455="B",5.8,IF(I2455="C",5.5,IF(I2455="C.",5.5,IF(I2455="D",5.2)))))*$B$2</f>
        <v>3608</v>
      </c>
      <c r="K2459" s="1377">
        <f t="shared" si="290"/>
        <v>0</v>
      </c>
      <c r="L2459" s="1372"/>
    </row>
    <row r="2460" spans="1:12" s="31" customFormat="1" ht="17.25" customHeight="1">
      <c r="A2460" s="1375" t="s">
        <v>885</v>
      </c>
      <c r="B2460" s="1630" t="s">
        <v>1084</v>
      </c>
      <c r="C2460" s="1433">
        <f>VLOOKUP(B2454,'CNKT '!$C$256:$Z$316,15,0)</f>
        <v>0</v>
      </c>
      <c r="D2460" s="1380">
        <f>92.2*$B$2</f>
        <v>60483.200000000004</v>
      </c>
      <c r="E2460" s="1377">
        <f t="shared" si="289"/>
        <v>0</v>
      </c>
      <c r="F2460" s="1436"/>
      <c r="G2460" s="1375" t="s">
        <v>885</v>
      </c>
      <c r="H2460" s="1630" t="s">
        <v>1084</v>
      </c>
      <c r="I2460" s="1433">
        <f>VLOOKUP(H2454,'CNKT '!$C$256:$Z$316,15,0)</f>
        <v>0</v>
      </c>
      <c r="J2460" s="1380">
        <f>92.2*$B$2</f>
        <v>60483.200000000004</v>
      </c>
      <c r="K2460" s="1377">
        <f t="shared" si="290"/>
        <v>0</v>
      </c>
      <c r="L2460" s="1372"/>
    </row>
    <row r="2461" spans="1:12" s="31" customFormat="1" ht="17.25" customHeight="1">
      <c r="A2461" s="1375" t="s">
        <v>886</v>
      </c>
      <c r="B2461" s="1630" t="s">
        <v>964</v>
      </c>
      <c r="C2461" s="1433">
        <f>VLOOKUP(B2454,'CNKT '!$C$256:$Z$316,14,0)</f>
        <v>0</v>
      </c>
      <c r="D2461" s="1379">
        <f>153.6*$B$2</f>
        <v>100761.59999999999</v>
      </c>
      <c r="E2461" s="1377">
        <f t="shared" si="289"/>
        <v>0</v>
      </c>
      <c r="F2461" s="1436"/>
      <c r="G2461" s="1375" t="s">
        <v>886</v>
      </c>
      <c r="H2461" s="1630" t="s">
        <v>964</v>
      </c>
      <c r="I2461" s="1433">
        <f>VLOOKUP(H2454,'CNKT '!$C$256:$Z$316,14,0)</f>
        <v>0</v>
      </c>
      <c r="J2461" s="1379">
        <f>153.6*$B$2</f>
        <v>100761.59999999999</v>
      </c>
      <c r="K2461" s="1377">
        <f t="shared" si="290"/>
        <v>0</v>
      </c>
      <c r="L2461" s="1372"/>
    </row>
    <row r="2462" spans="1:12" s="31" customFormat="1" ht="17.25" customHeight="1">
      <c r="A2462" s="1375" t="s">
        <v>899</v>
      </c>
      <c r="B2462" s="1630" t="s">
        <v>965</v>
      </c>
      <c r="C2462" s="1433">
        <f>VLOOKUP(B2454,'CNKT '!$C$256:$Z$325,18,0)</f>
        <v>0</v>
      </c>
      <c r="D2462" s="1379">
        <v>10000</v>
      </c>
      <c r="E2462" s="1377">
        <f>C2462*D2462</f>
        <v>0</v>
      </c>
      <c r="F2462" s="1436"/>
      <c r="G2462" s="1375" t="s">
        <v>899</v>
      </c>
      <c r="H2462" s="1630" t="s">
        <v>965</v>
      </c>
      <c r="I2462" s="1433">
        <f>VLOOKUP(H2454,'CNKT '!$C$256:$Z$325,18,0)</f>
        <v>0</v>
      </c>
      <c r="J2462" s="1379">
        <v>10000</v>
      </c>
      <c r="K2462" s="1377">
        <f>I2462*J2462</f>
        <v>0</v>
      </c>
      <c r="L2462" s="1372"/>
    </row>
    <row r="2463" spans="1:12" s="31" customFormat="1" ht="17.25" customHeight="1">
      <c r="A2463" s="1375" t="s">
        <v>899</v>
      </c>
      <c r="B2463" s="1630" t="s">
        <v>965</v>
      </c>
      <c r="C2463" s="1433">
        <f>VLOOKUP(B2454,'CNKT '!$C$256:$Z$325,19,0)</f>
        <v>0</v>
      </c>
      <c r="D2463" s="1379">
        <v>20000</v>
      </c>
      <c r="E2463" s="1377">
        <f>C2463*D2463</f>
        <v>0</v>
      </c>
      <c r="F2463" s="1436"/>
      <c r="G2463" s="1375" t="s">
        <v>899</v>
      </c>
      <c r="H2463" s="1630" t="s">
        <v>965</v>
      </c>
      <c r="I2463" s="1433">
        <f>VLOOKUP(H2454,'CNKT '!$C$256:$Z$325,19,0)</f>
        <v>0</v>
      </c>
      <c r="J2463" s="1379">
        <v>20000</v>
      </c>
      <c r="K2463" s="1377">
        <f>I2463*J2463</f>
        <v>0</v>
      </c>
      <c r="L2463" s="1372"/>
    </row>
    <row r="2464" spans="1:12" s="31" customFormat="1" ht="17.25" customHeight="1">
      <c r="A2464" s="1381" t="s">
        <v>123</v>
      </c>
      <c r="B2464" s="1631" t="s">
        <v>1085</v>
      </c>
      <c r="C2464" s="1382"/>
      <c r="D2464" s="1383"/>
      <c r="E2464" s="1382"/>
      <c r="F2464" s="1436"/>
      <c r="G2464" s="1381" t="s">
        <v>123</v>
      </c>
      <c r="H2464" s="1631" t="s">
        <v>1085</v>
      </c>
      <c r="I2464" s="1382"/>
      <c r="J2464" s="1383"/>
      <c r="K2464" s="1382"/>
      <c r="L2464" s="1372"/>
    </row>
    <row r="2465" spans="1:14" s="31" customFormat="1" ht="17.25" customHeight="1">
      <c r="A2465" s="1384" t="s">
        <v>124</v>
      </c>
      <c r="B2465" s="1632" t="s">
        <v>1086</v>
      </c>
      <c r="C2465" s="1382"/>
      <c r="D2465" s="1382"/>
      <c r="E2465" s="1382"/>
      <c r="F2465" s="1436"/>
      <c r="G2465" s="1384" t="s">
        <v>124</v>
      </c>
      <c r="H2465" s="1632" t="s">
        <v>1086</v>
      </c>
      <c r="I2465" s="1382"/>
      <c r="J2465" s="1382"/>
      <c r="K2465" s="1382"/>
      <c r="L2465" s="1372"/>
    </row>
    <row r="2466" spans="1:14" s="31" customFormat="1" ht="17.25" customHeight="1">
      <c r="A2466" s="1384" t="s">
        <v>125</v>
      </c>
      <c r="B2466" s="1633" t="s">
        <v>1087</v>
      </c>
      <c r="C2466" s="1382"/>
      <c r="D2466" s="1382"/>
      <c r="E2466" s="1377">
        <f>SUM(E2465)</f>
        <v>0</v>
      </c>
      <c r="F2466" s="1626"/>
      <c r="G2466" s="1384" t="s">
        <v>125</v>
      </c>
      <c r="H2466" s="1633" t="s">
        <v>1087</v>
      </c>
      <c r="I2466" s="1382"/>
      <c r="J2466" s="1382"/>
      <c r="K2466" s="1377">
        <f>SUM(K2465)</f>
        <v>0</v>
      </c>
      <c r="L2466" s="1372"/>
    </row>
    <row r="2467" spans="1:14" s="31" customFormat="1" ht="17.25" customHeight="1">
      <c r="A2467" s="1386" t="s">
        <v>126</v>
      </c>
      <c r="B2467" s="1634" t="s">
        <v>871</v>
      </c>
      <c r="C2467" s="1387"/>
      <c r="D2467" s="1387"/>
      <c r="E2467" s="1387">
        <f>(E2456+E2457+E2458+E2459+E2460+E2461+E2462+E2463)-E2466</f>
        <v>0</v>
      </c>
      <c r="F2467" s="1626"/>
      <c r="G2467" s="1386" t="s">
        <v>126</v>
      </c>
      <c r="H2467" s="1634" t="s">
        <v>871</v>
      </c>
      <c r="I2467" s="1387"/>
      <c r="J2467" s="1387"/>
      <c r="K2467" s="1387">
        <f>(K2456+K2457+K2458+K2459+K2460+K2461+K2462+K2463)-K2466</f>
        <v>0</v>
      </c>
      <c r="L2467" s="1389">
        <f>E2467+K2467</f>
        <v>0</v>
      </c>
    </row>
    <row r="2468" spans="1:14" s="31" customFormat="1" ht="65.25" customHeight="1">
      <c r="A2468" s="1449"/>
      <c r="B2468" s="1449"/>
      <c r="C2468" s="1449"/>
      <c r="D2468" s="1449"/>
      <c r="E2468" s="1449"/>
      <c r="F2468" s="1449"/>
      <c r="G2468" s="1449"/>
      <c r="H2468" s="1449"/>
      <c r="I2468" s="1449"/>
      <c r="J2468" s="1449"/>
      <c r="K2468" s="1449"/>
      <c r="L2468" s="1372"/>
    </row>
    <row r="2469" spans="1:14" s="31" customFormat="1" ht="17.25" customHeight="1">
      <c r="A2469" s="1445" t="str">
        <f>A2453</f>
        <v>LƯƠNG THÁNG 01/2025</v>
      </c>
      <c r="B2469" s="1449"/>
      <c r="C2469" s="1449"/>
      <c r="D2469" s="1449"/>
      <c r="E2469" s="1452">
        <f>VLOOKUP(B2470,'CNKT '!$C$256:$AD$325,26,0)</f>
        <v>0</v>
      </c>
      <c r="F2469" s="1436"/>
      <c r="G2469" s="1445" t="str">
        <f>A2469</f>
        <v>LƯƠNG THÁNG 01/2025</v>
      </c>
      <c r="H2469" s="1449"/>
      <c r="I2469" s="1449"/>
      <c r="J2469" s="1452"/>
      <c r="K2469" s="1452">
        <f>VLOOKUP(H2470,'CNKT '!$C$256:$AD$325,26,0)</f>
        <v>0</v>
      </c>
      <c r="L2469" s="1389"/>
      <c r="M2469" s="1385"/>
      <c r="N2469" s="1385"/>
    </row>
    <row r="2470" spans="1:14" s="31" customFormat="1" ht="17.25" customHeight="1">
      <c r="A2470" s="1391" t="s">
        <v>29</v>
      </c>
      <c r="B2470" s="1626" t="str">
        <f>'CNKT '!C308</f>
        <v>T. Nhã</v>
      </c>
      <c r="C2470" s="1376"/>
      <c r="D2470" s="1626" t="s">
        <v>806</v>
      </c>
      <c r="E2470" s="1626" t="s">
        <v>32</v>
      </c>
      <c r="F2470" s="1436"/>
      <c r="G2470" s="1391" t="s">
        <v>29</v>
      </c>
      <c r="H2470" s="1626" t="str">
        <f>'CNKT '!C309</f>
        <v>Thảo Ỉa</v>
      </c>
      <c r="I2470" s="1376"/>
      <c r="J2470" s="1626" t="s">
        <v>806</v>
      </c>
      <c r="K2470" s="1626" t="s">
        <v>32</v>
      </c>
      <c r="L2470" s="1372"/>
    </row>
    <row r="2471" spans="1:14" s="31" customFormat="1" ht="17.25" customHeight="1">
      <c r="A2471" s="1375" t="s">
        <v>807</v>
      </c>
      <c r="B2471" s="1628" t="s">
        <v>1080</v>
      </c>
      <c r="C2471" s="1376" t="str">
        <f>VLOOKUP(B2470,'BTH mủ tạp'!$C$246:$AL$314,36,0)</f>
        <v>C</v>
      </c>
      <c r="D2471" s="1377"/>
      <c r="E2471" s="1377"/>
      <c r="F2471" s="1436"/>
      <c r="G2471" s="1375" t="s">
        <v>807</v>
      </c>
      <c r="H2471" s="1628" t="s">
        <v>1080</v>
      </c>
      <c r="I2471" s="1376" t="str">
        <f>VLOOKUP(H2470,'BTH mủ tạp'!$C$246:$AL$314,36,0)</f>
        <v>C.</v>
      </c>
      <c r="J2471" s="1377"/>
      <c r="K2471" s="1377"/>
      <c r="L2471" s="1372"/>
    </row>
    <row r="2472" spans="1:14" s="31" customFormat="1" ht="17.25" customHeight="1">
      <c r="A2472" s="1375" t="s">
        <v>121</v>
      </c>
      <c r="B2472" s="1629" t="s">
        <v>865</v>
      </c>
      <c r="C2472" s="1378">
        <f>VLOOKUP(B2470,'CNKT '!$C$256:$Z$316,3,0)</f>
        <v>0</v>
      </c>
      <c r="D2472" s="1379">
        <v>25000</v>
      </c>
      <c r="E2472" s="1377">
        <f t="shared" ref="E2472:E2477" si="291">C2472*D2472</f>
        <v>0</v>
      </c>
      <c r="F2472" s="1436"/>
      <c r="G2472" s="1375" t="s">
        <v>121</v>
      </c>
      <c r="H2472" s="1629" t="s">
        <v>865</v>
      </c>
      <c r="I2472" s="1378">
        <f>VLOOKUP(H2470,'CNKT '!$C$256:$Z$316,3,0)</f>
        <v>0</v>
      </c>
      <c r="J2472" s="1379">
        <v>25000</v>
      </c>
      <c r="K2472" s="1377">
        <f t="shared" ref="K2472:K2477" si="292">I2472*J2472</f>
        <v>0</v>
      </c>
      <c r="L2472" s="1410"/>
      <c r="M2472" s="1385"/>
      <c r="N2472" s="1385"/>
    </row>
    <row r="2473" spans="1:14" s="31" customFormat="1" ht="17.25" customHeight="1">
      <c r="A2473" s="1375" t="s">
        <v>628</v>
      </c>
      <c r="B2473" s="1630" t="s">
        <v>1081</v>
      </c>
      <c r="C2473" s="1433">
        <f>VLOOKUP(B2470,'CNKT '!$C$256:$Z$316,11,0)</f>
        <v>0</v>
      </c>
      <c r="D2473" s="1380">
        <f>46.1*$B$2</f>
        <v>30241.600000000002</v>
      </c>
      <c r="E2473" s="1377">
        <f t="shared" si="291"/>
        <v>0</v>
      </c>
      <c r="F2473" s="1436"/>
      <c r="G2473" s="1375" t="s">
        <v>628</v>
      </c>
      <c r="H2473" s="1630" t="s">
        <v>1081</v>
      </c>
      <c r="I2473" s="1433">
        <f>VLOOKUP(H2470,'CNKT '!$C$256:$Z$316,11,0)</f>
        <v>0</v>
      </c>
      <c r="J2473" s="1380">
        <f>46.1*$B$2</f>
        <v>30241.600000000002</v>
      </c>
      <c r="K2473" s="1377">
        <f t="shared" si="292"/>
        <v>0</v>
      </c>
      <c r="L2473" s="1410"/>
    </row>
    <row r="2474" spans="1:14" s="31" customFormat="1" ht="17.25" customHeight="1">
      <c r="A2474" s="1375" t="s">
        <v>809</v>
      </c>
      <c r="B2474" s="1630" t="s">
        <v>1082</v>
      </c>
      <c r="C2474" s="1433">
        <f>VLOOKUP(B2470,'CNKT '!$C$256:$Z$316,12,0)</f>
        <v>0</v>
      </c>
      <c r="D2474" s="1379">
        <f>76.9*$B$2</f>
        <v>50446.400000000001</v>
      </c>
      <c r="E2474" s="1377">
        <f t="shared" si="291"/>
        <v>0</v>
      </c>
      <c r="F2474" s="1436"/>
      <c r="G2474" s="1375" t="s">
        <v>809</v>
      </c>
      <c r="H2474" s="1630" t="s">
        <v>1082</v>
      </c>
      <c r="I2474" s="1433">
        <f>VLOOKUP(H2470,'CNKT '!$C$256:$Z$316,12,0)</f>
        <v>0</v>
      </c>
      <c r="J2474" s="1379">
        <f>76.9*$B$2</f>
        <v>50446.400000000001</v>
      </c>
      <c r="K2474" s="1377">
        <f t="shared" si="292"/>
        <v>0</v>
      </c>
      <c r="L2474" s="1410"/>
      <c r="M2474" s="1437"/>
    </row>
    <row r="2475" spans="1:14" s="31" customFormat="1" ht="17.25" customHeight="1">
      <c r="A2475" s="1375" t="s">
        <v>122</v>
      </c>
      <c r="B2475" s="1630" t="s">
        <v>1083</v>
      </c>
      <c r="C2475" s="1433">
        <f>VLOOKUP(B2470,'CNKT '!$C$256:$Z$316,8,0)</f>
        <v>0</v>
      </c>
      <c r="D2475" s="1379">
        <f>IF(C2471="A",6.1,IF(C2471="B",5.8,IF(C2471="C",5.5,IF(C2471="C.",5.5,IF(C2471="D",5.2)))))*$B$2</f>
        <v>3608</v>
      </c>
      <c r="E2475" s="1377">
        <f t="shared" si="291"/>
        <v>0</v>
      </c>
      <c r="F2475" s="1436"/>
      <c r="G2475" s="1375" t="s">
        <v>122</v>
      </c>
      <c r="H2475" s="1630" t="s">
        <v>1083</v>
      </c>
      <c r="I2475" s="1433">
        <f>VLOOKUP(H2470,'CNKT '!$C$256:$Z$316,8,0)</f>
        <v>0</v>
      </c>
      <c r="J2475" s="1379">
        <f>IF(I2471="A",6.1,IF(I2471="B",5.8,IF(I2471="C",5.5,IF(I2471="C.",5.5,IF(I2471="D",5.2)))))*$B$2</f>
        <v>3608</v>
      </c>
      <c r="K2475" s="1377">
        <f t="shared" si="292"/>
        <v>0</v>
      </c>
      <c r="L2475" s="1410"/>
    </row>
    <row r="2476" spans="1:14" s="31" customFormat="1" ht="17.25" customHeight="1">
      <c r="A2476" s="1375" t="s">
        <v>885</v>
      </c>
      <c r="B2476" s="1630" t="s">
        <v>1084</v>
      </c>
      <c r="C2476" s="1433">
        <f>VLOOKUP(B2470,'CNKT '!$C$256:$Z$316,15,0)</f>
        <v>0</v>
      </c>
      <c r="D2476" s="1380">
        <f>92.2*$B$2</f>
        <v>60483.200000000004</v>
      </c>
      <c r="E2476" s="1377">
        <f t="shared" si="291"/>
        <v>0</v>
      </c>
      <c r="F2476" s="1436"/>
      <c r="G2476" s="1375" t="s">
        <v>885</v>
      </c>
      <c r="H2476" s="1630" t="s">
        <v>1084</v>
      </c>
      <c r="I2476" s="1433">
        <f>VLOOKUP(H2470,'CNKT '!$C$256:$Z$316,15,0)</f>
        <v>0</v>
      </c>
      <c r="J2476" s="1380">
        <f>92.2*$B$2</f>
        <v>60483.200000000004</v>
      </c>
      <c r="K2476" s="1377">
        <f t="shared" si="292"/>
        <v>0</v>
      </c>
      <c r="L2476" s="1410"/>
    </row>
    <row r="2477" spans="1:14" s="31" customFormat="1" ht="17.25" customHeight="1">
      <c r="A2477" s="1375" t="s">
        <v>886</v>
      </c>
      <c r="B2477" s="1630" t="s">
        <v>964</v>
      </c>
      <c r="C2477" s="1433">
        <f>VLOOKUP(B2470,'CNKT '!$C$256:$Z$316,14,0)</f>
        <v>0</v>
      </c>
      <c r="D2477" s="1379">
        <f>153.6*$B$2</f>
        <v>100761.59999999999</v>
      </c>
      <c r="E2477" s="1377">
        <f t="shared" si="291"/>
        <v>0</v>
      </c>
      <c r="F2477" s="1436"/>
      <c r="G2477" s="1375" t="s">
        <v>886</v>
      </c>
      <c r="H2477" s="1630" t="s">
        <v>964</v>
      </c>
      <c r="I2477" s="1433">
        <f>VLOOKUP(H2470,'CNKT '!$C$256:$Z$316,14,0)</f>
        <v>0</v>
      </c>
      <c r="J2477" s="1379">
        <f>153.6*$B$2</f>
        <v>100761.59999999999</v>
      </c>
      <c r="K2477" s="1377">
        <f t="shared" si="292"/>
        <v>0</v>
      </c>
      <c r="L2477" s="1410"/>
    </row>
    <row r="2478" spans="1:14" s="31" customFormat="1" ht="17.25" customHeight="1">
      <c r="A2478" s="1375" t="s">
        <v>899</v>
      </c>
      <c r="B2478" s="1630" t="s">
        <v>965</v>
      </c>
      <c r="C2478" s="1433">
        <f>VLOOKUP(B2470,'CNKT '!$C$256:$Z$325,18,0)</f>
        <v>0</v>
      </c>
      <c r="D2478" s="1379">
        <v>10000</v>
      </c>
      <c r="E2478" s="1377">
        <f>C2478*D2478</f>
        <v>0</v>
      </c>
      <c r="F2478" s="1436"/>
      <c r="G2478" s="1375" t="s">
        <v>899</v>
      </c>
      <c r="H2478" s="1630" t="s">
        <v>965</v>
      </c>
      <c r="I2478" s="1433">
        <f>VLOOKUP(H2470,'CNKT '!$C$256:$Z$325,18,0)</f>
        <v>0</v>
      </c>
      <c r="J2478" s="1379">
        <v>10000</v>
      </c>
      <c r="K2478" s="1377">
        <f>I2478*J2478</f>
        <v>0</v>
      </c>
      <c r="L2478" s="1410"/>
    </row>
    <row r="2479" spans="1:14" s="31" customFormat="1" ht="17.25" customHeight="1">
      <c r="A2479" s="1375" t="s">
        <v>899</v>
      </c>
      <c r="B2479" s="1630" t="s">
        <v>965</v>
      </c>
      <c r="C2479" s="1433">
        <f>VLOOKUP(B2470,'CNKT '!$C$256:$Z$325,19,0)</f>
        <v>0</v>
      </c>
      <c r="D2479" s="1379">
        <v>20000</v>
      </c>
      <c r="E2479" s="1377">
        <f>C2479*D2479</f>
        <v>0</v>
      </c>
      <c r="F2479" s="1436"/>
      <c r="G2479" s="1375" t="s">
        <v>899</v>
      </c>
      <c r="H2479" s="1630" t="s">
        <v>965</v>
      </c>
      <c r="I2479" s="1433">
        <f>VLOOKUP(H2470,'CNKT '!$C$256:$Z$325,19,0)</f>
        <v>0</v>
      </c>
      <c r="J2479" s="1379">
        <v>20000</v>
      </c>
      <c r="K2479" s="1377">
        <f>I2479*J2479</f>
        <v>0</v>
      </c>
      <c r="L2479" s="1410"/>
    </row>
    <row r="2480" spans="1:14" s="31" customFormat="1" ht="17.25" customHeight="1">
      <c r="A2480" s="1381" t="s">
        <v>123</v>
      </c>
      <c r="B2480" s="1631" t="s">
        <v>1085</v>
      </c>
      <c r="C2480" s="1382"/>
      <c r="D2480" s="1383"/>
      <c r="E2480" s="1382"/>
      <c r="F2480" s="1436"/>
      <c r="G2480" s="1381" t="s">
        <v>123</v>
      </c>
      <c r="H2480" s="1631" t="s">
        <v>1085</v>
      </c>
      <c r="I2480" s="1382"/>
      <c r="J2480" s="1383"/>
      <c r="K2480" s="1382"/>
      <c r="L2480" s="1410"/>
      <c r="M2480" s="1437"/>
    </row>
    <row r="2481" spans="1:13" s="31" customFormat="1" ht="17.25" customHeight="1">
      <c r="A2481" s="1384" t="s">
        <v>124</v>
      </c>
      <c r="B2481" s="1632" t="s">
        <v>1086</v>
      </c>
      <c r="C2481" s="1382"/>
      <c r="D2481" s="1382"/>
      <c r="E2481" s="1382"/>
      <c r="F2481" s="1436"/>
      <c r="G2481" s="1384" t="s">
        <v>124</v>
      </c>
      <c r="H2481" s="1632" t="s">
        <v>1086</v>
      </c>
      <c r="I2481" s="1382"/>
      <c r="J2481" s="1382"/>
      <c r="K2481" s="1382"/>
      <c r="L2481" s="1410"/>
      <c r="M2481" s="1438"/>
    </row>
    <row r="2482" spans="1:13" s="31" customFormat="1" ht="17.25" customHeight="1">
      <c r="A2482" s="1384" t="s">
        <v>125</v>
      </c>
      <c r="B2482" s="1633" t="s">
        <v>1087</v>
      </c>
      <c r="C2482" s="1382"/>
      <c r="D2482" s="1382"/>
      <c r="E2482" s="1377">
        <f>SUM(E2481)</f>
        <v>0</v>
      </c>
      <c r="F2482" s="1435"/>
      <c r="G2482" s="1384" t="s">
        <v>125</v>
      </c>
      <c r="H2482" s="1633" t="s">
        <v>1087</v>
      </c>
      <c r="I2482" s="1382"/>
      <c r="J2482" s="1382"/>
      <c r="K2482" s="1377">
        <f>SUM(K2481)</f>
        <v>0</v>
      </c>
      <c r="L2482" s="1372"/>
    </row>
    <row r="2483" spans="1:13" s="31" customFormat="1" ht="17.25" customHeight="1">
      <c r="A2483" s="1386" t="s">
        <v>126</v>
      </c>
      <c r="B2483" s="1634" t="s">
        <v>871</v>
      </c>
      <c r="C2483" s="1387"/>
      <c r="D2483" s="1387"/>
      <c r="E2483" s="1387">
        <f>(E2472+E2473+E2474+E2475+E2476+E2477+E2478+E2479)-E2482</f>
        <v>0</v>
      </c>
      <c r="F2483" s="1435"/>
      <c r="G2483" s="1386" t="s">
        <v>126</v>
      </c>
      <c r="H2483" s="1634" t="s">
        <v>871</v>
      </c>
      <c r="I2483" s="1387"/>
      <c r="J2483" s="1387"/>
      <c r="K2483" s="1387">
        <f>(K2472+K2473+K2474+K2475+K2476+K2477+K2478+K2479)-K2482</f>
        <v>0</v>
      </c>
      <c r="L2483" s="1389">
        <f>E2483+K2483</f>
        <v>0</v>
      </c>
    </row>
    <row r="2484" spans="1:13" s="31" customFormat="1" ht="17.25" customHeight="1">
      <c r="A2484" s="1449"/>
      <c r="B2484" s="1449"/>
      <c r="C2484" s="1449"/>
      <c r="D2484" s="1449"/>
      <c r="E2484" s="1449"/>
      <c r="F2484" s="1449"/>
      <c r="G2484" s="1449"/>
      <c r="H2484" s="1449"/>
      <c r="I2484" s="1449"/>
      <c r="J2484" s="1449"/>
      <c r="K2484" s="1449"/>
      <c r="L2484" s="1372"/>
    </row>
    <row r="2485" spans="1:13" s="31" customFormat="1" ht="17.25" customHeight="1">
      <c r="A2485" s="1445" t="str">
        <f>A2469</f>
        <v>LƯƠNG THÁNG 01/2025</v>
      </c>
      <c r="B2485" s="1449"/>
      <c r="C2485" s="1449"/>
      <c r="D2485" s="1449"/>
      <c r="E2485" s="1452">
        <f>VLOOKUP(B2486,'CNKT '!$C$256:$AD$325,26,0)</f>
        <v>0</v>
      </c>
      <c r="F2485" s="1436"/>
      <c r="G2485" s="1445" t="str">
        <f>A2485</f>
        <v>LƯƠNG THÁNG 01/2025</v>
      </c>
      <c r="H2485" s="1449"/>
      <c r="I2485" s="1449"/>
      <c r="J2485" s="1449"/>
      <c r="K2485" s="1452">
        <f>VLOOKUP(H2486,'CNKT '!$C$256:$AD$325,26,0)</f>
        <v>0</v>
      </c>
      <c r="L2485" s="1372"/>
    </row>
    <row r="2486" spans="1:13" s="31" customFormat="1" ht="17.25" customHeight="1">
      <c r="A2486" s="1391" t="s">
        <v>29</v>
      </c>
      <c r="B2486" s="1626" t="str">
        <f>'CNKT '!C310</f>
        <v>Thảo Khăm</v>
      </c>
      <c r="C2486" s="1376"/>
      <c r="D2486" s="1626" t="s">
        <v>806</v>
      </c>
      <c r="E2486" s="1626" t="s">
        <v>32</v>
      </c>
      <c r="F2486" s="1436"/>
      <c r="G2486" s="1391" t="s">
        <v>29</v>
      </c>
      <c r="H2486" s="1626" t="str">
        <f>'CNKT '!C311</f>
        <v>Nàng Muôn</v>
      </c>
      <c r="I2486" s="1376"/>
      <c r="J2486" s="1626" t="s">
        <v>806</v>
      </c>
      <c r="K2486" s="1626" t="s">
        <v>32</v>
      </c>
      <c r="L2486" s="1372"/>
    </row>
    <row r="2487" spans="1:13" s="31" customFormat="1" ht="17.25" customHeight="1">
      <c r="A2487" s="1375" t="s">
        <v>807</v>
      </c>
      <c r="B2487" s="1628" t="s">
        <v>1080</v>
      </c>
      <c r="C2487" s="1376" t="str">
        <f>VLOOKUP(B2486,'BTH mủ tạp'!$C$246:$AL$314,36,0)</f>
        <v>C.</v>
      </c>
      <c r="D2487" s="1377"/>
      <c r="E2487" s="1377"/>
      <c r="F2487" s="1436"/>
      <c r="G2487" s="1375" t="s">
        <v>807</v>
      </c>
      <c r="H2487" s="1628" t="s">
        <v>1080</v>
      </c>
      <c r="I2487" s="1376" t="str">
        <f>VLOOKUP(H2486,'BTH mủ tạp'!$C$246:$AL$314,36,0)</f>
        <v>C.</v>
      </c>
      <c r="J2487" s="1377"/>
      <c r="K2487" s="1377"/>
      <c r="L2487" s="1372"/>
    </row>
    <row r="2488" spans="1:13" s="31" customFormat="1" ht="17.25" customHeight="1">
      <c r="A2488" s="1375" t="s">
        <v>121</v>
      </c>
      <c r="B2488" s="1629" t="s">
        <v>865</v>
      </c>
      <c r="C2488" s="1378">
        <f>VLOOKUP(B2486,'CNKT '!$C$256:$Z$316,3,0)</f>
        <v>0</v>
      </c>
      <c r="D2488" s="1379">
        <v>25000</v>
      </c>
      <c r="E2488" s="1377">
        <f t="shared" ref="E2488:E2493" si="293">C2488*D2488</f>
        <v>0</v>
      </c>
      <c r="F2488" s="1436"/>
      <c r="G2488" s="1375" t="s">
        <v>121</v>
      </c>
      <c r="H2488" s="1629" t="s">
        <v>865</v>
      </c>
      <c r="I2488" s="1378">
        <f>VLOOKUP(H2486,'CNKT '!$C$256:$Z$316,3,0)</f>
        <v>0</v>
      </c>
      <c r="J2488" s="1379">
        <v>25000</v>
      </c>
      <c r="K2488" s="1377">
        <f t="shared" ref="K2488:K2493" si="294">I2488*J2488</f>
        <v>0</v>
      </c>
      <c r="L2488" s="1372"/>
    </row>
    <row r="2489" spans="1:13" s="31" customFormat="1" ht="17.25" customHeight="1">
      <c r="A2489" s="1375" t="s">
        <v>628</v>
      </c>
      <c r="B2489" s="1630" t="s">
        <v>1081</v>
      </c>
      <c r="C2489" s="1433">
        <f>VLOOKUP(B2486,'CNKT '!$C$256:$Z$316,11,0)</f>
        <v>0</v>
      </c>
      <c r="D2489" s="1380">
        <f>46.1*$B$2</f>
        <v>30241.600000000002</v>
      </c>
      <c r="E2489" s="1377">
        <f t="shared" si="293"/>
        <v>0</v>
      </c>
      <c r="F2489" s="1436"/>
      <c r="G2489" s="1375" t="s">
        <v>628</v>
      </c>
      <c r="H2489" s="1630" t="s">
        <v>1081</v>
      </c>
      <c r="I2489" s="1433">
        <f>VLOOKUP(H2486,'CNKT '!$C$256:$Z$316,11,0)</f>
        <v>0</v>
      </c>
      <c r="J2489" s="1380">
        <f>46.1*$B$2</f>
        <v>30241.600000000002</v>
      </c>
      <c r="K2489" s="1377">
        <f t="shared" si="294"/>
        <v>0</v>
      </c>
      <c r="L2489" s="1372"/>
    </row>
    <row r="2490" spans="1:13" s="31" customFormat="1" ht="17.25" customHeight="1">
      <c r="A2490" s="1375" t="s">
        <v>809</v>
      </c>
      <c r="B2490" s="1630" t="s">
        <v>1082</v>
      </c>
      <c r="C2490" s="1433">
        <f>VLOOKUP(B2486,'CNKT '!$C$256:$Z$316,12,0)</f>
        <v>0</v>
      </c>
      <c r="D2490" s="1379">
        <f>76.9*$B$2</f>
        <v>50446.400000000001</v>
      </c>
      <c r="E2490" s="1377">
        <f t="shared" si="293"/>
        <v>0</v>
      </c>
      <c r="F2490" s="1436"/>
      <c r="G2490" s="1375" t="s">
        <v>809</v>
      </c>
      <c r="H2490" s="1630" t="s">
        <v>1082</v>
      </c>
      <c r="I2490" s="1433">
        <f>VLOOKUP(H2486,'CNKT '!$C$256:$Z$316,12,0)</f>
        <v>0</v>
      </c>
      <c r="J2490" s="1379">
        <f>76.9*$B$2</f>
        <v>50446.400000000001</v>
      </c>
      <c r="K2490" s="1377">
        <f t="shared" si="294"/>
        <v>0</v>
      </c>
      <c r="L2490" s="1372"/>
    </row>
    <row r="2491" spans="1:13" s="31" customFormat="1" ht="17.25" customHeight="1">
      <c r="A2491" s="1375" t="s">
        <v>122</v>
      </c>
      <c r="B2491" s="1630" t="s">
        <v>1083</v>
      </c>
      <c r="C2491" s="1433">
        <f>VLOOKUP(B2486,'CNKT '!$C$256:$Z$316,8,0)</f>
        <v>0</v>
      </c>
      <c r="D2491" s="1379">
        <f>IF(C2487="A",6.1,IF(C2487="B",5.8,IF(C2487="C",5.5,IF(C2487="C.",5.5,IF(C2487="D",5.2)))))*$B$2</f>
        <v>3608</v>
      </c>
      <c r="E2491" s="1377">
        <f t="shared" si="293"/>
        <v>0</v>
      </c>
      <c r="F2491" s="1436"/>
      <c r="G2491" s="1375" t="s">
        <v>122</v>
      </c>
      <c r="H2491" s="1630" t="s">
        <v>1083</v>
      </c>
      <c r="I2491" s="1433">
        <f>VLOOKUP(H2486,'CNKT '!$C$256:$Z$316,8,0)</f>
        <v>0</v>
      </c>
      <c r="J2491" s="1379">
        <f>IF(I2487="A",6.1,IF(I2487="B",5.8,IF(I2487="C",5.5,IF(I2487="C.",5.5,IF(I2487="D",5.2)))))*$B$2</f>
        <v>3608</v>
      </c>
      <c r="K2491" s="1377">
        <f t="shared" si="294"/>
        <v>0</v>
      </c>
      <c r="L2491" s="1372"/>
    </row>
    <row r="2492" spans="1:13" s="31" customFormat="1" ht="17.25" customHeight="1">
      <c r="A2492" s="1375" t="s">
        <v>885</v>
      </c>
      <c r="B2492" s="1630" t="s">
        <v>1084</v>
      </c>
      <c r="C2492" s="1433">
        <f>VLOOKUP(B2486,'CNKT '!$C$256:$Z$316,15,0)</f>
        <v>0</v>
      </c>
      <c r="D2492" s="1380">
        <f>92.2*$B$2</f>
        <v>60483.200000000004</v>
      </c>
      <c r="E2492" s="1377">
        <f t="shared" si="293"/>
        <v>0</v>
      </c>
      <c r="F2492" s="1436"/>
      <c r="G2492" s="1375" t="s">
        <v>885</v>
      </c>
      <c r="H2492" s="1630" t="s">
        <v>1084</v>
      </c>
      <c r="I2492" s="1433">
        <f>VLOOKUP(H2486,'CNKT '!$C$256:$Z$316,15,0)</f>
        <v>0</v>
      </c>
      <c r="J2492" s="1380">
        <f>92.2*$B$2</f>
        <v>60483.200000000004</v>
      </c>
      <c r="K2492" s="1377">
        <f t="shared" si="294"/>
        <v>0</v>
      </c>
      <c r="L2492" s="1372"/>
    </row>
    <row r="2493" spans="1:13" s="31" customFormat="1" ht="17.25" customHeight="1">
      <c r="A2493" s="1375" t="s">
        <v>886</v>
      </c>
      <c r="B2493" s="1630" t="s">
        <v>964</v>
      </c>
      <c r="C2493" s="1433">
        <f>VLOOKUP(B2486,'CNKT '!$C$256:$Z$316,14,0)</f>
        <v>0</v>
      </c>
      <c r="D2493" s="1379">
        <f>153.6*$B$2</f>
        <v>100761.59999999999</v>
      </c>
      <c r="E2493" s="1377">
        <f t="shared" si="293"/>
        <v>0</v>
      </c>
      <c r="F2493" s="1436"/>
      <c r="G2493" s="1375" t="s">
        <v>886</v>
      </c>
      <c r="H2493" s="1630" t="s">
        <v>964</v>
      </c>
      <c r="I2493" s="1433">
        <f>VLOOKUP(H2486,'CNKT '!$C$256:$Z$316,14,0)</f>
        <v>0</v>
      </c>
      <c r="J2493" s="1379">
        <f>153.6*$B$2</f>
        <v>100761.59999999999</v>
      </c>
      <c r="K2493" s="1377">
        <f t="shared" si="294"/>
        <v>0</v>
      </c>
      <c r="L2493" s="1372"/>
    </row>
    <row r="2494" spans="1:13" s="31" customFormat="1" ht="17.25" customHeight="1">
      <c r="A2494" s="1375" t="s">
        <v>899</v>
      </c>
      <c r="B2494" s="1630" t="s">
        <v>965</v>
      </c>
      <c r="C2494" s="1433">
        <f>VLOOKUP(B2486,'CNKT '!$C$256:$Z$325,18,0)</f>
        <v>0</v>
      </c>
      <c r="D2494" s="1379">
        <v>10000</v>
      </c>
      <c r="E2494" s="1377">
        <f>C2494*D2494</f>
        <v>0</v>
      </c>
      <c r="F2494" s="1436"/>
      <c r="G2494" s="1375" t="s">
        <v>899</v>
      </c>
      <c r="H2494" s="1630" t="s">
        <v>965</v>
      </c>
      <c r="I2494" s="1433">
        <f>VLOOKUP(H2486,'CNKT '!$C$256:$Z$325,18,0)</f>
        <v>0</v>
      </c>
      <c r="J2494" s="1379">
        <v>10000</v>
      </c>
      <c r="K2494" s="1377">
        <f>I2494*J2494</f>
        <v>0</v>
      </c>
      <c r="L2494" s="1372"/>
    </row>
    <row r="2495" spans="1:13" s="31" customFormat="1" ht="17.25" customHeight="1">
      <c r="A2495" s="1375" t="s">
        <v>899</v>
      </c>
      <c r="B2495" s="1630" t="s">
        <v>965</v>
      </c>
      <c r="C2495" s="1433">
        <f>VLOOKUP(B2486,'CNKT '!$C$256:$Z$325,19,0)</f>
        <v>0</v>
      </c>
      <c r="D2495" s="1379">
        <v>20000</v>
      </c>
      <c r="E2495" s="1377">
        <f>C2495*D2495</f>
        <v>0</v>
      </c>
      <c r="F2495" s="1436"/>
      <c r="G2495" s="1375" t="s">
        <v>899</v>
      </c>
      <c r="H2495" s="1630" t="s">
        <v>965</v>
      </c>
      <c r="I2495" s="1433">
        <f>VLOOKUP(H2486,'CNKT '!$C$256:$Z$325,19,0)</f>
        <v>0</v>
      </c>
      <c r="J2495" s="1379">
        <v>20000</v>
      </c>
      <c r="K2495" s="1377">
        <f>I2495*J2495</f>
        <v>0</v>
      </c>
      <c r="L2495" s="1372"/>
    </row>
    <row r="2496" spans="1:13" s="31" customFormat="1" ht="17.25" customHeight="1">
      <c r="A2496" s="1381" t="s">
        <v>123</v>
      </c>
      <c r="B2496" s="1631" t="s">
        <v>1085</v>
      </c>
      <c r="C2496" s="1382"/>
      <c r="D2496" s="1383"/>
      <c r="E2496" s="1382"/>
      <c r="F2496" s="1436"/>
      <c r="G2496" s="1381" t="s">
        <v>123</v>
      </c>
      <c r="H2496" s="1631" t="s">
        <v>1085</v>
      </c>
      <c r="I2496" s="1382"/>
      <c r="J2496" s="1383"/>
      <c r="K2496" s="1382"/>
      <c r="L2496" s="1372"/>
    </row>
    <row r="2497" spans="1:12" s="31" customFormat="1" ht="17.25" customHeight="1">
      <c r="A2497" s="1384" t="s">
        <v>124</v>
      </c>
      <c r="B2497" s="1632" t="s">
        <v>1086</v>
      </c>
      <c r="C2497" s="1382"/>
      <c r="D2497" s="1382"/>
      <c r="E2497" s="1382"/>
      <c r="F2497" s="1436"/>
      <c r="G2497" s="1384" t="s">
        <v>124</v>
      </c>
      <c r="H2497" s="1632" t="s">
        <v>1086</v>
      </c>
      <c r="I2497" s="1382"/>
      <c r="J2497" s="1382"/>
      <c r="K2497" s="1382"/>
      <c r="L2497" s="1372"/>
    </row>
    <row r="2498" spans="1:12" s="31" customFormat="1" ht="17.25" customHeight="1">
      <c r="A2498" s="1384" t="s">
        <v>125</v>
      </c>
      <c r="B2498" s="1633" t="s">
        <v>1087</v>
      </c>
      <c r="C2498" s="1382"/>
      <c r="D2498" s="1382"/>
      <c r="E2498" s="1377">
        <f>SUM(E2497)</f>
        <v>0</v>
      </c>
      <c r="F2498" s="1436"/>
      <c r="G2498" s="1384" t="s">
        <v>125</v>
      </c>
      <c r="H2498" s="1633" t="s">
        <v>1087</v>
      </c>
      <c r="I2498" s="1382"/>
      <c r="J2498" s="1382"/>
      <c r="K2498" s="1377">
        <f>SUM(K2497)</f>
        <v>0</v>
      </c>
      <c r="L2498" s="1372"/>
    </row>
    <row r="2499" spans="1:12" s="31" customFormat="1" ht="17.25" customHeight="1">
      <c r="A2499" s="1386" t="s">
        <v>126</v>
      </c>
      <c r="B2499" s="1634" t="s">
        <v>871</v>
      </c>
      <c r="C2499" s="1387"/>
      <c r="D2499" s="1387"/>
      <c r="E2499" s="1387">
        <f>(E2488+E2489+E2490+E2491+E2492+E2493+E2494+E2495)-E2498</f>
        <v>0</v>
      </c>
      <c r="F2499" s="1435"/>
      <c r="G2499" s="1386" t="s">
        <v>126</v>
      </c>
      <c r="H2499" s="1634" t="s">
        <v>871</v>
      </c>
      <c r="I2499" s="1387"/>
      <c r="J2499" s="1387"/>
      <c r="K2499" s="1387">
        <f>(K2488+K2489+K2490+K2491+K2492+K2493+K2494+K2495)-K2498</f>
        <v>0</v>
      </c>
      <c r="L2499" s="1389">
        <f>E2499+K2499</f>
        <v>0</v>
      </c>
    </row>
    <row r="2500" spans="1:12" s="31" customFormat="1" ht="17.25" customHeight="1">
      <c r="A2500" s="1449"/>
      <c r="B2500" s="1449"/>
      <c r="C2500" s="1449"/>
      <c r="D2500" s="1449"/>
      <c r="E2500" s="1449"/>
      <c r="F2500" s="1449"/>
      <c r="G2500" s="1449"/>
      <c r="H2500" s="1449"/>
      <c r="I2500" s="1449"/>
      <c r="J2500" s="1449"/>
      <c r="K2500" s="1449"/>
      <c r="L2500" s="1372"/>
    </row>
    <row r="2501" spans="1:12" s="31" customFormat="1" ht="17.25" customHeight="1">
      <c r="A2501" s="1445" t="str">
        <f>A2485</f>
        <v>LƯƠNG THÁNG 01/2025</v>
      </c>
      <c r="B2501" s="1449"/>
      <c r="C2501" s="1449"/>
      <c r="D2501" s="1449"/>
      <c r="E2501" s="1452">
        <f>VLOOKUP(B2502,'CNKT '!$C$256:$AD$325,26,0)</f>
        <v>0</v>
      </c>
      <c r="F2501" s="1436"/>
      <c r="G2501" s="1445" t="str">
        <f>A2501</f>
        <v>LƯƠNG THÁNG 01/2025</v>
      </c>
      <c r="H2501" s="1449"/>
      <c r="I2501" s="1449"/>
      <c r="J2501" s="1452"/>
      <c r="K2501" s="1452">
        <f>VLOOKUP(H2502,'CNKT '!$C$256:$AD$325,26,0)</f>
        <v>0</v>
      </c>
      <c r="L2501" s="1372"/>
    </row>
    <row r="2502" spans="1:12" s="31" customFormat="1" ht="17.25" customHeight="1">
      <c r="A2502" s="1391" t="s">
        <v>29</v>
      </c>
      <c r="B2502" s="1626" t="str">
        <f>'CNKT '!C312</f>
        <v>Thảo Phu</v>
      </c>
      <c r="C2502" s="1376"/>
      <c r="D2502" s="1626" t="s">
        <v>806</v>
      </c>
      <c r="E2502" s="1626" t="s">
        <v>32</v>
      </c>
      <c r="F2502" s="1436"/>
      <c r="G2502" s="1391" t="s">
        <v>29</v>
      </c>
      <c r="H2502" s="1626" t="str">
        <f>'CNKT '!C313</f>
        <v>Thảo Xi</v>
      </c>
      <c r="I2502" s="1376"/>
      <c r="J2502" s="1626" t="s">
        <v>806</v>
      </c>
      <c r="K2502" s="1626" t="s">
        <v>32</v>
      </c>
      <c r="L2502" s="1372"/>
    </row>
    <row r="2503" spans="1:12" s="31" customFormat="1" ht="17.25" customHeight="1">
      <c r="A2503" s="1375" t="s">
        <v>807</v>
      </c>
      <c r="B2503" s="1628" t="s">
        <v>1080</v>
      </c>
      <c r="C2503" s="1376" t="str">
        <f>VLOOKUP(B2502,'BTH mủ tạp'!$C$246:$AL$314,36,0)</f>
        <v>C.</v>
      </c>
      <c r="D2503" s="1377"/>
      <c r="E2503" s="1377"/>
      <c r="F2503" s="1436"/>
      <c r="G2503" s="1375" t="s">
        <v>807</v>
      </c>
      <c r="H2503" s="1628" t="s">
        <v>1080</v>
      </c>
      <c r="I2503" s="1376" t="str">
        <f>VLOOKUP(H2502,'BTH mủ tạp'!$C$246:$AL$314,36,0)</f>
        <v>C.</v>
      </c>
      <c r="J2503" s="1377"/>
      <c r="K2503" s="1377"/>
      <c r="L2503" s="1372"/>
    </row>
    <row r="2504" spans="1:12" s="31" customFormat="1" ht="17.25" customHeight="1">
      <c r="A2504" s="1375" t="s">
        <v>121</v>
      </c>
      <c r="B2504" s="1629" t="s">
        <v>865</v>
      </c>
      <c r="C2504" s="1378">
        <f>VLOOKUP(B2502,'CNKT '!$C$256:$Z$316,3,0)</f>
        <v>0</v>
      </c>
      <c r="D2504" s="1379">
        <v>25000</v>
      </c>
      <c r="E2504" s="1377">
        <f t="shared" ref="E2504:E2509" si="295">C2504*D2504</f>
        <v>0</v>
      </c>
      <c r="F2504" s="1436"/>
      <c r="G2504" s="1375" t="s">
        <v>121</v>
      </c>
      <c r="H2504" s="1629" t="s">
        <v>865</v>
      </c>
      <c r="I2504" s="1378">
        <f>VLOOKUP(H2502,'CNKT '!$C$256:$Z$316,3,0)</f>
        <v>0</v>
      </c>
      <c r="J2504" s="1379">
        <v>25000</v>
      </c>
      <c r="K2504" s="1377">
        <f t="shared" ref="K2504:K2509" si="296">I2504*J2504</f>
        <v>0</v>
      </c>
      <c r="L2504" s="1372"/>
    </row>
    <row r="2505" spans="1:12" s="31" customFormat="1" ht="17.25" customHeight="1">
      <c r="A2505" s="1375" t="s">
        <v>628</v>
      </c>
      <c r="B2505" s="1630" t="s">
        <v>1081</v>
      </c>
      <c r="C2505" s="1433">
        <f>VLOOKUP(B2502,'CNKT '!$C$256:$Z$316,11,0)</f>
        <v>0</v>
      </c>
      <c r="D2505" s="1380">
        <f>46.1*$B$2</f>
        <v>30241.600000000002</v>
      </c>
      <c r="E2505" s="1377">
        <f t="shared" si="295"/>
        <v>0</v>
      </c>
      <c r="F2505" s="1436"/>
      <c r="G2505" s="1375" t="s">
        <v>628</v>
      </c>
      <c r="H2505" s="1630" t="s">
        <v>1081</v>
      </c>
      <c r="I2505" s="1433">
        <f>VLOOKUP(H2502,'CNKT '!$C$256:$Z$316,11,0)</f>
        <v>0</v>
      </c>
      <c r="J2505" s="1380">
        <f>46.1*$B$2</f>
        <v>30241.600000000002</v>
      </c>
      <c r="K2505" s="1377">
        <f t="shared" si="296"/>
        <v>0</v>
      </c>
      <c r="L2505" s="1372"/>
    </row>
    <row r="2506" spans="1:12" s="31" customFormat="1" ht="17.25" customHeight="1">
      <c r="A2506" s="1375" t="s">
        <v>809</v>
      </c>
      <c r="B2506" s="1630" t="s">
        <v>1082</v>
      </c>
      <c r="C2506" s="1433">
        <f>VLOOKUP(B2502,'CNKT '!$C$256:$Z$316,12,0)</f>
        <v>0</v>
      </c>
      <c r="D2506" s="1379">
        <f>76.9*$B$2</f>
        <v>50446.400000000001</v>
      </c>
      <c r="E2506" s="1377">
        <f t="shared" si="295"/>
        <v>0</v>
      </c>
      <c r="F2506" s="1436"/>
      <c r="G2506" s="1375" t="s">
        <v>809</v>
      </c>
      <c r="H2506" s="1630" t="s">
        <v>1082</v>
      </c>
      <c r="I2506" s="1433">
        <f>VLOOKUP(H2502,'CNKT '!$C$256:$Z$316,12,0)</f>
        <v>0</v>
      </c>
      <c r="J2506" s="1379">
        <f>76.9*$B$2</f>
        <v>50446.400000000001</v>
      </c>
      <c r="K2506" s="1377">
        <f t="shared" si="296"/>
        <v>0</v>
      </c>
      <c r="L2506" s="1372"/>
    </row>
    <row r="2507" spans="1:12" s="31" customFormat="1" ht="17.25" customHeight="1">
      <c r="A2507" s="1375" t="s">
        <v>122</v>
      </c>
      <c r="B2507" s="1630" t="s">
        <v>1083</v>
      </c>
      <c r="C2507" s="1433">
        <f>VLOOKUP(B2502,'CNKT '!$C$256:$Z$316,8,0)</f>
        <v>0</v>
      </c>
      <c r="D2507" s="1379">
        <f>IF(C2503="A",6.1,IF(C2503="B",5.8,IF(C2503="C",5.5,IF(C2503="C.",5.5,IF(C2503="D",5.2)))))*$B$2</f>
        <v>3608</v>
      </c>
      <c r="E2507" s="1377">
        <f t="shared" si="295"/>
        <v>0</v>
      </c>
      <c r="F2507" s="1436"/>
      <c r="G2507" s="1375" t="s">
        <v>122</v>
      </c>
      <c r="H2507" s="1630" t="s">
        <v>1083</v>
      </c>
      <c r="I2507" s="1433">
        <f>VLOOKUP(H2502,'CNKT '!$C$256:$Z$316,8,0)</f>
        <v>0</v>
      </c>
      <c r="J2507" s="1379">
        <f>IF(I2503="A",6.1,IF(I2503="B",5.8,IF(I2503="C",5.5,IF(I2503="C.",5.5,IF(I2503="D",5.2)))))*$B$2</f>
        <v>3608</v>
      </c>
      <c r="K2507" s="1377">
        <f t="shared" si="296"/>
        <v>0</v>
      </c>
      <c r="L2507" s="1372"/>
    </row>
    <row r="2508" spans="1:12" s="31" customFormat="1" ht="17.25" customHeight="1">
      <c r="A2508" s="1375" t="s">
        <v>885</v>
      </c>
      <c r="B2508" s="1630" t="s">
        <v>1084</v>
      </c>
      <c r="C2508" s="1433">
        <f>VLOOKUP(B2502,'CNKT '!$C$256:$Z$316,15,0)</f>
        <v>0</v>
      </c>
      <c r="D2508" s="1380">
        <f>92.2*$B$2</f>
        <v>60483.200000000004</v>
      </c>
      <c r="E2508" s="1377">
        <f t="shared" si="295"/>
        <v>0</v>
      </c>
      <c r="F2508" s="1436"/>
      <c r="G2508" s="1375" t="s">
        <v>885</v>
      </c>
      <c r="H2508" s="1630" t="s">
        <v>1084</v>
      </c>
      <c r="I2508" s="1433">
        <f>VLOOKUP(H2502,'CNKT '!$C$256:$Z$316,15,0)</f>
        <v>0</v>
      </c>
      <c r="J2508" s="1380">
        <f>92.2*$B$2</f>
        <v>60483.200000000004</v>
      </c>
      <c r="K2508" s="1377">
        <f t="shared" si="296"/>
        <v>0</v>
      </c>
      <c r="L2508" s="1372"/>
    </row>
    <row r="2509" spans="1:12" s="31" customFormat="1" ht="17.25" customHeight="1">
      <c r="A2509" s="1375" t="s">
        <v>886</v>
      </c>
      <c r="B2509" s="1630" t="s">
        <v>964</v>
      </c>
      <c r="C2509" s="1433">
        <f>VLOOKUP(B2502,'CNKT '!$C$256:$Z$316,14,0)</f>
        <v>0</v>
      </c>
      <c r="D2509" s="1379">
        <f>153.6*$B$2</f>
        <v>100761.59999999999</v>
      </c>
      <c r="E2509" s="1377">
        <f t="shared" si="295"/>
        <v>0</v>
      </c>
      <c r="F2509" s="1436"/>
      <c r="G2509" s="1375" t="s">
        <v>886</v>
      </c>
      <c r="H2509" s="1630" t="s">
        <v>964</v>
      </c>
      <c r="I2509" s="1433">
        <f>VLOOKUP(H2502,'CNKT '!$C$256:$Z$316,14,0)</f>
        <v>0</v>
      </c>
      <c r="J2509" s="1379">
        <f>153.6*$B$2</f>
        <v>100761.59999999999</v>
      </c>
      <c r="K2509" s="1377">
        <f t="shared" si="296"/>
        <v>0</v>
      </c>
      <c r="L2509" s="1372"/>
    </row>
    <row r="2510" spans="1:12" s="31" customFormat="1" ht="17.25" customHeight="1">
      <c r="A2510" s="1375" t="s">
        <v>899</v>
      </c>
      <c r="B2510" s="1630" t="s">
        <v>965</v>
      </c>
      <c r="C2510" s="1433">
        <f>VLOOKUP(B2502,'CNKT '!$C$256:$Z$325,18,0)</f>
        <v>0</v>
      </c>
      <c r="D2510" s="1379">
        <v>10000</v>
      </c>
      <c r="E2510" s="1377">
        <f>C2510*D2510</f>
        <v>0</v>
      </c>
      <c r="F2510" s="1436"/>
      <c r="G2510" s="1375" t="s">
        <v>899</v>
      </c>
      <c r="H2510" s="1630" t="s">
        <v>965</v>
      </c>
      <c r="I2510" s="1433">
        <f>VLOOKUP(H2502,'CNKT '!$C$256:$Z$325,18,0)</f>
        <v>0</v>
      </c>
      <c r="J2510" s="1379">
        <v>10000</v>
      </c>
      <c r="K2510" s="1377">
        <f>I2510*J2510</f>
        <v>0</v>
      </c>
      <c r="L2510" s="1372"/>
    </row>
    <row r="2511" spans="1:12" s="31" customFormat="1" ht="17.25" customHeight="1">
      <c r="A2511" s="1375" t="s">
        <v>899</v>
      </c>
      <c r="B2511" s="1630" t="s">
        <v>965</v>
      </c>
      <c r="C2511" s="1433">
        <f>VLOOKUP(B2502,'CNKT '!$C$256:$Z$325,19,0)</f>
        <v>0</v>
      </c>
      <c r="D2511" s="1379">
        <v>20000</v>
      </c>
      <c r="E2511" s="1377">
        <f>C2511*D2511</f>
        <v>0</v>
      </c>
      <c r="F2511" s="1436"/>
      <c r="G2511" s="1375" t="s">
        <v>899</v>
      </c>
      <c r="H2511" s="1630" t="s">
        <v>965</v>
      </c>
      <c r="I2511" s="1433">
        <f>VLOOKUP(H2502,'CNKT '!$C$256:$Z$325,19,0)</f>
        <v>0</v>
      </c>
      <c r="J2511" s="1379">
        <v>20000</v>
      </c>
      <c r="K2511" s="1377">
        <f>I2511*J2511</f>
        <v>0</v>
      </c>
      <c r="L2511" s="1372"/>
    </row>
    <row r="2512" spans="1:12" s="31" customFormat="1" ht="17.25" customHeight="1">
      <c r="A2512" s="1381" t="s">
        <v>123</v>
      </c>
      <c r="B2512" s="1631" t="s">
        <v>1085</v>
      </c>
      <c r="C2512" s="1382"/>
      <c r="D2512" s="1383"/>
      <c r="E2512" s="1382"/>
      <c r="F2512" s="1436"/>
      <c r="G2512" s="1381" t="s">
        <v>123</v>
      </c>
      <c r="H2512" s="1631" t="s">
        <v>1085</v>
      </c>
      <c r="I2512" s="1382"/>
      <c r="J2512" s="1383"/>
      <c r="K2512" s="1382"/>
      <c r="L2512" s="1372"/>
    </row>
    <row r="2513" spans="1:12" s="31" customFormat="1" ht="17.25" customHeight="1">
      <c r="A2513" s="1384" t="s">
        <v>124</v>
      </c>
      <c r="B2513" s="1632" t="s">
        <v>1086</v>
      </c>
      <c r="C2513" s="1382"/>
      <c r="D2513" s="1382"/>
      <c r="E2513" s="1382"/>
      <c r="F2513" s="1436"/>
      <c r="G2513" s="1384" t="s">
        <v>124</v>
      </c>
      <c r="H2513" s="1632" t="s">
        <v>1086</v>
      </c>
      <c r="I2513" s="1382"/>
      <c r="J2513" s="1382"/>
      <c r="K2513" s="1382"/>
      <c r="L2513" s="1372"/>
    </row>
    <row r="2514" spans="1:12" s="31" customFormat="1" ht="17.25" customHeight="1">
      <c r="A2514" s="1384" t="s">
        <v>125</v>
      </c>
      <c r="B2514" s="1633" t="s">
        <v>1087</v>
      </c>
      <c r="C2514" s="1382"/>
      <c r="D2514" s="1382"/>
      <c r="E2514" s="1377">
        <f>SUM(E2513)</f>
        <v>0</v>
      </c>
      <c r="F2514" s="1436"/>
      <c r="G2514" s="1384" t="s">
        <v>125</v>
      </c>
      <c r="H2514" s="1633" t="s">
        <v>1087</v>
      </c>
      <c r="I2514" s="1382"/>
      <c r="J2514" s="1382"/>
      <c r="K2514" s="1377">
        <f>SUM(K2513)</f>
        <v>0</v>
      </c>
      <c r="L2514" s="1372"/>
    </row>
    <row r="2515" spans="1:12" s="31" customFormat="1" ht="17.25" customHeight="1">
      <c r="A2515" s="1386" t="s">
        <v>126</v>
      </c>
      <c r="B2515" s="1634" t="s">
        <v>871</v>
      </c>
      <c r="C2515" s="1387"/>
      <c r="D2515" s="1387"/>
      <c r="E2515" s="1387">
        <f>(E2504+E2505+E2506+E2507+E2508+E2509+E2510+E2511)-E2514</f>
        <v>0</v>
      </c>
      <c r="F2515" s="1435"/>
      <c r="G2515" s="1386" t="s">
        <v>126</v>
      </c>
      <c r="H2515" s="1634" t="s">
        <v>871</v>
      </c>
      <c r="I2515" s="1387"/>
      <c r="J2515" s="1387"/>
      <c r="K2515" s="1387">
        <f>(K2504+K2505+K2506+K2507+K2508+K2509+K2510+K2511)-K2514</f>
        <v>0</v>
      </c>
      <c r="L2515" s="1389">
        <f>E2515+K2515</f>
        <v>0</v>
      </c>
    </row>
    <row r="2516" spans="1:12" s="31" customFormat="1" ht="17.25" customHeight="1">
      <c r="A2516" s="1449"/>
      <c r="B2516" s="1449"/>
      <c r="C2516" s="1449"/>
      <c r="D2516" s="1449"/>
      <c r="E2516" s="1449"/>
      <c r="F2516" s="1449"/>
      <c r="G2516" s="1449"/>
      <c r="H2516" s="1449"/>
      <c r="I2516" s="1449"/>
      <c r="J2516" s="1449"/>
      <c r="K2516" s="1449"/>
      <c r="L2516" s="1372"/>
    </row>
    <row r="2517" spans="1:12" s="31" customFormat="1" ht="17.25" customHeight="1">
      <c r="A2517" s="1445" t="str">
        <f>A2501</f>
        <v>LƯƠNG THÁNG 01/2025</v>
      </c>
      <c r="B2517" s="1449"/>
      <c r="C2517" s="1449"/>
      <c r="D2517" s="1449"/>
      <c r="E2517" s="1452">
        <f>VLOOKUP(B2518,'CNKT '!$C$256:$AD$325,26,0)</f>
        <v>0</v>
      </c>
      <c r="F2517" s="1436"/>
      <c r="G2517" s="1445" t="str">
        <f>A2517</f>
        <v>LƯƠNG THÁNG 01/2025</v>
      </c>
      <c r="H2517" s="1449"/>
      <c r="I2517" s="1449"/>
      <c r="J2517" s="1452"/>
      <c r="K2517" s="1452">
        <f>VLOOKUP(H2518,'CNKT '!$C$256:$AD$325,26,0)</f>
        <v>0</v>
      </c>
      <c r="L2517" s="1372"/>
    </row>
    <row r="2518" spans="1:12" s="31" customFormat="1" ht="17.25" customHeight="1">
      <c r="A2518" s="1391" t="s">
        <v>29</v>
      </c>
      <c r="B2518" s="1626" t="str">
        <f>'CNKT '!C314</f>
        <v>Thảo KaLy</v>
      </c>
      <c r="C2518" s="1376"/>
      <c r="D2518" s="1626" t="s">
        <v>806</v>
      </c>
      <c r="E2518" s="1626" t="s">
        <v>32</v>
      </c>
      <c r="F2518" s="1436"/>
      <c r="G2518" s="1391" t="s">
        <v>29</v>
      </c>
      <c r="H2518" s="1626" t="str">
        <f>'CNKT '!C315</f>
        <v>Thảo Lơn</v>
      </c>
      <c r="I2518" s="1376"/>
      <c r="J2518" s="1626" t="s">
        <v>806</v>
      </c>
      <c r="K2518" s="1626" t="s">
        <v>32</v>
      </c>
      <c r="L2518" s="1372"/>
    </row>
    <row r="2519" spans="1:12" s="31" customFormat="1" ht="17.25" customHeight="1">
      <c r="A2519" s="1375" t="s">
        <v>807</v>
      </c>
      <c r="B2519" s="1628" t="s">
        <v>1080</v>
      </c>
      <c r="C2519" s="1376" t="str">
        <f>VLOOKUP(B2518,'BTH mủ tạp'!$C$246:$AL$314,36,0)</f>
        <v>C.</v>
      </c>
      <c r="D2519" s="1377"/>
      <c r="E2519" s="1377"/>
      <c r="F2519" s="1436"/>
      <c r="G2519" s="1375" t="s">
        <v>807</v>
      </c>
      <c r="H2519" s="1628" t="s">
        <v>1080</v>
      </c>
      <c r="I2519" s="1376" t="str">
        <f>VLOOKUP(H2518,'BTH mủ tạp'!$C$246:$AL$314,36,0)</f>
        <v>C.</v>
      </c>
      <c r="J2519" s="1377"/>
      <c r="K2519" s="1377"/>
      <c r="L2519" s="1372"/>
    </row>
    <row r="2520" spans="1:12" s="31" customFormat="1" ht="17.25" customHeight="1">
      <c r="A2520" s="1375" t="s">
        <v>121</v>
      </c>
      <c r="B2520" s="1629" t="s">
        <v>865</v>
      </c>
      <c r="C2520" s="1378">
        <f>VLOOKUP(B2518,'CNKT '!$C$256:$Z$316,3,0)</f>
        <v>0</v>
      </c>
      <c r="D2520" s="1379">
        <v>25000</v>
      </c>
      <c r="E2520" s="1377">
        <f t="shared" ref="E2520:E2525" si="297">C2520*D2520</f>
        <v>0</v>
      </c>
      <c r="F2520" s="1436"/>
      <c r="G2520" s="1375" t="s">
        <v>121</v>
      </c>
      <c r="H2520" s="1629" t="s">
        <v>865</v>
      </c>
      <c r="I2520" s="1378">
        <f>VLOOKUP(H2518,'CNKT '!$C$256:$Z$316,3,0)</f>
        <v>0</v>
      </c>
      <c r="J2520" s="1379">
        <v>25000</v>
      </c>
      <c r="K2520" s="1377">
        <f t="shared" ref="K2520:K2525" si="298">I2520*J2520</f>
        <v>0</v>
      </c>
      <c r="L2520" s="1372"/>
    </row>
    <row r="2521" spans="1:12" s="31" customFormat="1" ht="17.25" customHeight="1">
      <c r="A2521" s="1375" t="s">
        <v>628</v>
      </c>
      <c r="B2521" s="1630" t="s">
        <v>1081</v>
      </c>
      <c r="C2521" s="1433">
        <f>VLOOKUP(B2518,'CNKT '!$C$256:$Z$316,11,0)</f>
        <v>0</v>
      </c>
      <c r="D2521" s="1380">
        <f>46.1*$B$2</f>
        <v>30241.600000000002</v>
      </c>
      <c r="E2521" s="1377">
        <f t="shared" si="297"/>
        <v>0</v>
      </c>
      <c r="F2521" s="1436"/>
      <c r="G2521" s="1375" t="s">
        <v>628</v>
      </c>
      <c r="H2521" s="1630" t="s">
        <v>1081</v>
      </c>
      <c r="I2521" s="1433">
        <f>VLOOKUP(H2518,'CNKT '!$C$256:$Z$316,11,0)</f>
        <v>0</v>
      </c>
      <c r="J2521" s="1380">
        <f>46.1*$B$2</f>
        <v>30241.600000000002</v>
      </c>
      <c r="K2521" s="1377">
        <f t="shared" si="298"/>
        <v>0</v>
      </c>
      <c r="L2521" s="1372"/>
    </row>
    <row r="2522" spans="1:12" s="31" customFormat="1" ht="17.25" customHeight="1">
      <c r="A2522" s="1375" t="s">
        <v>809</v>
      </c>
      <c r="B2522" s="1630" t="s">
        <v>1082</v>
      </c>
      <c r="C2522" s="1433">
        <f>VLOOKUP(B2518,'CNKT '!$C$256:$Z$316,12,0)</f>
        <v>0</v>
      </c>
      <c r="D2522" s="1379">
        <f>76.9*$B$2</f>
        <v>50446.400000000001</v>
      </c>
      <c r="E2522" s="1377">
        <f t="shared" si="297"/>
        <v>0</v>
      </c>
      <c r="F2522" s="1436"/>
      <c r="G2522" s="1375" t="s">
        <v>809</v>
      </c>
      <c r="H2522" s="1630" t="s">
        <v>1082</v>
      </c>
      <c r="I2522" s="1433">
        <f>VLOOKUP(H2518,'CNKT '!$C$256:$Z$316,12,0)</f>
        <v>0</v>
      </c>
      <c r="J2522" s="1379">
        <f>76.9*$B$2</f>
        <v>50446.400000000001</v>
      </c>
      <c r="K2522" s="1377">
        <f t="shared" si="298"/>
        <v>0</v>
      </c>
      <c r="L2522" s="1372"/>
    </row>
    <row r="2523" spans="1:12" s="31" customFormat="1" ht="17.25" customHeight="1">
      <c r="A2523" s="1375" t="s">
        <v>122</v>
      </c>
      <c r="B2523" s="1630" t="s">
        <v>1083</v>
      </c>
      <c r="C2523" s="1433">
        <f>VLOOKUP(B2518,'CNKT '!$C$256:$Z$316,8,0)</f>
        <v>0</v>
      </c>
      <c r="D2523" s="1379">
        <f>IF(C2519="A",6.1,IF(C2519="B",5.8,IF(C2519="C",5.5,IF(C2519="C.",5.5,IF(C2519="D",5.2)))))*$B$2</f>
        <v>3608</v>
      </c>
      <c r="E2523" s="1377">
        <f t="shared" si="297"/>
        <v>0</v>
      </c>
      <c r="F2523" s="1436"/>
      <c r="G2523" s="1375" t="s">
        <v>122</v>
      </c>
      <c r="H2523" s="1630" t="s">
        <v>1083</v>
      </c>
      <c r="I2523" s="1433">
        <f>VLOOKUP(H2518,'CNKT '!$C$256:$Z$316,8,0)</f>
        <v>0</v>
      </c>
      <c r="J2523" s="1379">
        <f>IF(I2519="A",6.1,IF(I2519="B",5.8,IF(I2519="C",5.5,IF(I2519="C.",5.5,IF(I2519="D",5.2)))))*$B$2</f>
        <v>3608</v>
      </c>
      <c r="K2523" s="1377">
        <f t="shared" si="298"/>
        <v>0</v>
      </c>
      <c r="L2523" s="1372"/>
    </row>
    <row r="2524" spans="1:12" s="31" customFormat="1" ht="17.25" customHeight="1">
      <c r="A2524" s="1375" t="s">
        <v>885</v>
      </c>
      <c r="B2524" s="1630" t="s">
        <v>1084</v>
      </c>
      <c r="C2524" s="1433">
        <f>VLOOKUP(B2518,'CNKT '!$C$256:$Z$316,15,0)</f>
        <v>0</v>
      </c>
      <c r="D2524" s="1380">
        <f>92.2*$B$2</f>
        <v>60483.200000000004</v>
      </c>
      <c r="E2524" s="1377">
        <f t="shared" si="297"/>
        <v>0</v>
      </c>
      <c r="F2524" s="1436"/>
      <c r="G2524" s="1375" t="s">
        <v>885</v>
      </c>
      <c r="H2524" s="1630" t="s">
        <v>1084</v>
      </c>
      <c r="I2524" s="1433">
        <f>VLOOKUP(H2518,'CNKT '!$C$256:$Z$316,15,0)</f>
        <v>0</v>
      </c>
      <c r="J2524" s="1380">
        <f>92.2*$B$2</f>
        <v>60483.200000000004</v>
      </c>
      <c r="K2524" s="1377">
        <f t="shared" si="298"/>
        <v>0</v>
      </c>
      <c r="L2524" s="1372"/>
    </row>
    <row r="2525" spans="1:12" s="31" customFormat="1" ht="17.25" customHeight="1">
      <c r="A2525" s="1375" t="s">
        <v>886</v>
      </c>
      <c r="B2525" s="1630" t="s">
        <v>964</v>
      </c>
      <c r="C2525" s="1433">
        <f>VLOOKUP(B2518,'CNKT '!$C$256:$Z$316,14,0)</f>
        <v>0</v>
      </c>
      <c r="D2525" s="1379">
        <f>153.6*$B$2</f>
        <v>100761.59999999999</v>
      </c>
      <c r="E2525" s="1377">
        <f t="shared" si="297"/>
        <v>0</v>
      </c>
      <c r="F2525" s="1436"/>
      <c r="G2525" s="1375" t="s">
        <v>886</v>
      </c>
      <c r="H2525" s="1630" t="s">
        <v>964</v>
      </c>
      <c r="I2525" s="1433">
        <f>VLOOKUP(H2518,'CNKT '!$C$256:$Z$316,14,0)</f>
        <v>0</v>
      </c>
      <c r="J2525" s="1379">
        <f>153.6*$B$2</f>
        <v>100761.59999999999</v>
      </c>
      <c r="K2525" s="1377">
        <f t="shared" si="298"/>
        <v>0</v>
      </c>
      <c r="L2525" s="1372"/>
    </row>
    <row r="2526" spans="1:12" s="31" customFormat="1" ht="17.25" customHeight="1">
      <c r="A2526" s="1375" t="s">
        <v>899</v>
      </c>
      <c r="B2526" s="1630" t="s">
        <v>965</v>
      </c>
      <c r="C2526" s="1433">
        <f>VLOOKUP(B2518,'CNKT '!$C$256:$Z$325,18,0)</f>
        <v>0</v>
      </c>
      <c r="D2526" s="1379">
        <v>10000</v>
      </c>
      <c r="E2526" s="1377">
        <f>C2526*D2526</f>
        <v>0</v>
      </c>
      <c r="F2526" s="1436"/>
      <c r="G2526" s="1375" t="s">
        <v>899</v>
      </c>
      <c r="H2526" s="1630" t="s">
        <v>965</v>
      </c>
      <c r="I2526" s="1433">
        <f>VLOOKUP(H2518,'CNKT '!$C$256:$Z$325,18,0)</f>
        <v>0</v>
      </c>
      <c r="J2526" s="1379">
        <v>10000</v>
      </c>
      <c r="K2526" s="1377">
        <f>I2526*J2526</f>
        <v>0</v>
      </c>
      <c r="L2526" s="1372"/>
    </row>
    <row r="2527" spans="1:12" s="31" customFormat="1" ht="17.25" customHeight="1">
      <c r="A2527" s="1375" t="s">
        <v>899</v>
      </c>
      <c r="B2527" s="1630" t="s">
        <v>965</v>
      </c>
      <c r="C2527" s="1433">
        <f>VLOOKUP(B2518,'CNKT '!$C$256:$Z$325,19,0)</f>
        <v>0</v>
      </c>
      <c r="D2527" s="1379">
        <v>20000</v>
      </c>
      <c r="E2527" s="1377">
        <f>C2527*D2527</f>
        <v>0</v>
      </c>
      <c r="F2527" s="1436"/>
      <c r="G2527" s="1375" t="s">
        <v>899</v>
      </c>
      <c r="H2527" s="1630" t="s">
        <v>965</v>
      </c>
      <c r="I2527" s="1433">
        <f>VLOOKUP(H2518,'CNKT '!$C$256:$Z$325,19,0)</f>
        <v>0</v>
      </c>
      <c r="J2527" s="1379">
        <v>20000</v>
      </c>
      <c r="K2527" s="1377">
        <f>I2527*J2527</f>
        <v>0</v>
      </c>
      <c r="L2527" s="1372"/>
    </row>
    <row r="2528" spans="1:12" s="31" customFormat="1" ht="17.25" customHeight="1">
      <c r="A2528" s="1381" t="s">
        <v>123</v>
      </c>
      <c r="B2528" s="1631" t="s">
        <v>1085</v>
      </c>
      <c r="C2528" s="1382"/>
      <c r="D2528" s="1383"/>
      <c r="E2528" s="1382"/>
      <c r="F2528" s="1436"/>
      <c r="G2528" s="1381" t="s">
        <v>123</v>
      </c>
      <c r="H2528" s="1631" t="s">
        <v>1085</v>
      </c>
      <c r="I2528" s="1382"/>
      <c r="J2528" s="1383"/>
      <c r="K2528" s="1382"/>
      <c r="L2528" s="1372"/>
    </row>
    <row r="2529" spans="1:12" s="31" customFormat="1" ht="17.25" customHeight="1">
      <c r="A2529" s="1384" t="s">
        <v>124</v>
      </c>
      <c r="B2529" s="1632" t="s">
        <v>1086</v>
      </c>
      <c r="C2529" s="1382"/>
      <c r="D2529" s="1382"/>
      <c r="E2529" s="1382"/>
      <c r="F2529" s="1436"/>
      <c r="G2529" s="1384" t="s">
        <v>124</v>
      </c>
      <c r="H2529" s="1632" t="s">
        <v>1086</v>
      </c>
      <c r="I2529" s="1382"/>
      <c r="J2529" s="1382"/>
      <c r="K2529" s="1382"/>
      <c r="L2529" s="1372"/>
    </row>
    <row r="2530" spans="1:12" s="31" customFormat="1" ht="17.25" customHeight="1">
      <c r="A2530" s="1384" t="s">
        <v>125</v>
      </c>
      <c r="B2530" s="1633" t="s">
        <v>1087</v>
      </c>
      <c r="C2530" s="1382"/>
      <c r="D2530" s="1382"/>
      <c r="E2530" s="1377">
        <f>SUM(E2529)</f>
        <v>0</v>
      </c>
      <c r="F2530" s="1436"/>
      <c r="G2530" s="1384" t="s">
        <v>125</v>
      </c>
      <c r="H2530" s="1633" t="s">
        <v>1087</v>
      </c>
      <c r="I2530" s="1382"/>
      <c r="J2530" s="1382"/>
      <c r="K2530" s="1377">
        <f>SUM(K2529)</f>
        <v>0</v>
      </c>
      <c r="L2530" s="1372"/>
    </row>
    <row r="2531" spans="1:12" s="31" customFormat="1" ht="17.25" customHeight="1">
      <c r="A2531" s="1386" t="s">
        <v>126</v>
      </c>
      <c r="B2531" s="1634" t="s">
        <v>871</v>
      </c>
      <c r="C2531" s="1387"/>
      <c r="D2531" s="1387"/>
      <c r="E2531" s="1387">
        <f>(E2520+E2521+E2522+E2523+E2524+E2525+E2526+E2527)-E2530</f>
        <v>0</v>
      </c>
      <c r="F2531" s="1436"/>
      <c r="G2531" s="1386" t="s">
        <v>126</v>
      </c>
      <c r="H2531" s="1634" t="s">
        <v>871</v>
      </c>
      <c r="I2531" s="1387"/>
      <c r="J2531" s="1387"/>
      <c r="K2531" s="1387">
        <f>(K2520+K2521+K2522+K2523+K2524+K2525+K2526+K2527)-K2530</f>
        <v>0</v>
      </c>
      <c r="L2531" s="1389">
        <f>E2531+K2531</f>
        <v>0</v>
      </c>
    </row>
    <row r="2532" spans="1:12" s="31" customFormat="1" ht="17.25" customHeight="1">
      <c r="A2532" s="1449"/>
      <c r="B2532" s="1449"/>
      <c r="C2532" s="1449"/>
      <c r="D2532" s="1449"/>
      <c r="E2532" s="1449"/>
      <c r="F2532" s="1449"/>
      <c r="G2532" s="1449"/>
      <c r="H2532" s="1449"/>
      <c r="I2532" s="1449"/>
      <c r="J2532" s="1449"/>
      <c r="K2532" s="1449"/>
      <c r="L2532" s="1372"/>
    </row>
    <row r="2533" spans="1:12" s="31" customFormat="1" ht="17.25" customHeight="1">
      <c r="A2533" s="1445" t="str">
        <f>A2517</f>
        <v>LƯƠNG THÁNG 01/2025</v>
      </c>
      <c r="B2533" s="1449"/>
      <c r="C2533" s="1449"/>
      <c r="D2533" s="1449"/>
      <c r="E2533" s="1452">
        <f>VLOOKUP(B2534,'CNKT '!$C$256:$AD$325,26,0)</f>
        <v>0</v>
      </c>
      <c r="F2533" s="1436"/>
      <c r="G2533" s="1445" t="str">
        <f>A2533</f>
        <v>LƯƠNG THÁNG 01/2025</v>
      </c>
      <c r="H2533" s="1449"/>
      <c r="I2533" s="1449"/>
      <c r="J2533" s="1452"/>
      <c r="K2533" s="1452">
        <f>VLOOKUP(H2534,'CNKT '!$C$256:$AD$325,26,0)</f>
        <v>0</v>
      </c>
      <c r="L2533" s="1372"/>
    </row>
    <row r="2534" spans="1:12" s="31" customFormat="1" ht="17.25" customHeight="1">
      <c r="A2534" s="1391" t="s">
        <v>29</v>
      </c>
      <c r="B2534" s="1626" t="str">
        <f>'CNKT '!C316</f>
        <v>Thảo Hung</v>
      </c>
      <c r="C2534" s="1376"/>
      <c r="D2534" s="1376"/>
      <c r="E2534" s="1439" t="s">
        <v>69</v>
      </c>
      <c r="F2534" s="1436"/>
      <c r="G2534" s="1391" t="s">
        <v>29</v>
      </c>
      <c r="H2534" s="1626" t="str">
        <f>'CNKT '!C317</f>
        <v>Thảo Khẹt</v>
      </c>
      <c r="I2534" s="1376"/>
      <c r="J2534" s="1439" t="s">
        <v>69</v>
      </c>
      <c r="K2534" s="1435"/>
      <c r="L2534" s="1372"/>
    </row>
    <row r="2535" spans="1:12" s="31" customFormat="1" ht="17.25" customHeight="1">
      <c r="A2535" s="1375" t="s">
        <v>807</v>
      </c>
      <c r="B2535" s="1628" t="s">
        <v>1080</v>
      </c>
      <c r="C2535" s="1376" t="str">
        <f>VLOOKUP(B2534,'BTH mủ tạp'!$C$246:$AL$314,36,0)</f>
        <v>C.</v>
      </c>
      <c r="D2535" s="1377"/>
      <c r="E2535" s="1377"/>
      <c r="F2535" s="1436"/>
      <c r="G2535" s="1375" t="s">
        <v>807</v>
      </c>
      <c r="H2535" s="1628" t="s">
        <v>1080</v>
      </c>
      <c r="I2535" s="1376" t="str">
        <f>VLOOKUP(H2534,'BTH mủ tạp'!$C$246:$AL$314,36,0)</f>
        <v>C.</v>
      </c>
      <c r="J2535" s="1377"/>
      <c r="K2535" s="1377"/>
      <c r="L2535" s="1372"/>
    </row>
    <row r="2536" spans="1:12" s="31" customFormat="1" ht="17.25" customHeight="1">
      <c r="A2536" s="1375" t="s">
        <v>121</v>
      </c>
      <c r="B2536" s="1629" t="s">
        <v>865</v>
      </c>
      <c r="C2536" s="1378">
        <f>VLOOKUP(B2534,'CNKT '!$C$256:$Z$316,3,0)</f>
        <v>0</v>
      </c>
      <c r="D2536" s="1379">
        <v>25000</v>
      </c>
      <c r="E2536" s="1377">
        <f t="shared" ref="E2536:E2541" si="299">C2536*D2536</f>
        <v>0</v>
      </c>
      <c r="F2536" s="1436"/>
      <c r="G2536" s="1375" t="s">
        <v>121</v>
      </c>
      <c r="H2536" s="1629" t="s">
        <v>865</v>
      </c>
      <c r="I2536" s="1378">
        <f>VLOOKUP(H2534,'CNKT '!$C$256:$Z$326,3,0)</f>
        <v>0</v>
      </c>
      <c r="J2536" s="1379">
        <v>25000</v>
      </c>
      <c r="K2536" s="1377">
        <f t="shared" ref="K2536:K2541" si="300">I2536*J2536</f>
        <v>0</v>
      </c>
      <c r="L2536" s="1372"/>
    </row>
    <row r="2537" spans="1:12" s="31" customFormat="1" ht="17.25" customHeight="1">
      <c r="A2537" s="1375" t="s">
        <v>628</v>
      </c>
      <c r="B2537" s="1630" t="s">
        <v>1081</v>
      </c>
      <c r="C2537" s="1433">
        <f>VLOOKUP(B2534,'CNKT '!$C$256:$Z$316,11,0)</f>
        <v>0</v>
      </c>
      <c r="D2537" s="1380">
        <f>46.1*$B$2</f>
        <v>30241.600000000002</v>
      </c>
      <c r="E2537" s="1377">
        <f t="shared" si="299"/>
        <v>0</v>
      </c>
      <c r="F2537" s="1436"/>
      <c r="G2537" s="1375" t="s">
        <v>628</v>
      </c>
      <c r="H2537" s="1630" t="s">
        <v>1081</v>
      </c>
      <c r="I2537" s="1433">
        <f>VLOOKUP(H2534,'CNKT '!$C$256:$Z$326,11,0)</f>
        <v>0</v>
      </c>
      <c r="J2537" s="1380">
        <f>46.1*$B$2</f>
        <v>30241.600000000002</v>
      </c>
      <c r="K2537" s="1377">
        <f t="shared" si="300"/>
        <v>0</v>
      </c>
      <c r="L2537" s="1372"/>
    </row>
    <row r="2538" spans="1:12" s="31" customFormat="1" ht="17.25" customHeight="1">
      <c r="A2538" s="1375" t="s">
        <v>809</v>
      </c>
      <c r="B2538" s="1630" t="s">
        <v>1082</v>
      </c>
      <c r="C2538" s="1433">
        <f>VLOOKUP(B2534,'CNKT '!$C$256:$Z$316,12,0)</f>
        <v>0</v>
      </c>
      <c r="D2538" s="1379">
        <f>76.9*$B$2</f>
        <v>50446.400000000001</v>
      </c>
      <c r="E2538" s="1377">
        <f t="shared" si="299"/>
        <v>0</v>
      </c>
      <c r="F2538" s="1436"/>
      <c r="G2538" s="1375" t="s">
        <v>809</v>
      </c>
      <c r="H2538" s="1630" t="s">
        <v>1082</v>
      </c>
      <c r="I2538" s="1433">
        <f>VLOOKUP(H2534,'CNKT '!$C$256:$Z$326,12,0)</f>
        <v>0</v>
      </c>
      <c r="J2538" s="1379">
        <f>76.9*$B$2</f>
        <v>50446.400000000001</v>
      </c>
      <c r="K2538" s="1377">
        <f t="shared" si="300"/>
        <v>0</v>
      </c>
      <c r="L2538" s="1372"/>
    </row>
    <row r="2539" spans="1:12" s="31" customFormat="1" ht="17.25" customHeight="1">
      <c r="A2539" s="1375" t="s">
        <v>122</v>
      </c>
      <c r="B2539" s="1630" t="s">
        <v>1083</v>
      </c>
      <c r="C2539" s="1433">
        <f>VLOOKUP(B2534,'CNKT '!$C$256:$Z$316,8,0)</f>
        <v>0</v>
      </c>
      <c r="D2539" s="1379">
        <f>IF(C2535="A",6.1,IF(C2535="B",5.8,IF(C2535="C",5.5,IF(C2535="C.",5.5,IF(C2535="D",5.2)))))*$B$2</f>
        <v>3608</v>
      </c>
      <c r="E2539" s="1377">
        <f t="shared" si="299"/>
        <v>0</v>
      </c>
      <c r="F2539" s="1436"/>
      <c r="G2539" s="1375" t="s">
        <v>122</v>
      </c>
      <c r="H2539" s="1630" t="s">
        <v>1083</v>
      </c>
      <c r="I2539" s="1433">
        <f>VLOOKUP(H2534,'CNKT '!$C$256:$Z$326,8,0)</f>
        <v>0</v>
      </c>
      <c r="J2539" s="1379">
        <f>IF(I2535="A",6.1,IF(I2535="B",5.8,IF(I2535="C",5.5,IF(I2535="C.",5.5,IF(I2535="D",5.2)))))*$B$2</f>
        <v>3608</v>
      </c>
      <c r="K2539" s="1377">
        <f t="shared" si="300"/>
        <v>0</v>
      </c>
      <c r="L2539" s="1372"/>
    </row>
    <row r="2540" spans="1:12" s="31" customFormat="1" ht="17.25" customHeight="1">
      <c r="A2540" s="1375" t="s">
        <v>885</v>
      </c>
      <c r="B2540" s="1630" t="s">
        <v>1084</v>
      </c>
      <c r="C2540" s="1433">
        <f>VLOOKUP(B2534,'CNKT '!$C$256:$Z$316,15,0)</f>
        <v>0</v>
      </c>
      <c r="D2540" s="1380">
        <f>92.2*$B$2</f>
        <v>60483.200000000004</v>
      </c>
      <c r="E2540" s="1377">
        <f t="shared" si="299"/>
        <v>0</v>
      </c>
      <c r="F2540" s="1436"/>
      <c r="G2540" s="1375" t="s">
        <v>885</v>
      </c>
      <c r="H2540" s="1630" t="s">
        <v>1084</v>
      </c>
      <c r="I2540" s="1433">
        <f>VLOOKUP(H2534,'CNKT '!$C$256:$Z$326,15,0)</f>
        <v>0</v>
      </c>
      <c r="J2540" s="1380">
        <f>92.2*$B$2</f>
        <v>60483.200000000004</v>
      </c>
      <c r="K2540" s="1377">
        <f t="shared" si="300"/>
        <v>0</v>
      </c>
      <c r="L2540" s="1372"/>
    </row>
    <row r="2541" spans="1:12" s="31" customFormat="1" ht="17.25" customHeight="1">
      <c r="A2541" s="1375" t="s">
        <v>886</v>
      </c>
      <c r="B2541" s="1630" t="s">
        <v>964</v>
      </c>
      <c r="C2541" s="1433">
        <f>VLOOKUP(B2534,'CNKT '!$C$256:$Z$316,14,0)</f>
        <v>0</v>
      </c>
      <c r="D2541" s="1379">
        <f>153.6*$B$2</f>
        <v>100761.59999999999</v>
      </c>
      <c r="E2541" s="1377">
        <f t="shared" si="299"/>
        <v>0</v>
      </c>
      <c r="F2541" s="1436"/>
      <c r="G2541" s="1375" t="s">
        <v>886</v>
      </c>
      <c r="H2541" s="1630" t="s">
        <v>964</v>
      </c>
      <c r="I2541" s="1433">
        <f>VLOOKUP(H2534,'CNKT '!$C$256:$Z$326,14,0)</f>
        <v>0</v>
      </c>
      <c r="J2541" s="1379">
        <f>153.6*$B$2</f>
        <v>100761.59999999999</v>
      </c>
      <c r="K2541" s="1377">
        <f t="shared" si="300"/>
        <v>0</v>
      </c>
      <c r="L2541" s="1372"/>
    </row>
    <row r="2542" spans="1:12" s="31" customFormat="1" ht="17.25" customHeight="1">
      <c r="A2542" s="1375" t="s">
        <v>899</v>
      </c>
      <c r="B2542" s="1630" t="s">
        <v>965</v>
      </c>
      <c r="C2542" s="1433">
        <f>VLOOKUP(B2534,'CNKT '!$C$256:$Z$325,18,0)</f>
        <v>0</v>
      </c>
      <c r="D2542" s="1379">
        <v>10000</v>
      </c>
      <c r="E2542" s="1377">
        <f>C2542*D2542</f>
        <v>0</v>
      </c>
      <c r="F2542" s="1436"/>
      <c r="G2542" s="1375" t="s">
        <v>899</v>
      </c>
      <c r="H2542" s="1630" t="s">
        <v>965</v>
      </c>
      <c r="I2542" s="1433">
        <f>VLOOKUP(H2534,'CNKT '!$C$256:$Z$325,18,0)</f>
        <v>0</v>
      </c>
      <c r="J2542" s="1379">
        <v>10000</v>
      </c>
      <c r="K2542" s="1377">
        <f>I2542*J2542</f>
        <v>0</v>
      </c>
      <c r="L2542" s="1372"/>
    </row>
    <row r="2543" spans="1:12" s="31" customFormat="1" ht="17.25" customHeight="1">
      <c r="A2543" s="1375" t="s">
        <v>899</v>
      </c>
      <c r="B2543" s="1630" t="s">
        <v>965</v>
      </c>
      <c r="C2543" s="1433">
        <f>VLOOKUP(B2534,'CNKT '!$C$256:$Z$325,19,0)</f>
        <v>0</v>
      </c>
      <c r="D2543" s="1379">
        <v>20000</v>
      </c>
      <c r="E2543" s="1377">
        <f>C2543*D2543</f>
        <v>0</v>
      </c>
      <c r="F2543" s="1436"/>
      <c r="G2543" s="1375" t="s">
        <v>899</v>
      </c>
      <c r="H2543" s="1630" t="s">
        <v>965</v>
      </c>
      <c r="I2543" s="1433">
        <f>VLOOKUP(H2534,'CNKT '!$C$256:$Z$325,19,0)</f>
        <v>0</v>
      </c>
      <c r="J2543" s="1379">
        <v>20000</v>
      </c>
      <c r="K2543" s="1377">
        <f>I2543*J2543</f>
        <v>0</v>
      </c>
      <c r="L2543" s="1372"/>
    </row>
    <row r="2544" spans="1:12" s="31" customFormat="1" ht="17.25" customHeight="1">
      <c r="A2544" s="1381" t="s">
        <v>123</v>
      </c>
      <c r="B2544" s="1631" t="s">
        <v>1085</v>
      </c>
      <c r="C2544" s="1382"/>
      <c r="D2544" s="1383"/>
      <c r="E2544" s="1382"/>
      <c r="F2544" s="1436"/>
      <c r="G2544" s="1381" t="s">
        <v>123</v>
      </c>
      <c r="H2544" s="1631" t="s">
        <v>1085</v>
      </c>
      <c r="I2544" s="1382"/>
      <c r="J2544" s="1383"/>
      <c r="K2544" s="1382"/>
      <c r="L2544" s="1372"/>
    </row>
    <row r="2545" spans="1:15" s="31" customFormat="1" ht="17.25" customHeight="1">
      <c r="A2545" s="1384" t="s">
        <v>124</v>
      </c>
      <c r="B2545" s="1632" t="s">
        <v>1086</v>
      </c>
      <c r="C2545" s="1382"/>
      <c r="D2545" s="1382"/>
      <c r="E2545" s="1382"/>
      <c r="F2545" s="1436"/>
      <c r="G2545" s="1384" t="s">
        <v>124</v>
      </c>
      <c r="H2545" s="1632" t="s">
        <v>1086</v>
      </c>
      <c r="I2545" s="1382"/>
      <c r="J2545" s="1382"/>
      <c r="K2545" s="1382"/>
      <c r="L2545" s="1372"/>
    </row>
    <row r="2546" spans="1:15" s="31" customFormat="1" ht="17.25" customHeight="1">
      <c r="A2546" s="1384" t="s">
        <v>125</v>
      </c>
      <c r="B2546" s="1633" t="s">
        <v>1087</v>
      </c>
      <c r="C2546" s="1382"/>
      <c r="D2546" s="1382"/>
      <c r="E2546" s="1377">
        <f>SUM(E2545)</f>
        <v>0</v>
      </c>
      <c r="F2546" s="1436"/>
      <c r="G2546" s="1384" t="s">
        <v>125</v>
      </c>
      <c r="H2546" s="1633" t="s">
        <v>1087</v>
      </c>
      <c r="I2546" s="1382"/>
      <c r="J2546" s="1382"/>
      <c r="K2546" s="1377">
        <f>SUM(K2545)</f>
        <v>0</v>
      </c>
      <c r="L2546" s="1372"/>
    </row>
    <row r="2547" spans="1:15" s="31" customFormat="1" ht="17.25" customHeight="1">
      <c r="A2547" s="1386" t="s">
        <v>126</v>
      </c>
      <c r="B2547" s="1634" t="s">
        <v>871</v>
      </c>
      <c r="C2547" s="1387"/>
      <c r="D2547" s="1387"/>
      <c r="E2547" s="1387">
        <f>(E2536+E2537+E2538+E2539+E2540+E2541+E2542+E2543)-E2546</f>
        <v>0</v>
      </c>
      <c r="F2547" s="1436"/>
      <c r="G2547" s="1386" t="s">
        <v>126</v>
      </c>
      <c r="H2547" s="1634" t="s">
        <v>871</v>
      </c>
      <c r="I2547" s="1387"/>
      <c r="J2547" s="1387"/>
      <c r="K2547" s="1387">
        <f>(K2536+K2537+K2538+K2539+K2540+K2541+K2542+K2543)-K2546</f>
        <v>0</v>
      </c>
      <c r="L2547" s="1389">
        <f>E2547+K2547</f>
        <v>0</v>
      </c>
    </row>
    <row r="2548" spans="1:15" s="31" customFormat="1" ht="17.25" customHeight="1">
      <c r="A2548" s="1375"/>
      <c r="B2548" s="1375"/>
      <c r="C2548" s="1626"/>
      <c r="D2548" s="1626"/>
      <c r="E2548" s="1377"/>
      <c r="F2548" s="1436"/>
      <c r="G2548" s="1423"/>
      <c r="H2548" s="1440"/>
      <c r="I2548" s="1441"/>
      <c r="J2548" s="1432"/>
      <c r="K2548" s="1435"/>
      <c r="L2548" s="1372"/>
    </row>
    <row r="2549" spans="1:15" s="31" customFormat="1" ht="46.5" customHeight="1">
      <c r="A2549" s="1442"/>
      <c r="B2549" s="1443"/>
      <c r="C2549" s="1622"/>
      <c r="D2549" s="1622"/>
      <c r="E2549" s="1444"/>
      <c r="F2549" s="1436"/>
      <c r="G2549" s="1445"/>
      <c r="H2549" s="1446"/>
      <c r="I2549" s="1447"/>
      <c r="J2549" s="1448"/>
      <c r="K2549" s="1435"/>
      <c r="L2549" s="1372"/>
    </row>
    <row r="2550" spans="1:15" s="31" customFormat="1" ht="17.25" customHeight="1">
      <c r="A2550" s="1445" t="str">
        <f>A2533</f>
        <v>LƯƠNG THÁNG 01/2025</v>
      </c>
      <c r="B2550" s="1449"/>
      <c r="C2550" s="1449"/>
      <c r="D2550" s="1449"/>
      <c r="E2550" s="1452">
        <f>VLOOKUP(B2551,'CNKT '!$C$256:$AD$325,26,0)</f>
        <v>0</v>
      </c>
      <c r="F2550" s="1436"/>
      <c r="G2550" s="1445" t="str">
        <f>A2550</f>
        <v>LƯƠNG THÁNG 01/2025</v>
      </c>
      <c r="H2550" s="1449"/>
      <c r="I2550" s="1449"/>
      <c r="J2550" s="1452"/>
      <c r="K2550" s="1452">
        <f>VLOOKUP(H2551,'CNKT '!$C$256:$AD$325,26,0)</f>
        <v>0</v>
      </c>
      <c r="L2550" s="1372"/>
    </row>
    <row r="2551" spans="1:15" s="31" customFormat="1" ht="17.25" customHeight="1">
      <c r="A2551" s="1391" t="s">
        <v>29</v>
      </c>
      <c r="B2551" s="1626" t="str">
        <f>'CNKT '!C318</f>
        <v>Thảo Dung</v>
      </c>
      <c r="C2551" s="1376" t="str">
        <f>VLOOKUP(B2551,'BTH mủ tạp'!$C$246:$AL$314,36,0)</f>
        <v>C.</v>
      </c>
      <c r="D2551" s="1376"/>
      <c r="E2551" s="1439" t="s">
        <v>69</v>
      </c>
      <c r="F2551" s="1436"/>
      <c r="G2551" s="1391" t="s">
        <v>29</v>
      </c>
      <c r="H2551" s="1626" t="str">
        <f>'CNKT '!C319</f>
        <v>Thảo Kính</v>
      </c>
      <c r="I2551" s="1376" t="str">
        <f>VLOOKUP(H2551,'BTH mủ tạp'!$C$246:$AL$314,36,0)</f>
        <v>C.</v>
      </c>
      <c r="J2551" s="1439" t="s">
        <v>69</v>
      </c>
      <c r="K2551" s="1435"/>
      <c r="L2551" s="1372"/>
    </row>
    <row r="2552" spans="1:15" s="31" customFormat="1" ht="17.25" customHeight="1">
      <c r="A2552" s="1375" t="s">
        <v>807</v>
      </c>
      <c r="B2552" s="1628" t="s">
        <v>1080</v>
      </c>
      <c r="C2552" s="1376" t="str">
        <f>VLOOKUP(B2551,'BTH mủ tạp'!$C$246:$AL$314,36,0)</f>
        <v>C.</v>
      </c>
      <c r="D2552" s="1377"/>
      <c r="E2552" s="1377"/>
      <c r="F2552" s="1436"/>
      <c r="G2552" s="1375" t="s">
        <v>807</v>
      </c>
      <c r="H2552" s="1628" t="s">
        <v>1080</v>
      </c>
      <c r="I2552" s="1376" t="str">
        <f>VLOOKUP(H2551,'BTH mủ tạp'!$C$246:$AL$314,36,0)</f>
        <v>C.</v>
      </c>
      <c r="J2552" s="1377"/>
      <c r="K2552" s="1377"/>
      <c r="L2552" s="1372"/>
    </row>
    <row r="2553" spans="1:15" s="31" customFormat="1" ht="17.25" customHeight="1">
      <c r="A2553" s="1375" t="s">
        <v>121</v>
      </c>
      <c r="B2553" s="1629" t="s">
        <v>865</v>
      </c>
      <c r="C2553" s="1378">
        <f>VLOOKUP(B2551,'CNKT '!$C$256:$Z$326,3,0)</f>
        <v>0</v>
      </c>
      <c r="D2553" s="1379">
        <v>25000</v>
      </c>
      <c r="E2553" s="1377">
        <f t="shared" ref="E2553:E2558" si="301">C2553*D2553</f>
        <v>0</v>
      </c>
      <c r="F2553" s="1436"/>
      <c r="G2553" s="1375" t="s">
        <v>121</v>
      </c>
      <c r="H2553" s="1629" t="s">
        <v>865</v>
      </c>
      <c r="I2553" s="1378">
        <f>VLOOKUP(H2551,'CNKT '!$C$256:$Z$326,3,0)</f>
        <v>0</v>
      </c>
      <c r="J2553" s="1379">
        <v>25000</v>
      </c>
      <c r="K2553" s="1377">
        <f t="shared" ref="K2553:K2558" si="302">I2553*J2553</f>
        <v>0</v>
      </c>
      <c r="L2553" s="1372"/>
    </row>
    <row r="2554" spans="1:15" s="31" customFormat="1" ht="17.25" customHeight="1">
      <c r="A2554" s="1375" t="s">
        <v>628</v>
      </c>
      <c r="B2554" s="1630" t="s">
        <v>1081</v>
      </c>
      <c r="C2554" s="1433">
        <f>VLOOKUP(B2551,'CNKT '!$C$256:$Z$326,11,0)</f>
        <v>0</v>
      </c>
      <c r="D2554" s="1380">
        <f>46.1*$B$2</f>
        <v>30241.600000000002</v>
      </c>
      <c r="E2554" s="1377">
        <f t="shared" si="301"/>
        <v>0</v>
      </c>
      <c r="F2554" s="1436"/>
      <c r="G2554" s="1375" t="s">
        <v>628</v>
      </c>
      <c r="H2554" s="1630" t="s">
        <v>1081</v>
      </c>
      <c r="I2554" s="1433">
        <f>VLOOKUP(H2551,'CNKT '!$C$256:$Z$326,11,0)</f>
        <v>0</v>
      </c>
      <c r="J2554" s="1380">
        <f>46.1*$B$2</f>
        <v>30241.600000000002</v>
      </c>
      <c r="K2554" s="1377">
        <f t="shared" si="302"/>
        <v>0</v>
      </c>
      <c r="L2554" s="1372"/>
    </row>
    <row r="2555" spans="1:15" s="31" customFormat="1" ht="17.25" customHeight="1">
      <c r="A2555" s="1375" t="s">
        <v>809</v>
      </c>
      <c r="B2555" s="1630" t="s">
        <v>1082</v>
      </c>
      <c r="C2555" s="1433">
        <f>VLOOKUP(B2551,'CNKT '!$C$256:$Z$326,12,0)</f>
        <v>0</v>
      </c>
      <c r="D2555" s="1379">
        <f>76.9*$B$2</f>
        <v>50446.400000000001</v>
      </c>
      <c r="E2555" s="1377">
        <f t="shared" si="301"/>
        <v>0</v>
      </c>
      <c r="F2555" s="1436"/>
      <c r="G2555" s="1375" t="s">
        <v>809</v>
      </c>
      <c r="H2555" s="1630" t="s">
        <v>1082</v>
      </c>
      <c r="I2555" s="1433">
        <f>VLOOKUP(H2551,'CNKT '!$C$256:$Z$326,12,0)</f>
        <v>0</v>
      </c>
      <c r="J2555" s="1379">
        <f>76.9*$B$2</f>
        <v>50446.400000000001</v>
      </c>
      <c r="K2555" s="1377">
        <f t="shared" si="302"/>
        <v>0</v>
      </c>
      <c r="L2555" s="1372"/>
    </row>
    <row r="2556" spans="1:15" s="31" customFormat="1" ht="17.25" customHeight="1">
      <c r="A2556" s="1375" t="s">
        <v>122</v>
      </c>
      <c r="B2556" s="1630" t="s">
        <v>1083</v>
      </c>
      <c r="C2556" s="1433">
        <f>VLOOKUP(B2551,'CNKT '!$C$256:$Z$326,8,0)</f>
        <v>0</v>
      </c>
      <c r="D2556" s="1379">
        <f>IF(C2552="A",6.1,IF(C2552="B",5.8,IF(C2552="C",5.5,IF(C2552="C.",5.5,IF(C2552="D",5.2)))))*$B$2</f>
        <v>3608</v>
      </c>
      <c r="E2556" s="1377">
        <f t="shared" si="301"/>
        <v>0</v>
      </c>
      <c r="F2556" s="1436"/>
      <c r="G2556" s="1375" t="s">
        <v>122</v>
      </c>
      <c r="H2556" s="1630" t="s">
        <v>1083</v>
      </c>
      <c r="I2556" s="1433">
        <f>VLOOKUP(H2551,'CNKT '!$C$256:$Z$326,8,0)</f>
        <v>0</v>
      </c>
      <c r="J2556" s="1379">
        <f>IF(I2552="A",6.1,IF(I2552="B",5.8,IF(I2552="C",5.5,IF(I2552="C.",5.5,IF(I2552="D",5.2)))))*$B$2</f>
        <v>3608</v>
      </c>
      <c r="K2556" s="1377">
        <f t="shared" si="302"/>
        <v>0</v>
      </c>
      <c r="L2556" s="1372"/>
    </row>
    <row r="2557" spans="1:15" s="31" customFormat="1" ht="17.25" customHeight="1">
      <c r="A2557" s="1375" t="s">
        <v>885</v>
      </c>
      <c r="B2557" s="1630" t="s">
        <v>1084</v>
      </c>
      <c r="C2557" s="1433">
        <f>VLOOKUP(B2551,'CNKT '!$C$256:$Z$326,15,0)</f>
        <v>0</v>
      </c>
      <c r="D2557" s="1380">
        <f>92.2*$B$2</f>
        <v>60483.200000000004</v>
      </c>
      <c r="E2557" s="1377">
        <f t="shared" si="301"/>
        <v>0</v>
      </c>
      <c r="F2557" s="1436"/>
      <c r="G2557" s="1375" t="s">
        <v>885</v>
      </c>
      <c r="H2557" s="1630" t="s">
        <v>1084</v>
      </c>
      <c r="I2557" s="1433">
        <f>VLOOKUP(H2551,'CNKT '!$C$256:$Z$326,15,0)</f>
        <v>0</v>
      </c>
      <c r="J2557" s="1380">
        <f>92.2*$B$2</f>
        <v>60483.200000000004</v>
      </c>
      <c r="K2557" s="1377">
        <f t="shared" si="302"/>
        <v>0</v>
      </c>
      <c r="L2557" s="1372"/>
    </row>
    <row r="2558" spans="1:15" s="31" customFormat="1" ht="17.25" customHeight="1">
      <c r="A2558" s="1375" t="s">
        <v>886</v>
      </c>
      <c r="B2558" s="1630" t="s">
        <v>964</v>
      </c>
      <c r="C2558" s="1433">
        <f>VLOOKUP(B2551,'CNKT '!$C$256:$Z$326,14,0)</f>
        <v>0</v>
      </c>
      <c r="D2558" s="1379">
        <f>153.6*$B$2</f>
        <v>100761.59999999999</v>
      </c>
      <c r="E2558" s="1377">
        <f t="shared" si="301"/>
        <v>0</v>
      </c>
      <c r="F2558" s="1436"/>
      <c r="G2558" s="1375" t="s">
        <v>886</v>
      </c>
      <c r="H2558" s="1630" t="s">
        <v>964</v>
      </c>
      <c r="I2558" s="1433">
        <f>VLOOKUP(H2551,'CNKT '!$C$256:$Z$326,14,0)</f>
        <v>0</v>
      </c>
      <c r="J2558" s="1379">
        <f>153.6*$B$2</f>
        <v>100761.59999999999</v>
      </c>
      <c r="K2558" s="1377">
        <f t="shared" si="302"/>
        <v>0</v>
      </c>
      <c r="L2558" s="1372"/>
    </row>
    <row r="2559" spans="1:15" s="31" customFormat="1" ht="17.25" customHeight="1">
      <c r="A2559" s="1375" t="s">
        <v>899</v>
      </c>
      <c r="B2559" s="1630" t="s">
        <v>965</v>
      </c>
      <c r="C2559" s="1433">
        <f>VLOOKUP(B2551,'CNKT '!$C$256:$Z$325,18,0)</f>
        <v>0</v>
      </c>
      <c r="D2559" s="1379">
        <v>10000</v>
      </c>
      <c r="E2559" s="1377">
        <f>C2559*D2559</f>
        <v>0</v>
      </c>
      <c r="F2559" s="1436"/>
      <c r="G2559" s="1375" t="s">
        <v>899</v>
      </c>
      <c r="H2559" s="1630" t="s">
        <v>965</v>
      </c>
      <c r="I2559" s="1433">
        <f>VLOOKUP(H2551,'CNKT '!$C$256:$Z$325,18,0)</f>
        <v>0</v>
      </c>
      <c r="J2559" s="1379">
        <v>10000</v>
      </c>
      <c r="K2559" s="1377">
        <f>I2559*J2559</f>
        <v>0</v>
      </c>
      <c r="L2559" s="1372"/>
      <c r="M2559" s="1411"/>
      <c r="O2559" s="1421"/>
    </row>
    <row r="2560" spans="1:15" s="31" customFormat="1" ht="17.25" customHeight="1">
      <c r="A2560" s="1375" t="s">
        <v>899</v>
      </c>
      <c r="B2560" s="1630" t="s">
        <v>965</v>
      </c>
      <c r="C2560" s="1433">
        <f>VLOOKUP(B2551,'CNKT '!$C$256:$Z$325,19,0)</f>
        <v>0</v>
      </c>
      <c r="D2560" s="1379">
        <v>20000</v>
      </c>
      <c r="E2560" s="1377">
        <f>C2560*D2560</f>
        <v>0</v>
      </c>
      <c r="F2560" s="1436"/>
      <c r="G2560" s="1375" t="s">
        <v>899</v>
      </c>
      <c r="H2560" s="1630" t="s">
        <v>965</v>
      </c>
      <c r="I2560" s="1433">
        <f>VLOOKUP(H2551,'CNKT '!$C$256:$Z$325,19,0)</f>
        <v>0</v>
      </c>
      <c r="J2560" s="1379">
        <v>20000</v>
      </c>
      <c r="K2560" s="1377">
        <f>I2560*J2560</f>
        <v>0</v>
      </c>
      <c r="L2560" s="1372"/>
      <c r="M2560" s="1411"/>
      <c r="O2560" s="1421"/>
    </row>
    <row r="2561" spans="1:15" s="31" customFormat="1" ht="17.25" customHeight="1">
      <c r="A2561" s="1381" t="s">
        <v>123</v>
      </c>
      <c r="B2561" s="1631" t="s">
        <v>1085</v>
      </c>
      <c r="C2561" s="1382"/>
      <c r="D2561" s="1383"/>
      <c r="E2561" s="1382"/>
      <c r="F2561" s="1436"/>
      <c r="G2561" s="1381" t="s">
        <v>123</v>
      </c>
      <c r="H2561" s="1631" t="s">
        <v>1085</v>
      </c>
      <c r="I2561" s="1382"/>
      <c r="J2561" s="1383"/>
      <c r="K2561" s="1382"/>
      <c r="L2561" s="1372"/>
    </row>
    <row r="2562" spans="1:15" s="31" customFormat="1" ht="17.25" customHeight="1">
      <c r="A2562" s="1384" t="s">
        <v>124</v>
      </c>
      <c r="B2562" s="1632" t="s">
        <v>1086</v>
      </c>
      <c r="C2562" s="1382"/>
      <c r="D2562" s="1382"/>
      <c r="E2562" s="1382"/>
      <c r="F2562" s="1436"/>
      <c r="G2562" s="1384" t="s">
        <v>124</v>
      </c>
      <c r="H2562" s="1632" t="s">
        <v>1086</v>
      </c>
      <c r="I2562" s="1382"/>
      <c r="J2562" s="1382"/>
      <c r="K2562" s="1382"/>
      <c r="L2562" s="1410"/>
      <c r="M2562" s="1411"/>
      <c r="N2562" s="1328"/>
      <c r="O2562" s="1421"/>
    </row>
    <row r="2563" spans="1:15" s="31" customFormat="1" ht="17.25" customHeight="1">
      <c r="A2563" s="1384" t="s">
        <v>125</v>
      </c>
      <c r="B2563" s="1633" t="s">
        <v>1087</v>
      </c>
      <c r="C2563" s="1382"/>
      <c r="D2563" s="1382"/>
      <c r="E2563" s="1377">
        <f>SUM(E2562)</f>
        <v>0</v>
      </c>
      <c r="F2563" s="1435"/>
      <c r="G2563" s="1384" t="s">
        <v>125</v>
      </c>
      <c r="H2563" s="1633" t="s">
        <v>1087</v>
      </c>
      <c r="I2563" s="1382"/>
      <c r="J2563" s="1382"/>
      <c r="K2563" s="1377">
        <f>SUM(K2562)</f>
        <v>0</v>
      </c>
      <c r="L2563" s="1372"/>
    </row>
    <row r="2564" spans="1:15" s="31" customFormat="1" ht="17.25" customHeight="1">
      <c r="A2564" s="1386" t="s">
        <v>126</v>
      </c>
      <c r="B2564" s="1634" t="s">
        <v>871</v>
      </c>
      <c r="C2564" s="1387"/>
      <c r="D2564" s="1387"/>
      <c r="E2564" s="1387">
        <f>(E2553+E2554+E2555+E2556+E2557+E2558+E2559+E2560)-E2563</f>
        <v>0</v>
      </c>
      <c r="F2564" s="1435"/>
      <c r="G2564" s="1386" t="s">
        <v>126</v>
      </c>
      <c r="H2564" s="1634" t="s">
        <v>871</v>
      </c>
      <c r="I2564" s="1387"/>
      <c r="J2564" s="1387"/>
      <c r="K2564" s="1387">
        <f>(K2553+K2554+K2555+K2556+K2557+K2558+K2559+K2560)-K2563</f>
        <v>0</v>
      </c>
      <c r="L2564" s="1389">
        <f>E2564+K2564</f>
        <v>0</v>
      </c>
      <c r="M2564" s="1385"/>
      <c r="N2564" s="1385"/>
    </row>
    <row r="2565" spans="1:15" s="31" customFormat="1" ht="17.25" customHeight="1">
      <c r="H2565" s="1385" t="e">
        <f>SUM(#REF!)</f>
        <v>#REF!</v>
      </c>
    </row>
    <row r="2566" spans="1:15" s="31" customFormat="1" ht="17.25" customHeight="1">
      <c r="A2566" s="1445" t="str">
        <f>A2550</f>
        <v>LƯƠNG THÁNG 01/2025</v>
      </c>
      <c r="B2566" s="1449"/>
      <c r="C2566" s="1449"/>
      <c r="D2566" s="1449"/>
      <c r="E2566" s="1452">
        <f>VLOOKUP(B2567,'CNKT '!$C$256:$AD$325,26,0)</f>
        <v>0</v>
      </c>
      <c r="F2566" s="1436"/>
      <c r="G2566" s="1445" t="str">
        <f>A2566</f>
        <v>LƯƠNG THÁNG 01/2025</v>
      </c>
      <c r="H2566" s="1449"/>
      <c r="I2566" s="1449"/>
      <c r="J2566" s="1452"/>
      <c r="K2566" s="1452">
        <f>VLOOKUP(H2567,'CNKT '!$C$256:$AD$325,26,0)</f>
        <v>0</v>
      </c>
      <c r="L2566" s="1385"/>
    </row>
    <row r="2567" spans="1:15" s="31" customFormat="1" ht="17.25" customHeight="1">
      <c r="A2567" s="1391" t="s">
        <v>29</v>
      </c>
      <c r="B2567" s="1626" t="str">
        <f>'CNKT '!C320</f>
        <v>Thảo Ly</v>
      </c>
      <c r="C2567" s="1376" t="str">
        <f>VLOOKUP(B2567,'BTH mủ tạp'!$C$246:$AL$314,36,0)</f>
        <v>C.</v>
      </c>
      <c r="D2567" s="1376"/>
      <c r="E2567" s="1439" t="s">
        <v>69</v>
      </c>
      <c r="F2567" s="1436"/>
      <c r="G2567" s="1391" t="s">
        <v>29</v>
      </c>
      <c r="H2567" s="1626" t="str">
        <f>'CNKT '!C321</f>
        <v>Thảo Linh</v>
      </c>
      <c r="I2567" s="1376" t="str">
        <f>VLOOKUP(H2567,'BTH mủ tạp'!$C$246:$AL$314,36,0)</f>
        <v>C.</v>
      </c>
      <c r="J2567" s="1439" t="s">
        <v>69</v>
      </c>
      <c r="K2567" s="1435"/>
      <c r="L2567" s="1385"/>
    </row>
    <row r="2568" spans="1:15" s="31" customFormat="1" ht="17.25" customHeight="1">
      <c r="A2568" s="1375" t="s">
        <v>807</v>
      </c>
      <c r="B2568" s="1628" t="s">
        <v>1080</v>
      </c>
      <c r="C2568" s="1376" t="str">
        <f>VLOOKUP(B2567,'BTH mủ tạp'!$C$246:$AL$314,36,0)</f>
        <v>C.</v>
      </c>
      <c r="D2568" s="1377"/>
      <c r="E2568" s="1377"/>
      <c r="F2568" s="1436"/>
      <c r="G2568" s="1375" t="s">
        <v>807</v>
      </c>
      <c r="H2568" s="1628" t="s">
        <v>1080</v>
      </c>
      <c r="I2568" s="1376" t="str">
        <f>VLOOKUP(H2567,'BTH mủ tạp'!$C$246:$AL$314,36,0)</f>
        <v>C.</v>
      </c>
      <c r="J2568" s="1377"/>
      <c r="K2568" s="1377"/>
      <c r="L2568" s="1328"/>
      <c r="M2568" s="1421"/>
      <c r="N2568" s="1421"/>
    </row>
    <row r="2569" spans="1:15" s="31" customFormat="1" ht="17.25" customHeight="1">
      <c r="A2569" s="1375" t="s">
        <v>121</v>
      </c>
      <c r="B2569" s="1629" t="s">
        <v>865</v>
      </c>
      <c r="C2569" s="1378">
        <f>VLOOKUP(B2567,'CNKT '!$C$256:$Z$326,3,0)</f>
        <v>0</v>
      </c>
      <c r="D2569" s="1379">
        <v>25000</v>
      </c>
      <c r="E2569" s="1377">
        <f t="shared" ref="E2569:E2574" si="303">C2569*D2569</f>
        <v>0</v>
      </c>
      <c r="F2569" s="1436"/>
      <c r="G2569" s="1375" t="s">
        <v>121</v>
      </c>
      <c r="H2569" s="1629" t="s">
        <v>865</v>
      </c>
      <c r="I2569" s="1378">
        <f>VLOOKUP(H2567,'CNKT '!$C$256:$Z$326,3,0)</f>
        <v>0</v>
      </c>
      <c r="J2569" s="1379">
        <v>25000</v>
      </c>
      <c r="K2569" s="1377">
        <f t="shared" ref="K2569:K2574" si="304">I2569*J2569</f>
        <v>0</v>
      </c>
      <c r="L2569" s="1328"/>
    </row>
    <row r="2570" spans="1:15" s="31" customFormat="1" ht="17.25" customHeight="1">
      <c r="A2570" s="1375" t="s">
        <v>628</v>
      </c>
      <c r="B2570" s="1630" t="s">
        <v>1081</v>
      </c>
      <c r="C2570" s="1433">
        <f>VLOOKUP(B2567,'CNKT '!$C$256:$Z$326,11,0)</f>
        <v>0</v>
      </c>
      <c r="D2570" s="1380">
        <f>46.1*$B$2</f>
        <v>30241.600000000002</v>
      </c>
      <c r="E2570" s="1377">
        <f t="shared" si="303"/>
        <v>0</v>
      </c>
      <c r="F2570" s="1436"/>
      <c r="G2570" s="1375" t="s">
        <v>628</v>
      </c>
      <c r="H2570" s="1630" t="s">
        <v>1081</v>
      </c>
      <c r="I2570" s="1433">
        <f>VLOOKUP(H2567,'CNKT '!$C$256:$Z$326,11,0)</f>
        <v>0</v>
      </c>
      <c r="J2570" s="1380">
        <f>46.1*$B$2</f>
        <v>30241.600000000002</v>
      </c>
      <c r="K2570" s="1377">
        <f t="shared" si="304"/>
        <v>0</v>
      </c>
      <c r="L2570" s="1328"/>
    </row>
    <row r="2571" spans="1:15" s="31" customFormat="1" ht="17.25" customHeight="1">
      <c r="A2571" s="1375" t="s">
        <v>809</v>
      </c>
      <c r="B2571" s="1630" t="s">
        <v>1082</v>
      </c>
      <c r="C2571" s="1433">
        <f>VLOOKUP(B2567,'CNKT '!$C$256:$Z$326,12,0)</f>
        <v>0</v>
      </c>
      <c r="D2571" s="1379">
        <f>76.9*$B$2</f>
        <v>50446.400000000001</v>
      </c>
      <c r="E2571" s="1377">
        <f t="shared" si="303"/>
        <v>0</v>
      </c>
      <c r="F2571" s="1436"/>
      <c r="G2571" s="1375" t="s">
        <v>809</v>
      </c>
      <c r="H2571" s="1630" t="s">
        <v>1082</v>
      </c>
      <c r="I2571" s="1433">
        <f>VLOOKUP(H2567,'CNKT '!$C$256:$Z$326,12,0)</f>
        <v>0</v>
      </c>
      <c r="J2571" s="1379">
        <f>76.9*$B$2</f>
        <v>50446.400000000001</v>
      </c>
      <c r="K2571" s="1377">
        <f t="shared" si="304"/>
        <v>0</v>
      </c>
      <c r="L2571" s="1328"/>
    </row>
    <row r="2572" spans="1:15" s="31" customFormat="1" ht="17.25" customHeight="1">
      <c r="A2572" s="1375" t="s">
        <v>122</v>
      </c>
      <c r="B2572" s="1630" t="s">
        <v>1083</v>
      </c>
      <c r="C2572" s="1433">
        <f>VLOOKUP(B2567,'CNKT '!$C$256:$Z$326,8,0)</f>
        <v>0</v>
      </c>
      <c r="D2572" s="1379">
        <f>IF(C2568="A",6.1,IF(C2568="B",5.8,IF(C2568="C",5.5,IF(C2568="C.",5.5,IF(C2568="D",5.2)))))*$B$2</f>
        <v>3608</v>
      </c>
      <c r="E2572" s="1377">
        <f t="shared" si="303"/>
        <v>0</v>
      </c>
      <c r="F2572" s="1436"/>
      <c r="G2572" s="1375" t="s">
        <v>122</v>
      </c>
      <c r="H2572" s="1630" t="s">
        <v>1083</v>
      </c>
      <c r="I2572" s="1433">
        <f>VLOOKUP(H2567,'CNKT '!$C$256:$Z$326,8,0)</f>
        <v>0</v>
      </c>
      <c r="J2572" s="1379">
        <f>IF(I2568="A",6.1,IF(I2568="B",5.8,IF(I2568="C",5.5,IF(I2568="C.",5.5,IF(I2568="D",5.2)))))*$B$2</f>
        <v>3608</v>
      </c>
      <c r="K2572" s="1377">
        <f t="shared" si="304"/>
        <v>0</v>
      </c>
    </row>
    <row r="2573" spans="1:15" s="31" customFormat="1" ht="17.25" customHeight="1">
      <c r="A2573" s="1375" t="s">
        <v>885</v>
      </c>
      <c r="B2573" s="1630" t="s">
        <v>1084</v>
      </c>
      <c r="C2573" s="1433">
        <f>VLOOKUP(B2567,'CNKT '!$C$256:$Z$326,15,0)</f>
        <v>0</v>
      </c>
      <c r="D2573" s="1380">
        <f>92.2*$B$2</f>
        <v>60483.200000000004</v>
      </c>
      <c r="E2573" s="1377">
        <f t="shared" si="303"/>
        <v>0</v>
      </c>
      <c r="F2573" s="1436"/>
      <c r="G2573" s="1375" t="s">
        <v>885</v>
      </c>
      <c r="H2573" s="1630" t="s">
        <v>1084</v>
      </c>
      <c r="I2573" s="1433">
        <f>VLOOKUP(H2567,'CNKT '!$C$256:$Z$326,15,0)</f>
        <v>0</v>
      </c>
      <c r="J2573" s="1380">
        <f>92.2*$B$2</f>
        <v>60483.200000000004</v>
      </c>
      <c r="K2573" s="1377">
        <f t="shared" si="304"/>
        <v>0</v>
      </c>
    </row>
    <row r="2574" spans="1:15" s="31" customFormat="1" ht="17.25" customHeight="1">
      <c r="A2574" s="1375" t="s">
        <v>886</v>
      </c>
      <c r="B2574" s="1630" t="s">
        <v>964</v>
      </c>
      <c r="C2574" s="1433">
        <f>VLOOKUP(B2567,'CNKT '!$C$256:$Z$326,14,0)</f>
        <v>0</v>
      </c>
      <c r="D2574" s="1379">
        <f>153.6*$B$2</f>
        <v>100761.59999999999</v>
      </c>
      <c r="E2574" s="1377">
        <f t="shared" si="303"/>
        <v>0</v>
      </c>
      <c r="F2574" s="1436"/>
      <c r="G2574" s="1375" t="s">
        <v>886</v>
      </c>
      <c r="H2574" s="1630" t="s">
        <v>964</v>
      </c>
      <c r="I2574" s="1433">
        <f>VLOOKUP(H2567,'CNKT '!$C$256:$Z$326,14,0)</f>
        <v>0</v>
      </c>
      <c r="J2574" s="1379">
        <f>153.6*$B$2</f>
        <v>100761.59999999999</v>
      </c>
      <c r="K2574" s="1377">
        <f t="shared" si="304"/>
        <v>0</v>
      </c>
      <c r="L2574" s="1411"/>
      <c r="M2574" s="1421"/>
    </row>
    <row r="2575" spans="1:15" s="31" customFormat="1" ht="17.25" customHeight="1">
      <c r="A2575" s="1375" t="s">
        <v>899</v>
      </c>
      <c r="B2575" s="1630" t="s">
        <v>965</v>
      </c>
      <c r="C2575" s="1433">
        <f>VLOOKUP(B2567,'CNKT '!$C$256:$Z$325,18,0)</f>
        <v>0</v>
      </c>
      <c r="D2575" s="1379">
        <v>10000</v>
      </c>
      <c r="E2575" s="1377">
        <f>C2575*D2575</f>
        <v>0</v>
      </c>
      <c r="F2575" s="1436"/>
      <c r="G2575" s="1375" t="s">
        <v>899</v>
      </c>
      <c r="H2575" s="1630" t="s">
        <v>965</v>
      </c>
      <c r="I2575" s="1433">
        <f>VLOOKUP(H2567,'CNKT '!$C$256:$Z$325,18,0)</f>
        <v>0</v>
      </c>
      <c r="J2575" s="1379">
        <v>10000</v>
      </c>
      <c r="K2575" s="1377">
        <f>I2575*J2575</f>
        <v>0</v>
      </c>
    </row>
    <row r="2576" spans="1:15" s="31" customFormat="1" ht="17.25" customHeight="1">
      <c r="A2576" s="1375" t="s">
        <v>899</v>
      </c>
      <c r="B2576" s="1630" t="s">
        <v>965</v>
      </c>
      <c r="C2576" s="1433">
        <f>VLOOKUP(B2567,'CNKT '!$C$256:$Z$325,19,0)</f>
        <v>0</v>
      </c>
      <c r="D2576" s="1379">
        <v>20000</v>
      </c>
      <c r="E2576" s="1377">
        <f>C2576*D2576</f>
        <v>0</v>
      </c>
      <c r="F2576" s="1436"/>
      <c r="G2576" s="1375" t="s">
        <v>899</v>
      </c>
      <c r="H2576" s="1630" t="s">
        <v>965</v>
      </c>
      <c r="I2576" s="1433">
        <f>VLOOKUP(H2567,'CNKT '!$C$256:$Z$325,19,0)</f>
        <v>0</v>
      </c>
      <c r="J2576" s="1379">
        <v>20000</v>
      </c>
      <c r="K2576" s="1377">
        <f>I2576*J2576</f>
        <v>0</v>
      </c>
    </row>
    <row r="2577" spans="1:12" s="31" customFormat="1" ht="17.25" customHeight="1">
      <c r="A2577" s="1381" t="s">
        <v>123</v>
      </c>
      <c r="B2577" s="1631" t="s">
        <v>1085</v>
      </c>
      <c r="C2577" s="1382"/>
      <c r="D2577" s="1383"/>
      <c r="E2577" s="1382"/>
      <c r="F2577" s="1436"/>
      <c r="G2577" s="1381" t="s">
        <v>123</v>
      </c>
      <c r="H2577" s="1631" t="s">
        <v>1085</v>
      </c>
      <c r="I2577" s="1382"/>
      <c r="J2577" s="1383"/>
      <c r="K2577" s="1382"/>
    </row>
    <row r="2578" spans="1:12" s="31" customFormat="1" ht="17.25" customHeight="1">
      <c r="A2578" s="1384" t="s">
        <v>124</v>
      </c>
      <c r="B2578" s="1632" t="s">
        <v>1086</v>
      </c>
      <c r="C2578" s="1382"/>
      <c r="D2578" s="1382"/>
      <c r="E2578" s="1382"/>
      <c r="F2578" s="1436"/>
      <c r="G2578" s="1384" t="s">
        <v>124</v>
      </c>
      <c r="H2578" s="1632" t="s">
        <v>1086</v>
      </c>
      <c r="I2578" s="1382"/>
      <c r="J2578" s="1382"/>
      <c r="K2578" s="1382"/>
    </row>
    <row r="2579" spans="1:12" s="31" customFormat="1" ht="17.25" customHeight="1">
      <c r="A2579" s="1384" t="s">
        <v>125</v>
      </c>
      <c r="B2579" s="1633" t="s">
        <v>1087</v>
      </c>
      <c r="C2579" s="1382"/>
      <c r="D2579" s="1382"/>
      <c r="E2579" s="1377">
        <f>SUM(E2578)</f>
        <v>0</v>
      </c>
      <c r="F2579" s="1435"/>
      <c r="G2579" s="1384" t="s">
        <v>125</v>
      </c>
      <c r="H2579" s="1633" t="s">
        <v>1087</v>
      </c>
      <c r="I2579" s="1382"/>
      <c r="J2579" s="1382"/>
      <c r="K2579" s="1377">
        <f>SUM(K2578)</f>
        <v>0</v>
      </c>
    </row>
    <row r="2580" spans="1:12" s="31" customFormat="1" ht="17.25" customHeight="1">
      <c r="A2580" s="1386" t="s">
        <v>126</v>
      </c>
      <c r="B2580" s="1634" t="s">
        <v>871</v>
      </c>
      <c r="C2580" s="1387"/>
      <c r="D2580" s="1387"/>
      <c r="E2580" s="1387">
        <f>(E2569+E2570+E2571+E2572+E2573+E2574+E2575+E2576)-E2579</f>
        <v>0</v>
      </c>
      <c r="F2580" s="1435"/>
      <c r="G2580" s="1386" t="s">
        <v>126</v>
      </c>
      <c r="H2580" s="1634" t="s">
        <v>871</v>
      </c>
      <c r="I2580" s="1387"/>
      <c r="J2580" s="1387"/>
      <c r="K2580" s="1387">
        <f>(K2569+K2570+K2571+K2572+K2573+K2574+K2575+K2576)-K2579</f>
        <v>0</v>
      </c>
      <c r="L2580" s="1389">
        <f>E2580+K2580</f>
        <v>0</v>
      </c>
    </row>
    <row r="2581" spans="1:12" s="31" customFormat="1" ht="17.25" customHeight="1"/>
    <row r="2582" spans="1:12" s="31" customFormat="1" ht="17.25" customHeight="1">
      <c r="A2582" s="1445" t="str">
        <f>A2566</f>
        <v>LƯƠNG THÁNG 01/2025</v>
      </c>
      <c r="B2582" s="1449"/>
      <c r="C2582" s="1449"/>
      <c r="D2582" s="1449"/>
      <c r="E2582" s="1452">
        <f>VLOOKUP(B2583,'CNKT '!$C$256:$AD$325,26,0)</f>
        <v>0</v>
      </c>
      <c r="F2582" s="1436"/>
      <c r="G2582" s="1445" t="str">
        <f>A2582</f>
        <v>LƯƠNG THÁNG 01/2025</v>
      </c>
      <c r="H2582" s="1449"/>
      <c r="I2582" s="1449"/>
      <c r="J2582" s="1452"/>
      <c r="K2582" s="1452">
        <f>VLOOKUP(H2583,'CNKT '!$C$256:$AD$325,26,0)</f>
        <v>0</v>
      </c>
    </row>
    <row r="2583" spans="1:12" s="31" customFormat="1" ht="17.25" customHeight="1">
      <c r="A2583" s="1391" t="s">
        <v>29</v>
      </c>
      <c r="B2583" s="1626" t="str">
        <f>'CNKT '!C324</f>
        <v>T. Tý</v>
      </c>
      <c r="C2583" s="1376" t="s">
        <v>54</v>
      </c>
      <c r="D2583" s="1376"/>
      <c r="E2583" s="1439" t="s">
        <v>69</v>
      </c>
      <c r="F2583" s="1436"/>
      <c r="G2583" s="1391" t="s">
        <v>29</v>
      </c>
      <c r="H2583" s="1626" t="str">
        <f>'CNKT '!C325</f>
        <v>T Mon D4 (Tú)</v>
      </c>
      <c r="I2583" s="1376"/>
      <c r="J2583" s="1439" t="s">
        <v>69</v>
      </c>
      <c r="K2583" s="1435"/>
    </row>
    <row r="2584" spans="1:12" s="31" customFormat="1" ht="17.25" customHeight="1">
      <c r="A2584" s="1375" t="s">
        <v>807</v>
      </c>
      <c r="B2584" s="1628" t="s">
        <v>1080</v>
      </c>
      <c r="C2584" s="1376"/>
      <c r="D2584" s="1377"/>
      <c r="E2584" s="1377"/>
      <c r="F2584" s="1436"/>
      <c r="G2584" s="1375" t="s">
        <v>807</v>
      </c>
      <c r="H2584" s="1628" t="s">
        <v>1080</v>
      </c>
      <c r="I2584" s="1376"/>
      <c r="J2584" s="1377"/>
      <c r="K2584" s="1377"/>
    </row>
    <row r="2585" spans="1:12" s="31" customFormat="1" ht="17.25" customHeight="1">
      <c r="A2585" s="1375" t="s">
        <v>121</v>
      </c>
      <c r="B2585" s="1629" t="s">
        <v>865</v>
      </c>
      <c r="C2585" s="1378">
        <f>VLOOKUP(B2583,'CNKT '!$C$256:$Z$326,3,0)</f>
        <v>2841.86</v>
      </c>
      <c r="D2585" s="1379">
        <v>25000</v>
      </c>
      <c r="E2585" s="1377">
        <f t="shared" ref="E2585:E2590" si="305">C2585*D2585</f>
        <v>71046500</v>
      </c>
      <c r="F2585" s="1436"/>
      <c r="G2585" s="1375" t="s">
        <v>121</v>
      </c>
      <c r="H2585" s="1629" t="s">
        <v>865</v>
      </c>
      <c r="I2585" s="1378">
        <f>VLOOKUP(H2583,'CNKT '!$C$256:$Z$326,3,0)</f>
        <v>0</v>
      </c>
      <c r="J2585" s="1379">
        <v>25000</v>
      </c>
      <c r="K2585" s="1377">
        <f t="shared" ref="K2585:K2590" si="306">I2585*J2585</f>
        <v>0</v>
      </c>
    </row>
    <row r="2586" spans="1:12" s="31" customFormat="1" ht="17.25" customHeight="1">
      <c r="A2586" s="1375" t="s">
        <v>628</v>
      </c>
      <c r="B2586" s="1630" t="s">
        <v>1081</v>
      </c>
      <c r="C2586" s="1433">
        <f>VLOOKUP(B2583,'CNKT '!$C$256:$Z$326,11,0)</f>
        <v>0</v>
      </c>
      <c r="D2586" s="1380">
        <f>46.1*$B$2</f>
        <v>30241.600000000002</v>
      </c>
      <c r="E2586" s="1377">
        <f t="shared" si="305"/>
        <v>0</v>
      </c>
      <c r="F2586" s="1436"/>
      <c r="G2586" s="1375" t="s">
        <v>628</v>
      </c>
      <c r="H2586" s="1630" t="s">
        <v>1081</v>
      </c>
      <c r="I2586" s="1433">
        <f>VLOOKUP(H2583,'CNKT '!$C$256:$Z$326,11,0)</f>
        <v>0</v>
      </c>
      <c r="J2586" s="1380">
        <f>46.1*$B$2</f>
        <v>30241.600000000002</v>
      </c>
      <c r="K2586" s="1377">
        <f t="shared" si="306"/>
        <v>0</v>
      </c>
    </row>
    <row r="2587" spans="1:12" s="31" customFormat="1" ht="17.25" customHeight="1">
      <c r="A2587" s="1375" t="s">
        <v>809</v>
      </c>
      <c r="B2587" s="1630" t="s">
        <v>1082</v>
      </c>
      <c r="C2587" s="1433">
        <f>VLOOKUP(B2583,'CNKT '!$C$256:$Z$326,12,0)</f>
        <v>0</v>
      </c>
      <c r="D2587" s="1379">
        <f>76.9*$B$2</f>
        <v>50446.400000000001</v>
      </c>
      <c r="E2587" s="1377">
        <f t="shared" si="305"/>
        <v>0</v>
      </c>
      <c r="F2587" s="1436"/>
      <c r="G2587" s="1375" t="s">
        <v>809</v>
      </c>
      <c r="H2587" s="1630" t="s">
        <v>1082</v>
      </c>
      <c r="I2587" s="1433">
        <f>VLOOKUP(H2583,'CNKT '!$C$256:$Z$326,12,0)</f>
        <v>0</v>
      </c>
      <c r="J2587" s="1379">
        <f>76.9*$B$2</f>
        <v>50446.400000000001</v>
      </c>
      <c r="K2587" s="1377">
        <f t="shared" si="306"/>
        <v>0</v>
      </c>
    </row>
    <row r="2588" spans="1:12" s="31" customFormat="1" ht="17.25" customHeight="1">
      <c r="A2588" s="1375" t="s">
        <v>122</v>
      </c>
      <c r="B2588" s="1630" t="s">
        <v>1083</v>
      </c>
      <c r="C2588" s="1433">
        <f>VLOOKUP(B2583,'CNKT '!$C$256:$Z$326,8,0)</f>
        <v>0</v>
      </c>
      <c r="D2588" s="1379">
        <f>IF(C2584="A",6.1,IF(C2584="B",5.8,IF(C2584="C",5.5,IF(C2584="C.",5.5,IF(C2584="D",5.2)))))*$B$2</f>
        <v>0</v>
      </c>
      <c r="E2588" s="1377">
        <f t="shared" si="305"/>
        <v>0</v>
      </c>
      <c r="F2588" s="1436"/>
      <c r="G2588" s="1375" t="s">
        <v>122</v>
      </c>
      <c r="H2588" s="1630" t="s">
        <v>1083</v>
      </c>
      <c r="I2588" s="1433">
        <f>VLOOKUP(H2583,'CNKT '!$C$256:$Z$326,8,0)</f>
        <v>0</v>
      </c>
      <c r="J2588" s="1379">
        <f>IF(I2584="A",6.1,IF(I2584="B",5.8,IF(I2584="C",5.5,IF(I2584="C.",5.5,IF(I2584="D",5.2)))))*$B$2</f>
        <v>0</v>
      </c>
      <c r="K2588" s="1377">
        <f t="shared" si="306"/>
        <v>0</v>
      </c>
    </row>
    <row r="2589" spans="1:12" s="31" customFormat="1" ht="17.25" customHeight="1">
      <c r="A2589" s="1375" t="s">
        <v>885</v>
      </c>
      <c r="B2589" s="1630" t="s">
        <v>1084</v>
      </c>
      <c r="C2589" s="1433">
        <f>VLOOKUP(B2583,'CNKT '!$C$256:$Z$326,15,0)</f>
        <v>0</v>
      </c>
      <c r="D2589" s="1380">
        <f>92.2*$B$2</f>
        <v>60483.200000000004</v>
      </c>
      <c r="E2589" s="1377">
        <f t="shared" si="305"/>
        <v>0</v>
      </c>
      <c r="F2589" s="1436"/>
      <c r="G2589" s="1375" t="s">
        <v>885</v>
      </c>
      <c r="H2589" s="1630" t="s">
        <v>1084</v>
      </c>
      <c r="I2589" s="1433">
        <f>VLOOKUP(H2583,'CNKT '!$C$256:$Z$326,15,0)</f>
        <v>0</v>
      </c>
      <c r="J2589" s="1380">
        <f>92.2*$B$2</f>
        <v>60483.200000000004</v>
      </c>
      <c r="K2589" s="1377">
        <f t="shared" si="306"/>
        <v>0</v>
      </c>
    </row>
    <row r="2590" spans="1:12" s="31" customFormat="1" ht="17.25" customHeight="1">
      <c r="A2590" s="1375" t="s">
        <v>886</v>
      </c>
      <c r="B2590" s="1630" t="s">
        <v>964</v>
      </c>
      <c r="C2590" s="1433">
        <f>VLOOKUP(B2583,'CNKT '!$C$256:$Z$326,14,0)</f>
        <v>0</v>
      </c>
      <c r="D2590" s="1379">
        <f>153.6*$B$2</f>
        <v>100761.59999999999</v>
      </c>
      <c r="E2590" s="1377">
        <f t="shared" si="305"/>
        <v>0</v>
      </c>
      <c r="F2590" s="1436"/>
      <c r="G2590" s="1375" t="s">
        <v>886</v>
      </c>
      <c r="H2590" s="1630" t="s">
        <v>964</v>
      </c>
      <c r="I2590" s="1433">
        <f>VLOOKUP(H2583,'CNKT '!$C$256:$Z$326,14,0)</f>
        <v>0</v>
      </c>
      <c r="J2590" s="1379">
        <f>153.6*$B$2</f>
        <v>100761.59999999999</v>
      </c>
      <c r="K2590" s="1377">
        <f t="shared" si="306"/>
        <v>0</v>
      </c>
    </row>
    <row r="2591" spans="1:12" s="31" customFormat="1" ht="17.25" customHeight="1">
      <c r="A2591" s="1375" t="s">
        <v>899</v>
      </c>
      <c r="B2591" s="1630" t="s">
        <v>965</v>
      </c>
      <c r="C2591" s="1433">
        <f>VLOOKUP(B2583,'CNKT '!$C$256:$Z$325,18,0)</f>
        <v>0</v>
      </c>
      <c r="D2591" s="1379">
        <v>10000</v>
      </c>
      <c r="E2591" s="1377">
        <f>C2591*D2591</f>
        <v>0</v>
      </c>
      <c r="F2591" s="1436"/>
      <c r="G2591" s="1375" t="s">
        <v>899</v>
      </c>
      <c r="H2591" s="1630" t="s">
        <v>965</v>
      </c>
      <c r="I2591" s="1433">
        <f>VLOOKUP(H2583,'CNKT '!$C$256:$Z$325,18,0)</f>
        <v>0</v>
      </c>
      <c r="J2591" s="1379">
        <v>10000</v>
      </c>
      <c r="K2591" s="1377">
        <f>I2591*J2591</f>
        <v>0</v>
      </c>
    </row>
    <row r="2592" spans="1:12" s="31" customFormat="1" ht="17.25" customHeight="1">
      <c r="A2592" s="1375" t="s">
        <v>899</v>
      </c>
      <c r="B2592" s="1630" t="s">
        <v>965</v>
      </c>
      <c r="C2592" s="1433">
        <f>VLOOKUP(B2583,'CNKT '!$C$256:$Z$325,19,0)</f>
        <v>0</v>
      </c>
      <c r="D2592" s="1379">
        <v>20000</v>
      </c>
      <c r="E2592" s="1377">
        <f>C2592*D2592</f>
        <v>0</v>
      </c>
      <c r="F2592" s="1436"/>
      <c r="G2592" s="1375" t="s">
        <v>899</v>
      </c>
      <c r="H2592" s="1630" t="s">
        <v>965</v>
      </c>
      <c r="I2592" s="1433">
        <f>VLOOKUP(H2583,'CNKT '!$C$256:$Z$325,19,0)</f>
        <v>0</v>
      </c>
      <c r="J2592" s="1379">
        <v>20000</v>
      </c>
      <c r="K2592" s="1377">
        <f>I2592*J2592</f>
        <v>0</v>
      </c>
    </row>
    <row r="2593" spans="1:14" s="31" customFormat="1" ht="17.25" customHeight="1">
      <c r="A2593" s="1381" t="s">
        <v>123</v>
      </c>
      <c r="B2593" s="1631" t="s">
        <v>1085</v>
      </c>
      <c r="C2593" s="1382"/>
      <c r="D2593" s="1383"/>
      <c r="E2593" s="1382"/>
      <c r="F2593" s="1436"/>
      <c r="G2593" s="1381" t="s">
        <v>123</v>
      </c>
      <c r="H2593" s="1631" t="s">
        <v>1085</v>
      </c>
      <c r="I2593" s="1382"/>
      <c r="J2593" s="1383"/>
      <c r="K2593" s="1382"/>
    </row>
    <row r="2594" spans="1:14" s="31" customFormat="1" ht="17.25" customHeight="1">
      <c r="A2594" s="1384" t="s">
        <v>124</v>
      </c>
      <c r="B2594" s="1632" t="s">
        <v>1086</v>
      </c>
      <c r="C2594" s="1382"/>
      <c r="D2594" s="1382"/>
      <c r="E2594" s="1382"/>
      <c r="F2594" s="1436"/>
      <c r="G2594" s="1384" t="s">
        <v>124</v>
      </c>
      <c r="H2594" s="1632" t="s">
        <v>1086</v>
      </c>
      <c r="I2594" s="1382"/>
      <c r="J2594" s="1382"/>
      <c r="K2594" s="1382"/>
    </row>
    <row r="2595" spans="1:14" s="31" customFormat="1" ht="17.25" customHeight="1">
      <c r="A2595" s="1384" t="s">
        <v>125</v>
      </c>
      <c r="B2595" s="1633" t="s">
        <v>1087</v>
      </c>
      <c r="C2595" s="1382"/>
      <c r="D2595" s="1382"/>
      <c r="E2595" s="1377">
        <f>SUM(E2594)</f>
        <v>0</v>
      </c>
      <c r="F2595" s="1435"/>
      <c r="G2595" s="1384" t="s">
        <v>125</v>
      </c>
      <c r="H2595" s="1633" t="s">
        <v>1087</v>
      </c>
      <c r="I2595" s="1382"/>
      <c r="J2595" s="1382"/>
      <c r="K2595" s="1377">
        <f>SUM(K2594)</f>
        <v>0</v>
      </c>
    </row>
    <row r="2596" spans="1:14" s="31" customFormat="1" ht="17.25" customHeight="1">
      <c r="A2596" s="1386" t="s">
        <v>126</v>
      </c>
      <c r="B2596" s="1634" t="s">
        <v>871</v>
      </c>
      <c r="C2596" s="1387"/>
      <c r="D2596" s="1387"/>
      <c r="E2596" s="1387">
        <f>(E2585+E2586+E2587+E2588+E2589+E2590+E2591+E2592)-E2595</f>
        <v>71046500</v>
      </c>
      <c r="F2596" s="1435"/>
      <c r="G2596" s="1386" t="s">
        <v>126</v>
      </c>
      <c r="H2596" s="1634" t="s">
        <v>871</v>
      </c>
      <c r="I2596" s="1387"/>
      <c r="J2596" s="1387"/>
      <c r="K2596" s="1387">
        <f>(K2585+K2586+K2587+K2588+K2589+K2590+K2591+K2592)-K2595</f>
        <v>0</v>
      </c>
      <c r="L2596" s="1389">
        <f>E2596+K2596</f>
        <v>71046500</v>
      </c>
    </row>
    <row r="2597" spans="1:14" s="31" customFormat="1" ht="17.25" customHeight="1"/>
    <row r="2598" spans="1:14" s="31" customFormat="1" ht="17.25" customHeight="1">
      <c r="A2598" s="1445" t="str">
        <f>A2582</f>
        <v>LƯƠNG THÁNG 01/2025</v>
      </c>
      <c r="B2598" s="1449"/>
      <c r="C2598" s="1449"/>
      <c r="D2598" s="1449"/>
      <c r="E2598" s="1452"/>
      <c r="F2598" s="1436"/>
      <c r="G2598" s="1445" t="str">
        <f>A2598</f>
        <v>LƯƠNG THÁNG 01/2025</v>
      </c>
      <c r="H2598" s="1449"/>
      <c r="I2598" s="1449"/>
      <c r="J2598" s="1452"/>
      <c r="K2598" s="1435"/>
    </row>
    <row r="2599" spans="1:14" s="31" customFormat="1" ht="17.25" customHeight="1">
      <c r="A2599" s="1391" t="s">
        <v>29</v>
      </c>
      <c r="B2599" s="1626" t="str">
        <f>'CNKT '!C323</f>
        <v>Mủ xirum</v>
      </c>
      <c r="C2599" s="1376" t="s">
        <v>54</v>
      </c>
      <c r="D2599" s="1376"/>
      <c r="E2599" s="1439" t="s">
        <v>69</v>
      </c>
      <c r="F2599" s="1436"/>
      <c r="G2599" s="1391" t="s">
        <v>29</v>
      </c>
      <c r="H2599" s="1626" t="str">
        <f>'CNKT '!C322</f>
        <v>T. Xinh</v>
      </c>
      <c r="I2599" s="1376" t="s">
        <v>889</v>
      </c>
      <c r="J2599" s="1439" t="s">
        <v>69</v>
      </c>
      <c r="K2599" s="1435"/>
    </row>
    <row r="2600" spans="1:14" s="31" customFormat="1" ht="17.25" customHeight="1">
      <c r="A2600" s="1375" t="s">
        <v>121</v>
      </c>
      <c r="B2600" s="1189" t="s">
        <v>865</v>
      </c>
      <c r="C2600" s="1378">
        <f>VLOOKUP(B2599,'CNKT '!$C$256:$Z$336,3,0)</f>
        <v>0</v>
      </c>
      <c r="D2600" s="1379">
        <v>25000</v>
      </c>
      <c r="E2600" s="1377">
        <f t="shared" ref="E2600:E2605" si="307">C2600*D2600</f>
        <v>0</v>
      </c>
      <c r="F2600" s="1436"/>
      <c r="G2600" s="1375" t="s">
        <v>121</v>
      </c>
      <c r="H2600" s="1189" t="s">
        <v>865</v>
      </c>
      <c r="I2600" s="1378">
        <f>VLOOKUP(H2599,'CNKT '!$C$256:$Z$336,3,0)</f>
        <v>0</v>
      </c>
      <c r="J2600" s="1379">
        <v>25000</v>
      </c>
      <c r="K2600" s="1377">
        <f t="shared" ref="K2600:K2605" si="308">I2600*J2600</f>
        <v>0</v>
      </c>
    </row>
    <row r="2601" spans="1:14" s="31" customFormat="1" ht="17.25" customHeight="1">
      <c r="A2601" s="1375" t="s">
        <v>628</v>
      </c>
      <c r="B2601" s="1190" t="s">
        <v>866</v>
      </c>
      <c r="C2601" s="1433">
        <f>VLOOKUP(B2599,'CNKT '!$C$256:$Z$336,11,0)</f>
        <v>0</v>
      </c>
      <c r="D2601" s="1380">
        <f>46.1*$B$2</f>
        <v>30241.600000000002</v>
      </c>
      <c r="E2601" s="1377">
        <f t="shared" si="307"/>
        <v>0</v>
      </c>
      <c r="F2601" s="1436"/>
      <c r="G2601" s="1375" t="s">
        <v>628</v>
      </c>
      <c r="H2601" s="1190" t="s">
        <v>866</v>
      </c>
      <c r="I2601" s="1433">
        <f>VLOOKUP(H2599,'CNKT '!$C$256:$Z$336,11,0)</f>
        <v>0</v>
      </c>
      <c r="J2601" s="1380">
        <f>46.1*$B$2</f>
        <v>30241.600000000002</v>
      </c>
      <c r="K2601" s="1377">
        <f t="shared" si="308"/>
        <v>0</v>
      </c>
    </row>
    <row r="2602" spans="1:14" s="31" customFormat="1" ht="17.25" customHeight="1">
      <c r="A2602" s="1375" t="s">
        <v>809</v>
      </c>
      <c r="B2602" s="1190" t="s">
        <v>962</v>
      </c>
      <c r="C2602" s="1433">
        <f>VLOOKUP(B2599,'CNKT '!$C$256:$Z$336,12,0)</f>
        <v>0</v>
      </c>
      <c r="D2602" s="1379">
        <f>76.9*$B$2</f>
        <v>50446.400000000001</v>
      </c>
      <c r="E2602" s="1377">
        <f t="shared" si="307"/>
        <v>0</v>
      </c>
      <c r="F2602" s="1436"/>
      <c r="G2602" s="1375" t="s">
        <v>809</v>
      </c>
      <c r="H2602" s="1190" t="s">
        <v>962</v>
      </c>
      <c r="I2602" s="1433">
        <f>VLOOKUP(H2599,'CNKT '!$C$256:$Z$336,12,0)</f>
        <v>0</v>
      </c>
      <c r="J2602" s="1379">
        <f>76.9*$B$2</f>
        <v>50446.400000000001</v>
      </c>
      <c r="K2602" s="1377">
        <f t="shared" si="308"/>
        <v>0</v>
      </c>
    </row>
    <row r="2603" spans="1:14" s="31" customFormat="1" ht="17.25" customHeight="1">
      <c r="A2603" s="1375" t="s">
        <v>122</v>
      </c>
      <c r="B2603" s="1190" t="s">
        <v>867</v>
      </c>
      <c r="C2603" s="1433">
        <f>VLOOKUP(B2599,'CNKT '!$C$256:$Z$336,8,0)</f>
        <v>0</v>
      </c>
      <c r="D2603" s="1379">
        <f>IF(C2599="A",6.1,IF(C2599="B",5.8,IF(C2599="C",5.5,IF(C2599="C.",5.5,IF(C2599="D",5.2)))))*$B$2</f>
        <v>4001.6</v>
      </c>
      <c r="E2603" s="1377">
        <f t="shared" si="307"/>
        <v>0</v>
      </c>
      <c r="F2603" s="1436"/>
      <c r="G2603" s="1375" t="s">
        <v>122</v>
      </c>
      <c r="H2603" s="1190" t="s">
        <v>867</v>
      </c>
      <c r="I2603" s="1433">
        <f>VLOOKUP(H2599,'CNKT '!$C$256:$Z$336,8,0)</f>
        <v>0</v>
      </c>
      <c r="J2603" s="1379">
        <f>IF(I2599="A",6.1,IF(I2599="B",5.8,IF(I2599="C",5.5,IF(I2599="C.",5.5,IF(I2599="D",5.2)))))*$B$2</f>
        <v>3608</v>
      </c>
      <c r="K2603" s="1377">
        <f t="shared" si="308"/>
        <v>0</v>
      </c>
    </row>
    <row r="2604" spans="1:14" s="31" customFormat="1" ht="17.25" customHeight="1">
      <c r="A2604" s="1375" t="s">
        <v>885</v>
      </c>
      <c r="B2604" s="1190" t="s">
        <v>963</v>
      </c>
      <c r="C2604" s="1433">
        <f>VLOOKUP(B2599,'CNKT '!$C$256:$Z$336,15,0)</f>
        <v>0</v>
      </c>
      <c r="D2604" s="1380">
        <f>92.2*$B$2</f>
        <v>60483.200000000004</v>
      </c>
      <c r="E2604" s="1377">
        <f t="shared" si="307"/>
        <v>0</v>
      </c>
      <c r="F2604" s="1436"/>
      <c r="G2604" s="1375" t="s">
        <v>885</v>
      </c>
      <c r="H2604" s="1190" t="s">
        <v>963</v>
      </c>
      <c r="I2604" s="1433">
        <f>VLOOKUP(H2599,'CNKT '!$C$256:$Z$336,15,0)</f>
        <v>0</v>
      </c>
      <c r="J2604" s="1380">
        <f>92.2*$B$2</f>
        <v>60483.200000000004</v>
      </c>
      <c r="K2604" s="1377">
        <f t="shared" si="308"/>
        <v>0</v>
      </c>
    </row>
    <row r="2605" spans="1:14" s="31" customFormat="1" ht="17.25" customHeight="1">
      <c r="A2605" s="1375" t="s">
        <v>886</v>
      </c>
      <c r="B2605" s="1190" t="s">
        <v>964</v>
      </c>
      <c r="C2605" s="1433">
        <f>VLOOKUP(B2599,'CNKT '!$C$256:$Z$336,14,0)</f>
        <v>0</v>
      </c>
      <c r="D2605" s="1379">
        <f>153.6*$B$2</f>
        <v>100761.59999999999</v>
      </c>
      <c r="E2605" s="1377">
        <f t="shared" si="307"/>
        <v>0</v>
      </c>
      <c r="F2605" s="1436"/>
      <c r="G2605" s="1375" t="s">
        <v>886</v>
      </c>
      <c r="H2605" s="1190" t="s">
        <v>964</v>
      </c>
      <c r="I2605" s="1433">
        <f>VLOOKUP(H2599,'CNKT '!$C$256:$Z$336,14,0)</f>
        <v>0</v>
      </c>
      <c r="J2605" s="1379">
        <f>153.6*$B$2</f>
        <v>100761.59999999999</v>
      </c>
      <c r="K2605" s="1377">
        <f t="shared" si="308"/>
        <v>0</v>
      </c>
    </row>
    <row r="2606" spans="1:14" s="31" customFormat="1" ht="17.25" customHeight="1">
      <c r="A2606" s="1375" t="s">
        <v>899</v>
      </c>
      <c r="B2606" s="1190" t="s">
        <v>965</v>
      </c>
      <c r="C2606" s="1433">
        <f>VLOOKUP(B2599,'CNKT '!$C$256:$Z$325,18,0)</f>
        <v>0</v>
      </c>
      <c r="D2606" s="1379">
        <v>10000</v>
      </c>
      <c r="E2606" s="1377">
        <f>C2606*D2606</f>
        <v>0</v>
      </c>
      <c r="F2606" s="1436"/>
      <c r="G2606" s="1375" t="s">
        <v>899</v>
      </c>
      <c r="H2606" s="1190" t="s">
        <v>965</v>
      </c>
      <c r="I2606" s="1433">
        <f>VLOOKUP(H2599,'CNKT '!$C$256:$Z$325,18,0)</f>
        <v>0</v>
      </c>
      <c r="J2606" s="1379">
        <v>10000</v>
      </c>
      <c r="K2606" s="1377">
        <f>I2606*J2606</f>
        <v>0</v>
      </c>
    </row>
    <row r="2607" spans="1:14" s="31" customFormat="1" ht="17.25" customHeight="1">
      <c r="A2607" s="1375" t="s">
        <v>995</v>
      </c>
      <c r="B2607" s="1190" t="s">
        <v>997</v>
      </c>
      <c r="C2607" s="1433"/>
      <c r="D2607" s="1379"/>
      <c r="E2607" s="1377"/>
      <c r="F2607" s="1436"/>
      <c r="G2607" s="1375" t="s">
        <v>995</v>
      </c>
      <c r="H2607" s="1190" t="s">
        <v>997</v>
      </c>
      <c r="I2607" s="1433"/>
      <c r="J2607" s="1379"/>
      <c r="K2607" s="1377"/>
      <c r="N2607" s="1411"/>
    </row>
    <row r="2608" spans="1:14" s="31" customFormat="1" ht="17.25" customHeight="1">
      <c r="A2608" s="1375"/>
      <c r="B2608" s="1190"/>
      <c r="C2608" s="1433"/>
      <c r="D2608" s="1379"/>
      <c r="E2608" s="1377"/>
      <c r="F2608" s="1436"/>
      <c r="G2608" s="1375"/>
      <c r="H2608" s="1190"/>
      <c r="I2608" s="1433"/>
      <c r="J2608" s="1379"/>
      <c r="K2608" s="1377"/>
      <c r="N2608" s="1411"/>
    </row>
    <row r="2609" spans="1:15" s="31" customFormat="1" ht="17.25" customHeight="1">
      <c r="A2609" s="1381" t="s">
        <v>123</v>
      </c>
      <c r="B2609" s="1191" t="s">
        <v>868</v>
      </c>
      <c r="C2609" s="1382"/>
      <c r="D2609" s="1383"/>
      <c r="E2609" s="1382"/>
      <c r="F2609" s="1436"/>
      <c r="G2609" s="1381" t="s">
        <v>123</v>
      </c>
      <c r="H2609" s="1191" t="s">
        <v>868</v>
      </c>
      <c r="I2609" s="1382"/>
      <c r="J2609" s="1383"/>
      <c r="K2609" s="1382"/>
      <c r="L2609" s="1372"/>
      <c r="M2609" s="1411">
        <f>SUM(L2056:L2612)</f>
        <v>71046500</v>
      </c>
      <c r="N2609" s="1411">
        <v>392320913</v>
      </c>
      <c r="O2609" s="1421"/>
    </row>
    <row r="2610" spans="1:15" s="31" customFormat="1" ht="17.25" customHeight="1">
      <c r="A2610" s="1384" t="s">
        <v>124</v>
      </c>
      <c r="B2610" s="1192" t="s">
        <v>869</v>
      </c>
      <c r="C2610" s="1382"/>
      <c r="D2610" s="1382"/>
      <c r="E2610" s="1382"/>
      <c r="F2610" s="1436"/>
      <c r="G2610" s="1384" t="s">
        <v>124</v>
      </c>
      <c r="H2610" s="1192" t="s">
        <v>869</v>
      </c>
      <c r="I2610" s="1382"/>
      <c r="J2610" s="1382"/>
      <c r="K2610" s="1382"/>
      <c r="L2610" s="1372"/>
      <c r="N2610" s="1411">
        <v>9600000</v>
      </c>
    </row>
    <row r="2611" spans="1:15" s="31" customFormat="1" ht="17.25" customHeight="1">
      <c r="A2611" s="1384" t="s">
        <v>125</v>
      </c>
      <c r="B2611" s="1193" t="s">
        <v>870</v>
      </c>
      <c r="C2611" s="1382"/>
      <c r="D2611" s="1382"/>
      <c r="E2611" s="1377">
        <f>SUM(E2610)</f>
        <v>0</v>
      </c>
      <c r="F2611" s="1435"/>
      <c r="G2611" s="1384" t="s">
        <v>125</v>
      </c>
      <c r="H2611" s="1193" t="s">
        <v>870</v>
      </c>
      <c r="I2611" s="1382"/>
      <c r="J2611" s="1382"/>
      <c r="K2611" s="1377">
        <f>SUM(K2610)</f>
        <v>0</v>
      </c>
      <c r="M2611" s="1411">
        <f>SUM(M54:M2609)</f>
        <v>343164500</v>
      </c>
      <c r="N2611" s="1411">
        <v>312166698</v>
      </c>
      <c r="O2611" s="1421">
        <f>N2611-M2609</f>
        <v>241120198</v>
      </c>
    </row>
    <row r="2612" spans="1:15" s="31" customFormat="1" ht="17.25" customHeight="1">
      <c r="A2612" s="1386" t="s">
        <v>126</v>
      </c>
      <c r="B2612" s="1248" t="s">
        <v>871</v>
      </c>
      <c r="C2612" s="1387"/>
      <c r="D2612" s="1387"/>
      <c r="E2612" s="1387">
        <f>(E2600+E2601+E2602+E2603+E2604+E2605+E2606+E2607)-E2611</f>
        <v>0</v>
      </c>
      <c r="F2612" s="1435"/>
      <c r="G2612" s="1386" t="s">
        <v>126</v>
      </c>
      <c r="H2612" s="1248" t="s">
        <v>871</v>
      </c>
      <c r="I2612" s="1387"/>
      <c r="J2612" s="1387"/>
      <c r="K2612" s="1387">
        <f>(K2600+K2601+K2602+K2603+K2604+K2605+K2606+K2607)-K2611</f>
        <v>0</v>
      </c>
      <c r="L2612" s="1389">
        <f>E2612+K2612</f>
        <v>0</v>
      </c>
    </row>
    <row r="2613" spans="1:15" ht="16.5" customHeight="1">
      <c r="L2613" s="1186"/>
      <c r="M2613" s="1067"/>
      <c r="N2613" s="1067"/>
      <c r="O2613" s="421"/>
    </row>
    <row r="2615" spans="1:15" ht="21" customHeight="1">
      <c r="L2615" s="1187">
        <f>SUM(L8:L2613)</f>
        <v>343164500</v>
      </c>
      <c r="M2615" s="174"/>
      <c r="N2615" s="174"/>
      <c r="O2615" s="174"/>
    </row>
    <row r="2616" spans="1:15" ht="21" customHeight="1">
      <c r="L2616" s="1065"/>
    </row>
    <row r="2617" spans="1:15" ht="21" customHeight="1">
      <c r="L2617" s="1059">
        <v>475097563</v>
      </c>
      <c r="M2617" s="1066"/>
      <c r="N2617" s="1066"/>
    </row>
    <row r="2618" spans="1:15" ht="21" customHeight="1">
      <c r="L2618" s="1059">
        <v>526735269</v>
      </c>
    </row>
    <row r="2619" spans="1:15" ht="21" customHeight="1">
      <c r="L2619" s="1059">
        <v>418349018</v>
      </c>
    </row>
    <row r="2620" spans="1:15" ht="21" customHeight="1">
      <c r="L2620" s="1059">
        <v>312166698</v>
      </c>
    </row>
    <row r="2621" spans="1:15" ht="21" customHeight="1">
      <c r="L2621" s="1059"/>
    </row>
    <row r="2622" spans="1:15" ht="21" customHeight="1">
      <c r="L2622" s="1249">
        <f>SUM(L2617:L2620)+L2621</f>
        <v>1732348548</v>
      </c>
      <c r="M2622" s="1059">
        <f>L2622-L2615</f>
        <v>1389184048</v>
      </c>
    </row>
    <row r="2624" spans="1:15" ht="21" customHeight="1">
      <c r="L2624" s="174"/>
      <c r="M2624" s="1066">
        <f>L2622-L2615</f>
        <v>1389184048</v>
      </c>
    </row>
  </sheetData>
  <mergeCells count="135"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0"/>
  <sheetViews>
    <sheetView topLeftCell="A16" workbookViewId="0">
      <selection activeCell="G27" sqref="G27"/>
    </sheetView>
  </sheetViews>
  <sheetFormatPr defaultColWidth="9.140625" defaultRowHeight="16.5"/>
  <cols>
    <col min="1" max="1" width="6" style="1152" customWidth="1"/>
    <col min="2" max="2" width="7" style="1152" hidden="1" customWidth="1"/>
    <col min="3" max="3" width="5.7109375" style="1152" hidden="1" customWidth="1"/>
    <col min="4" max="4" width="27.42578125" style="1152" customWidth="1"/>
    <col min="5" max="5" width="18.42578125" style="1152" customWidth="1"/>
    <col min="6" max="6" width="23.85546875" style="1152" customWidth="1"/>
    <col min="7" max="7" width="23" style="1152" customWidth="1"/>
    <col min="8" max="8" width="30.5703125" style="1152" customWidth="1"/>
    <col min="9" max="9" width="10.28515625" style="1152" customWidth="1"/>
    <col min="10" max="10" width="7.42578125" style="1152" customWidth="1"/>
    <col min="11" max="11" width="10" style="1152" bestFit="1" customWidth="1"/>
    <col min="12" max="12" width="17.85546875" style="1152" customWidth="1"/>
    <col min="13" max="13" width="15.7109375" style="1152" bestFit="1" customWidth="1"/>
    <col min="14" max="16384" width="9.140625" style="1152"/>
  </cols>
  <sheetData>
    <row r="1" spans="1:13">
      <c r="A1" s="2193" t="s">
        <v>938</v>
      </c>
      <c r="B1" s="2193"/>
      <c r="C1" s="2193"/>
      <c r="D1" s="2193"/>
      <c r="E1" s="2193"/>
      <c r="F1" s="2193"/>
      <c r="G1" s="2193"/>
      <c r="H1" s="2193"/>
    </row>
    <row r="2" spans="1:13">
      <c r="A2" s="2193" t="s">
        <v>939</v>
      </c>
      <c r="B2" s="2193"/>
      <c r="C2" s="2193"/>
      <c r="D2" s="2193"/>
      <c r="E2" s="2193"/>
      <c r="F2" s="2193"/>
      <c r="G2" s="2193"/>
      <c r="H2" s="2193"/>
    </row>
    <row r="3" spans="1:13">
      <c r="A3" s="2194" t="s">
        <v>940</v>
      </c>
      <c r="B3" s="2193"/>
      <c r="C3" s="2193"/>
      <c r="D3" s="2193"/>
      <c r="E3" s="2193"/>
      <c r="F3" s="2193"/>
      <c r="G3" s="2193"/>
      <c r="H3" s="2193"/>
    </row>
    <row r="4" spans="1:13">
      <c r="A4" s="2192" t="s">
        <v>5</v>
      </c>
      <c r="B4" s="2192"/>
      <c r="C4" s="2192"/>
      <c r="D4" s="2192"/>
      <c r="E4" s="2192"/>
      <c r="F4" s="2192"/>
      <c r="G4" s="2192"/>
      <c r="H4" s="2192"/>
    </row>
    <row r="5" spans="1:13">
      <c r="A5" s="2193" t="s">
        <v>101</v>
      </c>
      <c r="B5" s="2193"/>
      <c r="C5" s="2193"/>
      <c r="D5" s="2193"/>
      <c r="E5" s="2193"/>
      <c r="F5" s="2193"/>
      <c r="G5" s="1153"/>
      <c r="H5" s="1153"/>
    </row>
    <row r="6" spans="1:13">
      <c r="A6" s="2193"/>
      <c r="B6" s="2193"/>
      <c r="C6" s="2193"/>
      <c r="D6" s="2193"/>
      <c r="E6" s="2193"/>
      <c r="F6" s="2193"/>
      <c r="G6" s="2193"/>
      <c r="H6" s="2193"/>
    </row>
    <row r="7" spans="1:13" ht="20.25">
      <c r="A7" s="2195" t="s">
        <v>1129</v>
      </c>
      <c r="B7" s="2195"/>
      <c r="C7" s="2195"/>
      <c r="D7" s="2195"/>
      <c r="E7" s="2195"/>
      <c r="F7" s="2195"/>
      <c r="G7" s="2195"/>
      <c r="H7" s="2195"/>
      <c r="I7" s="1154"/>
    </row>
    <row r="8" spans="1:13">
      <c r="I8" s="1155"/>
      <c r="J8" s="1155">
        <v>31</v>
      </c>
    </row>
    <row r="9" spans="1:13" ht="31.5" customHeight="1">
      <c r="A9" s="1156" t="s">
        <v>11</v>
      </c>
      <c r="B9" s="1157" t="s">
        <v>210</v>
      </c>
      <c r="C9" s="2196" t="s">
        <v>941</v>
      </c>
      <c r="D9" s="2197"/>
      <c r="E9" s="1157" t="s">
        <v>942</v>
      </c>
      <c r="F9" s="1157" t="s">
        <v>943</v>
      </c>
      <c r="G9" s="1157" t="s">
        <v>944</v>
      </c>
      <c r="H9" s="1158" t="s">
        <v>926</v>
      </c>
      <c r="I9" s="1159"/>
    </row>
    <row r="10" spans="1:13" s="1168" customFormat="1" ht="18" customHeight="1">
      <c r="A10" s="1160">
        <v>1</v>
      </c>
      <c r="B10" s="1161"/>
      <c r="C10" s="1162" t="s">
        <v>948</v>
      </c>
      <c r="D10" s="1010" t="str">
        <f>'Trạm cán '!E17</f>
        <v>Phi Ba Con</v>
      </c>
      <c r="E10" s="1010" t="s">
        <v>204</v>
      </c>
      <c r="F10" s="1182">
        <f>VLOOKUP(D10,'Trạm cán '!E17:P21,12,0)</f>
        <v>6996160</v>
      </c>
      <c r="G10" s="1182">
        <f>VLOOKUP(D10,'Trạm cán '!$E$17:$PS21,13,0)</f>
        <v>384616</v>
      </c>
      <c r="H10" s="1164"/>
      <c r="I10" s="1165"/>
      <c r="J10" s="1166" t="s">
        <v>949</v>
      </c>
      <c r="K10" s="1167"/>
      <c r="L10" s="1166"/>
      <c r="M10" s="1167"/>
    </row>
    <row r="11" spans="1:13" s="1168" customFormat="1" ht="18" customHeight="1">
      <c r="A11" s="1160">
        <v>2</v>
      </c>
      <c r="B11" s="1161"/>
      <c r="C11" s="1162" t="s">
        <v>948</v>
      </c>
      <c r="D11" s="1010" t="str">
        <f>'Trạm cán '!E18</f>
        <v>Ca Tăn</v>
      </c>
      <c r="E11" s="1010" t="s">
        <v>204</v>
      </c>
      <c r="F11" s="1182">
        <f>VLOOKUP(D11,'Trạm cán '!E18:P21,12,0)</f>
        <v>8745200</v>
      </c>
      <c r="G11" s="1182">
        <f>VLOOKUP(D11,'Trạm cán '!$E$17:$PS21,13,0)</f>
        <v>559520</v>
      </c>
      <c r="H11" s="1164"/>
      <c r="I11" s="1165"/>
      <c r="J11" s="1166" t="s">
        <v>949</v>
      </c>
      <c r="K11" s="1167"/>
      <c r="L11" s="1166"/>
      <c r="M11" s="1167"/>
    </row>
    <row r="12" spans="1:13" s="1168" customFormat="1" ht="18" customHeight="1">
      <c r="A12" s="1160">
        <v>3</v>
      </c>
      <c r="B12" s="1161" t="s">
        <v>950</v>
      </c>
      <c r="C12" s="1162"/>
      <c r="D12" s="1010" t="str">
        <f>'Trạm cán '!E19</f>
        <v>Đao Tha La</v>
      </c>
      <c r="E12" s="1010" t="s">
        <v>204</v>
      </c>
      <c r="F12" s="1182">
        <f>VLOOKUP(D12,'Trạm cán '!E19:P22,12,0)</f>
        <v>7652050</v>
      </c>
      <c r="G12" s="1182">
        <f>VLOOKUP(D12,'Trạm cán '!$E$17:$PS22,13,0)</f>
        <v>450205</v>
      </c>
      <c r="H12" s="1164"/>
      <c r="I12" s="1165"/>
      <c r="J12" s="1166" t="s">
        <v>951</v>
      </c>
      <c r="K12" s="1167"/>
      <c r="L12" s="1166"/>
      <c r="M12" s="1167"/>
    </row>
    <row r="13" spans="1:13" s="1168" customFormat="1" ht="18" customHeight="1">
      <c r="A13" s="1160">
        <v>4</v>
      </c>
      <c r="B13" s="1161" t="s">
        <v>952</v>
      </c>
      <c r="C13" s="1162"/>
      <c r="D13" s="1010" t="str">
        <f>'Trạm cán '!E20</f>
        <v>Sum Mai</v>
      </c>
      <c r="E13" s="1010" t="s">
        <v>204</v>
      </c>
      <c r="F13" s="1182">
        <f>VLOOKUP(D13,'Trạm cán '!E20:P23,12,0)</f>
        <v>6777530</v>
      </c>
      <c r="G13" s="1182">
        <f>VLOOKUP(D13,'Trạm cán '!$E$17:$PS23,13,0)</f>
        <v>362753</v>
      </c>
      <c r="H13" s="1164"/>
      <c r="I13" s="1165"/>
      <c r="J13" s="1166" t="s">
        <v>951</v>
      </c>
      <c r="K13" s="1167" t="s">
        <v>953</v>
      </c>
      <c r="L13" s="1166"/>
      <c r="M13" s="1167"/>
    </row>
    <row r="14" spans="1:13" s="1168" customFormat="1" ht="18" customHeight="1">
      <c r="A14" s="1160">
        <v>5</v>
      </c>
      <c r="B14" s="1161" t="s">
        <v>952</v>
      </c>
      <c r="C14" s="1162"/>
      <c r="D14" s="1162" t="str">
        <f>'lương gián tiếp'!B14</f>
        <v>Thảo Văn Vông</v>
      </c>
      <c r="E14" s="1162" t="s">
        <v>954</v>
      </c>
      <c r="F14" s="1163">
        <f>VLOOKUP(D14,'lương gián tiếp'!$B$14:$G$17,6,0)</f>
        <v>5034209</v>
      </c>
      <c r="G14" s="1163">
        <f>VLOOKUP(D14,'lương gián tiếp'!B14:H17,7,0)</f>
        <v>188420.9</v>
      </c>
      <c r="H14" s="1164"/>
      <c r="I14" s="1165"/>
      <c r="J14" s="1166" t="s">
        <v>951</v>
      </c>
      <c r="K14" s="1167" t="s">
        <v>953</v>
      </c>
      <c r="L14" s="1166"/>
      <c r="M14" s="1167"/>
    </row>
    <row r="15" spans="1:13" s="1168" customFormat="1" ht="18" customHeight="1">
      <c r="A15" s="1160">
        <v>6</v>
      </c>
      <c r="B15" s="1161" t="s">
        <v>945</v>
      </c>
      <c r="C15" s="1162" t="s">
        <v>946</v>
      </c>
      <c r="D15" s="1162" t="str">
        <f>'lương gián tiếp'!B15</f>
        <v>A lane Xaykhamsouk</v>
      </c>
      <c r="E15" s="1162" t="s">
        <v>954</v>
      </c>
      <c r="F15" s="1163">
        <f>VLOOKUP(D15,'lương gián tiếp'!$B$14:$G$17,6,0)</f>
        <v>5055256</v>
      </c>
      <c r="G15" s="1163">
        <f>VLOOKUP(D15,'lương gián tiếp'!B15:H18,7,0)</f>
        <v>190525.6</v>
      </c>
      <c r="H15" s="1164"/>
      <c r="I15" s="1165"/>
      <c r="J15" s="1166" t="s">
        <v>947</v>
      </c>
      <c r="K15" s="1167"/>
      <c r="L15" s="1166"/>
      <c r="M15" s="1167"/>
    </row>
    <row r="16" spans="1:13" s="1168" customFormat="1" ht="18" customHeight="1">
      <c r="A16" s="1160">
        <v>7</v>
      </c>
      <c r="B16" s="1161"/>
      <c r="C16" s="1162" t="s">
        <v>948</v>
      </c>
      <c r="D16" s="1162" t="str">
        <f>'lương gián tiếp'!B16</f>
        <v>Thảo Phôn Chay</v>
      </c>
      <c r="E16" s="1162" t="s">
        <v>954</v>
      </c>
      <c r="F16" s="1163">
        <f>VLOOKUP(D16,'lương gián tiếp'!$B$14:$G$17,6,0)</f>
        <v>4829946</v>
      </c>
      <c r="G16" s="1163">
        <f>VLOOKUP(D16,'lương gián tiếp'!B16:H19,7,0)</f>
        <v>176497.30000000002</v>
      </c>
      <c r="H16" s="1164"/>
      <c r="I16" s="1165"/>
      <c r="J16" s="1166" t="s">
        <v>949</v>
      </c>
      <c r="K16" s="1167"/>
      <c r="L16" s="1166"/>
      <c r="M16" s="1167"/>
    </row>
    <row r="17" spans="1:13" s="1168" customFormat="1" ht="18" customHeight="1">
      <c r="A17" s="1160">
        <v>8</v>
      </c>
      <c r="B17" s="1161"/>
      <c r="C17" s="1162" t="s">
        <v>948</v>
      </c>
      <c r="D17" s="1162" t="str">
        <f>'lương gián tiếp'!B17</f>
        <v>Bun Khưn</v>
      </c>
      <c r="E17" s="1162" t="s">
        <v>954</v>
      </c>
      <c r="F17" s="1163">
        <f>VLOOKUP(D17,'lương gián tiếp'!$B$14:$G$17,6,0)</f>
        <v>5060455</v>
      </c>
      <c r="G17" s="1163">
        <f>VLOOKUP(D17,'lương gián tiếp'!B17:H20,7,0)</f>
        <v>191045.5</v>
      </c>
      <c r="H17" s="1164"/>
      <c r="I17" s="1165"/>
      <c r="J17" s="1166" t="s">
        <v>949</v>
      </c>
      <c r="K17" s="1167"/>
      <c r="L17" s="1166"/>
      <c r="M17" s="1167"/>
    </row>
    <row r="18" spans="1:13" s="1168" customFormat="1" ht="18" customHeight="1">
      <c r="A18" s="1160">
        <v>9</v>
      </c>
      <c r="B18" s="1161" t="s">
        <v>950</v>
      </c>
      <c r="C18" s="1162"/>
      <c r="D18" s="1162" t="str">
        <f>'lương gián tiếp'!B19</f>
        <v>Thảo Mét (VP)</v>
      </c>
      <c r="E18" s="1162" t="s">
        <v>311</v>
      </c>
      <c r="F18" s="1163">
        <f>VLOOKUP(D18,'lương gián tiếp'!B19:G19,6,0)</f>
        <v>1700000</v>
      </c>
      <c r="G18" s="1163">
        <f>VLOOKUP(D18,'lương gián tiếp'!$B$19:$H$20,7,0)</f>
        <v>20000</v>
      </c>
      <c r="H18" s="1164"/>
      <c r="I18" s="1165"/>
      <c r="J18" s="1166" t="s">
        <v>951</v>
      </c>
      <c r="K18" s="1167"/>
      <c r="L18" s="1166"/>
      <c r="M18" s="1167"/>
    </row>
    <row r="19" spans="1:13" s="1168" customFormat="1" ht="18" customHeight="1">
      <c r="A19" s="1160">
        <v>10</v>
      </c>
      <c r="B19" s="1161" t="s">
        <v>952</v>
      </c>
      <c r="C19" s="1162"/>
      <c r="D19" s="1162" t="str">
        <f>'lương gián tiếp'!B21</f>
        <v>N. Nhung  ( VP)</v>
      </c>
      <c r="E19" s="1162" t="s">
        <v>289</v>
      </c>
      <c r="F19" s="1163">
        <f>VLOOKUP(D19,'lương gián tiếp'!B20:G21,6,0)</f>
        <v>1700000</v>
      </c>
      <c r="G19" s="1163">
        <f>VLOOKUP(D19,'lương gián tiếp'!$B$19:$H$21,7,0)</f>
        <v>20000</v>
      </c>
      <c r="H19" s="1164"/>
      <c r="I19" s="1165"/>
      <c r="J19" s="1166" t="s">
        <v>951</v>
      </c>
      <c r="K19" s="1167" t="s">
        <v>953</v>
      </c>
      <c r="L19" s="1166"/>
      <c r="M19" s="1167"/>
    </row>
    <row r="20" spans="1:13" s="1168" customFormat="1" ht="21.75" customHeight="1">
      <c r="A20" s="2198" t="s">
        <v>955</v>
      </c>
      <c r="B20" s="2198"/>
      <c r="C20" s="2198"/>
      <c r="D20" s="2198"/>
      <c r="E20" s="2198"/>
      <c r="F20" s="1169">
        <f>SUM(F10:F19)</f>
        <v>53550806</v>
      </c>
      <c r="G20" s="1169">
        <f>SUM(G10:G19)</f>
        <v>2543583.2999999998</v>
      </c>
      <c r="H20" s="1156"/>
      <c r="I20" s="1170" t="e">
        <f>+#REF!/25</f>
        <v>#REF!</v>
      </c>
      <c r="J20" s="1171"/>
      <c r="K20" s="1167">
        <f>14*1200</f>
        <v>16800</v>
      </c>
      <c r="L20" s="1172">
        <f>1700/31*26</f>
        <v>1425.8064516129032</v>
      </c>
      <c r="M20" s="1167"/>
    </row>
    <row r="21" spans="1:13" s="1153" customFormat="1" ht="23.25" customHeight="1">
      <c r="A21" s="2199" t="s">
        <v>1166</v>
      </c>
      <c r="B21" s="2200"/>
      <c r="C21" s="2200"/>
      <c r="D21" s="2200"/>
      <c r="E21" s="2200"/>
      <c r="F21" s="2200"/>
      <c r="G21" s="2200"/>
      <c r="H21" s="2201"/>
      <c r="I21" s="1173"/>
      <c r="J21" s="1174"/>
      <c r="L21" s="1175" t="e">
        <f>+L20/25+#REF!</f>
        <v>#REF!</v>
      </c>
    </row>
    <row r="22" spans="1:13" s="1153" customFormat="1" ht="9" customHeight="1">
      <c r="E22" s="1154"/>
      <c r="F22" s="1154"/>
      <c r="G22" s="1154"/>
      <c r="H22" s="1154"/>
      <c r="I22" s="1153">
        <f>900*14</f>
        <v>12600</v>
      </c>
      <c r="J22" s="1174"/>
    </row>
    <row r="23" spans="1:13" ht="18" customHeight="1">
      <c r="A23" s="1173"/>
      <c r="B23" s="1173"/>
      <c r="D23" s="1176"/>
      <c r="F23" s="2191" t="s">
        <v>1005</v>
      </c>
      <c r="G23" s="2191"/>
      <c r="H23" s="2191"/>
      <c r="I23" s="1177"/>
      <c r="J23" s="1178"/>
      <c r="K23" s="1179">
        <f>+F20*20</f>
        <v>1071016120</v>
      </c>
    </row>
    <row r="24" spans="1:13" s="1153" customFormat="1" ht="23.25" customHeight="1">
      <c r="A24" s="1153" t="s">
        <v>958</v>
      </c>
      <c r="B24" s="1180"/>
      <c r="C24" s="1180"/>
      <c r="D24" s="1180"/>
      <c r="E24" s="2192" t="s">
        <v>957</v>
      </c>
      <c r="F24" s="2192"/>
      <c r="G24" s="2192"/>
      <c r="H24" s="1181" t="s">
        <v>956</v>
      </c>
      <c r="I24" s="1154"/>
    </row>
    <row r="27" spans="1:13" ht="57.75" customHeight="1"/>
    <row r="29" spans="1:13" s="1153" customFormat="1">
      <c r="A29" s="2193"/>
      <c r="B29" s="2193"/>
      <c r="C29" s="2193"/>
      <c r="D29" s="2193"/>
      <c r="E29" s="2193"/>
      <c r="F29" s="2193"/>
    </row>
    <row r="30" spans="1:13">
      <c r="I30" s="1154"/>
    </row>
  </sheetData>
  <mergeCells count="14">
    <mergeCell ref="F23:H23"/>
    <mergeCell ref="E24:G24"/>
    <mergeCell ref="A29:D29"/>
    <mergeCell ref="E29:F29"/>
    <mergeCell ref="A1:H1"/>
    <mergeCell ref="A2:H2"/>
    <mergeCell ref="A3:H3"/>
    <mergeCell ref="A4:H4"/>
    <mergeCell ref="A5:F5"/>
    <mergeCell ref="A6:H6"/>
    <mergeCell ref="A7:H7"/>
    <mergeCell ref="C9:D9"/>
    <mergeCell ref="A20:E20"/>
    <mergeCell ref="A21:H21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0" workbookViewId="0">
      <selection activeCell="B31" sqref="B31:C31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2062" t="s">
        <v>90</v>
      </c>
      <c r="B1" s="2062"/>
      <c r="C1" s="2062"/>
      <c r="D1" s="2062"/>
      <c r="E1" s="2062"/>
      <c r="F1" s="2062"/>
      <c r="G1" s="2062"/>
      <c r="H1" s="2062"/>
    </row>
    <row r="2" spans="1:23" ht="16.5">
      <c r="A2" s="2062" t="s">
        <v>56</v>
      </c>
      <c r="B2" s="2062"/>
      <c r="C2" s="2062"/>
      <c r="D2" s="2062"/>
      <c r="E2" s="2062"/>
      <c r="F2" s="2062"/>
      <c r="G2" s="2062"/>
      <c r="H2" s="2062"/>
    </row>
    <row r="3" spans="1:23" ht="16.5">
      <c r="A3" s="2063" t="s">
        <v>604</v>
      </c>
      <c r="B3" s="2062"/>
      <c r="C3" s="2062"/>
      <c r="D3" s="2062"/>
      <c r="E3" s="2062"/>
      <c r="F3" s="2062"/>
      <c r="G3" s="2062"/>
      <c r="H3" s="2062"/>
    </row>
    <row r="4" spans="1:23" ht="16.5">
      <c r="A4" s="1070"/>
      <c r="B4" s="1070"/>
      <c r="C4" s="1070"/>
      <c r="D4" s="1070"/>
      <c r="E4" s="1070"/>
      <c r="F4" s="1070"/>
      <c r="G4" s="1070"/>
      <c r="H4" s="1070"/>
    </row>
    <row r="5" spans="1:23" ht="16.5">
      <c r="A5" s="346" t="s">
        <v>5</v>
      </c>
      <c r="B5" s="346"/>
      <c r="C5" s="346"/>
      <c r="D5" s="346"/>
      <c r="E5" s="346"/>
      <c r="F5" s="346"/>
      <c r="G5" s="346"/>
      <c r="H5" s="346"/>
    </row>
    <row r="6" spans="1:23" ht="16.5">
      <c r="A6" s="346" t="s">
        <v>187</v>
      </c>
      <c r="B6" s="346"/>
      <c r="C6" s="569"/>
      <c r="D6" s="569"/>
      <c r="E6" s="569"/>
      <c r="F6" s="569"/>
      <c r="G6" s="569"/>
      <c r="H6" s="569"/>
    </row>
    <row r="7" spans="1:23" ht="7.5" customHeight="1">
      <c r="A7" s="2209"/>
      <c r="B7" s="2209"/>
      <c r="C7" s="2209"/>
      <c r="D7" s="2209"/>
      <c r="E7" s="2209"/>
      <c r="F7" s="2209"/>
      <c r="G7" s="2209"/>
      <c r="H7" s="2209"/>
    </row>
    <row r="8" spans="1:23" ht="44.25" customHeight="1">
      <c r="A8" s="2210" t="s">
        <v>190</v>
      </c>
      <c r="B8" s="2210"/>
      <c r="C8" s="2210"/>
      <c r="D8" s="2210"/>
      <c r="E8" s="2210"/>
      <c r="F8" s="2210"/>
      <c r="G8" s="2210"/>
      <c r="H8" s="2210"/>
      <c r="I8" s="36"/>
      <c r="J8" s="36"/>
      <c r="K8" s="36"/>
    </row>
    <row r="9" spans="1:23" ht="21.75" customHeight="1">
      <c r="A9" s="2207" t="s">
        <v>11</v>
      </c>
      <c r="B9" s="2207" t="s">
        <v>162</v>
      </c>
      <c r="C9" s="2207" t="s">
        <v>129</v>
      </c>
      <c r="D9" s="2207" t="s">
        <v>119</v>
      </c>
      <c r="E9" s="2208" t="s">
        <v>1127</v>
      </c>
      <c r="F9" s="2208"/>
      <c r="G9" s="2202" t="s">
        <v>117</v>
      </c>
      <c r="H9" s="2202" t="s">
        <v>118</v>
      </c>
      <c r="I9" s="36"/>
      <c r="J9" s="36"/>
      <c r="K9" s="36"/>
    </row>
    <row r="10" spans="1:23" ht="40.5" customHeight="1">
      <c r="A10" s="2207"/>
      <c r="B10" s="2207"/>
      <c r="C10" s="2207"/>
      <c r="D10" s="2207"/>
      <c r="E10" s="37" t="s">
        <v>130</v>
      </c>
      <c r="F10" s="1082" t="s">
        <v>142</v>
      </c>
      <c r="G10" s="2202"/>
      <c r="H10" s="2202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27" customHeight="1">
      <c r="A11" s="572">
        <v>1</v>
      </c>
      <c r="B11" s="573" t="s">
        <v>218</v>
      </c>
      <c r="C11" s="574" t="s">
        <v>133</v>
      </c>
      <c r="D11" s="575" t="s">
        <v>191</v>
      </c>
      <c r="E11" s="576"/>
      <c r="F11" s="577">
        <v>1000000</v>
      </c>
      <c r="G11" s="578"/>
      <c r="H11" s="579"/>
      <c r="I11" s="1207" t="s">
        <v>969</v>
      </c>
      <c r="J11" s="1207" t="s">
        <v>970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8" customFormat="1" ht="27" customHeight="1">
      <c r="A12" s="572">
        <v>2</v>
      </c>
      <c r="B12" s="573" t="s">
        <v>165</v>
      </c>
      <c r="C12" s="574" t="s">
        <v>108</v>
      </c>
      <c r="D12" s="575" t="s">
        <v>131</v>
      </c>
      <c r="E12" s="576">
        <v>11</v>
      </c>
      <c r="F12" s="577">
        <v>500000</v>
      </c>
      <c r="G12" s="578"/>
      <c r="H12" s="579"/>
      <c r="I12" s="1205" t="s">
        <v>971</v>
      </c>
      <c r="J12" s="1206">
        <v>500000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27" customHeight="1">
      <c r="A13" s="572">
        <v>3</v>
      </c>
      <c r="B13" s="573" t="s">
        <v>164</v>
      </c>
      <c r="C13" s="574" t="s">
        <v>116</v>
      </c>
      <c r="D13" s="575" t="s">
        <v>131</v>
      </c>
      <c r="E13" s="576">
        <v>6</v>
      </c>
      <c r="F13" s="577">
        <v>500000</v>
      </c>
      <c r="G13" s="578"/>
      <c r="H13" s="579"/>
      <c r="I13" s="1205" t="s">
        <v>972</v>
      </c>
      <c r="J13" s="1206">
        <v>600000</v>
      </c>
    </row>
    <row r="14" spans="1:23" ht="27" customHeight="1">
      <c r="A14" s="572">
        <v>4</v>
      </c>
      <c r="B14" s="573" t="s">
        <v>166</v>
      </c>
      <c r="C14" s="574" t="s">
        <v>132</v>
      </c>
      <c r="D14" s="575" t="s">
        <v>131</v>
      </c>
      <c r="E14" s="576">
        <v>4</v>
      </c>
      <c r="F14" s="577">
        <v>500000</v>
      </c>
      <c r="G14" s="578"/>
      <c r="H14" s="579"/>
      <c r="I14" s="1205" t="s">
        <v>973</v>
      </c>
      <c r="J14" s="1206">
        <v>700000</v>
      </c>
    </row>
    <row r="15" spans="1:23" ht="27" customHeight="1">
      <c r="A15" s="572">
        <v>5</v>
      </c>
      <c r="B15" s="573" t="s">
        <v>163</v>
      </c>
      <c r="C15" s="580" t="s">
        <v>133</v>
      </c>
      <c r="D15" s="581" t="s">
        <v>131</v>
      </c>
      <c r="E15" s="582">
        <v>14</v>
      </c>
      <c r="F15" s="577">
        <v>500000</v>
      </c>
      <c r="G15" s="583"/>
      <c r="H15" s="579"/>
    </row>
    <row r="16" spans="1:23" ht="27" customHeight="1">
      <c r="A16" s="572">
        <v>6</v>
      </c>
      <c r="B16" s="573" t="s">
        <v>136</v>
      </c>
      <c r="C16" s="574" t="s">
        <v>127</v>
      </c>
      <c r="D16" s="575" t="s">
        <v>131</v>
      </c>
      <c r="E16" s="576">
        <v>33</v>
      </c>
      <c r="F16" s="1208">
        <v>600000</v>
      </c>
      <c r="G16" s="578"/>
      <c r="H16" s="579"/>
    </row>
    <row r="17" spans="1:8" ht="27" customHeight="1">
      <c r="A17" s="572">
        <v>7</v>
      </c>
      <c r="B17" s="573" t="s">
        <v>167</v>
      </c>
      <c r="C17" s="574" t="s">
        <v>128</v>
      </c>
      <c r="D17" s="575" t="s">
        <v>131</v>
      </c>
      <c r="E17" s="576">
        <v>16</v>
      </c>
      <c r="F17" s="577">
        <v>500000</v>
      </c>
      <c r="G17" s="578"/>
      <c r="H17" s="579"/>
    </row>
    <row r="18" spans="1:8" ht="27" customHeight="1">
      <c r="A18" s="572">
        <v>8</v>
      </c>
      <c r="B18" s="573" t="s">
        <v>174</v>
      </c>
      <c r="C18" s="574" t="s">
        <v>172</v>
      </c>
      <c r="D18" s="575" t="s">
        <v>131</v>
      </c>
      <c r="E18" s="576">
        <v>35</v>
      </c>
      <c r="F18" s="1208">
        <v>600000</v>
      </c>
      <c r="G18" s="578"/>
      <c r="H18" s="579"/>
    </row>
    <row r="19" spans="1:8" ht="27" customHeight="1">
      <c r="A19" s="572">
        <v>9</v>
      </c>
      <c r="B19" s="573" t="s">
        <v>265</v>
      </c>
      <c r="C19" s="574" t="s">
        <v>173</v>
      </c>
      <c r="D19" s="575" t="s">
        <v>131</v>
      </c>
      <c r="E19" s="576">
        <v>16</v>
      </c>
      <c r="F19" s="577">
        <v>500000</v>
      </c>
      <c r="G19" s="578"/>
      <c r="H19" s="579"/>
    </row>
    <row r="20" spans="1:8" ht="27" customHeight="1">
      <c r="A20" s="572">
        <v>10</v>
      </c>
      <c r="B20" s="573" t="s">
        <v>714</v>
      </c>
      <c r="C20" s="573" t="s">
        <v>990</v>
      </c>
      <c r="D20" s="575" t="s">
        <v>131</v>
      </c>
      <c r="E20" s="576">
        <v>110</v>
      </c>
      <c r="F20" s="1208">
        <v>700000</v>
      </c>
      <c r="G20" s="578"/>
      <c r="H20" s="579"/>
    </row>
    <row r="21" spans="1:8" ht="27" customHeight="1">
      <c r="A21" s="2203" t="s">
        <v>95</v>
      </c>
      <c r="B21" s="2203"/>
      <c r="C21" s="2203"/>
      <c r="D21" s="2203"/>
      <c r="E21" s="841">
        <f>SUM(E12:E20)</f>
        <v>245</v>
      </c>
      <c r="F21" s="841">
        <f>SUM(F11:F20)</f>
        <v>5900000</v>
      </c>
      <c r="G21" s="45"/>
      <c r="H21" s="44"/>
    </row>
    <row r="22" spans="1:8" ht="19.5" customHeight="1">
      <c r="A22" s="2204" t="s">
        <v>991</v>
      </c>
      <c r="B22" s="2205"/>
      <c r="C22" s="2205"/>
      <c r="D22" s="2205"/>
      <c r="E22" s="2205"/>
      <c r="F22" s="2205"/>
      <c r="G22" s="2205"/>
      <c r="H22" s="2206"/>
    </row>
    <row r="23" spans="1:8">
      <c r="C23" s="2212" t="s">
        <v>1128</v>
      </c>
      <c r="D23" s="2212"/>
      <c r="E23" s="2212"/>
      <c r="F23" s="2212"/>
      <c r="G23" s="2212"/>
      <c r="H23" s="2212"/>
    </row>
    <row r="24" spans="1:8" ht="8.25" customHeight="1"/>
    <row r="25" spans="1:8">
      <c r="A25" s="11"/>
      <c r="B25" s="2214" t="s">
        <v>101</v>
      </c>
      <c r="C25" s="2214"/>
      <c r="E25" s="2214" t="s">
        <v>826</v>
      </c>
      <c r="F25" s="2214"/>
      <c r="G25" s="2214"/>
      <c r="H25" s="2214"/>
    </row>
    <row r="26" spans="1:8">
      <c r="A26" s="11"/>
      <c r="B26" s="11"/>
      <c r="C26" s="11"/>
      <c r="D26" s="11"/>
      <c r="E26" s="11"/>
      <c r="G26" s="38"/>
      <c r="H26" s="11"/>
    </row>
    <row r="27" spans="1:8">
      <c r="A27" s="11"/>
      <c r="B27" s="11"/>
      <c r="C27" s="11"/>
      <c r="D27" s="11"/>
      <c r="E27" s="11"/>
      <c r="G27" s="38"/>
      <c r="H27" s="11"/>
    </row>
    <row r="28" spans="1:8">
      <c r="A28" s="11"/>
      <c r="B28" s="11"/>
      <c r="C28" s="11"/>
      <c r="D28" s="11"/>
      <c r="E28" s="11"/>
      <c r="G28" s="38"/>
      <c r="H28" s="11"/>
    </row>
    <row r="29" spans="1:8">
      <c r="A29" s="11"/>
      <c r="B29" s="11"/>
      <c r="C29" s="11"/>
      <c r="D29" s="11"/>
      <c r="E29" s="11"/>
      <c r="G29" s="38"/>
      <c r="H29" s="11"/>
    </row>
    <row r="30" spans="1:8">
      <c r="A30" s="11"/>
      <c r="B30" s="11"/>
      <c r="C30" s="11"/>
      <c r="D30" s="11"/>
      <c r="E30" s="11"/>
      <c r="G30" s="38"/>
      <c r="H30" s="11"/>
    </row>
    <row r="31" spans="1:8">
      <c r="A31" s="11"/>
      <c r="B31" s="2213" t="s">
        <v>419</v>
      </c>
      <c r="C31" s="2213"/>
      <c r="D31" s="332"/>
      <c r="E31" s="2214" t="s">
        <v>76</v>
      </c>
      <c r="F31" s="2214"/>
      <c r="G31" s="2214"/>
      <c r="H31" s="2214"/>
    </row>
    <row r="32" spans="1:8" ht="8.25" customHeight="1">
      <c r="A32" s="11"/>
      <c r="B32" s="11"/>
      <c r="C32" s="11"/>
      <c r="D32" s="11"/>
      <c r="E32" s="11"/>
      <c r="F32" s="11"/>
      <c r="G32" s="11"/>
      <c r="H32" s="11"/>
    </row>
    <row r="33" spans="2:8" ht="19.5" customHeight="1">
      <c r="B33" s="2214" t="s">
        <v>104</v>
      </c>
      <c r="C33" s="2214"/>
      <c r="D33" s="17"/>
      <c r="E33" s="2214" t="s">
        <v>103</v>
      </c>
      <c r="F33" s="2214"/>
      <c r="G33" s="2214"/>
      <c r="H33" s="2214"/>
    </row>
    <row r="55" spans="1:8">
      <c r="A55" s="2211" t="s">
        <v>160</v>
      </c>
      <c r="B55" s="2211"/>
      <c r="C55" s="2211"/>
      <c r="D55" s="2211"/>
      <c r="E55" s="2211"/>
      <c r="F55" s="2211"/>
      <c r="G55" s="1" t="s">
        <v>161</v>
      </c>
    </row>
    <row r="57" spans="1:8" ht="15.75">
      <c r="G57" s="41" t="s">
        <v>157</v>
      </c>
      <c r="H57" s="43" t="s">
        <v>147</v>
      </c>
    </row>
    <row r="58" spans="1:8">
      <c r="G58" s="22"/>
      <c r="H58" s="22"/>
    </row>
    <row r="59" spans="1:8">
      <c r="G59" s="22"/>
      <c r="H59" s="22"/>
    </row>
    <row r="60" spans="1:8">
      <c r="G60" s="22"/>
      <c r="H60" s="22"/>
    </row>
    <row r="61" spans="1:8">
      <c r="G61" s="22"/>
      <c r="H61" s="22"/>
    </row>
    <row r="62" spans="1:8" ht="15.75">
      <c r="G62" s="41" t="s">
        <v>158</v>
      </c>
      <c r="H62" s="43" t="s">
        <v>107</v>
      </c>
    </row>
    <row r="63" spans="1:8">
      <c r="G63" s="22"/>
      <c r="H63" s="22"/>
    </row>
    <row r="64" spans="1:8">
      <c r="G64" s="22"/>
      <c r="H64" s="22"/>
    </row>
    <row r="65" spans="7:8">
      <c r="G65" s="22"/>
      <c r="H65" s="22"/>
    </row>
    <row r="66" spans="7:8">
      <c r="G66" s="22"/>
      <c r="H66" s="22"/>
    </row>
    <row r="67" spans="7:8">
      <c r="G67" s="22"/>
      <c r="H67" s="22"/>
    </row>
    <row r="68" spans="7:8">
      <c r="G68" s="22"/>
      <c r="H68" s="22"/>
    </row>
    <row r="69" spans="7:8">
      <c r="G69" s="22"/>
      <c r="H69" s="22"/>
    </row>
    <row r="70" spans="7:8">
      <c r="G70" s="22"/>
      <c r="H70" s="22"/>
    </row>
    <row r="71" spans="7:8">
      <c r="G71" s="22"/>
      <c r="H71" s="22"/>
    </row>
    <row r="72" spans="7:8">
      <c r="G72" s="22"/>
      <c r="H72" s="22"/>
    </row>
    <row r="73" spans="7:8">
      <c r="G73" s="22"/>
      <c r="H73" s="22"/>
    </row>
    <row r="74" spans="7:8">
      <c r="G74" s="22"/>
      <c r="H74" s="22"/>
    </row>
    <row r="75" spans="7:8">
      <c r="G75" s="22"/>
      <c r="H75" s="22"/>
    </row>
    <row r="76" spans="7:8">
      <c r="G76" s="22"/>
      <c r="H76" s="22"/>
    </row>
    <row r="77" spans="7:8">
      <c r="G77" s="22"/>
      <c r="H77" s="22"/>
    </row>
    <row r="78" spans="7:8">
      <c r="G78" s="22"/>
      <c r="H78" s="22"/>
    </row>
    <row r="79" spans="7:8">
      <c r="G79" s="22"/>
      <c r="H79" s="22"/>
    </row>
    <row r="80" spans="7:8">
      <c r="G80" s="22"/>
      <c r="H80" s="22"/>
    </row>
    <row r="81" spans="7:8">
      <c r="G81" s="22"/>
      <c r="H81" s="22"/>
    </row>
    <row r="82" spans="7:8">
      <c r="G82" s="22"/>
      <c r="H82" s="22"/>
    </row>
    <row r="83" spans="7:8">
      <c r="G83" s="22"/>
      <c r="H83" s="22"/>
    </row>
    <row r="84" spans="7:8">
      <c r="G84" s="22"/>
      <c r="H84" s="22"/>
    </row>
    <row r="85" spans="7:8">
      <c r="G85" s="22"/>
      <c r="H85" s="22"/>
    </row>
    <row r="86" spans="7:8">
      <c r="G86" s="22"/>
      <c r="H86" s="22"/>
    </row>
    <row r="87" spans="7:8">
      <c r="G87" s="22"/>
      <c r="H87" s="22"/>
    </row>
    <row r="88" spans="7:8">
      <c r="G88" s="22"/>
      <c r="H88" s="22"/>
    </row>
    <row r="89" spans="7:8">
      <c r="G89" s="22"/>
      <c r="H89" s="22"/>
    </row>
    <row r="90" spans="7:8">
      <c r="G90" s="22"/>
      <c r="H90" s="22"/>
    </row>
    <row r="91" spans="7:8">
      <c r="G91" s="22"/>
      <c r="H91" s="22"/>
    </row>
    <row r="92" spans="7:8">
      <c r="G92" s="22"/>
      <c r="H92" s="22"/>
    </row>
    <row r="93" spans="7:8">
      <c r="G93" s="22"/>
      <c r="H93" s="22"/>
    </row>
    <row r="94" spans="7:8">
      <c r="G94" s="22"/>
      <c r="H94" s="22"/>
    </row>
    <row r="95" spans="7:8">
      <c r="G95" s="22"/>
      <c r="H95" s="22"/>
    </row>
    <row r="96" spans="7:8">
      <c r="G96" s="22"/>
      <c r="H96" s="22"/>
    </row>
    <row r="97" spans="7:8">
      <c r="G97" s="22"/>
      <c r="H97" s="22"/>
    </row>
    <row r="98" spans="7:8">
      <c r="G98" s="22"/>
      <c r="H98" s="22"/>
    </row>
    <row r="99" spans="7:8">
      <c r="G99" s="22"/>
      <c r="H99" s="22"/>
    </row>
    <row r="100" spans="7:8">
      <c r="G100" s="22"/>
      <c r="H100" s="22"/>
    </row>
    <row r="101" spans="7:8">
      <c r="G101" s="22"/>
      <c r="H101" s="22"/>
    </row>
    <row r="102" spans="7:8">
      <c r="G102" s="22"/>
      <c r="H102" s="22"/>
    </row>
    <row r="103" spans="7:8">
      <c r="G103" s="22"/>
      <c r="H103" s="22"/>
    </row>
    <row r="104" spans="7:8">
      <c r="G104" s="22"/>
      <c r="H104" s="22"/>
    </row>
    <row r="105" spans="7:8">
      <c r="G105" s="22"/>
      <c r="H105" s="22"/>
    </row>
    <row r="106" spans="7:8">
      <c r="G106" s="22"/>
      <c r="H106" s="22"/>
    </row>
    <row r="107" spans="7:8">
      <c r="G107" s="22"/>
      <c r="H107" s="22"/>
    </row>
    <row r="108" spans="7:8">
      <c r="G108" s="22"/>
      <c r="H108" s="22"/>
    </row>
    <row r="109" spans="7:8">
      <c r="G109" s="22"/>
      <c r="H109" s="22"/>
    </row>
    <row r="110" spans="7:8">
      <c r="G110" s="22"/>
      <c r="H110" s="22"/>
    </row>
    <row r="111" spans="7:8">
      <c r="G111" s="22"/>
      <c r="H111" s="22"/>
    </row>
    <row r="112" spans="7:8">
      <c r="G112" s="22"/>
      <c r="H112" s="22"/>
    </row>
    <row r="113" spans="7:8">
      <c r="G113" s="22"/>
      <c r="H113" s="22"/>
    </row>
    <row r="114" spans="7:8">
      <c r="G114" s="22"/>
      <c r="H114" s="22"/>
    </row>
    <row r="115" spans="7:8">
      <c r="G115" s="22"/>
      <c r="H115" s="22"/>
    </row>
    <row r="116" spans="7:8">
      <c r="G116" s="22"/>
      <c r="H116" s="22"/>
    </row>
    <row r="117" spans="7:8" ht="15.75">
      <c r="G117" s="41" t="s">
        <v>154</v>
      </c>
      <c r="H117" s="42" t="s">
        <v>149</v>
      </c>
    </row>
    <row r="118" spans="7:8" ht="15.75">
      <c r="G118" s="41" t="s">
        <v>159</v>
      </c>
      <c r="H118" s="42" t="s">
        <v>146</v>
      </c>
    </row>
    <row r="119" spans="7:8" ht="31.5">
      <c r="G119" s="39">
        <v>382</v>
      </c>
      <c r="H119" s="40" t="s">
        <v>148</v>
      </c>
    </row>
    <row r="120" spans="7:8">
      <c r="G120" s="22"/>
      <c r="H120" s="22"/>
    </row>
    <row r="121" spans="7:8">
      <c r="G121" s="22"/>
      <c r="H121" s="22"/>
    </row>
    <row r="122" spans="7:8">
      <c r="G122" s="22"/>
      <c r="H122" s="22"/>
    </row>
    <row r="123" spans="7:8">
      <c r="G123" s="22"/>
      <c r="H123" s="22"/>
    </row>
    <row r="124" spans="7:8">
      <c r="G124" s="22"/>
      <c r="H124" s="22"/>
    </row>
    <row r="125" spans="7:8" ht="31.5">
      <c r="G125" s="39">
        <v>411</v>
      </c>
      <c r="H125" s="40" t="s">
        <v>151</v>
      </c>
    </row>
    <row r="126" spans="7:8">
      <c r="G126" s="22"/>
      <c r="H126" s="22"/>
    </row>
  </sheetData>
  <mergeCells count="22">
    <mergeCell ref="A55:F55"/>
    <mergeCell ref="C23:H23"/>
    <mergeCell ref="B31:C31"/>
    <mergeCell ref="E31:H31"/>
    <mergeCell ref="B33:C33"/>
    <mergeCell ref="E33:H33"/>
    <mergeCell ref="B25:C25"/>
    <mergeCell ref="E25:H25"/>
    <mergeCell ref="A1:H1"/>
    <mergeCell ref="A2:H2"/>
    <mergeCell ref="A3:H3"/>
    <mergeCell ref="A7:H7"/>
    <mergeCell ref="A8:H8"/>
    <mergeCell ref="G9:G10"/>
    <mergeCell ref="H9:H10"/>
    <mergeCell ref="A21:D21"/>
    <mergeCell ref="A22:H22"/>
    <mergeCell ref="A9:A10"/>
    <mergeCell ref="B9:B10"/>
    <mergeCell ref="C9:C10"/>
    <mergeCell ref="D9:D10"/>
    <mergeCell ref="E9:F9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topLeftCell="A10" workbookViewId="0">
      <selection activeCell="D24" sqref="D24:E24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2062" t="s">
        <v>90</v>
      </c>
      <c r="B2" s="2062"/>
      <c r="C2" s="2062"/>
      <c r="D2" s="2062"/>
      <c r="E2" s="2062"/>
      <c r="F2" s="2062"/>
      <c r="G2" s="15"/>
      <c r="H2" s="15"/>
      <c r="I2" s="15"/>
      <c r="J2" s="12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5" ht="16.5">
      <c r="A3" s="2216" t="s">
        <v>56</v>
      </c>
      <c r="B3" s="2216"/>
      <c r="C3" s="2216"/>
      <c r="D3" s="2216"/>
      <c r="E3" s="2216"/>
      <c r="F3" s="2216"/>
      <c r="G3" s="16"/>
      <c r="H3" s="16"/>
      <c r="I3" s="16"/>
      <c r="J3" s="10"/>
      <c r="K3" s="7"/>
      <c r="M3" s="10"/>
      <c r="N3" s="10"/>
      <c r="O3" s="10"/>
      <c r="P3" s="10"/>
      <c r="Q3" s="10"/>
      <c r="R3" s="10"/>
      <c r="S3" s="10"/>
      <c r="T3" s="10"/>
      <c r="U3" s="10"/>
      <c r="V3" s="8"/>
    </row>
    <row r="4" spans="1:25" ht="16.5">
      <c r="A4" s="2063" t="s">
        <v>604</v>
      </c>
      <c r="B4" s="2062"/>
      <c r="C4" s="2062"/>
      <c r="D4" s="2062"/>
      <c r="E4" s="2062"/>
      <c r="F4" s="2062"/>
      <c r="G4" s="16"/>
      <c r="H4" s="16"/>
      <c r="I4" s="16"/>
      <c r="J4" s="10"/>
      <c r="K4" s="7"/>
      <c r="M4" s="10"/>
      <c r="N4" s="10"/>
      <c r="O4" s="10"/>
      <c r="P4" s="10"/>
      <c r="Q4" s="10"/>
      <c r="R4" s="10"/>
      <c r="S4" s="10"/>
      <c r="T4" s="10"/>
      <c r="U4" s="10"/>
      <c r="V4" s="8"/>
    </row>
    <row r="5" spans="1:25" ht="3.75" customHeight="1">
      <c r="A5" s="1099"/>
      <c r="B5" s="1099"/>
      <c r="C5" s="1099"/>
      <c r="D5" s="1099"/>
      <c r="E5" s="1099"/>
      <c r="F5" s="1099"/>
      <c r="G5" s="16"/>
      <c r="H5" s="16"/>
      <c r="I5" s="16"/>
      <c r="J5" s="10"/>
      <c r="K5" s="7"/>
      <c r="M5" s="10"/>
      <c r="N5" s="10"/>
      <c r="O5" s="10"/>
      <c r="P5" s="10"/>
      <c r="Q5" s="10"/>
      <c r="R5" s="10"/>
      <c r="S5" s="10"/>
      <c r="T5" s="10"/>
      <c r="U5" s="10"/>
      <c r="V5" s="8"/>
    </row>
    <row r="6" spans="1:25" ht="6" customHeight="1">
      <c r="A6" s="171"/>
      <c r="B6" s="171"/>
      <c r="C6" s="171"/>
      <c r="D6" s="171"/>
      <c r="E6" s="97"/>
      <c r="F6" s="97"/>
      <c r="G6" s="21"/>
      <c r="H6" s="21"/>
      <c r="I6" s="21"/>
      <c r="J6" s="562"/>
      <c r="K6" s="23"/>
      <c r="L6" s="24"/>
      <c r="M6" s="9"/>
      <c r="N6" s="9"/>
      <c r="O6" s="9"/>
      <c r="P6" s="9"/>
      <c r="Q6" s="9"/>
      <c r="R6" s="9"/>
      <c r="S6" s="9"/>
      <c r="T6" s="9"/>
      <c r="U6" s="9"/>
      <c r="V6" s="8"/>
      <c r="W6" s="25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</v>
      </c>
      <c r="B7" s="3"/>
      <c r="C7" s="3"/>
      <c r="D7" s="141"/>
      <c r="E7" s="97"/>
      <c r="F7" s="97"/>
      <c r="G7" s="21"/>
      <c r="H7" s="21"/>
      <c r="I7" s="21"/>
      <c r="J7" s="562"/>
      <c r="K7" s="23"/>
      <c r="L7" s="24"/>
      <c r="M7" s="9"/>
      <c r="N7" s="9"/>
      <c r="O7" s="9"/>
      <c r="P7" s="9"/>
      <c r="Q7" s="9"/>
      <c r="R7" s="9"/>
      <c r="S7" s="9"/>
      <c r="T7" s="9"/>
      <c r="U7" s="9"/>
      <c r="V7" s="8"/>
      <c r="W7" s="25"/>
    </row>
    <row r="8" spans="1:25" ht="15.75">
      <c r="A8" s="1978" t="s">
        <v>101</v>
      </c>
      <c r="B8" s="1978"/>
      <c r="C8" s="1978"/>
      <c r="D8" s="97"/>
      <c r="E8" s="97"/>
      <c r="F8" s="97"/>
      <c r="G8" s="21"/>
      <c r="H8" s="21"/>
      <c r="I8" s="21"/>
      <c r="J8" s="562"/>
      <c r="K8" s="23"/>
      <c r="L8" s="24"/>
      <c r="M8" s="9"/>
      <c r="N8" s="9"/>
      <c r="O8" s="9"/>
      <c r="P8" s="9"/>
      <c r="Q8" s="9"/>
      <c r="R8" s="9"/>
      <c r="S8" s="9"/>
      <c r="T8" s="9"/>
      <c r="U8" s="9"/>
      <c r="V8" s="8"/>
      <c r="W8" s="25"/>
    </row>
    <row r="9" spans="1:25" ht="15.75">
      <c r="A9" s="1073"/>
      <c r="B9" s="1073"/>
      <c r="C9" s="1073"/>
      <c r="D9" s="97"/>
      <c r="E9" s="97"/>
      <c r="F9" s="97"/>
      <c r="G9" s="21"/>
      <c r="H9" s="21"/>
      <c r="I9" s="21"/>
      <c r="J9" s="562"/>
      <c r="K9" s="23"/>
      <c r="L9" s="24"/>
      <c r="M9" s="9"/>
      <c r="N9" s="9"/>
      <c r="O9" s="9"/>
      <c r="P9" s="9"/>
      <c r="Q9" s="9"/>
      <c r="R9" s="9"/>
      <c r="S9" s="9"/>
      <c r="T9" s="9"/>
      <c r="U9" s="9"/>
      <c r="V9" s="8"/>
      <c r="W9" s="25"/>
    </row>
    <row r="10" spans="1:25" ht="34.5" customHeight="1">
      <c r="A10" s="2064" t="s">
        <v>1126</v>
      </c>
      <c r="B10" s="2065"/>
      <c r="C10" s="2065"/>
      <c r="D10" s="2065"/>
      <c r="E10" s="2065"/>
      <c r="F10" s="2065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5" ht="12" customHeight="1">
      <c r="A11" s="30"/>
      <c r="B11" s="31"/>
      <c r="C11" s="30"/>
      <c r="D11" s="30"/>
      <c r="E11" s="31"/>
      <c r="F11" s="31"/>
      <c r="G11" s="26"/>
      <c r="H11" s="27"/>
      <c r="I11" s="28"/>
    </row>
    <row r="12" spans="1:25" ht="15" customHeight="1">
      <c r="A12" s="2217" t="s">
        <v>11</v>
      </c>
      <c r="B12" s="2217" t="s">
        <v>83</v>
      </c>
      <c r="C12" s="2217" t="s">
        <v>15</v>
      </c>
      <c r="D12" s="2217" t="s">
        <v>32</v>
      </c>
      <c r="E12" s="2217" t="s">
        <v>19</v>
      </c>
      <c r="F12" s="2217" t="s">
        <v>106</v>
      </c>
      <c r="G12" s="565"/>
      <c r="H12" s="153"/>
      <c r="I12" s="154"/>
    </row>
    <row r="13" spans="1:25" ht="23.25" customHeight="1">
      <c r="A13" s="2217"/>
      <c r="B13" s="2217"/>
      <c r="C13" s="2217"/>
      <c r="D13" s="2217"/>
      <c r="E13" s="2217"/>
      <c r="F13" s="2217"/>
      <c r="G13" s="155"/>
      <c r="H13" s="153"/>
      <c r="I13" s="154"/>
    </row>
    <row r="14" spans="1:25" ht="39" customHeight="1">
      <c r="A14" s="149">
        <v>1</v>
      </c>
      <c r="B14" s="378" t="s">
        <v>632</v>
      </c>
      <c r="C14" s="570" t="s">
        <v>740</v>
      </c>
      <c r="D14" s="366">
        <v>500000</v>
      </c>
      <c r="E14" s="149"/>
      <c r="F14" s="149"/>
      <c r="G14" s="155"/>
      <c r="H14" s="345" t="e">
        <f>C14/10</f>
        <v>#VALUE!</v>
      </c>
      <c r="I14" s="157" t="e">
        <f>H14*25000</f>
        <v>#VALUE!</v>
      </c>
    </row>
    <row r="15" spans="1:25" ht="23.25" customHeight="1">
      <c r="A15" s="2217" t="s">
        <v>256</v>
      </c>
      <c r="B15" s="2217"/>
      <c r="C15" s="349"/>
      <c r="D15" s="571">
        <f>SUM(D14:D14)</f>
        <v>500000</v>
      </c>
      <c r="E15" s="1097"/>
      <c r="F15" s="149"/>
      <c r="G15" s="155"/>
      <c r="H15" s="156"/>
      <c r="I15" s="157"/>
    </row>
    <row r="16" spans="1:25" ht="20.25" customHeight="1">
      <c r="A16" s="2218" t="s">
        <v>388</v>
      </c>
      <c r="B16" s="2205"/>
      <c r="C16" s="2205"/>
      <c r="D16" s="2205"/>
      <c r="E16" s="2205"/>
      <c r="F16" s="2206"/>
    </row>
    <row r="17" spans="1:11" ht="18" customHeight="1">
      <c r="D17" s="2219" t="s">
        <v>1125</v>
      </c>
      <c r="E17" s="2219"/>
      <c r="F17" s="2219"/>
      <c r="G17" s="29"/>
      <c r="H17" s="29"/>
      <c r="I17" s="29"/>
      <c r="J17" s="29"/>
      <c r="K17" s="29"/>
    </row>
    <row r="18" spans="1:11" ht="21" customHeight="1">
      <c r="A18" s="158"/>
      <c r="B18" s="1098" t="s">
        <v>266</v>
      </c>
      <c r="C18" s="1098" t="s">
        <v>267</v>
      </c>
      <c r="D18" s="2220" t="s">
        <v>842</v>
      </c>
      <c r="E18" s="2220"/>
      <c r="F18" s="1098" t="s">
        <v>826</v>
      </c>
    </row>
    <row r="24" spans="1:11">
      <c r="D24" s="2215" t="s">
        <v>419</v>
      </c>
      <c r="E24" s="2215"/>
      <c r="F24" s="1080" t="s">
        <v>76</v>
      </c>
    </row>
    <row r="25" spans="1:11">
      <c r="C25" s="1" t="s">
        <v>268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49"/>
  <sheetViews>
    <sheetView topLeftCell="A31" zoomScale="85" zoomScaleNormal="85" workbookViewId="0">
      <selection activeCell="H54" sqref="H54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244"/>
      <c r="B1" s="244"/>
      <c r="C1" s="244"/>
      <c r="D1" s="244"/>
      <c r="E1" s="244"/>
      <c r="F1" s="244"/>
      <c r="G1" s="244"/>
      <c r="H1" s="244"/>
    </row>
    <row r="2" spans="1:27">
      <c r="A2" s="244"/>
      <c r="B2" s="244"/>
      <c r="C2" s="244"/>
      <c r="D2" s="244"/>
      <c r="E2" s="244"/>
      <c r="F2" s="244"/>
      <c r="G2" s="244"/>
      <c r="H2" s="244"/>
    </row>
    <row r="3" spans="1:27" ht="16.5">
      <c r="A3" s="2224" t="s">
        <v>90</v>
      </c>
      <c r="B3" s="2224"/>
      <c r="C3" s="2224"/>
      <c r="D3" s="2224"/>
      <c r="E3" s="2224"/>
      <c r="F3" s="2224"/>
      <c r="G3" s="2224"/>
      <c r="H3" s="2224"/>
      <c r="I3" s="15"/>
      <c r="J3" s="15"/>
      <c r="K3" s="15"/>
      <c r="L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7" ht="16.5">
      <c r="A4" s="2224" t="s">
        <v>56</v>
      </c>
      <c r="B4" s="2224"/>
      <c r="C4" s="2224"/>
      <c r="D4" s="2224"/>
      <c r="E4" s="2224"/>
      <c r="F4" s="2224"/>
      <c r="G4" s="2224"/>
      <c r="H4" s="2224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16.5">
      <c r="A5" s="2225" t="s">
        <v>818</v>
      </c>
      <c r="B5" s="2224"/>
      <c r="C5" s="2224"/>
      <c r="D5" s="2224"/>
      <c r="E5" s="2224"/>
      <c r="F5" s="2224"/>
      <c r="G5" s="2224"/>
      <c r="H5" s="2224"/>
      <c r="I5" s="16"/>
      <c r="J5" s="16"/>
      <c r="K5" s="16"/>
      <c r="L5" s="10"/>
      <c r="M5" s="7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7" ht="9.75" customHeight="1">
      <c r="A6" s="244"/>
      <c r="B6" s="244"/>
      <c r="C6" s="244"/>
      <c r="D6" s="244"/>
      <c r="E6" s="244"/>
      <c r="F6" s="244"/>
      <c r="G6" s="947"/>
      <c r="H6" s="947"/>
      <c r="I6" s="21"/>
      <c r="J6" s="21"/>
      <c r="K6" s="21"/>
      <c r="L6" s="562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2226" t="s">
        <v>5</v>
      </c>
      <c r="B7" s="2226"/>
      <c r="C7" s="2226"/>
      <c r="D7" s="2226"/>
      <c r="E7" s="2226"/>
      <c r="F7" s="159"/>
      <c r="G7" s="947"/>
      <c r="H7" s="947"/>
      <c r="I7" s="21"/>
      <c r="J7" s="21"/>
      <c r="K7" s="21"/>
      <c r="L7" s="562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6.5">
      <c r="A8" s="1896" t="s">
        <v>101</v>
      </c>
      <c r="B8" s="1896"/>
      <c r="C8" s="1896"/>
      <c r="D8" s="1896"/>
      <c r="E8" s="1896"/>
      <c r="F8" s="947"/>
      <c r="G8" s="947"/>
      <c r="H8" s="947"/>
      <c r="I8" s="21"/>
      <c r="J8" s="21"/>
      <c r="K8" s="21"/>
      <c r="L8" s="562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15.75">
      <c r="A9" s="889"/>
      <c r="B9" s="889"/>
      <c r="C9" s="889"/>
      <c r="D9" s="889"/>
      <c r="E9" s="948"/>
      <c r="F9" s="947"/>
      <c r="G9" s="947"/>
      <c r="H9" s="947"/>
      <c r="I9" s="21"/>
      <c r="J9" s="21"/>
      <c r="K9" s="21"/>
      <c r="L9" s="562"/>
      <c r="M9" s="23"/>
      <c r="N9" s="24"/>
      <c r="O9" s="9"/>
      <c r="P9" s="9"/>
      <c r="Q9" s="9"/>
      <c r="R9" s="9"/>
      <c r="S9" s="9"/>
      <c r="T9" s="9"/>
      <c r="U9" s="9"/>
      <c r="V9" s="9"/>
      <c r="W9" s="9"/>
      <c r="X9" s="8"/>
      <c r="Y9" s="25"/>
    </row>
    <row r="10" spans="1:27" ht="32.25" customHeight="1">
      <c r="A10" s="2222" t="s">
        <v>1160</v>
      </c>
      <c r="B10" s="2223"/>
      <c r="C10" s="2223"/>
      <c r="D10" s="2223"/>
      <c r="E10" s="2223"/>
      <c r="F10" s="2223"/>
      <c r="G10" s="2223"/>
      <c r="H10" s="2223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7" ht="12" customHeight="1">
      <c r="A11" s="949"/>
      <c r="B11" s="950"/>
      <c r="C11" s="950"/>
      <c r="D11" s="949"/>
      <c r="E11" s="949"/>
      <c r="F11" s="949"/>
      <c r="G11" s="950"/>
      <c r="H11" s="950"/>
      <c r="I11" s="26"/>
      <c r="J11" s="27"/>
      <c r="K11" s="28"/>
    </row>
    <row r="12" spans="1:27" ht="21" customHeight="1">
      <c r="A12" s="2115" t="s">
        <v>11</v>
      </c>
      <c r="B12" s="2115" t="s">
        <v>105</v>
      </c>
      <c r="C12" s="2115" t="s">
        <v>15</v>
      </c>
      <c r="D12" s="2115" t="s">
        <v>49</v>
      </c>
      <c r="E12" s="2115" t="s">
        <v>820</v>
      </c>
      <c r="F12" s="2115" t="s">
        <v>1061</v>
      </c>
      <c r="G12" s="2115" t="s">
        <v>19</v>
      </c>
      <c r="H12" s="2115" t="s">
        <v>106</v>
      </c>
      <c r="I12" s="565"/>
      <c r="J12" s="153"/>
      <c r="K12" s="154"/>
    </row>
    <row r="13" spans="1:27" ht="27.75" customHeight="1">
      <c r="A13" s="2116"/>
      <c r="B13" s="2116"/>
      <c r="C13" s="2116"/>
      <c r="D13" s="2116"/>
      <c r="E13" s="2116"/>
      <c r="F13" s="2116"/>
      <c r="G13" s="2116"/>
      <c r="H13" s="2116"/>
      <c r="I13" s="155"/>
      <c r="J13" s="153"/>
      <c r="K13" s="154"/>
    </row>
    <row r="14" spans="1:27" ht="32.25" customHeight="1">
      <c r="A14" s="355">
        <v>1</v>
      </c>
      <c r="B14" s="944" t="str">
        <f>'PC xăng xe T2'!C13</f>
        <v>Đoàn Văn Nghĩa</v>
      </c>
      <c r="C14" s="355" t="str">
        <f>'PC xăng xe T2'!D13</f>
        <v xml:space="preserve">PT.Giám đốc </v>
      </c>
      <c r="D14" s="952">
        <f>'PC xăng xe T2'!AJ13</f>
        <v>21</v>
      </c>
      <c r="E14" s="357">
        <v>20000</v>
      </c>
      <c r="F14" s="951">
        <f>D14*E14</f>
        <v>420000</v>
      </c>
      <c r="G14" s="355"/>
      <c r="H14" s="355"/>
      <c r="I14" s="155"/>
      <c r="J14" s="156"/>
      <c r="K14" s="157"/>
    </row>
    <row r="15" spans="1:27" ht="32.25" customHeight="1">
      <c r="A15" s="355">
        <v>2</v>
      </c>
      <c r="B15" s="1010" t="str">
        <f>'PC xăng xe T2'!C14</f>
        <v>Nguyễn Minh Thành</v>
      </c>
      <c r="C15" s="355" t="str">
        <f>'PC xăng xe T2'!D14</f>
        <v>P. Giám đốc</v>
      </c>
      <c r="D15" s="952">
        <f>'PC xăng xe T2'!AJ14</f>
        <v>13</v>
      </c>
      <c r="E15" s="357">
        <v>20000</v>
      </c>
      <c r="F15" s="951">
        <f t="shared" ref="F15:F37" si="0">D15*E15</f>
        <v>260000</v>
      </c>
      <c r="G15" s="355"/>
      <c r="H15" s="355"/>
      <c r="I15" s="155"/>
      <c r="J15" s="156"/>
      <c r="K15" s="157"/>
    </row>
    <row r="16" spans="1:27" ht="32.25" customHeight="1">
      <c r="A16" s="355">
        <v>3</v>
      </c>
      <c r="B16" s="1010" t="str">
        <f>'PC xăng xe T2'!C15</f>
        <v>Mai Đức Hiếu</v>
      </c>
      <c r="C16" s="355" t="str">
        <f>'PC xăng xe T2'!D15</f>
        <v>TL.NN</v>
      </c>
      <c r="D16" s="952">
        <f>'PC xăng xe T2'!AJ15</f>
        <v>21</v>
      </c>
      <c r="E16" s="357">
        <v>20000</v>
      </c>
      <c r="F16" s="951">
        <f t="shared" si="0"/>
        <v>420000</v>
      </c>
      <c r="G16" s="355"/>
      <c r="H16" s="355"/>
      <c r="I16" s="155"/>
      <c r="J16" s="156"/>
      <c r="K16" s="157"/>
    </row>
    <row r="17" spans="1:11" ht="32.25" customHeight="1">
      <c r="A17" s="355">
        <v>4</v>
      </c>
      <c r="B17" s="1010" t="str">
        <f>'PC xăng xe T2'!C16</f>
        <v>Trần Viết Hùng</v>
      </c>
      <c r="C17" s="355" t="str">
        <f>'PC xăng xe T2'!D16</f>
        <v>TL - KH</v>
      </c>
      <c r="D17" s="952">
        <f>'PC xăng xe T2'!AJ16</f>
        <v>16</v>
      </c>
      <c r="E17" s="357">
        <v>20000</v>
      </c>
      <c r="F17" s="951">
        <f t="shared" si="0"/>
        <v>320000</v>
      </c>
      <c r="G17" s="355"/>
      <c r="H17" s="355"/>
      <c r="I17" s="155"/>
      <c r="J17" s="156"/>
      <c r="K17" s="157"/>
    </row>
    <row r="18" spans="1:11" ht="32.25" customHeight="1">
      <c r="A18" s="355">
        <v>5</v>
      </c>
      <c r="B18" s="1010" t="str">
        <f>'PC xăng xe T2'!C17</f>
        <v>Nguyễn Ngọc Huấn</v>
      </c>
      <c r="C18" s="355" t="str">
        <f>'PC xăng xe T2'!D17</f>
        <v>TL. BV</v>
      </c>
      <c r="D18" s="952">
        <f>'PC xăng xe T2'!AJ17</f>
        <v>14</v>
      </c>
      <c r="E18" s="357">
        <v>20000</v>
      </c>
      <c r="F18" s="951">
        <f t="shared" si="0"/>
        <v>280000</v>
      </c>
      <c r="G18" s="355"/>
      <c r="H18" s="355"/>
      <c r="I18" s="155"/>
      <c r="J18" s="156"/>
      <c r="K18" s="157"/>
    </row>
    <row r="19" spans="1:11" ht="32.25" customHeight="1">
      <c r="A19" s="355">
        <v>6</v>
      </c>
      <c r="B19" s="1010" t="str">
        <f>'PC xăng xe T2'!C18</f>
        <v>Nguyễn Văn Thái</v>
      </c>
      <c r="C19" s="355" t="str">
        <f>'PC xăng xe T2'!D18</f>
        <v>Tài xế</v>
      </c>
      <c r="D19" s="952">
        <f>'PC xăng xe T2'!AJ18</f>
        <v>13</v>
      </c>
      <c r="E19" s="357">
        <v>20000</v>
      </c>
      <c r="F19" s="951">
        <f t="shared" si="0"/>
        <v>260000</v>
      </c>
      <c r="G19" s="355"/>
      <c r="H19" s="355"/>
      <c r="I19" s="155"/>
      <c r="J19" s="156"/>
      <c r="K19" s="157"/>
    </row>
    <row r="20" spans="1:11" ht="32.25" customHeight="1">
      <c r="A20" s="355">
        <v>7</v>
      </c>
      <c r="B20" s="1010" t="str">
        <f>'PC xăng xe T2'!C19</f>
        <v>Phan Văn Hưng</v>
      </c>
      <c r="C20" s="355" t="str">
        <f>'PC xăng xe T2'!D19</f>
        <v>NV-NN</v>
      </c>
      <c r="D20" s="952">
        <f>'PC xăng xe T2'!AJ19</f>
        <v>21</v>
      </c>
      <c r="E20" s="357">
        <v>20000</v>
      </c>
      <c r="F20" s="951">
        <f t="shared" si="0"/>
        <v>420000</v>
      </c>
      <c r="G20" s="355"/>
      <c r="H20" s="355"/>
      <c r="I20" s="155"/>
      <c r="J20" s="156"/>
      <c r="K20" s="157"/>
    </row>
    <row r="21" spans="1:11" ht="32.25" customHeight="1">
      <c r="A21" s="355">
        <v>8</v>
      </c>
      <c r="B21" s="1010" t="str">
        <f>'PC xăng xe T2'!C20</f>
        <v>Nguyễn Thị Thùy Linh</v>
      </c>
      <c r="C21" s="355" t="str">
        <f>'PC xăng xe T2'!D20</f>
        <v>NV-NN</v>
      </c>
      <c r="D21" s="952">
        <f>'PC xăng xe T2'!AJ20</f>
        <v>28</v>
      </c>
      <c r="E21" s="357">
        <v>20000</v>
      </c>
      <c r="F21" s="951">
        <f t="shared" si="0"/>
        <v>560000</v>
      </c>
      <c r="G21" s="355"/>
      <c r="H21" s="355"/>
      <c r="I21" s="155"/>
      <c r="J21" s="156"/>
      <c r="K21" s="157"/>
    </row>
    <row r="22" spans="1:11" ht="32.25" customHeight="1">
      <c r="A22" s="355">
        <v>9</v>
      </c>
      <c r="B22" s="1010" t="str">
        <f>'PC xăng xe T2'!C21</f>
        <v>Trần Thị Kim Ngân</v>
      </c>
      <c r="C22" s="355" t="str">
        <f>'PC xăng xe T2'!D21</f>
        <v>NV-NN</v>
      </c>
      <c r="D22" s="952">
        <f>'PC xăng xe T2'!AJ21</f>
        <v>13</v>
      </c>
      <c r="E22" s="357">
        <v>20000</v>
      </c>
      <c r="F22" s="951">
        <f t="shared" si="0"/>
        <v>260000</v>
      </c>
      <c r="G22" s="355"/>
      <c r="H22" s="355"/>
      <c r="I22" s="155"/>
      <c r="J22" s="156"/>
      <c r="K22" s="157"/>
    </row>
    <row r="23" spans="1:11" ht="32.25" customHeight="1">
      <c r="A23" s="355">
        <v>10</v>
      </c>
      <c r="B23" s="1010" t="str">
        <f>'PC xăng xe T2'!C22</f>
        <v>Hoàng Thị Lan</v>
      </c>
      <c r="C23" s="355" t="str">
        <f>'PC xăng xe T2'!D22</f>
        <v>NV-NN</v>
      </c>
      <c r="D23" s="952">
        <f>'PC xăng xe T2'!AJ22</f>
        <v>22</v>
      </c>
      <c r="E23" s="357">
        <v>20000</v>
      </c>
      <c r="F23" s="951">
        <f t="shared" si="0"/>
        <v>440000</v>
      </c>
      <c r="G23" s="355"/>
      <c r="H23" s="355"/>
      <c r="I23" s="155"/>
      <c r="J23" s="156"/>
      <c r="K23" s="157"/>
    </row>
    <row r="24" spans="1:11" ht="32.25" customHeight="1">
      <c r="A24" s="355">
        <v>11</v>
      </c>
      <c r="B24" s="1010" t="str">
        <f>'PC xăng xe T2'!C23</f>
        <v>Lê Minh Trí</v>
      </c>
      <c r="C24" s="355" t="str">
        <f>'PC xăng xe T2'!D23</f>
        <v>Bảo vệ (D1)</v>
      </c>
      <c r="D24" s="952">
        <f>'PC xăng xe T2'!AJ23</f>
        <v>13</v>
      </c>
      <c r="E24" s="357">
        <v>20000</v>
      </c>
      <c r="F24" s="951">
        <f t="shared" si="0"/>
        <v>260000</v>
      </c>
      <c r="G24" s="355"/>
      <c r="H24" s="355"/>
      <c r="I24" s="155"/>
      <c r="J24" s="156"/>
      <c r="K24" s="157"/>
    </row>
    <row r="25" spans="1:11" ht="32.25" customHeight="1">
      <c r="A25" s="355">
        <v>12</v>
      </c>
      <c r="B25" s="1010" t="str">
        <f>'PC xăng xe T2'!C24</f>
        <v>Trần Đăng Tám</v>
      </c>
      <c r="C25" s="355" t="str">
        <f>'PC xăng xe T2'!D24</f>
        <v>Bảo vệ (D2)</v>
      </c>
      <c r="D25" s="952">
        <f>'PC xăng xe T2'!AJ24</f>
        <v>13</v>
      </c>
      <c r="E25" s="357">
        <v>20000</v>
      </c>
      <c r="F25" s="951">
        <f t="shared" si="0"/>
        <v>260000</v>
      </c>
      <c r="G25" s="355"/>
      <c r="H25" s="355"/>
      <c r="I25" s="155"/>
      <c r="J25" s="156"/>
      <c r="K25" s="157"/>
    </row>
    <row r="26" spans="1:11" ht="32.25" customHeight="1">
      <c r="A26" s="355">
        <v>13</v>
      </c>
      <c r="B26" s="1010" t="str">
        <f>'PC xăng xe T2'!C25</f>
        <v>Nguyễn Văn Cương</v>
      </c>
      <c r="C26" s="355" t="str">
        <f>'PC xăng xe T2'!D25</f>
        <v>Bảo vệ (D3)</v>
      </c>
      <c r="D26" s="952">
        <f>'PC xăng xe T2'!AJ25</f>
        <v>28</v>
      </c>
      <c r="E26" s="357">
        <v>20000</v>
      </c>
      <c r="F26" s="951">
        <f t="shared" si="0"/>
        <v>560000</v>
      </c>
      <c r="G26" s="355"/>
      <c r="H26" s="355"/>
      <c r="I26" s="155"/>
      <c r="J26" s="156"/>
      <c r="K26" s="157"/>
    </row>
    <row r="27" spans="1:11" ht="32.25" customHeight="1">
      <c r="A27" s="355">
        <v>14</v>
      </c>
      <c r="B27" s="1010" t="str">
        <f>'PC xăng xe T2'!C26</f>
        <v>Nguyễn Quốc Triệu Phú</v>
      </c>
      <c r="C27" s="355" t="str">
        <f>'PC xăng xe T2'!D26</f>
        <v>Bảo vệ (D4)</v>
      </c>
      <c r="D27" s="952">
        <f>'PC xăng xe T2'!AJ26</f>
        <v>28</v>
      </c>
      <c r="E27" s="357">
        <v>20000</v>
      </c>
      <c r="F27" s="951">
        <f t="shared" si="0"/>
        <v>560000</v>
      </c>
      <c r="G27" s="355"/>
      <c r="H27" s="355"/>
      <c r="I27" s="155"/>
      <c r="J27" s="156"/>
      <c r="K27" s="157"/>
    </row>
    <row r="28" spans="1:11" ht="32.25" customHeight="1">
      <c r="A28" s="355">
        <v>15</v>
      </c>
      <c r="B28" s="1010" t="str">
        <f>'PC xăng xe T2'!C27</f>
        <v>Nguyễn Trí Thạch</v>
      </c>
      <c r="C28" s="355" t="str">
        <f>'PC xăng xe T2'!D27</f>
        <v>Đội trưởng</v>
      </c>
      <c r="D28" s="952">
        <f>'PC xăng xe T2'!AJ27</f>
        <v>22</v>
      </c>
      <c r="E28" s="357">
        <v>20000</v>
      </c>
      <c r="F28" s="951">
        <f t="shared" si="0"/>
        <v>440000</v>
      </c>
      <c r="G28" s="355"/>
      <c r="H28" s="355"/>
      <c r="I28" s="155"/>
      <c r="J28" s="156"/>
      <c r="K28" s="157"/>
    </row>
    <row r="29" spans="1:11" ht="32.25" customHeight="1">
      <c r="A29" s="355">
        <v>16</v>
      </c>
      <c r="B29" s="1010" t="str">
        <f>'PC xăng xe T2'!C28</f>
        <v>Nguyễn Quang Hà</v>
      </c>
      <c r="C29" s="355" t="str">
        <f>'PC xăng xe T2'!D28</f>
        <v>Đội trưởng</v>
      </c>
      <c r="D29" s="952">
        <f>'PC xăng xe T2'!AJ28</f>
        <v>22</v>
      </c>
      <c r="E29" s="357">
        <v>20000</v>
      </c>
      <c r="F29" s="951">
        <f t="shared" si="0"/>
        <v>440000</v>
      </c>
      <c r="G29" s="355"/>
      <c r="H29" s="355"/>
      <c r="I29" s="155"/>
      <c r="J29" s="156"/>
      <c r="K29" s="157"/>
    </row>
    <row r="30" spans="1:11" ht="32.25" customHeight="1">
      <c r="A30" s="355">
        <v>17</v>
      </c>
      <c r="B30" s="1010" t="str">
        <f>'PC xăng xe T2'!C29</f>
        <v>Hoàng Hữu Công</v>
      </c>
      <c r="C30" s="355" t="str">
        <f>'PC xăng xe T2'!D29</f>
        <v>Đội trưởng</v>
      </c>
      <c r="D30" s="952">
        <f>'PC xăng xe T2'!AJ29</f>
        <v>28</v>
      </c>
      <c r="E30" s="357">
        <v>20000</v>
      </c>
      <c r="F30" s="951">
        <f t="shared" si="0"/>
        <v>560000</v>
      </c>
      <c r="G30" s="355"/>
      <c r="H30" s="355"/>
      <c r="I30" s="155"/>
      <c r="J30" s="156"/>
      <c r="K30" s="157"/>
    </row>
    <row r="31" spans="1:11" ht="32.25" customHeight="1">
      <c r="A31" s="355">
        <v>18</v>
      </c>
      <c r="B31" s="1010" t="str">
        <f>'PC xăng xe T2'!C30</f>
        <v>Trần Viết Dũng</v>
      </c>
      <c r="C31" s="355" t="str">
        <f>'PC xăng xe T2'!D30</f>
        <v>Đội trưởng</v>
      </c>
      <c r="D31" s="952">
        <f>'PC xăng xe T2'!AJ30</f>
        <v>28</v>
      </c>
      <c r="E31" s="357">
        <v>20000</v>
      </c>
      <c r="F31" s="951">
        <f t="shared" si="0"/>
        <v>560000</v>
      </c>
      <c r="G31" s="355"/>
      <c r="H31" s="355"/>
      <c r="I31" s="155"/>
      <c r="J31" s="156"/>
      <c r="K31" s="157"/>
    </row>
    <row r="32" spans="1:11" ht="32.25" customHeight="1">
      <c r="A32" s="355">
        <v>19</v>
      </c>
      <c r="B32" s="1010" t="str">
        <f>'PC xăng xe T2'!C31</f>
        <v>Hà Văn Thủy</v>
      </c>
      <c r="C32" s="355" t="str">
        <f>'PC xăng xe T2'!D31</f>
        <v>PT . Trạm cán</v>
      </c>
      <c r="D32" s="952">
        <f>'PC xăng xe T2'!AJ31</f>
        <v>13</v>
      </c>
      <c r="E32" s="357">
        <v>20000</v>
      </c>
      <c r="F32" s="951">
        <f t="shared" si="0"/>
        <v>260000</v>
      </c>
      <c r="G32" s="355"/>
      <c r="H32" s="355"/>
      <c r="I32" s="155"/>
      <c r="J32" s="156"/>
      <c r="K32" s="157"/>
    </row>
    <row r="33" spans="1:13" ht="32.25" customHeight="1">
      <c r="A33" s="355">
        <v>20</v>
      </c>
      <c r="B33" s="1010" t="str">
        <f>'PC xăng xe T2'!C32</f>
        <v>Đặng Ngọc Tú</v>
      </c>
      <c r="C33" s="355" t="str">
        <f>'PC xăng xe T2'!D32</f>
        <v>PT . Trạm cán</v>
      </c>
      <c r="D33" s="952">
        <f>'PC xăng xe T2'!AJ32</f>
        <v>23</v>
      </c>
      <c r="E33" s="357">
        <v>20000</v>
      </c>
      <c r="F33" s="951">
        <f t="shared" si="0"/>
        <v>460000</v>
      </c>
      <c r="G33" s="355"/>
      <c r="H33" s="355"/>
      <c r="I33" s="155"/>
      <c r="J33" s="156">
        <f>D38*E33</f>
        <v>12720000</v>
      </c>
      <c r="K33" s="157"/>
    </row>
    <row r="34" spans="1:13" ht="32.25" customHeight="1">
      <c r="A34" s="355">
        <v>21</v>
      </c>
      <c r="B34" s="1010" t="str">
        <f>'PC xăng xe T2'!C33</f>
        <v>Thảo Văn Vông</v>
      </c>
      <c r="C34" s="355" t="str">
        <f>'PC xăng xe T2'!D33</f>
        <v>ĐP - NL</v>
      </c>
      <c r="D34" s="952">
        <f>'PC xăng xe T2'!AJ33+'PC xăng xe T1'!AJ13</f>
        <v>59</v>
      </c>
      <c r="E34" s="357">
        <v>20000</v>
      </c>
      <c r="F34" s="951">
        <f>D34*E34</f>
        <v>1180000</v>
      </c>
      <c r="G34" s="355"/>
      <c r="H34" s="355" t="s">
        <v>1124</v>
      </c>
      <c r="I34" s="155"/>
      <c r="J34" s="156"/>
      <c r="K34" s="157"/>
    </row>
    <row r="35" spans="1:13" ht="32.25" customHeight="1">
      <c r="A35" s="355">
        <v>22</v>
      </c>
      <c r="B35" s="1010" t="str">
        <f>'PC xăng xe T2'!C34</f>
        <v>A lane Xaykhamsouk</v>
      </c>
      <c r="C35" s="355" t="str">
        <f>'PC xăng xe T2'!D34</f>
        <v>ĐP - NL</v>
      </c>
      <c r="D35" s="952">
        <f>'PC xăng xe T2'!AJ34+'PC xăng xe T1'!AJ14</f>
        <v>59</v>
      </c>
      <c r="E35" s="357">
        <v>20000</v>
      </c>
      <c r="F35" s="951">
        <f t="shared" si="0"/>
        <v>1180000</v>
      </c>
      <c r="G35" s="355"/>
      <c r="H35" s="355" t="s">
        <v>1124</v>
      </c>
      <c r="I35" s="155"/>
      <c r="J35" s="156"/>
      <c r="K35" s="157"/>
    </row>
    <row r="36" spans="1:13" ht="32.25" customHeight="1">
      <c r="A36" s="355">
        <v>23</v>
      </c>
      <c r="B36" s="1010" t="str">
        <f>'PC xăng xe T2'!C35</f>
        <v>Thảo Phôn Chay</v>
      </c>
      <c r="C36" s="355" t="str">
        <f>'PC xăng xe T2'!D35</f>
        <v>ĐP - NL</v>
      </c>
      <c r="D36" s="952">
        <f>'PC xăng xe T2'!AJ35+'PC xăng xe T1'!AJ15</f>
        <v>59</v>
      </c>
      <c r="E36" s="357">
        <v>20000</v>
      </c>
      <c r="F36" s="951">
        <f>D36*E36</f>
        <v>1180000</v>
      </c>
      <c r="G36" s="355"/>
      <c r="H36" s="355" t="s">
        <v>1124</v>
      </c>
      <c r="I36" s="155"/>
      <c r="J36" s="156"/>
      <c r="K36" s="157"/>
    </row>
    <row r="37" spans="1:13" ht="32.25" customHeight="1">
      <c r="A37" s="355">
        <v>24</v>
      </c>
      <c r="B37" s="1010" t="str">
        <f>'PC xăng xe T2'!C36</f>
        <v>Bun Khưn</v>
      </c>
      <c r="C37" s="355" t="str">
        <f>'PC xăng xe T2'!D36</f>
        <v>ĐP - NL</v>
      </c>
      <c r="D37" s="952">
        <f>'PC xăng xe T2'!AJ36+'PC xăng xe T1'!AJ16</f>
        <v>59</v>
      </c>
      <c r="E37" s="357">
        <v>20000</v>
      </c>
      <c r="F37" s="951">
        <f t="shared" si="0"/>
        <v>1180000</v>
      </c>
      <c r="G37" s="355"/>
      <c r="H37" s="355" t="s">
        <v>1124</v>
      </c>
      <c r="I37" s="155"/>
      <c r="J37" s="156"/>
      <c r="K37" s="157"/>
    </row>
    <row r="38" spans="1:13" ht="32.25" customHeight="1">
      <c r="A38" s="2066" t="s">
        <v>256</v>
      </c>
      <c r="B38" s="2066"/>
      <c r="C38" s="943"/>
      <c r="D38" s="567">
        <f>SUM(D14:D37)</f>
        <v>636</v>
      </c>
      <c r="E38" s="567"/>
      <c r="F38" s="567">
        <f>SUM(F14:F37)</f>
        <v>12720000</v>
      </c>
      <c r="G38" s="943"/>
      <c r="H38" s="355"/>
      <c r="I38" s="155"/>
      <c r="J38" s="156">
        <f>F38/25000</f>
        <v>508.8</v>
      </c>
      <c r="K38" s="157">
        <f>F38/25000</f>
        <v>508.8</v>
      </c>
    </row>
    <row r="39" spans="1:13" ht="27.75" customHeight="1">
      <c r="A39" s="2227" t="s">
        <v>1161</v>
      </c>
      <c r="B39" s="2228"/>
      <c r="C39" s="2228"/>
      <c r="D39" s="2228"/>
      <c r="E39" s="2228"/>
      <c r="F39" s="2228"/>
      <c r="G39" s="2228"/>
      <c r="H39" s="2228"/>
    </row>
    <row r="40" spans="1:13" ht="17.25">
      <c r="A40" s="358"/>
      <c r="B40" s="358"/>
      <c r="C40" s="358"/>
      <c r="D40" s="358"/>
      <c r="E40" s="358"/>
      <c r="F40" s="2181" t="s">
        <v>1122</v>
      </c>
      <c r="G40" s="2181"/>
      <c r="H40" s="2181"/>
      <c r="I40" s="29"/>
      <c r="J40" s="29"/>
      <c r="K40" s="29"/>
      <c r="L40" s="29"/>
      <c r="M40" s="29"/>
    </row>
    <row r="41" spans="1:13" ht="16.5">
      <c r="A41" s="359"/>
      <c r="B41" s="942" t="s">
        <v>266</v>
      </c>
      <c r="C41" s="2114" t="s">
        <v>819</v>
      </c>
      <c r="D41" s="2114"/>
      <c r="E41" s="2114" t="s">
        <v>101</v>
      </c>
      <c r="F41" s="2114"/>
      <c r="G41" s="2114" t="s">
        <v>826</v>
      </c>
      <c r="H41" s="2114"/>
    </row>
    <row r="48" spans="1:13" ht="16.5">
      <c r="B48" s="11" t="s">
        <v>830</v>
      </c>
      <c r="C48" s="2214" t="s">
        <v>908</v>
      </c>
      <c r="D48" s="2214"/>
      <c r="E48" s="2221" t="s">
        <v>419</v>
      </c>
      <c r="F48" s="2221"/>
      <c r="G48" s="2114" t="s">
        <v>76</v>
      </c>
      <c r="H48" s="2114"/>
    </row>
    <row r="49" spans="4:4">
      <c r="D49" s="1" t="s">
        <v>268</v>
      </c>
    </row>
  </sheetData>
  <mergeCells count="23">
    <mergeCell ref="A38:B38"/>
    <mergeCell ref="A39:H39"/>
    <mergeCell ref="A12:A13"/>
    <mergeCell ref="B12:B13"/>
    <mergeCell ref="D12:D13"/>
    <mergeCell ref="G12:G13"/>
    <mergeCell ref="H12:H13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C41:D41"/>
    <mergeCell ref="F40:H40"/>
    <mergeCell ref="G48:H48"/>
    <mergeCell ref="G41:H41"/>
    <mergeCell ref="E41:F41"/>
    <mergeCell ref="E48:F48"/>
    <mergeCell ref="C48:D4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57"/>
  <sheetViews>
    <sheetView topLeftCell="A9" workbookViewId="0">
      <pane ySplit="4" topLeftCell="A24" activePane="bottomLeft" state="frozen"/>
      <selection activeCell="A9" sqref="A9"/>
      <selection pane="bottomLeft" activeCell="AJ13" sqref="AJ13:AJ36"/>
    </sheetView>
  </sheetViews>
  <sheetFormatPr defaultColWidth="5.28515625" defaultRowHeight="8.25"/>
  <cols>
    <col min="1" max="1" width="3.5703125" style="1776" customWidth="1"/>
    <col min="2" max="2" width="0.140625" style="1776" hidden="1" customWidth="1"/>
    <col min="3" max="3" width="21.140625" style="1776" customWidth="1"/>
    <col min="4" max="4" width="14.42578125" style="1776" customWidth="1"/>
    <col min="5" max="32" width="4.140625" style="1776" customWidth="1"/>
    <col min="33" max="33" width="4.140625" style="1776" hidden="1" customWidth="1"/>
    <col min="34" max="34" width="4.42578125" style="1776" hidden="1" customWidth="1"/>
    <col min="35" max="35" width="4.140625" style="1776" hidden="1" customWidth="1"/>
    <col min="36" max="36" width="12" style="1776" customWidth="1"/>
    <col min="37" max="37" width="5.28515625" style="1776" customWidth="1"/>
    <col min="38" max="38" width="7.5703125" style="1777" customWidth="1"/>
    <col min="39" max="16384" width="5.28515625" style="1776"/>
  </cols>
  <sheetData>
    <row r="2" spans="1:36" ht="20.25" customHeight="1">
      <c r="A2" s="2242" t="s">
        <v>90</v>
      </c>
      <c r="B2" s="2242"/>
      <c r="C2" s="2242"/>
      <c r="D2" s="2242"/>
      <c r="E2" s="2242"/>
      <c r="F2" s="2242"/>
      <c r="G2" s="2242"/>
      <c r="H2" s="2242"/>
      <c r="I2" s="2242"/>
      <c r="J2" s="2242"/>
      <c r="K2" s="2242"/>
      <c r="L2" s="2242"/>
      <c r="M2" s="2242"/>
      <c r="N2" s="2242"/>
      <c r="O2" s="2242"/>
      <c r="P2" s="2242"/>
      <c r="Q2" s="2242"/>
      <c r="R2" s="2242"/>
      <c r="S2" s="2242"/>
      <c r="T2" s="2242"/>
      <c r="U2" s="2242"/>
      <c r="V2" s="2242"/>
      <c r="W2" s="2242"/>
      <c r="X2" s="2242"/>
      <c r="Y2" s="2242"/>
      <c r="Z2" s="2242"/>
      <c r="AA2" s="2242"/>
      <c r="AB2" s="2242"/>
      <c r="AC2" s="2242"/>
      <c r="AD2" s="2242"/>
      <c r="AE2" s="2242"/>
      <c r="AF2" s="2242"/>
      <c r="AG2" s="2242"/>
      <c r="AH2" s="2242"/>
      <c r="AI2" s="2242"/>
      <c r="AJ2" s="2242"/>
    </row>
    <row r="3" spans="1:36" ht="20.25" customHeight="1">
      <c r="A3" s="2242" t="s">
        <v>91</v>
      </c>
      <c r="B3" s="2242"/>
      <c r="C3" s="2242"/>
      <c r="D3" s="2242"/>
      <c r="E3" s="2242"/>
      <c r="F3" s="2242"/>
      <c r="G3" s="2242"/>
      <c r="H3" s="2242"/>
      <c r="I3" s="2242"/>
      <c r="J3" s="2242"/>
      <c r="K3" s="2242"/>
      <c r="L3" s="2242"/>
      <c r="M3" s="2242"/>
      <c r="N3" s="2242"/>
      <c r="O3" s="2242"/>
      <c r="P3" s="2242"/>
      <c r="Q3" s="2242"/>
      <c r="R3" s="2242"/>
      <c r="S3" s="2242"/>
      <c r="T3" s="2242"/>
      <c r="U3" s="2242"/>
      <c r="V3" s="2242"/>
      <c r="W3" s="2242"/>
      <c r="X3" s="2242"/>
      <c r="Y3" s="2242"/>
      <c r="Z3" s="2242"/>
      <c r="AA3" s="2242"/>
      <c r="AB3" s="2242"/>
      <c r="AC3" s="2242"/>
      <c r="AD3" s="2242"/>
      <c r="AE3" s="2242"/>
      <c r="AF3" s="2242"/>
      <c r="AG3" s="2242"/>
      <c r="AH3" s="2242"/>
      <c r="AI3" s="2242"/>
      <c r="AJ3" s="2242"/>
    </row>
    <row r="4" spans="1:36" ht="20.25" customHeight="1">
      <c r="A4" s="2243" t="s">
        <v>604</v>
      </c>
      <c r="B4" s="2242"/>
      <c r="C4" s="2242"/>
      <c r="D4" s="2242"/>
      <c r="E4" s="2242"/>
      <c r="F4" s="2242"/>
      <c r="G4" s="2242"/>
      <c r="H4" s="2242"/>
      <c r="I4" s="2242"/>
      <c r="J4" s="2242"/>
      <c r="K4" s="2242"/>
      <c r="L4" s="2242"/>
      <c r="M4" s="2242"/>
      <c r="N4" s="2242"/>
      <c r="O4" s="2242"/>
      <c r="P4" s="2242"/>
      <c r="Q4" s="2242"/>
      <c r="R4" s="2242"/>
      <c r="S4" s="2242"/>
      <c r="T4" s="2242"/>
      <c r="U4" s="2242"/>
      <c r="V4" s="2242"/>
      <c r="W4" s="2242"/>
      <c r="X4" s="2242"/>
      <c r="Y4" s="2242"/>
      <c r="Z4" s="2242"/>
      <c r="AA4" s="2242"/>
      <c r="AB4" s="2242"/>
      <c r="AC4" s="2242"/>
      <c r="AD4" s="2242"/>
      <c r="AE4" s="2242"/>
      <c r="AF4" s="2242"/>
      <c r="AG4" s="2242"/>
      <c r="AH4" s="2242"/>
      <c r="AI4" s="2242"/>
      <c r="AJ4" s="2242"/>
    </row>
    <row r="5" spans="1:36" ht="20.25" customHeight="1">
      <c r="A5" s="1778"/>
      <c r="B5" s="1778"/>
      <c r="C5" s="1778"/>
      <c r="D5" s="1778"/>
      <c r="E5" s="1778"/>
      <c r="F5" s="1778"/>
      <c r="G5" s="1778"/>
      <c r="H5" s="1778"/>
      <c r="I5" s="1778"/>
      <c r="J5" s="1778"/>
      <c r="K5" s="1778"/>
      <c r="L5" s="1778"/>
      <c r="M5" s="1778"/>
      <c r="N5" s="1778"/>
      <c r="O5" s="1778"/>
      <c r="P5" s="1778"/>
      <c r="Q5" s="1778"/>
      <c r="R5" s="1778"/>
      <c r="S5" s="1778"/>
      <c r="T5" s="1778"/>
      <c r="U5" s="1778"/>
      <c r="V5" s="1778"/>
      <c r="W5" s="1778"/>
      <c r="X5" s="1778"/>
      <c r="Y5" s="1778"/>
      <c r="Z5" s="1778"/>
      <c r="AA5" s="1778"/>
      <c r="AB5" s="1778"/>
      <c r="AC5" s="1778"/>
      <c r="AD5" s="1778"/>
      <c r="AE5" s="1778"/>
      <c r="AF5" s="1778"/>
      <c r="AG5" s="1778"/>
      <c r="AH5" s="1778"/>
      <c r="AI5" s="1778"/>
      <c r="AJ5" s="1778"/>
    </row>
    <row r="6" spans="1:36" ht="20.25" customHeight="1">
      <c r="A6" s="2244" t="s">
        <v>479</v>
      </c>
      <c r="B6" s="2244"/>
      <c r="C6" s="2244"/>
      <c r="D6" s="2244"/>
      <c r="E6" s="2244"/>
      <c r="F6" s="2244"/>
      <c r="G6" s="2244"/>
      <c r="H6" s="2244"/>
      <c r="I6" s="2244"/>
      <c r="J6" s="2244"/>
      <c r="K6" s="2244"/>
      <c r="L6" s="2244"/>
      <c r="M6" s="1779"/>
      <c r="N6" s="1779"/>
      <c r="O6" s="1779"/>
      <c r="P6" s="1778"/>
      <c r="Q6" s="1778"/>
      <c r="R6" s="1778"/>
      <c r="S6" s="1778"/>
      <c r="T6" s="1778"/>
      <c r="U6" s="1778"/>
      <c r="V6" s="1778"/>
      <c r="W6" s="1778"/>
      <c r="X6" s="1778"/>
      <c r="Y6" s="1778"/>
      <c r="Z6" s="1778"/>
      <c r="AA6" s="1778"/>
      <c r="AB6" s="1778"/>
      <c r="AC6" s="1778"/>
      <c r="AD6" s="1778"/>
      <c r="AE6" s="1778"/>
      <c r="AF6" s="1778"/>
      <c r="AG6" s="1778"/>
      <c r="AH6" s="1778"/>
      <c r="AI6" s="1778"/>
      <c r="AJ6" s="1778"/>
    </row>
    <row r="7" spans="1:36" ht="20.25" customHeight="1">
      <c r="A7" s="2245" t="s">
        <v>101</v>
      </c>
      <c r="B7" s="2245"/>
      <c r="C7" s="2245"/>
      <c r="D7" s="2245"/>
      <c r="E7" s="2245"/>
      <c r="F7" s="2245"/>
      <c r="G7" s="2245"/>
      <c r="H7" s="2245"/>
      <c r="I7" s="2245"/>
      <c r="J7" s="2245"/>
      <c r="K7" s="2245"/>
      <c r="L7" s="2245"/>
      <c r="M7" s="1779"/>
      <c r="N7" s="1779"/>
      <c r="O7" s="1779"/>
      <c r="P7" s="1778"/>
      <c r="Q7" s="1778"/>
      <c r="R7" s="1778"/>
      <c r="S7" s="1778"/>
      <c r="T7" s="1778"/>
      <c r="U7" s="1778"/>
      <c r="V7" s="1778"/>
      <c r="W7" s="1778"/>
      <c r="X7" s="1778"/>
      <c r="Y7" s="1778"/>
      <c r="Z7" s="1778"/>
      <c r="AA7" s="1778"/>
      <c r="AB7" s="1778"/>
      <c r="AC7" s="1778"/>
      <c r="AD7" s="1778"/>
      <c r="AE7" s="1778"/>
      <c r="AF7" s="1778"/>
      <c r="AG7" s="1778"/>
      <c r="AH7" s="1778"/>
      <c r="AI7" s="1778"/>
      <c r="AJ7" s="1778"/>
    </row>
    <row r="8" spans="1:36" ht="20.25" customHeight="1">
      <c r="A8" s="1780"/>
      <c r="B8" s="1780"/>
      <c r="C8" s="1780"/>
      <c r="D8" s="1780"/>
      <c r="E8" s="1780"/>
      <c r="F8" s="1780"/>
      <c r="G8" s="1780"/>
      <c r="H8" s="1780"/>
      <c r="I8" s="1780"/>
      <c r="J8" s="1780"/>
      <c r="K8" s="1780"/>
      <c r="L8" s="1780"/>
      <c r="M8" s="1779"/>
      <c r="N8" s="1779"/>
      <c r="O8" s="1779"/>
      <c r="P8" s="1778"/>
      <c r="Q8" s="1778"/>
      <c r="R8" s="1778"/>
      <c r="S8" s="1778"/>
      <c r="T8" s="1778"/>
      <c r="U8" s="1778"/>
      <c r="V8" s="1778"/>
      <c r="W8" s="1778"/>
      <c r="X8" s="1778"/>
      <c r="Y8" s="1778"/>
      <c r="Z8" s="1778"/>
      <c r="AA8" s="1778"/>
      <c r="AB8" s="1778"/>
      <c r="AC8" s="1778"/>
      <c r="AD8" s="1778"/>
      <c r="AE8" s="1778"/>
      <c r="AF8" s="1778"/>
      <c r="AG8" s="1778"/>
      <c r="AH8" s="1778"/>
      <c r="AI8" s="1778"/>
      <c r="AJ8" s="1778"/>
    </row>
    <row r="9" spans="1:36" ht="21.75">
      <c r="A9" s="2246" t="s">
        <v>1123</v>
      </c>
      <c r="B9" s="2246"/>
      <c r="C9" s="2246"/>
      <c r="D9" s="2246"/>
      <c r="E9" s="2246"/>
      <c r="F9" s="2246"/>
      <c r="G9" s="2246"/>
      <c r="H9" s="2246"/>
      <c r="I9" s="2246"/>
      <c r="J9" s="2246"/>
      <c r="K9" s="2246"/>
      <c r="L9" s="2246"/>
      <c r="M9" s="2246"/>
      <c r="N9" s="2246"/>
      <c r="O9" s="2246"/>
      <c r="P9" s="2246"/>
      <c r="Q9" s="2246"/>
      <c r="R9" s="2246"/>
      <c r="S9" s="2246"/>
      <c r="T9" s="2246"/>
      <c r="U9" s="2246"/>
      <c r="V9" s="2246"/>
      <c r="W9" s="2246"/>
      <c r="X9" s="2246"/>
      <c r="Y9" s="2246"/>
      <c r="Z9" s="2246"/>
      <c r="AA9" s="2246"/>
      <c r="AB9" s="2246"/>
      <c r="AC9" s="2246"/>
      <c r="AD9" s="2246"/>
      <c r="AE9" s="2246"/>
      <c r="AF9" s="2246"/>
      <c r="AG9" s="2246"/>
      <c r="AH9" s="2246"/>
      <c r="AI9" s="2246"/>
      <c r="AJ9" s="2246"/>
    </row>
    <row r="10" spans="1:36" ht="16.5">
      <c r="A10" s="1781"/>
      <c r="B10" s="1781"/>
      <c r="C10" s="1781"/>
      <c r="D10" s="1781"/>
      <c r="E10" s="1781"/>
      <c r="F10" s="1781"/>
      <c r="G10" s="1781"/>
      <c r="H10" s="1781"/>
      <c r="I10" s="1781"/>
      <c r="J10" s="1781"/>
      <c r="K10" s="1781"/>
      <c r="L10" s="1781"/>
      <c r="M10" s="1781"/>
      <c r="N10" s="1781"/>
      <c r="O10" s="1781"/>
      <c r="P10" s="1781"/>
      <c r="Q10" s="1781"/>
      <c r="R10" s="1781"/>
      <c r="S10" s="1781"/>
      <c r="T10" s="1781"/>
      <c r="U10" s="1781"/>
      <c r="V10" s="1781"/>
      <c r="W10" s="1781"/>
      <c r="X10" s="1781"/>
      <c r="Y10" s="1781"/>
      <c r="Z10" s="1781"/>
      <c r="AA10" s="1781"/>
      <c r="AB10" s="1781"/>
      <c r="AC10" s="1781"/>
      <c r="AD10" s="1781"/>
      <c r="AE10" s="1781"/>
      <c r="AF10" s="1781"/>
      <c r="AG10" s="1781"/>
      <c r="AH10" s="1781"/>
      <c r="AI10" s="1781"/>
      <c r="AJ10" s="1781"/>
    </row>
    <row r="11" spans="1:36" ht="15" customHeight="1">
      <c r="A11" s="2247" t="s">
        <v>92</v>
      </c>
      <c r="B11" s="2247" t="s">
        <v>816</v>
      </c>
      <c r="C11" s="2247" t="s">
        <v>93</v>
      </c>
      <c r="D11" s="2229" t="s">
        <v>15</v>
      </c>
      <c r="E11" s="2229">
        <v>1</v>
      </c>
      <c r="F11" s="2232">
        <v>2</v>
      </c>
      <c r="G11" s="2229">
        <v>3</v>
      </c>
      <c r="H11" s="2232">
        <v>4</v>
      </c>
      <c r="I11" s="2229">
        <v>5</v>
      </c>
      <c r="J11" s="2232">
        <v>6</v>
      </c>
      <c r="K11" s="2229">
        <v>7</v>
      </c>
      <c r="L11" s="2232">
        <v>8</v>
      </c>
      <c r="M11" s="2229">
        <v>9</v>
      </c>
      <c r="N11" s="2232">
        <v>10</v>
      </c>
      <c r="O11" s="2229">
        <v>11</v>
      </c>
      <c r="P11" s="2232">
        <v>12</v>
      </c>
      <c r="Q11" s="2229">
        <v>13</v>
      </c>
      <c r="R11" s="2232">
        <v>14</v>
      </c>
      <c r="S11" s="2229">
        <v>15</v>
      </c>
      <c r="T11" s="2232">
        <v>16</v>
      </c>
      <c r="U11" s="2229">
        <v>17</v>
      </c>
      <c r="V11" s="2232">
        <v>18</v>
      </c>
      <c r="W11" s="2229">
        <v>19</v>
      </c>
      <c r="X11" s="2232">
        <v>20</v>
      </c>
      <c r="Y11" s="2229">
        <v>21</v>
      </c>
      <c r="Z11" s="2232">
        <v>22</v>
      </c>
      <c r="AA11" s="2229">
        <v>23</v>
      </c>
      <c r="AB11" s="2232">
        <v>24</v>
      </c>
      <c r="AC11" s="2229">
        <v>25</v>
      </c>
      <c r="AD11" s="2232">
        <v>26</v>
      </c>
      <c r="AE11" s="2229">
        <v>27</v>
      </c>
      <c r="AF11" s="2232">
        <v>28</v>
      </c>
      <c r="AG11" s="2229">
        <v>29</v>
      </c>
      <c r="AH11" s="2232">
        <v>30</v>
      </c>
      <c r="AI11" s="2229">
        <v>31</v>
      </c>
      <c r="AJ11" s="2248" t="s">
        <v>49</v>
      </c>
    </row>
    <row r="12" spans="1:36" ht="23.25" customHeight="1">
      <c r="A12" s="2247"/>
      <c r="B12" s="2247"/>
      <c r="C12" s="2247"/>
      <c r="D12" s="2230"/>
      <c r="E12" s="2231"/>
      <c r="F12" s="2231"/>
      <c r="G12" s="2231"/>
      <c r="H12" s="2231"/>
      <c r="I12" s="2231"/>
      <c r="J12" s="2231"/>
      <c r="K12" s="2231"/>
      <c r="L12" s="2231"/>
      <c r="M12" s="2231"/>
      <c r="N12" s="2231"/>
      <c r="O12" s="2231"/>
      <c r="P12" s="2231"/>
      <c r="Q12" s="2231"/>
      <c r="R12" s="2231"/>
      <c r="S12" s="2231"/>
      <c r="T12" s="2231"/>
      <c r="U12" s="2231"/>
      <c r="V12" s="2231"/>
      <c r="W12" s="2231"/>
      <c r="X12" s="2231"/>
      <c r="Y12" s="2231"/>
      <c r="Z12" s="2231"/>
      <c r="AA12" s="2231"/>
      <c r="AB12" s="2231"/>
      <c r="AC12" s="2231"/>
      <c r="AD12" s="2231"/>
      <c r="AE12" s="2231"/>
      <c r="AF12" s="2231"/>
      <c r="AG12" s="2231"/>
      <c r="AH12" s="2231"/>
      <c r="AI12" s="2230"/>
      <c r="AJ12" s="2248"/>
    </row>
    <row r="13" spans="1:36" ht="22.5" customHeight="1">
      <c r="A13" s="1782">
        <v>1</v>
      </c>
      <c r="B13" s="1783"/>
      <c r="C13" s="1753" t="s">
        <v>419</v>
      </c>
      <c r="D13" s="1753" t="s">
        <v>443</v>
      </c>
      <c r="E13" s="1752"/>
      <c r="F13" s="1752"/>
      <c r="G13" s="1752"/>
      <c r="H13" s="1752"/>
      <c r="I13" s="1752"/>
      <c r="J13" s="1752"/>
      <c r="K13" s="1752"/>
      <c r="L13" s="1752" t="s">
        <v>86</v>
      </c>
      <c r="M13" s="1752" t="s">
        <v>86</v>
      </c>
      <c r="N13" s="1752" t="s">
        <v>86</v>
      </c>
      <c r="O13" s="1752" t="s">
        <v>86</v>
      </c>
      <c r="P13" s="1752" t="s">
        <v>86</v>
      </c>
      <c r="Q13" s="1752" t="s">
        <v>86</v>
      </c>
      <c r="R13" s="1752" t="s">
        <v>86</v>
      </c>
      <c r="S13" s="1752" t="s">
        <v>86</v>
      </c>
      <c r="T13" s="1752" t="s">
        <v>86</v>
      </c>
      <c r="U13" s="1752" t="s">
        <v>86</v>
      </c>
      <c r="V13" s="1752" t="s">
        <v>86</v>
      </c>
      <c r="W13" s="1752" t="s">
        <v>86</v>
      </c>
      <c r="X13" s="1752" t="s">
        <v>86</v>
      </c>
      <c r="Y13" s="1752" t="s">
        <v>86</v>
      </c>
      <c r="Z13" s="1752" t="s">
        <v>86</v>
      </c>
      <c r="AA13" s="1752" t="s">
        <v>86</v>
      </c>
      <c r="AB13" s="1752" t="s">
        <v>86</v>
      </c>
      <c r="AC13" s="1752" t="s">
        <v>86</v>
      </c>
      <c r="AD13" s="1752" t="s">
        <v>86</v>
      </c>
      <c r="AE13" s="1752" t="s">
        <v>86</v>
      </c>
      <c r="AF13" s="1752" t="s">
        <v>86</v>
      </c>
      <c r="AG13" s="1752"/>
      <c r="AH13" s="1752"/>
      <c r="AI13" s="1752"/>
      <c r="AJ13" s="1754">
        <f>COUNTIF(E13:AI13,"x")+ COUNTIF(E13:AI13,"p")+COUNTIF(E13:AI13,"pt")+COUNTIF(E13:AI13,"T")+COUNTIF(E13:AI13,"VN")</f>
        <v>21</v>
      </c>
    </row>
    <row r="14" spans="1:36" ht="22.5" customHeight="1">
      <c r="A14" s="1782">
        <v>2</v>
      </c>
      <c r="B14" s="1783"/>
      <c r="C14" s="1753" t="s">
        <v>748</v>
      </c>
      <c r="D14" s="1753" t="s">
        <v>87</v>
      </c>
      <c r="E14" s="1752" t="s">
        <v>86</v>
      </c>
      <c r="F14" s="1752" t="s">
        <v>86</v>
      </c>
      <c r="G14" s="1752" t="s">
        <v>86</v>
      </c>
      <c r="H14" s="1752" t="s">
        <v>86</v>
      </c>
      <c r="I14" s="1752" t="s">
        <v>86</v>
      </c>
      <c r="J14" s="1752" t="s">
        <v>86</v>
      </c>
      <c r="K14" s="1752" t="s">
        <v>86</v>
      </c>
      <c r="L14" s="1752"/>
      <c r="M14" s="1752"/>
      <c r="N14" s="1752"/>
      <c r="O14" s="1752"/>
      <c r="P14" s="1752"/>
      <c r="Q14" s="1752"/>
      <c r="R14" s="1752"/>
      <c r="S14" s="1752"/>
      <c r="T14" s="1752"/>
      <c r="U14" s="1752"/>
      <c r="V14" s="1752"/>
      <c r="W14" s="1752"/>
      <c r="X14" s="1752"/>
      <c r="Y14" s="1752"/>
      <c r="Z14" s="1752"/>
      <c r="AA14" s="1752" t="s">
        <v>86</v>
      </c>
      <c r="AB14" s="1752" t="s">
        <v>86</v>
      </c>
      <c r="AC14" s="1752" t="s">
        <v>86</v>
      </c>
      <c r="AD14" s="1752" t="s">
        <v>86</v>
      </c>
      <c r="AE14" s="1752" t="s">
        <v>86</v>
      </c>
      <c r="AF14" s="1752" t="s">
        <v>86</v>
      </c>
      <c r="AG14" s="1752"/>
      <c r="AH14" s="1752"/>
      <c r="AI14" s="1752"/>
      <c r="AJ14" s="1754">
        <f t="shared" ref="AJ14:AJ36" si="0">COUNTIF(E14:AI14,"x")+ COUNTIF(E14:AI14,"p")+COUNTIF(E14:AI14,"pt")+COUNTIF(E14:AI14,"T")+COUNTIF(E14:AI14,"VN")</f>
        <v>13</v>
      </c>
    </row>
    <row r="15" spans="1:36" ht="22.5" customHeight="1">
      <c r="A15" s="1782">
        <v>3</v>
      </c>
      <c r="B15" s="1783"/>
      <c r="C15" s="1756" t="s">
        <v>77</v>
      </c>
      <c r="D15" s="1756" t="s">
        <v>200</v>
      </c>
      <c r="E15" s="1752"/>
      <c r="F15" s="1752"/>
      <c r="G15" s="1752"/>
      <c r="H15" s="1752"/>
      <c r="I15" s="1752"/>
      <c r="J15" s="1752"/>
      <c r="K15" s="1752"/>
      <c r="L15" s="1752" t="s">
        <v>86</v>
      </c>
      <c r="M15" s="1752" t="s">
        <v>86</v>
      </c>
      <c r="N15" s="1752" t="s">
        <v>86</v>
      </c>
      <c r="O15" s="1752" t="s">
        <v>86</v>
      </c>
      <c r="P15" s="1752" t="s">
        <v>86</v>
      </c>
      <c r="Q15" s="1752" t="s">
        <v>86</v>
      </c>
      <c r="R15" s="1752" t="s">
        <v>86</v>
      </c>
      <c r="S15" s="1752" t="s">
        <v>86</v>
      </c>
      <c r="T15" s="1752" t="s">
        <v>86</v>
      </c>
      <c r="U15" s="1752" t="s">
        <v>86</v>
      </c>
      <c r="V15" s="1752" t="s">
        <v>86</v>
      </c>
      <c r="W15" s="1752" t="s">
        <v>86</v>
      </c>
      <c r="X15" s="1752" t="s">
        <v>86</v>
      </c>
      <c r="Y15" s="1752" t="s">
        <v>86</v>
      </c>
      <c r="Z15" s="1752" t="s">
        <v>86</v>
      </c>
      <c r="AA15" s="1752" t="s">
        <v>86</v>
      </c>
      <c r="AB15" s="1752" t="s">
        <v>86</v>
      </c>
      <c r="AC15" s="1752" t="s">
        <v>86</v>
      </c>
      <c r="AD15" s="1752" t="s">
        <v>86</v>
      </c>
      <c r="AE15" s="1752" t="s">
        <v>86</v>
      </c>
      <c r="AF15" s="1752" t="s">
        <v>86</v>
      </c>
      <c r="AG15" s="1752"/>
      <c r="AH15" s="1752"/>
      <c r="AI15" s="1752"/>
      <c r="AJ15" s="1754">
        <f t="shared" si="0"/>
        <v>21</v>
      </c>
    </row>
    <row r="16" spans="1:36" ht="22.5" customHeight="1">
      <c r="A16" s="1782">
        <v>4</v>
      </c>
      <c r="B16" s="1783"/>
      <c r="C16" s="1756" t="s">
        <v>76</v>
      </c>
      <c r="D16" s="1756" t="s">
        <v>330</v>
      </c>
      <c r="E16" s="1752" t="s">
        <v>86</v>
      </c>
      <c r="F16" s="1752" t="s">
        <v>86</v>
      </c>
      <c r="G16" s="1752" t="s">
        <v>86</v>
      </c>
      <c r="H16" s="1752" t="s">
        <v>86</v>
      </c>
      <c r="I16" s="1752" t="s">
        <v>86</v>
      </c>
      <c r="J16" s="1752" t="s">
        <v>86</v>
      </c>
      <c r="K16" s="1752" t="s">
        <v>86</v>
      </c>
      <c r="L16" s="1752" t="s">
        <v>86</v>
      </c>
      <c r="M16" s="1752" t="s">
        <v>86</v>
      </c>
      <c r="N16" s="1752" t="s">
        <v>86</v>
      </c>
      <c r="O16" s="1752" t="s">
        <v>86</v>
      </c>
      <c r="P16" s="1752" t="s">
        <v>86</v>
      </c>
      <c r="Q16" s="1752" t="s">
        <v>86</v>
      </c>
      <c r="R16" s="1752" t="s">
        <v>86</v>
      </c>
      <c r="S16" s="1752" t="s">
        <v>86</v>
      </c>
      <c r="T16" s="1752" t="s">
        <v>86</v>
      </c>
      <c r="U16" s="1752"/>
      <c r="V16" s="1752"/>
      <c r="W16" s="1752"/>
      <c r="X16" s="1752"/>
      <c r="Y16" s="1752"/>
      <c r="Z16" s="1752"/>
      <c r="AA16" s="1752"/>
      <c r="AB16" s="1752"/>
      <c r="AC16" s="1752"/>
      <c r="AD16" s="1752"/>
      <c r="AE16" s="1752"/>
      <c r="AF16" s="1752"/>
      <c r="AG16" s="1752"/>
      <c r="AH16" s="1752"/>
      <c r="AI16" s="1752"/>
      <c r="AJ16" s="1754">
        <f t="shared" si="0"/>
        <v>16</v>
      </c>
    </row>
    <row r="17" spans="1:36" ht="22.5" customHeight="1">
      <c r="A17" s="1782">
        <v>5</v>
      </c>
      <c r="B17" s="1783"/>
      <c r="C17" s="1756" t="s">
        <v>333</v>
      </c>
      <c r="D17" s="1756" t="s">
        <v>319</v>
      </c>
      <c r="E17" s="1752" t="s">
        <v>86</v>
      </c>
      <c r="F17" s="1752" t="s">
        <v>86</v>
      </c>
      <c r="G17" s="1752" t="s">
        <v>86</v>
      </c>
      <c r="H17" s="1752" t="s">
        <v>86</v>
      </c>
      <c r="I17" s="1752" t="s">
        <v>86</v>
      </c>
      <c r="J17" s="1752" t="s">
        <v>86</v>
      </c>
      <c r="K17" s="1752" t="s">
        <v>86</v>
      </c>
      <c r="L17" s="1752" t="s">
        <v>86</v>
      </c>
      <c r="M17" s="1752" t="s">
        <v>86</v>
      </c>
      <c r="N17" s="1752" t="s">
        <v>86</v>
      </c>
      <c r="O17" s="1752" t="s">
        <v>86</v>
      </c>
      <c r="P17" s="1752" t="s">
        <v>86</v>
      </c>
      <c r="Q17" s="1752" t="s">
        <v>86</v>
      </c>
      <c r="R17" s="1752" t="s">
        <v>86</v>
      </c>
      <c r="S17" s="1752"/>
      <c r="T17" s="1752"/>
      <c r="U17" s="1752"/>
      <c r="V17" s="1752"/>
      <c r="W17" s="1752"/>
      <c r="X17" s="1752"/>
      <c r="Y17" s="1752"/>
      <c r="Z17" s="1752"/>
      <c r="AA17" s="1752"/>
      <c r="AB17" s="1752"/>
      <c r="AC17" s="1752"/>
      <c r="AD17" s="1752"/>
      <c r="AE17" s="1752"/>
      <c r="AF17" s="1752"/>
      <c r="AG17" s="1752"/>
      <c r="AH17" s="1752"/>
      <c r="AI17" s="1752"/>
      <c r="AJ17" s="1754">
        <f t="shared" si="0"/>
        <v>14</v>
      </c>
    </row>
    <row r="18" spans="1:36" ht="22.5" customHeight="1">
      <c r="A18" s="1782">
        <v>6</v>
      </c>
      <c r="B18" s="1783"/>
      <c r="C18" s="1757" t="s">
        <v>632</v>
      </c>
      <c r="D18" s="1756" t="s">
        <v>224</v>
      </c>
      <c r="E18" s="1752" t="s">
        <v>86</v>
      </c>
      <c r="F18" s="1752" t="s">
        <v>86</v>
      </c>
      <c r="G18" s="1752" t="s">
        <v>86</v>
      </c>
      <c r="H18" s="1752" t="s">
        <v>86</v>
      </c>
      <c r="I18" s="1752" t="s">
        <v>86</v>
      </c>
      <c r="J18" s="1752" t="s">
        <v>86</v>
      </c>
      <c r="K18" s="1752" t="s">
        <v>86</v>
      </c>
      <c r="L18" s="1752" t="s">
        <v>86</v>
      </c>
      <c r="M18" s="1752" t="s">
        <v>86</v>
      </c>
      <c r="N18" s="1752" t="s">
        <v>86</v>
      </c>
      <c r="O18" s="1752" t="s">
        <v>86</v>
      </c>
      <c r="P18" s="1752" t="s">
        <v>86</v>
      </c>
      <c r="Q18" s="1752"/>
      <c r="R18" s="1752"/>
      <c r="S18" s="1752"/>
      <c r="T18" s="1752"/>
      <c r="U18" s="1752"/>
      <c r="V18" s="1752"/>
      <c r="W18" s="1752"/>
      <c r="X18" s="1752"/>
      <c r="Y18" s="1752"/>
      <c r="Z18" s="1752"/>
      <c r="AA18" s="1752"/>
      <c r="AB18" s="1752"/>
      <c r="AC18" s="1752"/>
      <c r="AD18" s="1752"/>
      <c r="AE18" s="1752"/>
      <c r="AF18" s="1752" t="s">
        <v>86</v>
      </c>
      <c r="AG18" s="1752"/>
      <c r="AH18" s="1752"/>
      <c r="AI18" s="1752"/>
      <c r="AJ18" s="1754">
        <f t="shared" si="0"/>
        <v>13</v>
      </c>
    </row>
    <row r="19" spans="1:36" ht="22.5" customHeight="1">
      <c r="A19" s="1782">
        <v>7</v>
      </c>
      <c r="B19" s="1783"/>
      <c r="C19" s="1756" t="s">
        <v>611</v>
      </c>
      <c r="D19" s="1756" t="s">
        <v>216</v>
      </c>
      <c r="E19" s="1752"/>
      <c r="F19" s="1752"/>
      <c r="G19" s="1752"/>
      <c r="H19" s="1752"/>
      <c r="I19" s="1752"/>
      <c r="J19" s="1752"/>
      <c r="K19" s="1752"/>
      <c r="L19" s="1752" t="s">
        <v>86</v>
      </c>
      <c r="M19" s="1752" t="s">
        <v>86</v>
      </c>
      <c r="N19" s="1752" t="s">
        <v>86</v>
      </c>
      <c r="O19" s="1752" t="s">
        <v>86</v>
      </c>
      <c r="P19" s="1752" t="s">
        <v>86</v>
      </c>
      <c r="Q19" s="1752" t="s">
        <v>86</v>
      </c>
      <c r="R19" s="1752" t="s">
        <v>86</v>
      </c>
      <c r="S19" s="1752" t="s">
        <v>86</v>
      </c>
      <c r="T19" s="1752" t="s">
        <v>86</v>
      </c>
      <c r="U19" s="1752" t="s">
        <v>86</v>
      </c>
      <c r="V19" s="1752" t="s">
        <v>86</v>
      </c>
      <c r="W19" s="1752" t="s">
        <v>86</v>
      </c>
      <c r="X19" s="1752" t="s">
        <v>86</v>
      </c>
      <c r="Y19" s="1752" t="s">
        <v>86</v>
      </c>
      <c r="Z19" s="1752" t="s">
        <v>86</v>
      </c>
      <c r="AA19" s="1752" t="s">
        <v>86</v>
      </c>
      <c r="AB19" s="1752" t="s">
        <v>86</v>
      </c>
      <c r="AC19" s="1752" t="s">
        <v>86</v>
      </c>
      <c r="AD19" s="1752" t="s">
        <v>86</v>
      </c>
      <c r="AE19" s="1752" t="s">
        <v>86</v>
      </c>
      <c r="AF19" s="1752" t="s">
        <v>86</v>
      </c>
      <c r="AG19" s="1752"/>
      <c r="AH19" s="1752"/>
      <c r="AI19" s="1752"/>
      <c r="AJ19" s="1754">
        <f t="shared" si="0"/>
        <v>21</v>
      </c>
    </row>
    <row r="20" spans="1:36" ht="22.5" customHeight="1">
      <c r="A20" s="1782">
        <v>8</v>
      </c>
      <c r="B20" s="1783"/>
      <c r="C20" s="1756" t="s">
        <v>643</v>
      </c>
      <c r="D20" s="1756" t="s">
        <v>216</v>
      </c>
      <c r="E20" s="1752" t="s">
        <v>86</v>
      </c>
      <c r="F20" s="1752" t="s">
        <v>86</v>
      </c>
      <c r="G20" s="1752" t="s">
        <v>86</v>
      </c>
      <c r="H20" s="1752" t="s">
        <v>86</v>
      </c>
      <c r="I20" s="1752" t="s">
        <v>86</v>
      </c>
      <c r="J20" s="1752" t="s">
        <v>86</v>
      </c>
      <c r="K20" s="1752" t="s">
        <v>86</v>
      </c>
      <c r="L20" s="1752" t="s">
        <v>86</v>
      </c>
      <c r="M20" s="1752" t="s">
        <v>86</v>
      </c>
      <c r="N20" s="1752" t="s">
        <v>86</v>
      </c>
      <c r="O20" s="1752" t="s">
        <v>86</v>
      </c>
      <c r="P20" s="1752" t="s">
        <v>86</v>
      </c>
      <c r="Q20" s="1752" t="s">
        <v>86</v>
      </c>
      <c r="R20" s="1752" t="s">
        <v>86</v>
      </c>
      <c r="S20" s="1752" t="s">
        <v>86</v>
      </c>
      <c r="T20" s="1752" t="s">
        <v>86</v>
      </c>
      <c r="U20" s="1752" t="s">
        <v>86</v>
      </c>
      <c r="V20" s="1752" t="s">
        <v>86</v>
      </c>
      <c r="W20" s="1752" t="s">
        <v>86</v>
      </c>
      <c r="X20" s="1752" t="s">
        <v>86</v>
      </c>
      <c r="Y20" s="1752" t="s">
        <v>86</v>
      </c>
      <c r="Z20" s="1752" t="s">
        <v>86</v>
      </c>
      <c r="AA20" s="1752" t="s">
        <v>86</v>
      </c>
      <c r="AB20" s="1752" t="s">
        <v>86</v>
      </c>
      <c r="AC20" s="1752" t="s">
        <v>86</v>
      </c>
      <c r="AD20" s="1752" t="s">
        <v>86</v>
      </c>
      <c r="AE20" s="1752" t="s">
        <v>86</v>
      </c>
      <c r="AF20" s="1752" t="s">
        <v>86</v>
      </c>
      <c r="AG20" s="1752"/>
      <c r="AH20" s="1752"/>
      <c r="AI20" s="1752"/>
      <c r="AJ20" s="1754">
        <f t="shared" si="0"/>
        <v>28</v>
      </c>
    </row>
    <row r="21" spans="1:36" ht="22.5" customHeight="1">
      <c r="A21" s="1782">
        <v>9</v>
      </c>
      <c r="B21" s="1783"/>
      <c r="C21" s="1756" t="s">
        <v>646</v>
      </c>
      <c r="D21" s="1756" t="s">
        <v>216</v>
      </c>
      <c r="E21" s="1752" t="s">
        <v>86</v>
      </c>
      <c r="F21" s="1752" t="s">
        <v>86</v>
      </c>
      <c r="G21" s="1752" t="s">
        <v>86</v>
      </c>
      <c r="H21" s="1752" t="s">
        <v>86</v>
      </c>
      <c r="I21" s="1752" t="s">
        <v>86</v>
      </c>
      <c r="J21" s="1752" t="s">
        <v>86</v>
      </c>
      <c r="K21" s="1752" t="s">
        <v>86</v>
      </c>
      <c r="L21" s="1752" t="s">
        <v>86</v>
      </c>
      <c r="M21" s="1752" t="s">
        <v>86</v>
      </c>
      <c r="N21" s="1752" t="s">
        <v>86</v>
      </c>
      <c r="O21" s="1752" t="s">
        <v>86</v>
      </c>
      <c r="P21" s="1752" t="s">
        <v>86</v>
      </c>
      <c r="Q21" s="1752"/>
      <c r="R21" s="1752"/>
      <c r="S21" s="1752"/>
      <c r="T21" s="1752"/>
      <c r="U21" s="1752"/>
      <c r="V21" s="1752"/>
      <c r="W21" s="1752"/>
      <c r="X21" s="1752"/>
      <c r="Y21" s="1752"/>
      <c r="Z21" s="1752"/>
      <c r="AA21" s="1752"/>
      <c r="AB21" s="1752"/>
      <c r="AC21" s="1752"/>
      <c r="AD21" s="1752"/>
      <c r="AE21" s="1752"/>
      <c r="AF21" s="1752" t="s">
        <v>86</v>
      </c>
      <c r="AG21" s="1752"/>
      <c r="AH21" s="1752"/>
      <c r="AI21" s="1752"/>
      <c r="AJ21" s="1754">
        <f t="shared" si="0"/>
        <v>13</v>
      </c>
    </row>
    <row r="22" spans="1:36" ht="22.5" customHeight="1">
      <c r="A22" s="1782">
        <v>10</v>
      </c>
      <c r="B22" s="1783"/>
      <c r="C22" s="1756" t="s">
        <v>701</v>
      </c>
      <c r="D22" s="1756" t="s">
        <v>216</v>
      </c>
      <c r="E22" s="1752"/>
      <c r="F22" s="1752"/>
      <c r="G22" s="1752"/>
      <c r="H22" s="1752"/>
      <c r="I22" s="1752"/>
      <c r="J22" s="1752"/>
      <c r="K22" s="1752" t="s">
        <v>86</v>
      </c>
      <c r="L22" s="1752" t="s">
        <v>86</v>
      </c>
      <c r="M22" s="1752" t="s">
        <v>86</v>
      </c>
      <c r="N22" s="1752" t="s">
        <v>86</v>
      </c>
      <c r="O22" s="1752" t="s">
        <v>86</v>
      </c>
      <c r="P22" s="1752" t="s">
        <v>86</v>
      </c>
      <c r="Q22" s="1752" t="s">
        <v>86</v>
      </c>
      <c r="R22" s="1752" t="s">
        <v>86</v>
      </c>
      <c r="S22" s="1752" t="s">
        <v>86</v>
      </c>
      <c r="T22" s="1752" t="s">
        <v>86</v>
      </c>
      <c r="U22" s="1752" t="s">
        <v>86</v>
      </c>
      <c r="V22" s="1752" t="s">
        <v>86</v>
      </c>
      <c r="W22" s="1752" t="s">
        <v>86</v>
      </c>
      <c r="X22" s="1752" t="s">
        <v>86</v>
      </c>
      <c r="Y22" s="1752" t="s">
        <v>86</v>
      </c>
      <c r="Z22" s="1752" t="s">
        <v>86</v>
      </c>
      <c r="AA22" s="1752" t="s">
        <v>86</v>
      </c>
      <c r="AB22" s="1752" t="s">
        <v>86</v>
      </c>
      <c r="AC22" s="1752" t="s">
        <v>86</v>
      </c>
      <c r="AD22" s="1752" t="s">
        <v>86</v>
      </c>
      <c r="AE22" s="1752" t="s">
        <v>86</v>
      </c>
      <c r="AF22" s="1752" t="s">
        <v>86</v>
      </c>
      <c r="AG22" s="1752"/>
      <c r="AH22" s="1752"/>
      <c r="AI22" s="1752"/>
      <c r="AJ22" s="1754">
        <f t="shared" si="0"/>
        <v>22</v>
      </c>
    </row>
    <row r="23" spans="1:36" ht="22.5" customHeight="1">
      <c r="A23" s="1782">
        <v>11</v>
      </c>
      <c r="B23" s="1783"/>
      <c r="C23" s="1756" t="s">
        <v>645</v>
      </c>
      <c r="D23" s="1753" t="s">
        <v>810</v>
      </c>
      <c r="E23" s="1752" t="s">
        <v>86</v>
      </c>
      <c r="F23" s="1752" t="s">
        <v>86</v>
      </c>
      <c r="G23" s="1752" t="s">
        <v>86</v>
      </c>
      <c r="H23" s="1752" t="s">
        <v>86</v>
      </c>
      <c r="I23" s="1752" t="s">
        <v>86</v>
      </c>
      <c r="J23" s="1752" t="s">
        <v>86</v>
      </c>
      <c r="K23" s="1752" t="s">
        <v>86</v>
      </c>
      <c r="L23" s="1752" t="s">
        <v>86</v>
      </c>
      <c r="M23" s="1752" t="s">
        <v>86</v>
      </c>
      <c r="N23" s="1752" t="s">
        <v>86</v>
      </c>
      <c r="O23" s="1752" t="s">
        <v>86</v>
      </c>
      <c r="P23" s="1752" t="s">
        <v>86</v>
      </c>
      <c r="Q23" s="1752"/>
      <c r="R23" s="1752"/>
      <c r="S23" s="1752"/>
      <c r="T23" s="1752"/>
      <c r="U23" s="1752"/>
      <c r="V23" s="1752"/>
      <c r="W23" s="1752"/>
      <c r="X23" s="1752"/>
      <c r="Y23" s="1752"/>
      <c r="Z23" s="1752"/>
      <c r="AA23" s="1752"/>
      <c r="AB23" s="1752"/>
      <c r="AC23" s="1752"/>
      <c r="AD23" s="1752"/>
      <c r="AE23" s="1752"/>
      <c r="AF23" s="1752" t="s">
        <v>86</v>
      </c>
      <c r="AG23" s="1752"/>
      <c r="AH23" s="1752"/>
      <c r="AI23" s="1752"/>
      <c r="AJ23" s="1754">
        <f t="shared" si="0"/>
        <v>13</v>
      </c>
    </row>
    <row r="24" spans="1:36" ht="22.5" customHeight="1">
      <c r="A24" s="1782">
        <v>12</v>
      </c>
      <c r="B24" s="1783"/>
      <c r="C24" s="1757" t="s">
        <v>631</v>
      </c>
      <c r="D24" s="1753" t="s">
        <v>811</v>
      </c>
      <c r="E24" s="1752" t="s">
        <v>86</v>
      </c>
      <c r="F24" s="1752" t="s">
        <v>86</v>
      </c>
      <c r="G24" s="1752" t="s">
        <v>86</v>
      </c>
      <c r="H24" s="1752" t="s">
        <v>86</v>
      </c>
      <c r="I24" s="1752" t="s">
        <v>86</v>
      </c>
      <c r="J24" s="1752" t="s">
        <v>86</v>
      </c>
      <c r="K24" s="1752"/>
      <c r="L24" s="1752"/>
      <c r="M24" s="1752"/>
      <c r="N24" s="1752"/>
      <c r="O24" s="1752"/>
      <c r="P24" s="1752"/>
      <c r="Q24" s="1752"/>
      <c r="R24" s="1752"/>
      <c r="S24" s="1752"/>
      <c r="T24" s="1752"/>
      <c r="U24" s="1752"/>
      <c r="V24" s="1752"/>
      <c r="W24" s="1752"/>
      <c r="X24" s="1752"/>
      <c r="Y24" s="1752"/>
      <c r="Z24" s="1752" t="s">
        <v>86</v>
      </c>
      <c r="AA24" s="1752" t="s">
        <v>86</v>
      </c>
      <c r="AB24" s="1752" t="s">
        <v>86</v>
      </c>
      <c r="AC24" s="1752" t="s">
        <v>86</v>
      </c>
      <c r="AD24" s="1752" t="s">
        <v>86</v>
      </c>
      <c r="AE24" s="1752" t="s">
        <v>86</v>
      </c>
      <c r="AF24" s="1752" t="s">
        <v>86</v>
      </c>
      <c r="AG24" s="1752"/>
      <c r="AH24" s="1752"/>
      <c r="AI24" s="1752"/>
      <c r="AJ24" s="1754">
        <f t="shared" si="0"/>
        <v>13</v>
      </c>
    </row>
    <row r="25" spans="1:36" ht="22.5" customHeight="1">
      <c r="A25" s="1782">
        <v>13</v>
      </c>
      <c r="B25" s="1783"/>
      <c r="C25" s="1756" t="s">
        <v>644</v>
      </c>
      <c r="D25" s="1753" t="s">
        <v>812</v>
      </c>
      <c r="E25" s="1752" t="s">
        <v>86</v>
      </c>
      <c r="F25" s="1752" t="s">
        <v>86</v>
      </c>
      <c r="G25" s="1752" t="s">
        <v>86</v>
      </c>
      <c r="H25" s="1752" t="s">
        <v>86</v>
      </c>
      <c r="I25" s="1752" t="s">
        <v>86</v>
      </c>
      <c r="J25" s="1752" t="s">
        <v>86</v>
      </c>
      <c r="K25" s="1752" t="s">
        <v>86</v>
      </c>
      <c r="L25" s="1752" t="s">
        <v>86</v>
      </c>
      <c r="M25" s="1752" t="s">
        <v>86</v>
      </c>
      <c r="N25" s="1752" t="s">
        <v>86</v>
      </c>
      <c r="O25" s="1752" t="s">
        <v>86</v>
      </c>
      <c r="P25" s="1752" t="s">
        <v>86</v>
      </c>
      <c r="Q25" s="1752" t="s">
        <v>86</v>
      </c>
      <c r="R25" s="1752" t="s">
        <v>86</v>
      </c>
      <c r="S25" s="1752" t="s">
        <v>86</v>
      </c>
      <c r="T25" s="1752" t="s">
        <v>86</v>
      </c>
      <c r="U25" s="1752" t="s">
        <v>86</v>
      </c>
      <c r="V25" s="1752" t="s">
        <v>86</v>
      </c>
      <c r="W25" s="1752" t="s">
        <v>86</v>
      </c>
      <c r="X25" s="1752" t="s">
        <v>86</v>
      </c>
      <c r="Y25" s="1752" t="s">
        <v>86</v>
      </c>
      <c r="Z25" s="1752" t="s">
        <v>86</v>
      </c>
      <c r="AA25" s="1752" t="s">
        <v>86</v>
      </c>
      <c r="AB25" s="1752" t="s">
        <v>86</v>
      </c>
      <c r="AC25" s="1752" t="s">
        <v>86</v>
      </c>
      <c r="AD25" s="1752" t="s">
        <v>86</v>
      </c>
      <c r="AE25" s="1752" t="s">
        <v>86</v>
      </c>
      <c r="AF25" s="1752" t="s">
        <v>86</v>
      </c>
      <c r="AG25" s="1752"/>
      <c r="AH25" s="1752"/>
      <c r="AI25" s="1752"/>
      <c r="AJ25" s="1754">
        <f t="shared" si="0"/>
        <v>28</v>
      </c>
    </row>
    <row r="26" spans="1:36" ht="22.5" customHeight="1">
      <c r="A26" s="1782">
        <v>14</v>
      </c>
      <c r="B26" s="1783"/>
      <c r="C26" s="1756" t="s">
        <v>633</v>
      </c>
      <c r="D26" s="1753" t="s">
        <v>813</v>
      </c>
      <c r="E26" s="1752" t="s">
        <v>86</v>
      </c>
      <c r="F26" s="1752" t="s">
        <v>86</v>
      </c>
      <c r="G26" s="1752" t="s">
        <v>86</v>
      </c>
      <c r="H26" s="1752" t="s">
        <v>86</v>
      </c>
      <c r="I26" s="1752" t="s">
        <v>86</v>
      </c>
      <c r="J26" s="1752" t="s">
        <v>86</v>
      </c>
      <c r="K26" s="1752" t="s">
        <v>86</v>
      </c>
      <c r="L26" s="1752" t="s">
        <v>86</v>
      </c>
      <c r="M26" s="1752" t="s">
        <v>86</v>
      </c>
      <c r="N26" s="1752" t="s">
        <v>86</v>
      </c>
      <c r="O26" s="1752" t="s">
        <v>86</v>
      </c>
      <c r="P26" s="1752" t="s">
        <v>86</v>
      </c>
      <c r="Q26" s="1752" t="s">
        <v>86</v>
      </c>
      <c r="R26" s="1752" t="s">
        <v>86</v>
      </c>
      <c r="S26" s="1752" t="s">
        <v>86</v>
      </c>
      <c r="T26" s="1752" t="s">
        <v>86</v>
      </c>
      <c r="U26" s="1752" t="s">
        <v>86</v>
      </c>
      <c r="V26" s="1752" t="s">
        <v>86</v>
      </c>
      <c r="W26" s="1752" t="s">
        <v>86</v>
      </c>
      <c r="X26" s="1752" t="s">
        <v>86</v>
      </c>
      <c r="Y26" s="1752" t="s">
        <v>86</v>
      </c>
      <c r="Z26" s="1752" t="s">
        <v>86</v>
      </c>
      <c r="AA26" s="1752" t="s">
        <v>86</v>
      </c>
      <c r="AB26" s="1752" t="s">
        <v>86</v>
      </c>
      <c r="AC26" s="1752" t="s">
        <v>86</v>
      </c>
      <c r="AD26" s="1752" t="s">
        <v>86</v>
      </c>
      <c r="AE26" s="1752" t="s">
        <v>86</v>
      </c>
      <c r="AF26" s="1752" t="s">
        <v>86</v>
      </c>
      <c r="AG26" s="1752"/>
      <c r="AH26" s="1752"/>
      <c r="AI26" s="1752"/>
      <c r="AJ26" s="1754">
        <f t="shared" si="0"/>
        <v>28</v>
      </c>
    </row>
    <row r="27" spans="1:36" ht="22.5" customHeight="1">
      <c r="A27" s="1782">
        <v>15</v>
      </c>
      <c r="B27" s="1783"/>
      <c r="C27" s="1756" t="s">
        <v>188</v>
      </c>
      <c r="D27" s="1756" t="s">
        <v>334</v>
      </c>
      <c r="E27" s="1752"/>
      <c r="F27" s="1752"/>
      <c r="G27" s="1752"/>
      <c r="H27" s="1752"/>
      <c r="I27" s="1752"/>
      <c r="J27" s="1752"/>
      <c r="K27" s="1752" t="s">
        <v>86</v>
      </c>
      <c r="L27" s="1752" t="s">
        <v>86</v>
      </c>
      <c r="M27" s="1752" t="s">
        <v>86</v>
      </c>
      <c r="N27" s="1752" t="s">
        <v>86</v>
      </c>
      <c r="O27" s="1752" t="s">
        <v>86</v>
      </c>
      <c r="P27" s="1752" t="s">
        <v>86</v>
      </c>
      <c r="Q27" s="1752" t="s">
        <v>86</v>
      </c>
      <c r="R27" s="1752" t="s">
        <v>86</v>
      </c>
      <c r="S27" s="1752" t="s">
        <v>86</v>
      </c>
      <c r="T27" s="1752" t="s">
        <v>86</v>
      </c>
      <c r="U27" s="1752" t="s">
        <v>86</v>
      </c>
      <c r="V27" s="1752" t="s">
        <v>86</v>
      </c>
      <c r="W27" s="1752" t="s">
        <v>86</v>
      </c>
      <c r="X27" s="1752" t="s">
        <v>86</v>
      </c>
      <c r="Y27" s="1752" t="s">
        <v>86</v>
      </c>
      <c r="Z27" s="1752" t="s">
        <v>86</v>
      </c>
      <c r="AA27" s="1752" t="s">
        <v>86</v>
      </c>
      <c r="AB27" s="1752" t="s">
        <v>86</v>
      </c>
      <c r="AC27" s="1752" t="s">
        <v>86</v>
      </c>
      <c r="AD27" s="1752" t="s">
        <v>86</v>
      </c>
      <c r="AE27" s="1752" t="s">
        <v>86</v>
      </c>
      <c r="AF27" s="1752" t="s">
        <v>86</v>
      </c>
      <c r="AG27" s="1752"/>
      <c r="AH27" s="1752"/>
      <c r="AI27" s="1752"/>
      <c r="AJ27" s="1754">
        <f t="shared" si="0"/>
        <v>22</v>
      </c>
    </row>
    <row r="28" spans="1:36" ht="22.5" customHeight="1">
      <c r="A28" s="1782">
        <v>16</v>
      </c>
      <c r="B28" s="1783"/>
      <c r="C28" s="1784" t="s">
        <v>630</v>
      </c>
      <c r="D28" s="1756" t="s">
        <v>334</v>
      </c>
      <c r="E28" s="1752"/>
      <c r="F28" s="1752"/>
      <c r="G28" s="1752"/>
      <c r="H28" s="1752"/>
      <c r="I28" s="1752"/>
      <c r="J28" s="1752"/>
      <c r="K28" s="1752" t="s">
        <v>86</v>
      </c>
      <c r="L28" s="1752" t="s">
        <v>86</v>
      </c>
      <c r="M28" s="1752" t="s">
        <v>86</v>
      </c>
      <c r="N28" s="1752" t="s">
        <v>86</v>
      </c>
      <c r="O28" s="1752" t="s">
        <v>86</v>
      </c>
      <c r="P28" s="1752" t="s">
        <v>86</v>
      </c>
      <c r="Q28" s="1752" t="s">
        <v>86</v>
      </c>
      <c r="R28" s="1752" t="s">
        <v>86</v>
      </c>
      <c r="S28" s="1752" t="s">
        <v>86</v>
      </c>
      <c r="T28" s="1752" t="s">
        <v>86</v>
      </c>
      <c r="U28" s="1752" t="s">
        <v>86</v>
      </c>
      <c r="V28" s="1752" t="s">
        <v>86</v>
      </c>
      <c r="W28" s="1752" t="s">
        <v>86</v>
      </c>
      <c r="X28" s="1752" t="s">
        <v>86</v>
      </c>
      <c r="Y28" s="1752" t="s">
        <v>86</v>
      </c>
      <c r="Z28" s="1752" t="s">
        <v>86</v>
      </c>
      <c r="AA28" s="1752" t="s">
        <v>86</v>
      </c>
      <c r="AB28" s="1752" t="s">
        <v>86</v>
      </c>
      <c r="AC28" s="1752" t="s">
        <v>86</v>
      </c>
      <c r="AD28" s="1752" t="s">
        <v>86</v>
      </c>
      <c r="AE28" s="1752" t="s">
        <v>86</v>
      </c>
      <c r="AF28" s="1752" t="s">
        <v>86</v>
      </c>
      <c r="AG28" s="1752"/>
      <c r="AH28" s="1752"/>
      <c r="AI28" s="1752"/>
      <c r="AJ28" s="1754">
        <f t="shared" si="0"/>
        <v>22</v>
      </c>
    </row>
    <row r="29" spans="1:36" ht="22.5" customHeight="1">
      <c r="A29" s="1782">
        <v>17</v>
      </c>
      <c r="B29" s="1783"/>
      <c r="C29" s="1756" t="s">
        <v>78</v>
      </c>
      <c r="D29" s="1756" t="s">
        <v>334</v>
      </c>
      <c r="E29" s="1752" t="s">
        <v>86</v>
      </c>
      <c r="F29" s="1752" t="s">
        <v>86</v>
      </c>
      <c r="G29" s="1752" t="s">
        <v>86</v>
      </c>
      <c r="H29" s="1752" t="s">
        <v>86</v>
      </c>
      <c r="I29" s="1752" t="s">
        <v>86</v>
      </c>
      <c r="J29" s="1752" t="s">
        <v>86</v>
      </c>
      <c r="K29" s="1752" t="s">
        <v>86</v>
      </c>
      <c r="L29" s="1752" t="s">
        <v>86</v>
      </c>
      <c r="M29" s="1752" t="s">
        <v>86</v>
      </c>
      <c r="N29" s="1752" t="s">
        <v>86</v>
      </c>
      <c r="O29" s="1752" t="s">
        <v>86</v>
      </c>
      <c r="P29" s="1752" t="s">
        <v>86</v>
      </c>
      <c r="Q29" s="1752" t="s">
        <v>86</v>
      </c>
      <c r="R29" s="1752" t="s">
        <v>86</v>
      </c>
      <c r="S29" s="1752" t="s">
        <v>86</v>
      </c>
      <c r="T29" s="1752" t="s">
        <v>86</v>
      </c>
      <c r="U29" s="1752" t="s">
        <v>86</v>
      </c>
      <c r="V29" s="1752" t="s">
        <v>86</v>
      </c>
      <c r="W29" s="1752" t="s">
        <v>86</v>
      </c>
      <c r="X29" s="1752" t="s">
        <v>86</v>
      </c>
      <c r="Y29" s="1752" t="s">
        <v>86</v>
      </c>
      <c r="Z29" s="1752" t="s">
        <v>86</v>
      </c>
      <c r="AA29" s="1752" t="s">
        <v>86</v>
      </c>
      <c r="AB29" s="1752" t="s">
        <v>86</v>
      </c>
      <c r="AC29" s="1752" t="s">
        <v>86</v>
      </c>
      <c r="AD29" s="1752" t="s">
        <v>86</v>
      </c>
      <c r="AE29" s="1752" t="s">
        <v>86</v>
      </c>
      <c r="AF29" s="1752" t="s">
        <v>86</v>
      </c>
      <c r="AG29" s="1752"/>
      <c r="AH29" s="1752"/>
      <c r="AI29" s="1752"/>
      <c r="AJ29" s="1754">
        <f t="shared" si="0"/>
        <v>28</v>
      </c>
    </row>
    <row r="30" spans="1:36" ht="22.5" customHeight="1">
      <c r="A30" s="1782">
        <v>18</v>
      </c>
      <c r="B30" s="1783"/>
      <c r="C30" s="1756" t="s">
        <v>183</v>
      </c>
      <c r="D30" s="1756" t="s">
        <v>334</v>
      </c>
      <c r="E30" s="1752" t="s">
        <v>86</v>
      </c>
      <c r="F30" s="1752" t="s">
        <v>86</v>
      </c>
      <c r="G30" s="1752" t="s">
        <v>86</v>
      </c>
      <c r="H30" s="1752" t="s">
        <v>86</v>
      </c>
      <c r="I30" s="1752" t="s">
        <v>86</v>
      </c>
      <c r="J30" s="1752" t="s">
        <v>86</v>
      </c>
      <c r="K30" s="1752" t="s">
        <v>86</v>
      </c>
      <c r="L30" s="1752" t="s">
        <v>86</v>
      </c>
      <c r="M30" s="1752" t="s">
        <v>86</v>
      </c>
      <c r="N30" s="1752" t="s">
        <v>86</v>
      </c>
      <c r="O30" s="1752" t="s">
        <v>86</v>
      </c>
      <c r="P30" s="1752" t="s">
        <v>86</v>
      </c>
      <c r="Q30" s="1752" t="s">
        <v>86</v>
      </c>
      <c r="R30" s="1752" t="s">
        <v>86</v>
      </c>
      <c r="S30" s="1752" t="s">
        <v>86</v>
      </c>
      <c r="T30" s="1752" t="s">
        <v>86</v>
      </c>
      <c r="U30" s="1752" t="s">
        <v>86</v>
      </c>
      <c r="V30" s="1752" t="s">
        <v>86</v>
      </c>
      <c r="W30" s="1752" t="s">
        <v>86</v>
      </c>
      <c r="X30" s="1752" t="s">
        <v>86</v>
      </c>
      <c r="Y30" s="1752" t="s">
        <v>86</v>
      </c>
      <c r="Z30" s="1752" t="s">
        <v>86</v>
      </c>
      <c r="AA30" s="1752" t="s">
        <v>86</v>
      </c>
      <c r="AB30" s="1752" t="s">
        <v>86</v>
      </c>
      <c r="AC30" s="1752" t="s">
        <v>86</v>
      </c>
      <c r="AD30" s="1752" t="s">
        <v>86</v>
      </c>
      <c r="AE30" s="1752" t="s">
        <v>86</v>
      </c>
      <c r="AF30" s="1752" t="s">
        <v>86</v>
      </c>
      <c r="AG30" s="1752"/>
      <c r="AH30" s="1752"/>
      <c r="AI30" s="1752"/>
      <c r="AJ30" s="1754">
        <f t="shared" si="0"/>
        <v>28</v>
      </c>
    </row>
    <row r="31" spans="1:36" ht="22.5" customHeight="1">
      <c r="A31" s="1782">
        <v>19</v>
      </c>
      <c r="B31" s="1783"/>
      <c r="C31" s="1757" t="s">
        <v>1004</v>
      </c>
      <c r="D31" s="1756" t="s">
        <v>612</v>
      </c>
      <c r="E31" s="1752" t="s">
        <v>86</v>
      </c>
      <c r="F31" s="1752" t="s">
        <v>86</v>
      </c>
      <c r="G31" s="1752" t="s">
        <v>86</v>
      </c>
      <c r="H31" s="1752" t="s">
        <v>86</v>
      </c>
      <c r="I31" s="1752" t="s">
        <v>86</v>
      </c>
      <c r="J31" s="1752" t="s">
        <v>86</v>
      </c>
      <c r="K31" s="1752"/>
      <c r="L31" s="1752"/>
      <c r="M31" s="1752"/>
      <c r="N31" s="1752"/>
      <c r="O31" s="1752"/>
      <c r="P31" s="1752"/>
      <c r="Q31" s="1752"/>
      <c r="R31" s="1752"/>
      <c r="S31" s="1752"/>
      <c r="T31" s="1752"/>
      <c r="U31" s="1752"/>
      <c r="V31" s="1752"/>
      <c r="W31" s="1752"/>
      <c r="X31" s="1752"/>
      <c r="Y31" s="1752"/>
      <c r="Z31" s="1752" t="s">
        <v>86</v>
      </c>
      <c r="AA31" s="1752" t="s">
        <v>86</v>
      </c>
      <c r="AB31" s="1752" t="s">
        <v>86</v>
      </c>
      <c r="AC31" s="1752" t="s">
        <v>86</v>
      </c>
      <c r="AD31" s="1752" t="s">
        <v>86</v>
      </c>
      <c r="AE31" s="1752" t="s">
        <v>86</v>
      </c>
      <c r="AF31" s="1752" t="s">
        <v>86</v>
      </c>
      <c r="AG31" s="1752"/>
      <c r="AH31" s="1752"/>
      <c r="AI31" s="1752"/>
      <c r="AJ31" s="1754">
        <f t="shared" si="0"/>
        <v>13</v>
      </c>
    </row>
    <row r="32" spans="1:36" ht="22.5" customHeight="1">
      <c r="A32" s="1782">
        <v>20</v>
      </c>
      <c r="B32" s="1783"/>
      <c r="C32" s="1757" t="s">
        <v>610</v>
      </c>
      <c r="D32" s="1753" t="s">
        <v>612</v>
      </c>
      <c r="E32" s="1752"/>
      <c r="F32" s="1752"/>
      <c r="G32" s="1752"/>
      <c r="H32" s="1785"/>
      <c r="I32" s="1785"/>
      <c r="J32" s="1752" t="s">
        <v>86</v>
      </c>
      <c r="K32" s="1752" t="s">
        <v>86</v>
      </c>
      <c r="L32" s="1752" t="s">
        <v>86</v>
      </c>
      <c r="M32" s="1752" t="s">
        <v>86</v>
      </c>
      <c r="N32" s="1752" t="s">
        <v>86</v>
      </c>
      <c r="O32" s="1752" t="s">
        <v>86</v>
      </c>
      <c r="P32" s="1752" t="s">
        <v>86</v>
      </c>
      <c r="Q32" s="1752" t="s">
        <v>86</v>
      </c>
      <c r="R32" s="1752" t="s">
        <v>86</v>
      </c>
      <c r="S32" s="1752" t="s">
        <v>86</v>
      </c>
      <c r="T32" s="1752" t="s">
        <v>86</v>
      </c>
      <c r="U32" s="1752" t="s">
        <v>86</v>
      </c>
      <c r="V32" s="1752" t="s">
        <v>86</v>
      </c>
      <c r="W32" s="1752" t="s">
        <v>86</v>
      </c>
      <c r="X32" s="1752" t="s">
        <v>86</v>
      </c>
      <c r="Y32" s="1752" t="s">
        <v>86</v>
      </c>
      <c r="Z32" s="1752" t="s">
        <v>86</v>
      </c>
      <c r="AA32" s="1752" t="s">
        <v>86</v>
      </c>
      <c r="AB32" s="1752" t="s">
        <v>86</v>
      </c>
      <c r="AC32" s="1752" t="s">
        <v>86</v>
      </c>
      <c r="AD32" s="1752" t="s">
        <v>86</v>
      </c>
      <c r="AE32" s="1752" t="s">
        <v>86</v>
      </c>
      <c r="AF32" s="1752" t="s">
        <v>86</v>
      </c>
      <c r="AG32" s="1752"/>
      <c r="AH32" s="1752"/>
      <c r="AI32" s="1752"/>
      <c r="AJ32" s="1754">
        <f t="shared" si="0"/>
        <v>23</v>
      </c>
    </row>
    <row r="33" spans="1:42" ht="22.5" customHeight="1">
      <c r="A33" s="1782">
        <v>21</v>
      </c>
      <c r="B33" s="1786"/>
      <c r="C33" s="1756" t="s">
        <v>9</v>
      </c>
      <c r="D33" s="1756" t="s">
        <v>328</v>
      </c>
      <c r="E33" s="1752" t="s">
        <v>86</v>
      </c>
      <c r="F33" s="1752" t="s">
        <v>86</v>
      </c>
      <c r="G33" s="1752" t="s">
        <v>86</v>
      </c>
      <c r="H33" s="1752" t="s">
        <v>86</v>
      </c>
      <c r="I33" s="1752" t="s">
        <v>86</v>
      </c>
      <c r="J33" s="1752" t="s">
        <v>86</v>
      </c>
      <c r="K33" s="1752" t="s">
        <v>86</v>
      </c>
      <c r="L33" s="1752" t="s">
        <v>86</v>
      </c>
      <c r="M33" s="1752" t="s">
        <v>86</v>
      </c>
      <c r="N33" s="1752" t="s">
        <v>86</v>
      </c>
      <c r="O33" s="1752" t="s">
        <v>86</v>
      </c>
      <c r="P33" s="1752" t="s">
        <v>86</v>
      </c>
      <c r="Q33" s="1752" t="s">
        <v>86</v>
      </c>
      <c r="R33" s="1752" t="s">
        <v>86</v>
      </c>
      <c r="S33" s="1752" t="s">
        <v>86</v>
      </c>
      <c r="T33" s="1752" t="s">
        <v>86</v>
      </c>
      <c r="U33" s="1752" t="s">
        <v>86</v>
      </c>
      <c r="V33" s="1752" t="s">
        <v>86</v>
      </c>
      <c r="W33" s="1752" t="s">
        <v>86</v>
      </c>
      <c r="X33" s="1752" t="s">
        <v>86</v>
      </c>
      <c r="Y33" s="1752" t="s">
        <v>86</v>
      </c>
      <c r="Z33" s="1752" t="s">
        <v>86</v>
      </c>
      <c r="AA33" s="1752" t="s">
        <v>86</v>
      </c>
      <c r="AB33" s="1752" t="s">
        <v>86</v>
      </c>
      <c r="AC33" s="1752" t="s">
        <v>86</v>
      </c>
      <c r="AD33" s="1752" t="s">
        <v>86</v>
      </c>
      <c r="AE33" s="1752" t="s">
        <v>86</v>
      </c>
      <c r="AF33" s="1752" t="s">
        <v>86</v>
      </c>
      <c r="AG33" s="1752"/>
      <c r="AH33" s="1752"/>
      <c r="AI33" s="1752"/>
      <c r="AJ33" s="1754">
        <f t="shared" si="0"/>
        <v>28</v>
      </c>
    </row>
    <row r="34" spans="1:42" ht="22.5" customHeight="1">
      <c r="A34" s="1782">
        <v>22</v>
      </c>
      <c r="B34" s="1786"/>
      <c r="C34" s="1756" t="s">
        <v>292</v>
      </c>
      <c r="D34" s="1756" t="s">
        <v>328</v>
      </c>
      <c r="E34" s="1752" t="s">
        <v>86</v>
      </c>
      <c r="F34" s="1752" t="s">
        <v>86</v>
      </c>
      <c r="G34" s="1752" t="s">
        <v>86</v>
      </c>
      <c r="H34" s="1752" t="s">
        <v>86</v>
      </c>
      <c r="I34" s="1752" t="s">
        <v>86</v>
      </c>
      <c r="J34" s="1752" t="s">
        <v>86</v>
      </c>
      <c r="K34" s="1752" t="s">
        <v>86</v>
      </c>
      <c r="L34" s="1752" t="s">
        <v>86</v>
      </c>
      <c r="M34" s="1752" t="s">
        <v>86</v>
      </c>
      <c r="N34" s="1752" t="s">
        <v>86</v>
      </c>
      <c r="O34" s="1752" t="s">
        <v>86</v>
      </c>
      <c r="P34" s="1752" t="s">
        <v>86</v>
      </c>
      <c r="Q34" s="1752" t="s">
        <v>86</v>
      </c>
      <c r="R34" s="1752" t="s">
        <v>86</v>
      </c>
      <c r="S34" s="1752" t="s">
        <v>86</v>
      </c>
      <c r="T34" s="1752" t="s">
        <v>86</v>
      </c>
      <c r="U34" s="1752" t="s">
        <v>86</v>
      </c>
      <c r="V34" s="1752" t="s">
        <v>86</v>
      </c>
      <c r="W34" s="1752" t="s">
        <v>86</v>
      </c>
      <c r="X34" s="1752" t="s">
        <v>86</v>
      </c>
      <c r="Y34" s="1752" t="s">
        <v>86</v>
      </c>
      <c r="Z34" s="1752" t="s">
        <v>86</v>
      </c>
      <c r="AA34" s="1752" t="s">
        <v>86</v>
      </c>
      <c r="AB34" s="1752" t="s">
        <v>86</v>
      </c>
      <c r="AC34" s="1752" t="s">
        <v>86</v>
      </c>
      <c r="AD34" s="1752" t="s">
        <v>86</v>
      </c>
      <c r="AE34" s="1752" t="s">
        <v>86</v>
      </c>
      <c r="AF34" s="1752" t="s">
        <v>86</v>
      </c>
      <c r="AG34" s="1752"/>
      <c r="AH34" s="1752"/>
      <c r="AI34" s="1752"/>
      <c r="AJ34" s="1754">
        <f t="shared" si="0"/>
        <v>28</v>
      </c>
    </row>
    <row r="35" spans="1:42" ht="22.5" customHeight="1">
      <c r="A35" s="1782">
        <v>23</v>
      </c>
      <c r="B35" s="1786"/>
      <c r="C35" s="1756" t="s">
        <v>277</v>
      </c>
      <c r="D35" s="1756" t="s">
        <v>328</v>
      </c>
      <c r="E35" s="1752" t="s">
        <v>86</v>
      </c>
      <c r="F35" s="1752" t="s">
        <v>86</v>
      </c>
      <c r="G35" s="1752" t="s">
        <v>86</v>
      </c>
      <c r="H35" s="1752" t="s">
        <v>86</v>
      </c>
      <c r="I35" s="1752" t="s">
        <v>86</v>
      </c>
      <c r="J35" s="1752" t="s">
        <v>86</v>
      </c>
      <c r="K35" s="1752" t="s">
        <v>86</v>
      </c>
      <c r="L35" s="1752" t="s">
        <v>86</v>
      </c>
      <c r="M35" s="1752" t="s">
        <v>86</v>
      </c>
      <c r="N35" s="1752" t="s">
        <v>86</v>
      </c>
      <c r="O35" s="1752" t="s">
        <v>86</v>
      </c>
      <c r="P35" s="1752" t="s">
        <v>86</v>
      </c>
      <c r="Q35" s="1752" t="s">
        <v>86</v>
      </c>
      <c r="R35" s="1752" t="s">
        <v>86</v>
      </c>
      <c r="S35" s="1752" t="s">
        <v>86</v>
      </c>
      <c r="T35" s="1752" t="s">
        <v>86</v>
      </c>
      <c r="U35" s="1752" t="s">
        <v>86</v>
      </c>
      <c r="V35" s="1752" t="s">
        <v>86</v>
      </c>
      <c r="W35" s="1752" t="s">
        <v>86</v>
      </c>
      <c r="X35" s="1752" t="s">
        <v>86</v>
      </c>
      <c r="Y35" s="1752" t="s">
        <v>86</v>
      </c>
      <c r="Z35" s="1752" t="s">
        <v>86</v>
      </c>
      <c r="AA35" s="1752" t="s">
        <v>86</v>
      </c>
      <c r="AB35" s="1752" t="s">
        <v>86</v>
      </c>
      <c r="AC35" s="1752" t="s">
        <v>86</v>
      </c>
      <c r="AD35" s="1752" t="s">
        <v>86</v>
      </c>
      <c r="AE35" s="1752" t="s">
        <v>86</v>
      </c>
      <c r="AF35" s="1752" t="s">
        <v>86</v>
      </c>
      <c r="AG35" s="1752"/>
      <c r="AH35" s="1752"/>
      <c r="AI35" s="1752"/>
      <c r="AJ35" s="1754">
        <f t="shared" si="0"/>
        <v>28</v>
      </c>
    </row>
    <row r="36" spans="1:42" ht="22.5" customHeight="1">
      <c r="A36" s="1782">
        <v>24</v>
      </c>
      <c r="B36" s="1786"/>
      <c r="C36" s="1756" t="s">
        <v>278</v>
      </c>
      <c r="D36" s="1756" t="s">
        <v>328</v>
      </c>
      <c r="E36" s="1752" t="s">
        <v>86</v>
      </c>
      <c r="F36" s="1752" t="s">
        <v>86</v>
      </c>
      <c r="G36" s="1752" t="s">
        <v>86</v>
      </c>
      <c r="H36" s="1752" t="s">
        <v>86</v>
      </c>
      <c r="I36" s="1752" t="s">
        <v>86</v>
      </c>
      <c r="J36" s="1752" t="s">
        <v>86</v>
      </c>
      <c r="K36" s="1752" t="s">
        <v>86</v>
      </c>
      <c r="L36" s="1752" t="s">
        <v>86</v>
      </c>
      <c r="M36" s="1752" t="s">
        <v>86</v>
      </c>
      <c r="N36" s="1752" t="s">
        <v>86</v>
      </c>
      <c r="O36" s="1752" t="s">
        <v>86</v>
      </c>
      <c r="P36" s="1752" t="s">
        <v>86</v>
      </c>
      <c r="Q36" s="1752" t="s">
        <v>86</v>
      </c>
      <c r="R36" s="1752" t="s">
        <v>86</v>
      </c>
      <c r="S36" s="1752" t="s">
        <v>86</v>
      </c>
      <c r="T36" s="1752" t="s">
        <v>86</v>
      </c>
      <c r="U36" s="1752" t="s">
        <v>86</v>
      </c>
      <c r="V36" s="1752" t="s">
        <v>86</v>
      </c>
      <c r="W36" s="1752" t="s">
        <v>86</v>
      </c>
      <c r="X36" s="1752" t="s">
        <v>86</v>
      </c>
      <c r="Y36" s="1752" t="s">
        <v>86</v>
      </c>
      <c r="Z36" s="1752" t="s">
        <v>86</v>
      </c>
      <c r="AA36" s="1752" t="s">
        <v>86</v>
      </c>
      <c r="AB36" s="1752" t="s">
        <v>86</v>
      </c>
      <c r="AC36" s="1752" t="s">
        <v>86</v>
      </c>
      <c r="AD36" s="1752" t="s">
        <v>86</v>
      </c>
      <c r="AE36" s="1752" t="s">
        <v>86</v>
      </c>
      <c r="AF36" s="1752" t="s">
        <v>86</v>
      </c>
      <c r="AG36" s="1752"/>
      <c r="AH36" s="1752"/>
      <c r="AI36" s="1752"/>
      <c r="AJ36" s="1754">
        <f t="shared" si="0"/>
        <v>28</v>
      </c>
    </row>
    <row r="37" spans="1:42" ht="30.75" customHeight="1">
      <c r="A37" s="2233" t="s">
        <v>95</v>
      </c>
      <c r="B37" s="2234"/>
      <c r="C37" s="2234"/>
      <c r="D37" s="2235"/>
      <c r="E37" s="1787">
        <f t="shared" ref="E37:AE37" si="1">SUM(COUNTIF(E13:E36,"x"))</f>
        <v>17</v>
      </c>
      <c r="F37" s="1787">
        <f t="shared" si="1"/>
        <v>17</v>
      </c>
      <c r="G37" s="1787">
        <f t="shared" si="1"/>
        <v>17</v>
      </c>
      <c r="H37" s="1787">
        <f t="shared" si="1"/>
        <v>17</v>
      </c>
      <c r="I37" s="1787">
        <f t="shared" si="1"/>
        <v>17</v>
      </c>
      <c r="J37" s="1787">
        <f t="shared" si="1"/>
        <v>18</v>
      </c>
      <c r="K37" s="1787">
        <f t="shared" si="1"/>
        <v>19</v>
      </c>
      <c r="L37" s="1787">
        <f t="shared" si="1"/>
        <v>21</v>
      </c>
      <c r="M37" s="1787">
        <f t="shared" si="1"/>
        <v>21</v>
      </c>
      <c r="N37" s="1787">
        <f t="shared" si="1"/>
        <v>21</v>
      </c>
      <c r="O37" s="1787">
        <f t="shared" si="1"/>
        <v>21</v>
      </c>
      <c r="P37" s="1787">
        <f t="shared" si="1"/>
        <v>21</v>
      </c>
      <c r="Q37" s="1787">
        <f t="shared" si="1"/>
        <v>18</v>
      </c>
      <c r="R37" s="1787">
        <f t="shared" si="1"/>
        <v>18</v>
      </c>
      <c r="S37" s="1787">
        <f t="shared" si="1"/>
        <v>17</v>
      </c>
      <c r="T37" s="1787">
        <f t="shared" si="1"/>
        <v>17</v>
      </c>
      <c r="U37" s="1787">
        <f t="shared" si="1"/>
        <v>16</v>
      </c>
      <c r="V37" s="1787">
        <f t="shared" si="1"/>
        <v>16</v>
      </c>
      <c r="W37" s="1787">
        <f t="shared" si="1"/>
        <v>16</v>
      </c>
      <c r="X37" s="1787">
        <f t="shared" si="1"/>
        <v>16</v>
      </c>
      <c r="Y37" s="1787">
        <f t="shared" si="1"/>
        <v>16</v>
      </c>
      <c r="Z37" s="1787">
        <f t="shared" si="1"/>
        <v>18</v>
      </c>
      <c r="AA37" s="1787">
        <f t="shared" si="1"/>
        <v>19</v>
      </c>
      <c r="AB37" s="1787">
        <f t="shared" si="1"/>
        <v>19</v>
      </c>
      <c r="AC37" s="1787">
        <f t="shared" si="1"/>
        <v>19</v>
      </c>
      <c r="AD37" s="1787">
        <f t="shared" si="1"/>
        <v>19</v>
      </c>
      <c r="AE37" s="1787">
        <f t="shared" si="1"/>
        <v>19</v>
      </c>
      <c r="AF37" s="1787">
        <f>SUM(COUNTIF(AF13:AF36,"x"))</f>
        <v>22</v>
      </c>
      <c r="AG37" s="1787">
        <f t="shared" ref="AG37:AI37" si="2">SUM(COUNTIF(AG13:AG32,"x"))</f>
        <v>0</v>
      </c>
      <c r="AH37" s="1787">
        <f t="shared" si="2"/>
        <v>0</v>
      </c>
      <c r="AI37" s="1787">
        <f t="shared" si="2"/>
        <v>0</v>
      </c>
      <c r="AJ37" s="1787">
        <f>SUM(AJ13:AJ36)</f>
        <v>512</v>
      </c>
      <c r="AK37" s="2236">
        <f>AJ37*20000</f>
        <v>10240000</v>
      </c>
      <c r="AL37" s="2236"/>
      <c r="AN37" s="1776">
        <v>1658</v>
      </c>
      <c r="AO37" s="1776">
        <v>320</v>
      </c>
      <c r="AP37" s="1776">
        <v>1978</v>
      </c>
    </row>
    <row r="38" spans="1:42" ht="16.5">
      <c r="A38" s="1788"/>
      <c r="B38" s="1789"/>
      <c r="C38" s="1789"/>
      <c r="D38" s="1790"/>
      <c r="E38" s="1790"/>
      <c r="F38" s="1790"/>
      <c r="G38" s="1790"/>
      <c r="H38" s="1790"/>
      <c r="I38" s="1790"/>
      <c r="J38" s="1790"/>
      <c r="K38" s="1790"/>
      <c r="L38" s="1790"/>
      <c r="M38" s="1790"/>
      <c r="N38" s="1790"/>
      <c r="O38" s="1790"/>
      <c r="P38" s="1790"/>
      <c r="Q38" s="1790"/>
      <c r="R38" s="1790"/>
      <c r="S38" s="1790"/>
      <c r="T38" s="1790"/>
      <c r="U38" s="1790"/>
      <c r="V38" s="1790"/>
      <c r="W38" s="1790"/>
      <c r="X38" s="2241" t="s">
        <v>1119</v>
      </c>
      <c r="Y38" s="2241"/>
      <c r="Z38" s="2241"/>
      <c r="AA38" s="2241"/>
      <c r="AB38" s="2241"/>
      <c r="AC38" s="2241"/>
      <c r="AD38" s="2241"/>
      <c r="AE38" s="2241"/>
      <c r="AF38" s="2241"/>
      <c r="AG38" s="2241"/>
      <c r="AH38" s="2241"/>
      <c r="AI38" s="2241"/>
      <c r="AJ38" s="2241"/>
      <c r="AL38" s="1777" t="e">
        <f>#REF!+#REF!</f>
        <v>#REF!</v>
      </c>
      <c r="AN38" s="1776">
        <v>1565</v>
      </c>
      <c r="AO38" s="1776">
        <v>302</v>
      </c>
      <c r="AP38" s="1776">
        <v>1867</v>
      </c>
    </row>
    <row r="39" spans="1:42" ht="16.5">
      <c r="A39" s="1788"/>
      <c r="B39" s="1789"/>
      <c r="D39" s="1153" t="s">
        <v>45</v>
      </c>
      <c r="J39" s="1791"/>
      <c r="K39" s="1180"/>
      <c r="L39" s="1180"/>
      <c r="M39" s="2240" t="s">
        <v>1167</v>
      </c>
      <c r="N39" s="2240"/>
      <c r="O39" s="2240"/>
      <c r="P39" s="2240"/>
      <c r="Q39" s="2240"/>
      <c r="R39" s="2240"/>
      <c r="S39" s="2240"/>
      <c r="T39" s="1180"/>
      <c r="U39" s="1180"/>
      <c r="V39" s="1180"/>
      <c r="W39" s="1180"/>
      <c r="X39" s="1180" t="s">
        <v>817</v>
      </c>
      <c r="Y39" s="1180"/>
      <c r="Z39" s="1180"/>
      <c r="AA39" s="1180"/>
      <c r="AB39" s="1180"/>
      <c r="AC39" s="1180"/>
      <c r="AD39" s="1180"/>
      <c r="AE39" s="1180"/>
      <c r="AF39" s="1180"/>
      <c r="AG39" s="1180"/>
      <c r="AH39" s="1180"/>
      <c r="AI39" s="1180"/>
      <c r="AJ39" s="1180"/>
      <c r="AN39" s="1776">
        <v>1153</v>
      </c>
      <c r="AO39" s="1776">
        <v>223</v>
      </c>
      <c r="AP39" s="1776">
        <v>1376</v>
      </c>
    </row>
    <row r="40" spans="1:42" ht="16.5">
      <c r="A40" s="1777"/>
      <c r="B40" s="1173"/>
      <c r="C40" s="1152"/>
      <c r="D40" s="1152"/>
      <c r="E40" s="1152"/>
      <c r="F40" s="1152"/>
      <c r="G40" s="1152"/>
      <c r="H40" s="1152"/>
      <c r="I40" s="1152"/>
      <c r="J40" s="1152"/>
      <c r="K40" s="1152"/>
      <c r="L40" s="1152"/>
      <c r="M40" s="1152"/>
      <c r="N40" s="1152"/>
      <c r="O40" s="1152"/>
      <c r="P40" s="1152"/>
      <c r="Q40" s="1152"/>
      <c r="R40" s="1152"/>
      <c r="S40" s="1152"/>
      <c r="T40" s="1152"/>
      <c r="U40" s="1152"/>
      <c r="V40" s="1152"/>
      <c r="W40" s="1152"/>
      <c r="X40" s="1152"/>
      <c r="Y40" s="1152"/>
      <c r="Z40" s="1152"/>
      <c r="AA40" s="1152"/>
      <c r="AB40" s="1152"/>
      <c r="AC40" s="1152"/>
      <c r="AD40" s="1152"/>
      <c r="AE40" s="1152"/>
      <c r="AF40" s="1152"/>
      <c r="AG40" s="1152"/>
      <c r="AH40" s="1152"/>
      <c r="AI40" s="1152"/>
      <c r="AJ40" s="1152"/>
      <c r="AN40" s="1776">
        <v>1096</v>
      </c>
      <c r="AO40" s="1776">
        <v>210</v>
      </c>
      <c r="AP40" s="1776">
        <v>1306</v>
      </c>
    </row>
    <row r="41" spans="1:42" ht="16.5">
      <c r="B41" s="1152"/>
      <c r="D41" s="1152"/>
      <c r="E41" s="1152"/>
      <c r="F41" s="1152"/>
      <c r="G41" s="1152"/>
      <c r="H41" s="1152"/>
      <c r="I41" s="1792"/>
      <c r="J41" s="1792"/>
      <c r="K41" s="1792"/>
      <c r="L41" s="1152"/>
      <c r="M41" s="1792"/>
      <c r="N41" s="1792"/>
      <c r="O41" s="1792"/>
      <c r="P41" s="1152"/>
      <c r="Q41" s="1792"/>
      <c r="R41" s="1152"/>
      <c r="S41" s="1152"/>
      <c r="T41" s="1793"/>
      <c r="U41" s="1152"/>
      <c r="V41" s="1152"/>
      <c r="W41" s="1152"/>
      <c r="X41" s="1152"/>
      <c r="Y41" s="1152"/>
      <c r="Z41" s="1152"/>
      <c r="AA41" s="1152"/>
      <c r="AB41" s="1152"/>
      <c r="AC41" s="1152"/>
      <c r="AD41" s="1152"/>
      <c r="AE41" s="1152"/>
      <c r="AF41" s="1152"/>
      <c r="AG41" s="1152"/>
      <c r="AH41" s="1152"/>
      <c r="AI41" s="1152"/>
      <c r="AJ41" s="1793"/>
      <c r="AN41" s="1776">
        <f>SUM(AN37:AN40)</f>
        <v>5472</v>
      </c>
      <c r="AO41" s="1776">
        <f>SUM(AO37:AO40)</f>
        <v>1055</v>
      </c>
      <c r="AP41" s="1776">
        <f>SUM(AP37:AP40)</f>
        <v>6527</v>
      </c>
    </row>
    <row r="42" spans="1:42" ht="15.75" customHeight="1">
      <c r="B42" s="1152"/>
      <c r="C42" s="1152"/>
      <c r="D42" s="1152"/>
      <c r="E42" s="1152"/>
      <c r="F42" s="1152"/>
      <c r="G42" s="1152"/>
      <c r="H42" s="1152"/>
      <c r="I42" s="1792"/>
      <c r="J42" s="1792"/>
      <c r="K42" s="1152"/>
      <c r="L42" s="1152"/>
      <c r="M42" s="1792"/>
      <c r="N42" s="1792"/>
      <c r="O42" s="1152"/>
      <c r="P42" s="1152"/>
      <c r="Q42" s="1792"/>
      <c r="R42" s="1152"/>
      <c r="S42" s="1152"/>
      <c r="T42" s="1793"/>
      <c r="U42" s="1152"/>
      <c r="V42" s="1152"/>
      <c r="W42" s="1152"/>
      <c r="X42" s="1152"/>
      <c r="Y42" s="1152"/>
      <c r="Z42" s="1152"/>
      <c r="AA42" s="1152"/>
      <c r="AB42" s="1152"/>
      <c r="AC42" s="1152"/>
      <c r="AD42" s="1152"/>
      <c r="AE42" s="1152"/>
      <c r="AF42" s="1152"/>
      <c r="AG42" s="1152"/>
      <c r="AH42" s="1152"/>
      <c r="AI42" s="1152"/>
      <c r="AJ42" s="1152"/>
    </row>
    <row r="43" spans="1:42" ht="16.5">
      <c r="B43" s="1152"/>
      <c r="C43" s="1152"/>
      <c r="D43" s="1152"/>
      <c r="E43" s="1152"/>
      <c r="F43" s="1152"/>
      <c r="G43" s="1152"/>
      <c r="H43" s="1152"/>
      <c r="I43" s="1792"/>
      <c r="J43" s="1792"/>
      <c r="K43" s="1792"/>
      <c r="L43" s="1152"/>
      <c r="M43" s="1152"/>
      <c r="N43" s="1152"/>
      <c r="O43" s="1152"/>
      <c r="P43" s="1152"/>
      <c r="Q43" s="1792"/>
      <c r="R43" s="1152"/>
      <c r="S43" s="1152"/>
      <c r="T43" s="1793"/>
      <c r="U43" s="1152"/>
      <c r="V43" s="1152"/>
      <c r="W43" s="1152"/>
      <c r="X43" s="1152"/>
      <c r="Y43" s="1152"/>
      <c r="Z43" s="1152"/>
      <c r="AA43" s="1152"/>
      <c r="AB43" s="1152"/>
      <c r="AC43" s="1152"/>
      <c r="AD43" s="1152"/>
      <c r="AE43" s="1152"/>
      <c r="AF43" s="1152"/>
      <c r="AG43" s="1152"/>
      <c r="AH43" s="1152"/>
      <c r="AI43" s="1152"/>
      <c r="AJ43" s="1152"/>
    </row>
    <row r="44" spans="1:42" ht="16.5">
      <c r="B44" s="1152"/>
      <c r="C44" s="1152"/>
      <c r="D44" s="2238"/>
      <c r="E44" s="2238"/>
      <c r="F44" s="2238"/>
      <c r="G44" s="2238"/>
      <c r="H44" s="2238"/>
      <c r="I44" s="1792"/>
      <c r="J44" s="1792"/>
      <c r="K44" s="1792"/>
      <c r="L44" s="1152"/>
      <c r="M44" s="1794"/>
      <c r="N44" s="1794"/>
      <c r="O44" s="1794"/>
      <c r="P44" s="1794"/>
      <c r="Q44" s="1794"/>
      <c r="R44" s="1794"/>
      <c r="S44" s="1794"/>
      <c r="T44" s="1793"/>
      <c r="U44" s="1794"/>
      <c r="V44" s="1794"/>
      <c r="W44" s="1794"/>
      <c r="X44" s="1794"/>
      <c r="Y44" s="1794"/>
      <c r="Z44" s="1794"/>
      <c r="AA44" s="1794"/>
      <c r="AB44" s="1794"/>
      <c r="AC44" s="1794"/>
      <c r="AD44" s="1794"/>
      <c r="AE44" s="1794"/>
      <c r="AF44" s="1794"/>
      <c r="AG44" s="1794"/>
      <c r="AH44" s="1794"/>
      <c r="AI44" s="1794"/>
    </row>
    <row r="45" spans="1:42">
      <c r="I45" s="1795"/>
      <c r="J45" s="1795"/>
      <c r="K45" s="1795"/>
      <c r="L45" s="1777"/>
      <c r="M45" s="1777"/>
      <c r="N45" s="1777"/>
      <c r="O45" s="1777"/>
      <c r="P45" s="1777"/>
      <c r="T45" s="1796"/>
      <c r="AL45" s="1776"/>
    </row>
    <row r="49" spans="1:38" ht="16.5">
      <c r="A49" s="2239"/>
      <c r="B49" s="2239"/>
      <c r="C49" s="2239"/>
    </row>
    <row r="50" spans="1:38" ht="16.5">
      <c r="A50" s="1797"/>
      <c r="B50" s="1789"/>
      <c r="C50" s="2239"/>
      <c r="D50" s="2239"/>
      <c r="E50" s="2239"/>
      <c r="F50" s="2239"/>
      <c r="G50" s="2239"/>
      <c r="H50" s="2239"/>
    </row>
    <row r="51" spans="1:38" ht="16.5">
      <c r="A51" s="1798"/>
      <c r="B51" s="1173"/>
      <c r="C51" s="2237"/>
      <c r="D51" s="2237"/>
      <c r="E51" s="2237"/>
      <c r="F51" s="2237"/>
      <c r="G51" s="2237"/>
      <c r="H51" s="2237"/>
    </row>
    <row r="52" spans="1:38" ht="16.5">
      <c r="A52" s="1798"/>
      <c r="B52" s="1173"/>
      <c r="C52" s="2237"/>
      <c r="D52" s="2237"/>
      <c r="E52" s="2237"/>
      <c r="F52" s="2237"/>
      <c r="G52" s="2237"/>
      <c r="H52" s="2237"/>
    </row>
    <row r="53" spans="1:38" ht="16.5">
      <c r="A53" s="1798"/>
      <c r="B53" s="1173"/>
      <c r="C53" s="2237"/>
      <c r="D53" s="2237"/>
      <c r="E53" s="2237"/>
      <c r="F53" s="2237"/>
      <c r="G53" s="2237"/>
      <c r="H53" s="2237"/>
    </row>
    <row r="54" spans="1:38" ht="16.5">
      <c r="A54" s="1799"/>
      <c r="B54" s="1152"/>
      <c r="C54" s="2237"/>
      <c r="D54" s="2237"/>
      <c r="E54" s="2237"/>
      <c r="F54" s="2237"/>
      <c r="G54" s="2237"/>
      <c r="H54" s="2237"/>
      <c r="AL54" s="1776"/>
    </row>
    <row r="55" spans="1:38" ht="16.5">
      <c r="A55" s="1799"/>
      <c r="B55" s="1152"/>
      <c r="C55" s="2237"/>
      <c r="D55" s="2237"/>
      <c r="E55" s="2237"/>
      <c r="F55" s="2237"/>
      <c r="G55" s="2237"/>
      <c r="H55" s="2237"/>
      <c r="AL55" s="1776"/>
    </row>
    <row r="56" spans="1:38" ht="16.5">
      <c r="A56" s="1799"/>
      <c r="B56" s="1152"/>
      <c r="C56" s="2237"/>
      <c r="D56" s="2237"/>
      <c r="E56" s="2237"/>
      <c r="F56" s="2237"/>
      <c r="G56" s="2237"/>
      <c r="H56" s="2237"/>
      <c r="AL56" s="1776"/>
    </row>
    <row r="57" spans="1:38" ht="16.5">
      <c r="A57" s="1799"/>
      <c r="B57" s="1152"/>
      <c r="C57" s="2237"/>
      <c r="D57" s="2237"/>
      <c r="E57" s="2237"/>
      <c r="F57" s="2237"/>
      <c r="G57" s="2237"/>
      <c r="H57" s="2237"/>
      <c r="AL57" s="1776"/>
    </row>
  </sheetData>
  <mergeCells count="56"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A2:AJ2"/>
    <mergeCell ref="A3:AJ3"/>
    <mergeCell ref="A4:AJ4"/>
    <mergeCell ref="A6:L6"/>
    <mergeCell ref="A7:L7"/>
    <mergeCell ref="A37:D37"/>
    <mergeCell ref="AK37:AL37"/>
    <mergeCell ref="C55:H55"/>
    <mergeCell ref="C56:H56"/>
    <mergeCell ref="C57:H57"/>
    <mergeCell ref="D44:H44"/>
    <mergeCell ref="A49:C49"/>
    <mergeCell ref="C50:H50"/>
    <mergeCell ref="C51:H51"/>
    <mergeCell ref="C52:H52"/>
    <mergeCell ref="M39:S39"/>
    <mergeCell ref="C53:H53"/>
    <mergeCell ref="C54:H54"/>
    <mergeCell ref="X38:AJ38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P37"/>
  <sheetViews>
    <sheetView topLeftCell="A7" zoomScale="85" zoomScaleNormal="85" workbookViewId="0">
      <selection activeCell="X18" sqref="X18:AJ18"/>
    </sheetView>
  </sheetViews>
  <sheetFormatPr defaultColWidth="5.28515625" defaultRowHeight="8.25"/>
  <cols>
    <col min="1" max="1" width="3.5703125" style="229" customWidth="1"/>
    <col min="2" max="2" width="0.140625" style="229" hidden="1" customWidth="1"/>
    <col min="3" max="3" width="21.140625" style="229" customWidth="1"/>
    <col min="4" max="4" width="14.42578125" style="229" customWidth="1"/>
    <col min="5" max="33" width="4.140625" style="229" customWidth="1"/>
    <col min="34" max="34" width="4.42578125" style="229" customWidth="1"/>
    <col min="35" max="35" width="4.140625" style="229" customWidth="1"/>
    <col min="36" max="36" width="12" style="229" customWidth="1"/>
    <col min="37" max="37" width="5.28515625" style="229" customWidth="1"/>
    <col min="38" max="38" width="7.5703125" style="230" customWidth="1"/>
    <col min="39" max="16384" width="5.28515625" style="229"/>
  </cols>
  <sheetData>
    <row r="2" spans="1:36" ht="20.25" customHeight="1">
      <c r="A2" s="1897" t="s">
        <v>90</v>
      </c>
      <c r="B2" s="1897"/>
      <c r="C2" s="1897"/>
      <c r="D2" s="1897"/>
      <c r="E2" s="1897"/>
      <c r="F2" s="1897"/>
      <c r="G2" s="1897"/>
      <c r="H2" s="1897"/>
      <c r="I2" s="1897"/>
      <c r="J2" s="1897"/>
      <c r="K2" s="1897"/>
      <c r="L2" s="1897"/>
      <c r="M2" s="1897"/>
      <c r="N2" s="1897"/>
      <c r="O2" s="1897"/>
      <c r="P2" s="1897"/>
      <c r="Q2" s="1897"/>
      <c r="R2" s="1897"/>
      <c r="S2" s="1897"/>
      <c r="T2" s="1897"/>
      <c r="U2" s="1897"/>
      <c r="V2" s="1897"/>
      <c r="W2" s="1897"/>
      <c r="X2" s="1897"/>
      <c r="Y2" s="1897"/>
      <c r="Z2" s="1897"/>
      <c r="AA2" s="1897"/>
      <c r="AB2" s="1897"/>
      <c r="AC2" s="1897"/>
      <c r="AD2" s="1897"/>
      <c r="AE2" s="1897"/>
      <c r="AF2" s="1897"/>
      <c r="AG2" s="1897"/>
      <c r="AH2" s="1897"/>
      <c r="AI2" s="1897"/>
      <c r="AJ2" s="1897"/>
    </row>
    <row r="3" spans="1:36" ht="20.25" customHeight="1">
      <c r="A3" s="1897" t="s">
        <v>91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7"/>
      <c r="S3" s="1897"/>
      <c r="T3" s="1897"/>
      <c r="U3" s="1897"/>
      <c r="V3" s="1897"/>
      <c r="W3" s="1897"/>
      <c r="X3" s="1897"/>
      <c r="Y3" s="1897"/>
      <c r="Z3" s="1897"/>
      <c r="AA3" s="1897"/>
      <c r="AB3" s="1897"/>
      <c r="AC3" s="1897"/>
      <c r="AD3" s="1897"/>
      <c r="AE3" s="1897"/>
      <c r="AF3" s="1897"/>
      <c r="AG3" s="1897"/>
      <c r="AH3" s="1897"/>
      <c r="AI3" s="1897"/>
      <c r="AJ3" s="1897"/>
    </row>
    <row r="4" spans="1:36" ht="20.25" customHeight="1">
      <c r="A4" s="1898" t="s">
        <v>604</v>
      </c>
      <c r="B4" s="1897"/>
      <c r="C4" s="1897"/>
      <c r="D4" s="1897"/>
      <c r="E4" s="1897"/>
      <c r="F4" s="1897"/>
      <c r="G4" s="1897"/>
      <c r="H4" s="1897"/>
      <c r="I4" s="1897"/>
      <c r="J4" s="1897"/>
      <c r="K4" s="1897"/>
      <c r="L4" s="1897"/>
      <c r="M4" s="1897"/>
      <c r="N4" s="1897"/>
      <c r="O4" s="1897"/>
      <c r="P4" s="1897"/>
      <c r="Q4" s="1897"/>
      <c r="R4" s="1897"/>
      <c r="S4" s="1897"/>
      <c r="T4" s="1897"/>
      <c r="U4" s="1897"/>
      <c r="V4" s="1897"/>
      <c r="W4" s="1897"/>
      <c r="X4" s="1897"/>
      <c r="Y4" s="1897"/>
      <c r="Z4" s="1897"/>
      <c r="AA4" s="1897"/>
      <c r="AB4" s="1897"/>
      <c r="AC4" s="1897"/>
      <c r="AD4" s="1897"/>
      <c r="AE4" s="1897"/>
      <c r="AF4" s="1897"/>
      <c r="AG4" s="1897"/>
      <c r="AH4" s="1897"/>
      <c r="AI4" s="1897"/>
      <c r="AJ4" s="1897"/>
    </row>
    <row r="5" spans="1:36" ht="20.25" customHeight="1">
      <c r="A5" s="1657"/>
      <c r="B5" s="1657"/>
      <c r="C5" s="1657"/>
      <c r="D5" s="1657"/>
      <c r="E5" s="1657"/>
      <c r="F5" s="1657"/>
      <c r="G5" s="1657"/>
      <c r="H5" s="1657"/>
      <c r="I5" s="1657"/>
      <c r="J5" s="1657"/>
      <c r="K5" s="1657"/>
      <c r="L5" s="1657"/>
      <c r="M5" s="1657"/>
      <c r="N5" s="1657"/>
      <c r="O5" s="1657"/>
      <c r="P5" s="1657"/>
      <c r="Q5" s="1657"/>
      <c r="R5" s="1657"/>
      <c r="S5" s="1657"/>
      <c r="T5" s="1657"/>
      <c r="U5" s="1657"/>
      <c r="V5" s="1657"/>
      <c r="W5" s="1657"/>
      <c r="X5" s="1657"/>
      <c r="Y5" s="1657"/>
      <c r="Z5" s="1657"/>
      <c r="AA5" s="1657"/>
      <c r="AB5" s="1657"/>
      <c r="AC5" s="1657"/>
      <c r="AD5" s="1657"/>
      <c r="AE5" s="1657"/>
      <c r="AF5" s="1657"/>
      <c r="AG5" s="1657"/>
      <c r="AH5" s="1657"/>
      <c r="AI5" s="1657"/>
      <c r="AJ5" s="1657"/>
    </row>
    <row r="6" spans="1:36" ht="20.25" customHeight="1">
      <c r="A6" s="2256" t="s">
        <v>479</v>
      </c>
      <c r="B6" s="2256"/>
      <c r="C6" s="2256"/>
      <c r="D6" s="2256"/>
      <c r="E6" s="2256"/>
      <c r="F6" s="2256"/>
      <c r="G6" s="2256"/>
      <c r="H6" s="2256"/>
      <c r="I6" s="2256"/>
      <c r="J6" s="2256"/>
      <c r="K6" s="2256"/>
      <c r="L6" s="2256"/>
      <c r="M6" s="564"/>
      <c r="N6" s="564"/>
      <c r="O6" s="564"/>
      <c r="P6" s="1657"/>
      <c r="Q6" s="1657"/>
      <c r="R6" s="1657"/>
      <c r="S6" s="1657"/>
      <c r="T6" s="1657"/>
      <c r="U6" s="1657"/>
      <c r="V6" s="1657"/>
      <c r="W6" s="1657"/>
      <c r="X6" s="1657"/>
      <c r="Y6" s="1657"/>
      <c r="Z6" s="1657"/>
      <c r="AA6" s="1657"/>
      <c r="AB6" s="1657"/>
      <c r="AC6" s="1657"/>
      <c r="AD6" s="1657"/>
      <c r="AE6" s="1657"/>
      <c r="AF6" s="1657"/>
      <c r="AG6" s="1657"/>
      <c r="AH6" s="1657"/>
      <c r="AI6" s="1657"/>
      <c r="AJ6" s="1657"/>
    </row>
    <row r="7" spans="1:36" ht="20.25" customHeight="1">
      <c r="A7" s="1899" t="s">
        <v>101</v>
      </c>
      <c r="B7" s="1899"/>
      <c r="C7" s="1899"/>
      <c r="D7" s="1899"/>
      <c r="E7" s="1899"/>
      <c r="F7" s="1899"/>
      <c r="G7" s="1899"/>
      <c r="H7" s="1899"/>
      <c r="I7" s="1899"/>
      <c r="J7" s="1899"/>
      <c r="K7" s="1899"/>
      <c r="L7" s="1899"/>
      <c r="M7" s="564"/>
      <c r="N7" s="564"/>
      <c r="O7" s="564"/>
      <c r="P7" s="1657"/>
      <c r="Q7" s="1657"/>
      <c r="R7" s="1657"/>
      <c r="S7" s="1657"/>
      <c r="T7" s="1657"/>
      <c r="U7" s="1657"/>
      <c r="V7" s="1657"/>
      <c r="W7" s="1657"/>
      <c r="X7" s="1657"/>
      <c r="Y7" s="1657"/>
      <c r="Z7" s="1657"/>
      <c r="AA7" s="1657"/>
      <c r="AB7" s="1657"/>
      <c r="AC7" s="1657"/>
      <c r="AD7" s="1657"/>
      <c r="AE7" s="1657"/>
      <c r="AF7" s="1657"/>
      <c r="AG7" s="1657"/>
      <c r="AH7" s="1657"/>
      <c r="AI7" s="1657"/>
      <c r="AJ7" s="1657"/>
    </row>
    <row r="8" spans="1:36" ht="20.25" customHeight="1">
      <c r="A8" s="1658"/>
      <c r="B8" s="1658"/>
      <c r="C8" s="1658"/>
      <c r="D8" s="1658"/>
      <c r="E8" s="1658"/>
      <c r="F8" s="1658"/>
      <c r="G8" s="1658"/>
      <c r="H8" s="1658"/>
      <c r="I8" s="1658"/>
      <c r="J8" s="1658"/>
      <c r="K8" s="1658"/>
      <c r="L8" s="1658"/>
      <c r="M8" s="564"/>
      <c r="N8" s="564"/>
      <c r="O8" s="564"/>
      <c r="P8" s="1657"/>
      <c r="Q8" s="1657"/>
      <c r="R8" s="1657"/>
      <c r="S8" s="1657"/>
      <c r="T8" s="1657"/>
      <c r="U8" s="1657"/>
      <c r="V8" s="1657"/>
      <c r="W8" s="1657"/>
      <c r="X8" s="1657"/>
      <c r="Y8" s="1657"/>
      <c r="Z8" s="1657"/>
      <c r="AA8" s="1657"/>
      <c r="AB8" s="1657"/>
      <c r="AC8" s="1657"/>
      <c r="AD8" s="1657"/>
      <c r="AE8" s="1657"/>
      <c r="AF8" s="1657"/>
      <c r="AG8" s="1657"/>
      <c r="AH8" s="1657"/>
      <c r="AI8" s="1657"/>
      <c r="AJ8" s="1657"/>
    </row>
    <row r="9" spans="1:36" ht="21.75">
      <c r="A9" s="2257" t="s">
        <v>1158</v>
      </c>
      <c r="B9" s="2257"/>
      <c r="C9" s="2257"/>
      <c r="D9" s="2257"/>
      <c r="E9" s="2257"/>
      <c r="F9" s="2257"/>
      <c r="G9" s="2257"/>
      <c r="H9" s="2257"/>
      <c r="I9" s="2257"/>
      <c r="J9" s="2257"/>
      <c r="K9" s="2257"/>
      <c r="L9" s="2257"/>
      <c r="M9" s="2257"/>
      <c r="N9" s="2257"/>
      <c r="O9" s="2257"/>
      <c r="P9" s="2257"/>
      <c r="Q9" s="2257"/>
      <c r="R9" s="2257"/>
      <c r="S9" s="2257"/>
      <c r="T9" s="2257"/>
      <c r="U9" s="2257"/>
      <c r="V9" s="2257"/>
      <c r="W9" s="2257"/>
      <c r="X9" s="2257"/>
      <c r="Y9" s="2257"/>
      <c r="Z9" s="2257"/>
      <c r="AA9" s="2257"/>
      <c r="AB9" s="2257"/>
      <c r="AC9" s="2257"/>
      <c r="AD9" s="2257"/>
      <c r="AE9" s="2257"/>
      <c r="AF9" s="2257"/>
      <c r="AG9" s="2257"/>
      <c r="AH9" s="2257"/>
      <c r="AI9" s="2257"/>
      <c r="AJ9" s="2257"/>
    </row>
    <row r="10" spans="1:36" ht="16.5">
      <c r="A10" s="945"/>
      <c r="B10" s="945"/>
      <c r="C10" s="945"/>
      <c r="D10" s="945"/>
      <c r="E10" s="945"/>
      <c r="F10" s="945"/>
      <c r="G10" s="945"/>
      <c r="H10" s="945"/>
      <c r="I10" s="945"/>
      <c r="J10" s="945"/>
      <c r="K10" s="945"/>
      <c r="L10" s="945"/>
      <c r="M10" s="945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  <c r="AA10" s="945"/>
      <c r="AB10" s="945"/>
      <c r="AC10" s="945"/>
      <c r="AD10" s="945"/>
      <c r="AE10" s="945"/>
      <c r="AF10" s="945"/>
      <c r="AG10" s="945"/>
      <c r="AH10" s="945"/>
      <c r="AI10" s="945"/>
      <c r="AJ10" s="945"/>
    </row>
    <row r="11" spans="1:36" ht="15" customHeight="1">
      <c r="A11" s="2258" t="s">
        <v>92</v>
      </c>
      <c r="B11" s="2258" t="s">
        <v>816</v>
      </c>
      <c r="C11" s="2258" t="s">
        <v>93</v>
      </c>
      <c r="D11" s="2252" t="s">
        <v>15</v>
      </c>
      <c r="E11" s="2252">
        <v>1</v>
      </c>
      <c r="F11" s="2254">
        <v>2</v>
      </c>
      <c r="G11" s="2252">
        <v>3</v>
      </c>
      <c r="H11" s="2254">
        <v>4</v>
      </c>
      <c r="I11" s="2252">
        <v>5</v>
      </c>
      <c r="J11" s="2254">
        <v>6</v>
      </c>
      <c r="K11" s="2252">
        <v>7</v>
      </c>
      <c r="L11" s="2254">
        <v>8</v>
      </c>
      <c r="M11" s="2252">
        <v>9</v>
      </c>
      <c r="N11" s="2254">
        <v>10</v>
      </c>
      <c r="O11" s="2252">
        <v>11</v>
      </c>
      <c r="P11" s="2254">
        <v>12</v>
      </c>
      <c r="Q11" s="2252">
        <v>13</v>
      </c>
      <c r="R11" s="2254">
        <v>14</v>
      </c>
      <c r="S11" s="2252">
        <v>15</v>
      </c>
      <c r="T11" s="2254">
        <v>16</v>
      </c>
      <c r="U11" s="2252">
        <v>17</v>
      </c>
      <c r="V11" s="2254">
        <v>18</v>
      </c>
      <c r="W11" s="2252">
        <v>19</v>
      </c>
      <c r="X11" s="2254">
        <v>20</v>
      </c>
      <c r="Y11" s="2252">
        <v>21</v>
      </c>
      <c r="Z11" s="2254">
        <v>22</v>
      </c>
      <c r="AA11" s="2252">
        <v>23</v>
      </c>
      <c r="AB11" s="2254">
        <v>24</v>
      </c>
      <c r="AC11" s="2252">
        <v>25</v>
      </c>
      <c r="AD11" s="2254">
        <v>26</v>
      </c>
      <c r="AE11" s="2252">
        <v>27</v>
      </c>
      <c r="AF11" s="2254">
        <v>28</v>
      </c>
      <c r="AG11" s="2252">
        <v>29</v>
      </c>
      <c r="AH11" s="2254">
        <v>30</v>
      </c>
      <c r="AI11" s="2252">
        <v>31</v>
      </c>
      <c r="AJ11" s="2087" t="s">
        <v>49</v>
      </c>
    </row>
    <row r="12" spans="1:36" ht="23.25" customHeight="1">
      <c r="A12" s="2258"/>
      <c r="B12" s="2258"/>
      <c r="C12" s="2258"/>
      <c r="D12" s="2255"/>
      <c r="E12" s="2253"/>
      <c r="F12" s="2253"/>
      <c r="G12" s="2253"/>
      <c r="H12" s="2253"/>
      <c r="I12" s="2253"/>
      <c r="J12" s="2253"/>
      <c r="K12" s="2253"/>
      <c r="L12" s="2253"/>
      <c r="M12" s="2253"/>
      <c r="N12" s="2253"/>
      <c r="O12" s="2253"/>
      <c r="P12" s="2253"/>
      <c r="Q12" s="2253"/>
      <c r="R12" s="2253"/>
      <c r="S12" s="2253"/>
      <c r="T12" s="2253"/>
      <c r="U12" s="2253"/>
      <c r="V12" s="2253"/>
      <c r="W12" s="2253"/>
      <c r="X12" s="2253"/>
      <c r="Y12" s="2253"/>
      <c r="Z12" s="2253"/>
      <c r="AA12" s="2253"/>
      <c r="AB12" s="2253"/>
      <c r="AC12" s="2253"/>
      <c r="AD12" s="2253"/>
      <c r="AE12" s="2253"/>
      <c r="AF12" s="2253"/>
      <c r="AG12" s="2253"/>
      <c r="AH12" s="2253"/>
      <c r="AI12" s="2255"/>
      <c r="AJ12" s="2087"/>
    </row>
    <row r="13" spans="1:36" ht="16.5">
      <c r="A13" s="1514">
        <v>1</v>
      </c>
      <c r="B13" s="1660"/>
      <c r="C13" s="118" t="s">
        <v>9</v>
      </c>
      <c r="D13" s="118" t="s">
        <v>328</v>
      </c>
      <c r="E13" s="306" t="s">
        <v>86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86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86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86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 t="s">
        <v>86</v>
      </c>
      <c r="AG13" s="306" t="s">
        <v>86</v>
      </c>
      <c r="AH13" s="306" t="s">
        <v>86</v>
      </c>
      <c r="AI13" s="306" t="s">
        <v>86</v>
      </c>
      <c r="AJ13" s="307">
        <f t="shared" ref="AJ13:AJ16" si="0">COUNTIF(E13:AI13,"x")+ COUNTIF(E13:AI13,"p")+COUNTIF(E13:AI13,"pt")+COUNTIF(E13:AI13,"T")+COUNTIF(E13:AI13,"VN")</f>
        <v>31</v>
      </c>
    </row>
    <row r="14" spans="1:36" ht="16.5">
      <c r="A14" s="1514">
        <v>2</v>
      </c>
      <c r="B14" s="1660"/>
      <c r="C14" s="118" t="s">
        <v>292</v>
      </c>
      <c r="D14" s="118" t="s">
        <v>328</v>
      </c>
      <c r="E14" s="306" t="s">
        <v>86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86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86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86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 t="s">
        <v>86</v>
      </c>
      <c r="AG14" s="306" t="s">
        <v>86</v>
      </c>
      <c r="AH14" s="306" t="s">
        <v>86</v>
      </c>
      <c r="AI14" s="306" t="s">
        <v>86</v>
      </c>
      <c r="AJ14" s="307">
        <f t="shared" si="0"/>
        <v>31</v>
      </c>
    </row>
    <row r="15" spans="1:36" ht="16.5">
      <c r="A15" s="1514">
        <v>3</v>
      </c>
      <c r="B15" s="1660"/>
      <c r="C15" s="118" t="s">
        <v>277</v>
      </c>
      <c r="D15" s="118" t="s">
        <v>328</v>
      </c>
      <c r="E15" s="306" t="s">
        <v>86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86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86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86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 t="s">
        <v>86</v>
      </c>
      <c r="AG15" s="306" t="s">
        <v>86</v>
      </c>
      <c r="AH15" s="306" t="s">
        <v>86</v>
      </c>
      <c r="AI15" s="306" t="s">
        <v>86</v>
      </c>
      <c r="AJ15" s="307">
        <f t="shared" si="0"/>
        <v>31</v>
      </c>
    </row>
    <row r="16" spans="1:36" ht="16.5">
      <c r="A16" s="1514">
        <v>4</v>
      </c>
      <c r="B16" s="1660"/>
      <c r="C16" s="118" t="s">
        <v>278</v>
      </c>
      <c r="D16" s="118" t="s">
        <v>328</v>
      </c>
      <c r="E16" s="306" t="s">
        <v>86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86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86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86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 t="s">
        <v>86</v>
      </c>
      <c r="AG16" s="306" t="s">
        <v>86</v>
      </c>
      <c r="AH16" s="306" t="s">
        <v>86</v>
      </c>
      <c r="AI16" s="306" t="s">
        <v>86</v>
      </c>
      <c r="AJ16" s="307">
        <f t="shared" si="0"/>
        <v>31</v>
      </c>
    </row>
    <row r="17" spans="1:42" ht="30.75" customHeight="1">
      <c r="A17" s="2118" t="s">
        <v>95</v>
      </c>
      <c r="B17" s="2249"/>
      <c r="C17" s="2249"/>
      <c r="D17" s="2119"/>
      <c r="E17" s="890">
        <f>SUM(COUNTIF(E13:E16,"x"))</f>
        <v>4</v>
      </c>
      <c r="F17" s="890">
        <f t="shared" ref="F17:AI17" si="1">SUM(COUNTIF(F13:F16,"x"))</f>
        <v>4</v>
      </c>
      <c r="G17" s="890">
        <f t="shared" si="1"/>
        <v>4</v>
      </c>
      <c r="H17" s="890">
        <f t="shared" si="1"/>
        <v>4</v>
      </c>
      <c r="I17" s="890">
        <f t="shared" si="1"/>
        <v>4</v>
      </c>
      <c r="J17" s="890">
        <f t="shared" si="1"/>
        <v>4</v>
      </c>
      <c r="K17" s="890">
        <f t="shared" si="1"/>
        <v>4</v>
      </c>
      <c r="L17" s="890">
        <f t="shared" si="1"/>
        <v>4</v>
      </c>
      <c r="M17" s="890">
        <f t="shared" si="1"/>
        <v>4</v>
      </c>
      <c r="N17" s="890">
        <f t="shared" si="1"/>
        <v>4</v>
      </c>
      <c r="O17" s="890">
        <f t="shared" si="1"/>
        <v>4</v>
      </c>
      <c r="P17" s="890">
        <f t="shared" si="1"/>
        <v>4</v>
      </c>
      <c r="Q17" s="890">
        <f t="shared" si="1"/>
        <v>4</v>
      </c>
      <c r="R17" s="890">
        <f t="shared" si="1"/>
        <v>4</v>
      </c>
      <c r="S17" s="890">
        <f t="shared" si="1"/>
        <v>4</v>
      </c>
      <c r="T17" s="890">
        <f t="shared" si="1"/>
        <v>4</v>
      </c>
      <c r="U17" s="890">
        <f t="shared" si="1"/>
        <v>4</v>
      </c>
      <c r="V17" s="890">
        <f t="shared" si="1"/>
        <v>4</v>
      </c>
      <c r="W17" s="890">
        <f t="shared" si="1"/>
        <v>4</v>
      </c>
      <c r="X17" s="890">
        <f t="shared" si="1"/>
        <v>4</v>
      </c>
      <c r="Y17" s="890">
        <f t="shared" si="1"/>
        <v>4</v>
      </c>
      <c r="Z17" s="890">
        <f t="shared" si="1"/>
        <v>4</v>
      </c>
      <c r="AA17" s="890">
        <f t="shared" si="1"/>
        <v>4</v>
      </c>
      <c r="AB17" s="890">
        <f t="shared" si="1"/>
        <v>4</v>
      </c>
      <c r="AC17" s="890">
        <f t="shared" si="1"/>
        <v>4</v>
      </c>
      <c r="AD17" s="890">
        <f t="shared" si="1"/>
        <v>4</v>
      </c>
      <c r="AE17" s="890">
        <f t="shared" si="1"/>
        <v>4</v>
      </c>
      <c r="AF17" s="890">
        <f t="shared" si="1"/>
        <v>4</v>
      </c>
      <c r="AG17" s="890">
        <f t="shared" si="1"/>
        <v>4</v>
      </c>
      <c r="AH17" s="890">
        <f t="shared" si="1"/>
        <v>4</v>
      </c>
      <c r="AI17" s="890">
        <f t="shared" si="1"/>
        <v>4</v>
      </c>
      <c r="AJ17" s="890">
        <f>SUM(AJ13:AJ16)</f>
        <v>124</v>
      </c>
      <c r="AK17" s="2250">
        <f>AJ17*20000</f>
        <v>2480000</v>
      </c>
      <c r="AL17" s="2250"/>
      <c r="AN17" s="229">
        <v>1658</v>
      </c>
      <c r="AO17" s="229">
        <v>320</v>
      </c>
      <c r="AP17" s="229">
        <v>1978</v>
      </c>
    </row>
    <row r="18" spans="1:42" ht="16.5">
      <c r="A18" s="233"/>
      <c r="B18" s="1659"/>
      <c r="C18" s="1659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251" t="s">
        <v>1159</v>
      </c>
      <c r="Y18" s="2251"/>
      <c r="Z18" s="2251"/>
      <c r="AA18" s="2251"/>
      <c r="AB18" s="2251"/>
      <c r="AC18" s="2251"/>
      <c r="AD18" s="2251"/>
      <c r="AE18" s="2251"/>
      <c r="AF18" s="2251"/>
      <c r="AG18" s="2251"/>
      <c r="AH18" s="2251"/>
      <c r="AI18" s="2251"/>
      <c r="AJ18" s="2251"/>
      <c r="AL18" s="230" t="e">
        <f>#REF!+#REF!</f>
        <v>#REF!</v>
      </c>
      <c r="AN18" s="229">
        <v>1565</v>
      </c>
      <c r="AO18" s="229">
        <v>302</v>
      </c>
      <c r="AP18" s="229">
        <v>1867</v>
      </c>
    </row>
    <row r="19" spans="1:42" ht="16.5">
      <c r="A19" s="1788"/>
      <c r="B19" s="1789"/>
      <c r="C19" s="1776"/>
      <c r="D19" s="1153" t="s">
        <v>45</v>
      </c>
      <c r="E19" s="1776"/>
      <c r="F19" s="1776"/>
      <c r="G19" s="1776"/>
      <c r="H19" s="1776"/>
      <c r="I19" s="1776"/>
      <c r="J19" s="1791"/>
      <c r="K19" s="1180"/>
      <c r="L19" s="1180"/>
      <c r="M19" s="2240" t="s">
        <v>1167</v>
      </c>
      <c r="N19" s="2240"/>
      <c r="O19" s="2240"/>
      <c r="P19" s="2240"/>
      <c r="Q19" s="2240"/>
      <c r="R19" s="2240"/>
      <c r="S19" s="2240"/>
      <c r="T19" s="346"/>
      <c r="U19" s="346"/>
      <c r="V19" s="346"/>
      <c r="W19" s="346"/>
      <c r="Y19" s="346" t="s">
        <v>817</v>
      </c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N19" s="229">
        <v>1153</v>
      </c>
      <c r="AO19" s="229">
        <v>223</v>
      </c>
      <c r="AP19" s="229">
        <v>1376</v>
      </c>
    </row>
    <row r="20" spans="1:42" ht="16.5">
      <c r="A20" s="230"/>
      <c r="B20" s="1656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N20" s="229">
        <v>1096</v>
      </c>
      <c r="AO20" s="229">
        <v>210</v>
      </c>
      <c r="AP20" s="229">
        <v>1306</v>
      </c>
    </row>
    <row r="21" spans="1:42" ht="16.5">
      <c r="B21" s="235"/>
      <c r="D21" s="235"/>
      <c r="E21" s="235"/>
      <c r="F21" s="235"/>
      <c r="G21" s="235"/>
      <c r="H21" s="235"/>
      <c r="I21" s="239"/>
      <c r="J21" s="239"/>
      <c r="K21" s="239"/>
      <c r="L21" s="235"/>
      <c r="M21" s="239"/>
      <c r="N21" s="239"/>
      <c r="O21" s="239"/>
      <c r="P21" s="235"/>
      <c r="Q21" s="239"/>
      <c r="R21" s="235"/>
      <c r="S21" s="235"/>
      <c r="T21" s="238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8"/>
      <c r="AN21" s="229">
        <f>SUM(AN17:AN20)</f>
        <v>5472</v>
      </c>
      <c r="AO21" s="229">
        <f>SUM(AO17:AO20)</f>
        <v>1055</v>
      </c>
      <c r="AP21" s="229">
        <f>SUM(AP17:AP20)</f>
        <v>6527</v>
      </c>
    </row>
    <row r="22" spans="1:42" ht="15.75" customHeight="1">
      <c r="B22" s="235"/>
      <c r="C22" s="235"/>
      <c r="D22" s="235"/>
      <c r="E22" s="235"/>
      <c r="F22" s="235"/>
      <c r="G22" s="235"/>
      <c r="H22" s="235"/>
      <c r="I22" s="239"/>
      <c r="J22" s="239"/>
      <c r="K22" s="235"/>
      <c r="L22" s="235"/>
      <c r="M22" s="239"/>
      <c r="N22" s="239"/>
      <c r="O22" s="235"/>
      <c r="P22" s="235"/>
      <c r="Q22" s="239"/>
      <c r="R22" s="235"/>
      <c r="S22" s="235"/>
      <c r="T22" s="238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</row>
    <row r="23" spans="1:42" ht="16.5">
      <c r="B23" s="235"/>
      <c r="C23" s="235"/>
      <c r="D23" s="235"/>
      <c r="E23" s="235"/>
      <c r="F23" s="235"/>
      <c r="G23" s="235"/>
      <c r="H23" s="235"/>
      <c r="I23" s="239"/>
      <c r="J23" s="239"/>
      <c r="K23" s="239"/>
      <c r="L23" s="235"/>
      <c r="M23" s="235"/>
      <c r="N23" s="235"/>
      <c r="O23" s="235"/>
      <c r="P23" s="235"/>
      <c r="Q23" s="239"/>
      <c r="R23" s="235"/>
      <c r="S23" s="235"/>
      <c r="T23" s="238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</row>
    <row r="24" spans="1:42" ht="16.5">
      <c r="B24" s="235"/>
      <c r="C24" s="235"/>
      <c r="D24" s="1892"/>
      <c r="E24" s="1892"/>
      <c r="F24" s="1892"/>
      <c r="G24" s="1892"/>
      <c r="H24" s="1892"/>
      <c r="I24" s="239"/>
      <c r="J24" s="239"/>
      <c r="K24" s="239"/>
      <c r="L24" s="235"/>
      <c r="M24" s="237"/>
      <c r="N24" s="237"/>
      <c r="O24" s="237"/>
      <c r="P24" s="237"/>
      <c r="Q24" s="237"/>
      <c r="R24" s="237"/>
      <c r="S24" s="237"/>
      <c r="T24" s="238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</row>
    <row r="25" spans="1:42">
      <c r="I25" s="234"/>
      <c r="J25" s="234"/>
      <c r="K25" s="234"/>
      <c r="L25" s="230"/>
      <c r="M25" s="230"/>
      <c r="N25" s="230"/>
      <c r="O25" s="230"/>
      <c r="P25" s="230"/>
      <c r="T25" s="232"/>
      <c r="AL25" s="229"/>
    </row>
    <row r="29" spans="1:42" ht="16.5">
      <c r="A29" s="1895"/>
      <c r="B29" s="1895"/>
      <c r="C29" s="1895"/>
    </row>
    <row r="30" spans="1:42" ht="16.5">
      <c r="A30" s="946"/>
      <c r="B30" s="1659"/>
      <c r="C30" s="1895"/>
      <c r="D30" s="1895"/>
      <c r="E30" s="1895"/>
      <c r="F30" s="1895"/>
      <c r="G30" s="1895"/>
      <c r="H30" s="1895"/>
    </row>
    <row r="31" spans="1:42" ht="16.5">
      <c r="A31" s="362"/>
      <c r="B31" s="1656"/>
      <c r="C31" s="1889"/>
      <c r="D31" s="1889"/>
      <c r="E31" s="1889"/>
      <c r="F31" s="1889"/>
      <c r="G31" s="1889"/>
      <c r="H31" s="1889"/>
    </row>
    <row r="32" spans="1:42" ht="16.5">
      <c r="A32" s="362"/>
      <c r="B32" s="1656"/>
      <c r="C32" s="1889"/>
      <c r="D32" s="1889"/>
      <c r="E32" s="1889"/>
      <c r="F32" s="1889"/>
      <c r="G32" s="1889"/>
      <c r="H32" s="1889"/>
    </row>
    <row r="33" spans="1:38" ht="16.5">
      <c r="A33" s="362"/>
      <c r="B33" s="1656"/>
      <c r="C33" s="1889"/>
      <c r="D33" s="1889"/>
      <c r="E33" s="1889"/>
      <c r="F33" s="1889"/>
      <c r="G33" s="1889"/>
      <c r="H33" s="1889"/>
    </row>
    <row r="34" spans="1:38" ht="16.5">
      <c r="A34" s="363"/>
      <c r="B34" s="235"/>
      <c r="C34" s="1889"/>
      <c r="D34" s="1889"/>
      <c r="E34" s="1889"/>
      <c r="F34" s="1889"/>
      <c r="G34" s="1889"/>
      <c r="H34" s="1889"/>
      <c r="AL34" s="229"/>
    </row>
    <row r="35" spans="1:38" ht="16.5">
      <c r="A35" s="363"/>
      <c r="B35" s="235"/>
      <c r="C35" s="1889"/>
      <c r="D35" s="1889"/>
      <c r="E35" s="1889"/>
      <c r="F35" s="1889"/>
      <c r="G35" s="1889"/>
      <c r="H35" s="1889"/>
      <c r="AL35" s="229"/>
    </row>
    <row r="36" spans="1:38" ht="16.5">
      <c r="A36" s="363"/>
      <c r="B36" s="235"/>
      <c r="C36" s="1889"/>
      <c r="D36" s="1889"/>
      <c r="E36" s="1889"/>
      <c r="F36" s="1889"/>
      <c r="G36" s="1889"/>
      <c r="H36" s="1889"/>
      <c r="AL36" s="229"/>
    </row>
    <row r="37" spans="1:38" ht="16.5">
      <c r="A37" s="363"/>
      <c r="B37" s="235"/>
      <c r="C37" s="1889"/>
      <c r="D37" s="1889"/>
      <c r="E37" s="1889"/>
      <c r="F37" s="1889"/>
      <c r="G37" s="1889"/>
      <c r="H37" s="1889"/>
      <c r="AL37" s="229"/>
    </row>
  </sheetData>
  <mergeCells count="56"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29:C29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A17:D17"/>
    <mergeCell ref="AK17:AL17"/>
    <mergeCell ref="X18:AJ18"/>
    <mergeCell ref="D24:H24"/>
    <mergeCell ref="M19:S19"/>
    <mergeCell ref="C36:H36"/>
    <mergeCell ref="C37:H37"/>
    <mergeCell ref="C30:H30"/>
    <mergeCell ref="C31:H31"/>
    <mergeCell ref="C32:H32"/>
    <mergeCell ref="C33:H33"/>
    <mergeCell ref="C34:H34"/>
    <mergeCell ref="C35:H35"/>
  </mergeCells>
  <printOptions horizontalCentered="1"/>
  <pageMargins left="0.27559055118110198" right="0.196850393700787" top="0.196850393700787" bottom="0.23622047244094499" header="0.196850393700787" footer="0.196850393700787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50"/>
  <sheetViews>
    <sheetView topLeftCell="A33" zoomScale="85" zoomScaleNormal="85" workbookViewId="0">
      <selection activeCell="H49" sqref="H49:I49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15.140625" style="1" customWidth="1"/>
    <col min="4" max="4" width="8.5703125" style="1" customWidth="1"/>
    <col min="5" max="5" width="8.85546875" style="1" customWidth="1"/>
    <col min="6" max="6" width="20.140625" style="1" customWidth="1"/>
    <col min="7" max="7" width="14.7109375" style="1" customWidth="1"/>
    <col min="8" max="8" width="17.28515625" style="1" customWidth="1"/>
    <col min="9" max="10" width="14.7109375" style="1" customWidth="1"/>
    <col min="11" max="11" width="16.7109375" style="1" customWidth="1"/>
    <col min="12" max="12" width="15.42578125" style="1" customWidth="1"/>
    <col min="13" max="13" width="8.42578125" style="1" customWidth="1"/>
    <col min="14" max="14" width="12.85546875" style="1" customWidth="1"/>
    <col min="15" max="15" width="13.42578125" style="1" customWidth="1"/>
    <col min="16" max="16" width="16.425781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1" spans="1:31">
      <c r="A1" s="244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3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</row>
    <row r="3" spans="1:31" ht="16.5">
      <c r="A3" s="2224" t="s">
        <v>90</v>
      </c>
      <c r="B3" s="2224"/>
      <c r="C3" s="2224"/>
      <c r="D3" s="2224"/>
      <c r="E3" s="2224"/>
      <c r="F3" s="2224"/>
      <c r="G3" s="2224"/>
      <c r="H3" s="2224"/>
      <c r="I3" s="2224"/>
      <c r="J3" s="2224"/>
      <c r="K3" s="2224"/>
      <c r="L3" s="2224"/>
      <c r="M3" s="15"/>
      <c r="N3" s="15"/>
      <c r="O3" s="15"/>
      <c r="P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1" ht="16.5">
      <c r="A4" s="2224" t="s">
        <v>56</v>
      </c>
      <c r="B4" s="2224"/>
      <c r="C4" s="2224"/>
      <c r="D4" s="2224"/>
      <c r="E4" s="2224"/>
      <c r="F4" s="2224"/>
      <c r="G4" s="2224"/>
      <c r="H4" s="2224"/>
      <c r="I4" s="2224"/>
      <c r="J4" s="2224"/>
      <c r="K4" s="2224"/>
      <c r="L4" s="2224"/>
      <c r="M4" s="16"/>
      <c r="N4" s="16"/>
      <c r="O4" s="16"/>
      <c r="P4" s="10"/>
      <c r="Q4" s="7"/>
      <c r="S4" s="10"/>
      <c r="T4" s="10"/>
      <c r="U4" s="10"/>
      <c r="V4" s="10"/>
      <c r="W4" s="10"/>
      <c r="X4" s="10"/>
      <c r="Y4" s="10"/>
      <c r="Z4" s="10"/>
      <c r="AA4" s="10"/>
      <c r="AB4" s="8"/>
    </row>
    <row r="5" spans="1:31" ht="16.5">
      <c r="A5" s="2225" t="s">
        <v>818</v>
      </c>
      <c r="B5" s="2224"/>
      <c r="C5" s="2224"/>
      <c r="D5" s="2224"/>
      <c r="E5" s="2224"/>
      <c r="F5" s="2224"/>
      <c r="G5" s="2224"/>
      <c r="H5" s="2224"/>
      <c r="I5" s="2224"/>
      <c r="J5" s="2224"/>
      <c r="K5" s="2224"/>
      <c r="L5" s="2224"/>
      <c r="M5" s="16"/>
      <c r="N5" s="16"/>
      <c r="O5" s="16"/>
      <c r="P5" s="10"/>
      <c r="Q5" s="7"/>
      <c r="S5" s="10"/>
      <c r="T5" s="10"/>
      <c r="U5" s="10"/>
      <c r="V5" s="10"/>
      <c r="W5" s="10"/>
      <c r="X5" s="10"/>
      <c r="Y5" s="10"/>
      <c r="Z5" s="10"/>
      <c r="AA5" s="10"/>
      <c r="AB5" s="8"/>
    </row>
    <row r="6" spans="1:31" ht="9.75" customHeight="1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947"/>
      <c r="L6" s="947"/>
      <c r="M6" s="21"/>
      <c r="N6" s="21"/>
      <c r="O6" s="21"/>
      <c r="P6" s="562"/>
      <c r="Q6" s="23"/>
      <c r="R6" s="24"/>
      <c r="S6" s="9"/>
      <c r="T6" s="9"/>
      <c r="U6" s="9"/>
      <c r="V6" s="9"/>
      <c r="W6" s="9"/>
      <c r="X6" s="9"/>
      <c r="Y6" s="9"/>
      <c r="Z6" s="9"/>
      <c r="AA6" s="9"/>
      <c r="AB6" s="8"/>
      <c r="AC6" s="25">
        <f>1372+388</f>
        <v>1760</v>
      </c>
      <c r="AD6" s="1">
        <f>AC6*30000</f>
        <v>52800000</v>
      </c>
      <c r="AE6" s="1" t="e">
        <f>AD6+#REF!+#REF!</f>
        <v>#REF!</v>
      </c>
    </row>
    <row r="7" spans="1:31" ht="16.5">
      <c r="A7" s="2226" t="s">
        <v>5</v>
      </c>
      <c r="B7" s="2226"/>
      <c r="C7" s="2226"/>
      <c r="D7" s="2226"/>
      <c r="E7" s="2226"/>
      <c r="F7" s="2226"/>
      <c r="G7" s="159"/>
      <c r="H7" s="159"/>
      <c r="I7" s="159"/>
      <c r="J7" s="159"/>
      <c r="K7" s="947"/>
      <c r="L7" s="947"/>
      <c r="M7" s="21"/>
      <c r="N7" s="21"/>
      <c r="O7" s="21"/>
      <c r="P7" s="562"/>
      <c r="Q7" s="23"/>
      <c r="R7" s="24"/>
      <c r="S7" s="9"/>
      <c r="T7" s="9"/>
      <c r="U7" s="9"/>
      <c r="V7" s="9"/>
      <c r="W7" s="9"/>
      <c r="X7" s="9"/>
      <c r="Y7" s="9"/>
      <c r="Z7" s="9"/>
      <c r="AA7" s="9"/>
      <c r="AB7" s="8"/>
      <c r="AC7" s="25"/>
    </row>
    <row r="8" spans="1:31" ht="16.5">
      <c r="A8" s="1896" t="s">
        <v>101</v>
      </c>
      <c r="B8" s="1896"/>
      <c r="C8" s="1896"/>
      <c r="D8" s="1896"/>
      <c r="E8" s="1896"/>
      <c r="F8" s="1896"/>
      <c r="G8" s="947"/>
      <c r="H8" s="947"/>
      <c r="I8" s="947"/>
      <c r="J8" s="947"/>
      <c r="K8" s="947"/>
      <c r="L8" s="947"/>
      <c r="M8" s="21"/>
      <c r="N8" s="21"/>
      <c r="O8" s="21"/>
      <c r="P8" s="562"/>
      <c r="Q8" s="23"/>
      <c r="R8" s="24"/>
      <c r="S8" s="9"/>
      <c r="T8" s="9"/>
      <c r="U8" s="9"/>
      <c r="V8" s="9"/>
      <c r="W8" s="9"/>
      <c r="X8" s="9"/>
      <c r="Y8" s="9"/>
      <c r="Z8" s="9"/>
      <c r="AA8" s="9"/>
      <c r="AB8" s="8"/>
      <c r="AC8" s="25"/>
    </row>
    <row r="9" spans="1:31" ht="15.75">
      <c r="A9" s="889"/>
      <c r="B9" s="889"/>
      <c r="C9" s="889"/>
      <c r="D9" s="889"/>
      <c r="E9" s="889"/>
      <c r="F9" s="948"/>
      <c r="G9" s="947"/>
      <c r="H9" s="947"/>
      <c r="I9" s="947"/>
      <c r="J9" s="947"/>
      <c r="K9" s="947"/>
      <c r="L9" s="947"/>
      <c r="M9" s="21"/>
      <c r="N9" s="21"/>
      <c r="O9" s="21"/>
      <c r="P9" s="562"/>
      <c r="Q9" s="23"/>
      <c r="R9" s="24"/>
      <c r="S9" s="9"/>
      <c r="T9" s="9"/>
      <c r="U9" s="9"/>
      <c r="V9" s="9"/>
      <c r="W9" s="9"/>
      <c r="X9" s="9"/>
      <c r="Y9" s="9"/>
      <c r="Z9" s="9"/>
      <c r="AA9" s="9"/>
      <c r="AB9" s="8"/>
      <c r="AC9" s="25"/>
    </row>
    <row r="10" spans="1:31" ht="32.25" customHeight="1">
      <c r="A10" s="2222" t="s">
        <v>1157</v>
      </c>
      <c r="B10" s="2223"/>
      <c r="C10" s="2223"/>
      <c r="D10" s="2223"/>
      <c r="E10" s="2223"/>
      <c r="F10" s="2223"/>
      <c r="G10" s="2223"/>
      <c r="H10" s="2223"/>
      <c r="I10" s="2223"/>
      <c r="J10" s="2223"/>
      <c r="K10" s="2223"/>
      <c r="L10" s="2223"/>
      <c r="M10" s="33"/>
      <c r="N10" s="33"/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31" ht="12" customHeight="1">
      <c r="A11" s="949"/>
      <c r="B11" s="950"/>
      <c r="C11" s="950"/>
      <c r="D11" s="950"/>
      <c r="E11" s="949"/>
      <c r="F11" s="949"/>
      <c r="G11" s="949"/>
      <c r="H11" s="949"/>
      <c r="I11" s="949"/>
      <c r="J11" s="949"/>
      <c r="K11" s="950"/>
      <c r="L11" s="950"/>
      <c r="M11" s="26"/>
      <c r="N11" s="27"/>
      <c r="O11" s="28"/>
    </row>
    <row r="12" spans="1:31" ht="21" customHeight="1">
      <c r="A12" s="2115" t="s">
        <v>11</v>
      </c>
      <c r="B12" s="2115" t="s">
        <v>105</v>
      </c>
      <c r="C12" s="2115" t="s">
        <v>15</v>
      </c>
      <c r="D12" s="2115" t="s">
        <v>1028</v>
      </c>
      <c r="E12" s="2115" t="s">
        <v>49</v>
      </c>
      <c r="F12" s="2115" t="s">
        <v>1052</v>
      </c>
      <c r="G12" s="2115" t="s">
        <v>32</v>
      </c>
      <c r="H12" s="2115" t="s">
        <v>1053</v>
      </c>
      <c r="I12" s="2087" t="s">
        <v>32</v>
      </c>
      <c r="J12" s="2115" t="s">
        <v>256</v>
      </c>
      <c r="K12" s="2115" t="s">
        <v>19</v>
      </c>
      <c r="L12" s="2115" t="s">
        <v>106</v>
      </c>
      <c r="M12" s="565"/>
      <c r="N12" s="153"/>
      <c r="O12" s="154"/>
    </row>
    <row r="13" spans="1:31" ht="27.75" customHeight="1">
      <c r="A13" s="2116"/>
      <c r="B13" s="2116"/>
      <c r="C13" s="2116"/>
      <c r="D13" s="2116"/>
      <c r="E13" s="2116"/>
      <c r="F13" s="2116"/>
      <c r="G13" s="2116"/>
      <c r="H13" s="2116"/>
      <c r="I13" s="2087"/>
      <c r="J13" s="2116"/>
      <c r="K13" s="2116"/>
      <c r="L13" s="2116"/>
      <c r="M13" s="155"/>
      <c r="N13" s="153"/>
      <c r="O13" s="154"/>
    </row>
    <row r="14" spans="1:31" ht="32.25" customHeight="1">
      <c r="A14" s="355">
        <v>1</v>
      </c>
      <c r="B14" s="1010" t="str">
        <f>'Bảng CCBV thời vụ '!B12</f>
        <v>T. Đăm</v>
      </c>
      <c r="C14" s="1010" t="str">
        <f>'Bảng CCBV thời vụ '!C12</f>
        <v>BVTV</v>
      </c>
      <c r="D14" s="355">
        <f>'Bảng CCBV thời vụ '!D12</f>
        <v>1</v>
      </c>
      <c r="E14" s="952">
        <f>VLOOKUP(B14,'Bảng CCBV thời vụ '!$B$12:$AJ$36,35,0)</f>
        <v>28</v>
      </c>
      <c r="F14" s="357">
        <f>2000000/28</f>
        <v>71428.571428571435</v>
      </c>
      <c r="G14" s="951">
        <f>E14*F14</f>
        <v>2000000.0000000002</v>
      </c>
      <c r="H14" s="951">
        <v>20000</v>
      </c>
      <c r="I14" s="951">
        <f>E14*H14</f>
        <v>560000</v>
      </c>
      <c r="J14" s="951">
        <f>G14+I14</f>
        <v>2560000</v>
      </c>
      <c r="K14" s="355"/>
      <c r="L14" s="355"/>
      <c r="M14" s="155"/>
      <c r="N14" s="156"/>
      <c r="O14" s="157"/>
    </row>
    <row r="15" spans="1:31" ht="32.25" customHeight="1">
      <c r="A15" s="355">
        <v>2</v>
      </c>
      <c r="B15" s="1010" t="str">
        <f>'Bảng CCBV thời vụ '!B13</f>
        <v>T. Khon</v>
      </c>
      <c r="C15" s="1010" t="str">
        <f>'Bảng CCBV thời vụ '!C13</f>
        <v>BVTV</v>
      </c>
      <c r="D15" s="355">
        <f>'Bảng CCBV thời vụ '!D13</f>
        <v>1</v>
      </c>
      <c r="E15" s="952">
        <f>VLOOKUP(B15,'Bảng CCBV thời vụ '!$B$12:$AJ$36,35,0)</f>
        <v>28</v>
      </c>
      <c r="F15" s="357">
        <f t="shared" ref="F15:F38" si="0">2000000/28</f>
        <v>71428.571428571435</v>
      </c>
      <c r="G15" s="951">
        <f t="shared" ref="G15:G38" si="1">E15*F15</f>
        <v>2000000.0000000002</v>
      </c>
      <c r="H15" s="951">
        <v>20000</v>
      </c>
      <c r="I15" s="951">
        <f t="shared" ref="I15:I38" si="2">E15*H15</f>
        <v>560000</v>
      </c>
      <c r="J15" s="951">
        <f t="shared" ref="J15:J38" si="3">G15+I15</f>
        <v>2560000</v>
      </c>
      <c r="K15" s="355"/>
      <c r="L15" s="355"/>
      <c r="M15" s="155"/>
      <c r="N15" s="156"/>
      <c r="O15" s="157"/>
    </row>
    <row r="16" spans="1:31" ht="32.25" customHeight="1">
      <c r="A16" s="355">
        <v>3</v>
      </c>
      <c r="B16" s="1010" t="str">
        <f>'Bảng CCBV thời vụ '!B14</f>
        <v>N. Mon</v>
      </c>
      <c r="C16" s="1010" t="str">
        <f>'Bảng CCBV thời vụ '!C14</f>
        <v>BVTV</v>
      </c>
      <c r="D16" s="355">
        <f>'Bảng CCBV thời vụ '!D14</f>
        <v>1</v>
      </c>
      <c r="E16" s="952">
        <f>VLOOKUP(B16,'Bảng CCBV thời vụ '!$B$12:$AJ$36,35,0)</f>
        <v>28</v>
      </c>
      <c r="F16" s="357">
        <f t="shared" si="0"/>
        <v>71428.571428571435</v>
      </c>
      <c r="G16" s="951">
        <f t="shared" si="1"/>
        <v>2000000.0000000002</v>
      </c>
      <c r="H16" s="951">
        <v>20000</v>
      </c>
      <c r="I16" s="951">
        <f t="shared" si="2"/>
        <v>560000</v>
      </c>
      <c r="J16" s="951">
        <f t="shared" si="3"/>
        <v>2560000</v>
      </c>
      <c r="K16" s="355"/>
      <c r="L16" s="355"/>
      <c r="M16" s="155"/>
      <c r="N16" s="156"/>
      <c r="O16" s="157"/>
    </row>
    <row r="17" spans="1:15" ht="32.25" customHeight="1">
      <c r="A17" s="355">
        <v>4</v>
      </c>
      <c r="B17" s="1010" t="str">
        <f>'Bảng CCBV thời vụ '!B15</f>
        <v>T. Bun Lăm</v>
      </c>
      <c r="C17" s="1010" t="str">
        <f>'Bảng CCBV thời vụ '!C15</f>
        <v>BVTV</v>
      </c>
      <c r="D17" s="355">
        <f>'Bảng CCBV thời vụ '!D15</f>
        <v>1</v>
      </c>
      <c r="E17" s="952">
        <f>VLOOKUP(B17,'Bảng CCBV thời vụ '!$B$12:$AJ$36,35,0)</f>
        <v>28</v>
      </c>
      <c r="F17" s="357">
        <f t="shared" si="0"/>
        <v>71428.571428571435</v>
      </c>
      <c r="G17" s="951">
        <f t="shared" si="1"/>
        <v>2000000.0000000002</v>
      </c>
      <c r="H17" s="951">
        <v>20000</v>
      </c>
      <c r="I17" s="951">
        <f t="shared" si="2"/>
        <v>560000</v>
      </c>
      <c r="J17" s="951">
        <f t="shared" si="3"/>
        <v>2560000</v>
      </c>
      <c r="K17" s="355"/>
      <c r="L17" s="355"/>
      <c r="M17" s="155"/>
      <c r="N17" s="156"/>
      <c r="O17" s="157"/>
    </row>
    <row r="18" spans="1:15" ht="32.25" customHeight="1">
      <c r="A18" s="355">
        <v>5</v>
      </c>
      <c r="B18" s="1010" t="str">
        <f>'Bảng CCBV thời vụ '!B16</f>
        <v>Pho Văn</v>
      </c>
      <c r="C18" s="1010" t="str">
        <f>'Bảng CCBV thời vụ '!C16</f>
        <v>BVTV</v>
      </c>
      <c r="D18" s="355">
        <f>'Bảng CCBV thời vụ '!D16</f>
        <v>2</v>
      </c>
      <c r="E18" s="952">
        <f>VLOOKUP(B18,'Bảng CCBV thời vụ '!$B$12:$AJ$36,35,0)</f>
        <v>28</v>
      </c>
      <c r="F18" s="357">
        <f t="shared" si="0"/>
        <v>71428.571428571435</v>
      </c>
      <c r="G18" s="951">
        <f t="shared" si="1"/>
        <v>2000000.0000000002</v>
      </c>
      <c r="H18" s="951">
        <v>20000</v>
      </c>
      <c r="I18" s="951">
        <f t="shared" si="2"/>
        <v>560000</v>
      </c>
      <c r="J18" s="951">
        <f t="shared" si="3"/>
        <v>2560000</v>
      </c>
      <c r="K18" s="355"/>
      <c r="L18" s="355"/>
      <c r="M18" s="155"/>
      <c r="N18" s="156"/>
      <c r="O18" s="157"/>
    </row>
    <row r="19" spans="1:15" ht="32.25" customHeight="1">
      <c r="A19" s="355">
        <v>6</v>
      </c>
      <c r="B19" s="1010" t="str">
        <f>'Bảng CCBV thời vụ '!B17</f>
        <v>Căn Đa</v>
      </c>
      <c r="C19" s="1010" t="str">
        <f>'Bảng CCBV thời vụ '!C17</f>
        <v>BVTV</v>
      </c>
      <c r="D19" s="355">
        <f>'Bảng CCBV thời vụ '!D17</f>
        <v>2</v>
      </c>
      <c r="E19" s="952">
        <f>VLOOKUP(B19,'Bảng CCBV thời vụ '!$B$12:$AJ$36,35,0)</f>
        <v>28</v>
      </c>
      <c r="F19" s="357">
        <f t="shared" si="0"/>
        <v>71428.571428571435</v>
      </c>
      <c r="G19" s="951">
        <f t="shared" si="1"/>
        <v>2000000.0000000002</v>
      </c>
      <c r="H19" s="951">
        <v>20000</v>
      </c>
      <c r="I19" s="951">
        <f t="shared" si="2"/>
        <v>560000</v>
      </c>
      <c r="J19" s="951">
        <f t="shared" si="3"/>
        <v>2560000</v>
      </c>
      <c r="K19" s="355"/>
      <c r="L19" s="355"/>
      <c r="M19" s="155"/>
      <c r="N19" s="156"/>
      <c r="O19" s="157"/>
    </row>
    <row r="20" spans="1:15" ht="32.25" customHeight="1">
      <c r="A20" s="355">
        <v>7</v>
      </c>
      <c r="B20" s="1010" t="str">
        <f>'Bảng CCBV thời vụ '!B18</f>
        <v>Thong Xa</v>
      </c>
      <c r="C20" s="1010" t="str">
        <f>'Bảng CCBV thời vụ '!C18</f>
        <v>BVTV</v>
      </c>
      <c r="D20" s="355">
        <f>'Bảng CCBV thời vụ '!D18</f>
        <v>2</v>
      </c>
      <c r="E20" s="952">
        <f>VLOOKUP(B20,'Bảng CCBV thời vụ '!$B$12:$AJ$36,35,0)</f>
        <v>28</v>
      </c>
      <c r="F20" s="357">
        <f t="shared" si="0"/>
        <v>71428.571428571435</v>
      </c>
      <c r="G20" s="951">
        <f t="shared" si="1"/>
        <v>2000000.0000000002</v>
      </c>
      <c r="H20" s="951">
        <v>20000</v>
      </c>
      <c r="I20" s="951">
        <f t="shared" si="2"/>
        <v>560000</v>
      </c>
      <c r="J20" s="951">
        <f t="shared" si="3"/>
        <v>2560000</v>
      </c>
      <c r="K20" s="355"/>
      <c r="L20" s="355"/>
      <c r="M20" s="155"/>
      <c r="N20" s="156"/>
      <c r="O20" s="157"/>
    </row>
    <row r="21" spans="1:15" ht="32.25" customHeight="1">
      <c r="A21" s="355">
        <v>8</v>
      </c>
      <c r="B21" s="1010" t="str">
        <f>'Bảng CCBV thời vụ '!B19</f>
        <v>P. Ka Ta</v>
      </c>
      <c r="C21" s="1010" t="str">
        <f>'Bảng CCBV thời vụ '!C19</f>
        <v>BVTV</v>
      </c>
      <c r="D21" s="355">
        <f>'Bảng CCBV thời vụ '!D19</f>
        <v>2</v>
      </c>
      <c r="E21" s="952">
        <f>VLOOKUP(B21,'Bảng CCBV thời vụ '!$B$12:$AJ$36,35,0)</f>
        <v>28</v>
      </c>
      <c r="F21" s="357">
        <f t="shared" si="0"/>
        <v>71428.571428571435</v>
      </c>
      <c r="G21" s="951">
        <f t="shared" si="1"/>
        <v>2000000.0000000002</v>
      </c>
      <c r="H21" s="951">
        <v>20000</v>
      </c>
      <c r="I21" s="951">
        <f t="shared" si="2"/>
        <v>560000</v>
      </c>
      <c r="J21" s="951">
        <f t="shared" si="3"/>
        <v>2560000</v>
      </c>
      <c r="K21" s="355"/>
      <c r="L21" s="355"/>
      <c r="M21" s="155"/>
      <c r="N21" s="156"/>
      <c r="O21" s="157"/>
    </row>
    <row r="22" spans="1:15" ht="32.25" customHeight="1">
      <c r="A22" s="355">
        <v>9</v>
      </c>
      <c r="B22" s="1010" t="str">
        <f>'Bảng CCBV thời vụ '!B20</f>
        <v>Hằn</v>
      </c>
      <c r="C22" s="1010" t="str">
        <f>'Bảng CCBV thời vụ '!C20</f>
        <v>BVTV</v>
      </c>
      <c r="D22" s="355">
        <f>'Bảng CCBV thời vụ '!D20</f>
        <v>2</v>
      </c>
      <c r="E22" s="952">
        <f>VLOOKUP(B22,'Bảng CCBV thời vụ '!$B$12:$AJ$36,35,0)</f>
        <v>28</v>
      </c>
      <c r="F22" s="357">
        <f t="shared" si="0"/>
        <v>71428.571428571435</v>
      </c>
      <c r="G22" s="951">
        <f t="shared" si="1"/>
        <v>2000000.0000000002</v>
      </c>
      <c r="H22" s="951">
        <v>20000</v>
      </c>
      <c r="I22" s="951">
        <f t="shared" si="2"/>
        <v>560000</v>
      </c>
      <c r="J22" s="951">
        <f t="shared" si="3"/>
        <v>2560000</v>
      </c>
      <c r="K22" s="355"/>
      <c r="L22" s="355"/>
      <c r="M22" s="155"/>
      <c r="N22" s="156"/>
      <c r="O22" s="157"/>
    </row>
    <row r="23" spans="1:15" ht="32.25" customHeight="1">
      <c r="A23" s="355">
        <v>10</v>
      </c>
      <c r="B23" s="1010" t="str">
        <f>'Bảng CCBV thời vụ '!B21</f>
        <v>T. Phước</v>
      </c>
      <c r="C23" s="1010" t="str">
        <f>'Bảng CCBV thời vụ '!C21</f>
        <v>BVTV</v>
      </c>
      <c r="D23" s="355">
        <f>'Bảng CCBV thời vụ '!D21</f>
        <v>3</v>
      </c>
      <c r="E23" s="952">
        <f>VLOOKUP(B23,'Bảng CCBV thời vụ '!$B$12:$AJ$36,35,0)</f>
        <v>28</v>
      </c>
      <c r="F23" s="357">
        <f t="shared" si="0"/>
        <v>71428.571428571435</v>
      </c>
      <c r="G23" s="951">
        <f t="shared" si="1"/>
        <v>2000000.0000000002</v>
      </c>
      <c r="H23" s="951">
        <v>20000</v>
      </c>
      <c r="I23" s="951">
        <f t="shared" si="2"/>
        <v>560000</v>
      </c>
      <c r="J23" s="951">
        <f t="shared" si="3"/>
        <v>2560000</v>
      </c>
      <c r="K23" s="355"/>
      <c r="L23" s="355"/>
      <c r="M23" s="155"/>
      <c r="N23" s="156"/>
      <c r="O23" s="157"/>
    </row>
    <row r="24" spans="1:15" ht="32.25" customHeight="1">
      <c r="A24" s="355">
        <v>11</v>
      </c>
      <c r="B24" s="1010" t="str">
        <f>'Bảng CCBV thời vụ '!B22</f>
        <v>T. Thun</v>
      </c>
      <c r="C24" s="1010" t="str">
        <f>'Bảng CCBV thời vụ '!C22</f>
        <v>BVTV</v>
      </c>
      <c r="D24" s="355">
        <f>'Bảng CCBV thời vụ '!D22</f>
        <v>3</v>
      </c>
      <c r="E24" s="952">
        <f>VLOOKUP(B24,'Bảng CCBV thời vụ '!$B$12:$AJ$36,35,0)</f>
        <v>28</v>
      </c>
      <c r="F24" s="357">
        <f t="shared" si="0"/>
        <v>71428.571428571435</v>
      </c>
      <c r="G24" s="951">
        <f t="shared" si="1"/>
        <v>2000000.0000000002</v>
      </c>
      <c r="H24" s="951">
        <v>20000</v>
      </c>
      <c r="I24" s="951">
        <f t="shared" si="2"/>
        <v>560000</v>
      </c>
      <c r="J24" s="951">
        <f t="shared" si="3"/>
        <v>2560000</v>
      </c>
      <c r="K24" s="355"/>
      <c r="L24" s="355"/>
      <c r="M24" s="155"/>
      <c r="N24" s="156"/>
      <c r="O24" s="157"/>
    </row>
    <row r="25" spans="1:15" ht="32.25" customHeight="1">
      <c r="A25" s="355">
        <v>12</v>
      </c>
      <c r="B25" s="1010" t="str">
        <f>'Bảng CCBV thời vụ '!B23</f>
        <v>T. Phon</v>
      </c>
      <c r="C25" s="1010" t="str">
        <f>'Bảng CCBV thời vụ '!C23</f>
        <v>BVTV</v>
      </c>
      <c r="D25" s="355">
        <f>'Bảng CCBV thời vụ '!D23</f>
        <v>3</v>
      </c>
      <c r="E25" s="952">
        <f>VLOOKUP(B25,'Bảng CCBV thời vụ '!$B$12:$AJ$36,35,0)</f>
        <v>28</v>
      </c>
      <c r="F25" s="357">
        <f t="shared" si="0"/>
        <v>71428.571428571435</v>
      </c>
      <c r="G25" s="951">
        <f t="shared" si="1"/>
        <v>2000000.0000000002</v>
      </c>
      <c r="H25" s="951">
        <v>20000</v>
      </c>
      <c r="I25" s="951">
        <f t="shared" si="2"/>
        <v>560000</v>
      </c>
      <c r="J25" s="951">
        <f t="shared" si="3"/>
        <v>2560000</v>
      </c>
      <c r="K25" s="355"/>
      <c r="L25" s="355"/>
      <c r="M25" s="155"/>
      <c r="N25" s="156"/>
      <c r="O25" s="157"/>
    </row>
    <row r="26" spans="1:15" ht="32.25" customHeight="1">
      <c r="A26" s="355">
        <v>13</v>
      </c>
      <c r="B26" s="1010" t="str">
        <f>'Bảng CCBV thời vụ '!B24</f>
        <v>Khăm Sai</v>
      </c>
      <c r="C26" s="1010" t="str">
        <f>'Bảng CCBV thời vụ '!C24</f>
        <v>BVTV</v>
      </c>
      <c r="D26" s="355">
        <f>'Bảng CCBV thời vụ '!D24</f>
        <v>3</v>
      </c>
      <c r="E26" s="952">
        <f>VLOOKUP(B26,'Bảng CCBV thời vụ '!$B$12:$AJ$36,35,0)</f>
        <v>28</v>
      </c>
      <c r="F26" s="357">
        <f t="shared" si="0"/>
        <v>71428.571428571435</v>
      </c>
      <c r="G26" s="951">
        <f t="shared" si="1"/>
        <v>2000000.0000000002</v>
      </c>
      <c r="H26" s="951">
        <v>20000</v>
      </c>
      <c r="I26" s="951">
        <f t="shared" ref="I26" si="4">E26*H26</f>
        <v>560000</v>
      </c>
      <c r="J26" s="951">
        <f t="shared" si="3"/>
        <v>2560000</v>
      </c>
      <c r="K26" s="355"/>
      <c r="L26" s="355"/>
      <c r="M26" s="155"/>
      <c r="N26" s="156"/>
      <c r="O26" s="157"/>
    </row>
    <row r="27" spans="1:15" ht="32.25" customHeight="1">
      <c r="A27" s="355">
        <v>14</v>
      </c>
      <c r="B27" s="1010" t="str">
        <f>'Bảng CCBV thời vụ '!B25</f>
        <v>T. Lả</v>
      </c>
      <c r="C27" s="1010" t="str">
        <f>'Bảng CCBV thời vụ '!C25</f>
        <v>BVTV</v>
      </c>
      <c r="D27" s="355">
        <f>'Bảng CCBV thời vụ '!D25</f>
        <v>3</v>
      </c>
      <c r="E27" s="952">
        <f>VLOOKUP(B27,'Bảng CCBV thời vụ '!$B$12:$AJ$36,35,0)</f>
        <v>28</v>
      </c>
      <c r="F27" s="357">
        <f t="shared" si="0"/>
        <v>71428.571428571435</v>
      </c>
      <c r="G27" s="951">
        <f t="shared" si="1"/>
        <v>2000000.0000000002</v>
      </c>
      <c r="H27" s="951">
        <v>20000</v>
      </c>
      <c r="I27" s="951">
        <f t="shared" si="2"/>
        <v>560000</v>
      </c>
      <c r="J27" s="951">
        <f t="shared" si="3"/>
        <v>2560000</v>
      </c>
      <c r="K27" s="355"/>
      <c r="L27" s="355"/>
      <c r="M27" s="155"/>
      <c r="N27" s="156"/>
      <c r="O27" s="157"/>
    </row>
    <row r="28" spans="1:15" ht="32.25" customHeight="1">
      <c r="A28" s="355">
        <v>15</v>
      </c>
      <c r="B28" s="1010" t="str">
        <f>'Bảng CCBV thời vụ '!B26</f>
        <v>T. Ni</v>
      </c>
      <c r="C28" s="1010" t="str">
        <f>'Bảng CCBV thời vụ '!C26</f>
        <v>BVTV</v>
      </c>
      <c r="D28" s="355">
        <f>'Bảng CCBV thời vụ '!D26</f>
        <v>3</v>
      </c>
      <c r="E28" s="952">
        <f>VLOOKUP(B28,'Bảng CCBV thời vụ '!$B$12:$AJ$36,35,0)</f>
        <v>28</v>
      </c>
      <c r="F28" s="357">
        <f t="shared" si="0"/>
        <v>71428.571428571435</v>
      </c>
      <c r="G28" s="951">
        <f t="shared" si="1"/>
        <v>2000000.0000000002</v>
      </c>
      <c r="H28" s="951">
        <v>20000</v>
      </c>
      <c r="I28" s="951">
        <f t="shared" si="2"/>
        <v>560000</v>
      </c>
      <c r="J28" s="951">
        <f t="shared" si="3"/>
        <v>2560000</v>
      </c>
      <c r="K28" s="355"/>
      <c r="L28" s="355"/>
      <c r="M28" s="155"/>
      <c r="N28" s="156"/>
      <c r="O28" s="157"/>
    </row>
    <row r="29" spans="1:15" ht="32.25" customHeight="1">
      <c r="A29" s="355">
        <v>16</v>
      </c>
      <c r="B29" s="1010" t="str">
        <f>'Bảng CCBV thời vụ '!B27</f>
        <v>Cà Hụt</v>
      </c>
      <c r="C29" s="1010" t="str">
        <f>'Bảng CCBV thời vụ '!C27</f>
        <v>BVTV</v>
      </c>
      <c r="D29" s="355">
        <f>'Bảng CCBV thời vụ '!D27</f>
        <v>4</v>
      </c>
      <c r="E29" s="952">
        <f>VLOOKUP(B29,'Bảng CCBV thời vụ '!$B$12:$AJ$36,35,0)</f>
        <v>28</v>
      </c>
      <c r="F29" s="357">
        <f t="shared" si="0"/>
        <v>71428.571428571435</v>
      </c>
      <c r="G29" s="951">
        <f t="shared" si="1"/>
        <v>2000000.0000000002</v>
      </c>
      <c r="H29" s="951">
        <v>20000</v>
      </c>
      <c r="I29" s="951">
        <f t="shared" si="2"/>
        <v>560000</v>
      </c>
      <c r="J29" s="951">
        <f t="shared" si="3"/>
        <v>2560000</v>
      </c>
      <c r="K29" s="355"/>
      <c r="L29" s="355"/>
      <c r="M29" s="155"/>
      <c r="N29" s="156"/>
      <c r="O29" s="157"/>
    </row>
    <row r="30" spans="1:15" ht="32.25" customHeight="1">
      <c r="A30" s="355">
        <v>17</v>
      </c>
      <c r="B30" s="1010" t="str">
        <f>'Bảng CCBV thời vụ '!B28</f>
        <v>Khăm Mưn</v>
      </c>
      <c r="C30" s="1010" t="str">
        <f>'Bảng CCBV thời vụ '!C28</f>
        <v>BVTV</v>
      </c>
      <c r="D30" s="355">
        <f>'Bảng CCBV thời vụ '!D28</f>
        <v>4</v>
      </c>
      <c r="E30" s="952">
        <f>VLOOKUP(B30,'Bảng CCBV thời vụ '!$B$12:$AJ$36,35,0)</f>
        <v>28</v>
      </c>
      <c r="F30" s="357">
        <f t="shared" si="0"/>
        <v>71428.571428571435</v>
      </c>
      <c r="G30" s="951">
        <f t="shared" si="1"/>
        <v>2000000.0000000002</v>
      </c>
      <c r="H30" s="951">
        <v>20000</v>
      </c>
      <c r="I30" s="951">
        <f t="shared" si="2"/>
        <v>560000</v>
      </c>
      <c r="J30" s="951">
        <f t="shared" si="3"/>
        <v>2560000</v>
      </c>
      <c r="K30" s="355"/>
      <c r="L30" s="355"/>
      <c r="M30" s="155"/>
      <c r="N30" s="156"/>
      <c r="O30" s="157"/>
    </row>
    <row r="31" spans="1:15" ht="32.25" customHeight="1">
      <c r="A31" s="355">
        <v>18</v>
      </c>
      <c r="B31" s="1010" t="str">
        <f>'Bảng CCBV thời vụ '!B29</f>
        <v>Khăm Nôn</v>
      </c>
      <c r="C31" s="1010" t="str">
        <f>'Bảng CCBV thời vụ '!C29</f>
        <v>BVTV</v>
      </c>
      <c r="D31" s="355">
        <f>'Bảng CCBV thời vụ '!D29</f>
        <v>4</v>
      </c>
      <c r="E31" s="952">
        <f>VLOOKUP(B31,'Bảng CCBV thời vụ '!$B$12:$AJ$36,35,0)</f>
        <v>28</v>
      </c>
      <c r="F31" s="357">
        <f t="shared" si="0"/>
        <v>71428.571428571435</v>
      </c>
      <c r="G31" s="951">
        <f t="shared" si="1"/>
        <v>2000000.0000000002</v>
      </c>
      <c r="H31" s="951">
        <v>20000</v>
      </c>
      <c r="I31" s="951">
        <f t="shared" si="2"/>
        <v>560000</v>
      </c>
      <c r="J31" s="951">
        <f t="shared" si="3"/>
        <v>2560000</v>
      </c>
      <c r="K31" s="355"/>
      <c r="L31" s="355"/>
      <c r="M31" s="155"/>
      <c r="N31" s="156"/>
      <c r="O31" s="157"/>
    </row>
    <row r="32" spans="1:15" ht="32.25" customHeight="1">
      <c r="A32" s="355">
        <v>19</v>
      </c>
      <c r="B32" s="1010" t="str">
        <f>'Bảng CCBV thời vụ '!B30</f>
        <v>T. Nin</v>
      </c>
      <c r="C32" s="1010" t="str">
        <f>'Bảng CCBV thời vụ '!C30</f>
        <v>BVTV</v>
      </c>
      <c r="D32" s="355">
        <f>'Bảng CCBV thời vụ '!D30</f>
        <v>4</v>
      </c>
      <c r="E32" s="952">
        <f>VLOOKUP(B32,'Bảng CCBV thời vụ '!$B$12:$AJ$36,35,0)</f>
        <v>28</v>
      </c>
      <c r="F32" s="357">
        <f t="shared" si="0"/>
        <v>71428.571428571435</v>
      </c>
      <c r="G32" s="951">
        <f t="shared" si="1"/>
        <v>2000000.0000000002</v>
      </c>
      <c r="H32" s="951">
        <v>20000</v>
      </c>
      <c r="I32" s="951">
        <f t="shared" si="2"/>
        <v>560000</v>
      </c>
      <c r="J32" s="951">
        <f t="shared" si="3"/>
        <v>2560000</v>
      </c>
      <c r="K32" s="355"/>
      <c r="L32" s="355"/>
      <c r="M32" s="155"/>
      <c r="N32" s="156"/>
      <c r="O32" s="157"/>
    </row>
    <row r="33" spans="1:17" ht="32.25" customHeight="1">
      <c r="A33" s="355">
        <v>20</v>
      </c>
      <c r="B33" s="1010" t="str">
        <f>'Bảng CCBV thời vụ '!B31</f>
        <v>T. Mút</v>
      </c>
      <c r="C33" s="1010" t="str">
        <f>'Bảng CCBV thời vụ '!C31</f>
        <v>BVTV</v>
      </c>
      <c r="D33" s="355">
        <f>'Bảng CCBV thời vụ '!D31</f>
        <v>4</v>
      </c>
      <c r="E33" s="952">
        <f>VLOOKUP(B33,'Bảng CCBV thời vụ '!$B$12:$AJ$36,35,0)</f>
        <v>28</v>
      </c>
      <c r="F33" s="357">
        <f t="shared" si="0"/>
        <v>71428.571428571435</v>
      </c>
      <c r="G33" s="951">
        <f t="shared" si="1"/>
        <v>2000000.0000000002</v>
      </c>
      <c r="H33" s="951">
        <v>20000</v>
      </c>
      <c r="I33" s="951">
        <f t="shared" si="2"/>
        <v>560000</v>
      </c>
      <c r="J33" s="951">
        <f t="shared" si="3"/>
        <v>2560000</v>
      </c>
      <c r="K33" s="355"/>
      <c r="L33" s="355"/>
      <c r="M33" s="155"/>
      <c r="N33" s="156">
        <f>2560*25</f>
        <v>64000</v>
      </c>
      <c r="O33" s="157"/>
    </row>
    <row r="34" spans="1:17" ht="32.25" customHeight="1">
      <c r="A34" s="355">
        <v>21</v>
      </c>
      <c r="B34" s="1010" t="str">
        <f>'Bảng CCBV thời vụ '!B32</f>
        <v>T. Khon (4)</v>
      </c>
      <c r="C34" s="1010" t="str">
        <f>'Bảng CCBV thời vụ '!C32</f>
        <v>BVTV</v>
      </c>
      <c r="D34" s="355">
        <f>'Bảng CCBV thời vụ '!D32</f>
        <v>4</v>
      </c>
      <c r="E34" s="952">
        <f>VLOOKUP(B34,'Bảng CCBV thời vụ '!$B$12:$AJ$36,35,0)</f>
        <v>28</v>
      </c>
      <c r="F34" s="357">
        <f t="shared" si="0"/>
        <v>71428.571428571435</v>
      </c>
      <c r="G34" s="951">
        <f t="shared" si="1"/>
        <v>2000000.0000000002</v>
      </c>
      <c r="H34" s="951">
        <v>20000</v>
      </c>
      <c r="I34" s="951">
        <f t="shared" si="2"/>
        <v>560000</v>
      </c>
      <c r="J34" s="951">
        <f t="shared" si="3"/>
        <v>2560000</v>
      </c>
      <c r="K34" s="355"/>
      <c r="L34" s="355"/>
      <c r="M34" s="155"/>
      <c r="N34" s="156"/>
      <c r="O34" s="157"/>
    </row>
    <row r="35" spans="1:17" ht="32.25" customHeight="1">
      <c r="A35" s="355">
        <v>22</v>
      </c>
      <c r="B35" s="1010" t="str">
        <f>'Bảng CCBV thời vụ '!B33</f>
        <v>A Bi</v>
      </c>
      <c r="C35" s="1010" t="str">
        <f>'Bảng CCBV thời vụ '!C33</f>
        <v>BVTV</v>
      </c>
      <c r="D35" s="355">
        <f>'Bảng CCBV thời vụ '!D33</f>
        <v>4</v>
      </c>
      <c r="E35" s="952">
        <f>VLOOKUP(B35,'Bảng CCBV thời vụ '!$B$12:$AJ$36,35,0)</f>
        <v>28</v>
      </c>
      <c r="F35" s="357">
        <f t="shared" si="0"/>
        <v>71428.571428571435</v>
      </c>
      <c r="G35" s="951">
        <f t="shared" si="1"/>
        <v>2000000.0000000002</v>
      </c>
      <c r="H35" s="951">
        <v>20000</v>
      </c>
      <c r="I35" s="951">
        <f t="shared" si="2"/>
        <v>560000</v>
      </c>
      <c r="J35" s="951">
        <f t="shared" si="3"/>
        <v>2560000</v>
      </c>
      <c r="K35" s="355"/>
      <c r="L35" s="355"/>
      <c r="M35" s="155"/>
      <c r="N35" s="156"/>
      <c r="O35" s="157"/>
    </row>
    <row r="36" spans="1:17" ht="32.25" customHeight="1">
      <c r="A36" s="355">
        <v>23</v>
      </c>
      <c r="B36" s="1010" t="str">
        <f>'Bảng CCBV thời vụ '!B34</f>
        <v>Thông La</v>
      </c>
      <c r="C36" s="1010" t="str">
        <f>'Bảng CCBV thời vụ '!C34</f>
        <v>BVTV</v>
      </c>
      <c r="D36" s="355">
        <f>'Bảng CCBV thời vụ '!D34</f>
        <v>4</v>
      </c>
      <c r="E36" s="952">
        <f>VLOOKUP(B36,'Bảng CCBV thời vụ '!$B$12:$AJ$36,35,0)</f>
        <v>28</v>
      </c>
      <c r="F36" s="357">
        <f t="shared" si="0"/>
        <v>71428.571428571435</v>
      </c>
      <c r="G36" s="951">
        <f t="shared" si="1"/>
        <v>2000000.0000000002</v>
      </c>
      <c r="H36" s="951">
        <v>20000</v>
      </c>
      <c r="I36" s="951">
        <f t="shared" si="2"/>
        <v>560000</v>
      </c>
      <c r="J36" s="951">
        <f t="shared" si="3"/>
        <v>2560000</v>
      </c>
      <c r="K36" s="355"/>
      <c r="L36" s="355"/>
      <c r="M36" s="155"/>
      <c r="N36" s="156"/>
      <c r="O36" s="157"/>
    </row>
    <row r="37" spans="1:17" ht="32.25" customHeight="1">
      <c r="A37" s="355">
        <v>24</v>
      </c>
      <c r="B37" s="1010" t="str">
        <f>'Bảng CCBV thời vụ '!B35</f>
        <v>T. Phút</v>
      </c>
      <c r="C37" s="1010" t="str">
        <f>'Bảng CCBV thời vụ '!C35</f>
        <v>BVTV</v>
      </c>
      <c r="D37" s="355">
        <f>'Bảng CCBV thời vụ '!D35</f>
        <v>4</v>
      </c>
      <c r="E37" s="952">
        <f>VLOOKUP(B37,'Bảng CCBV thời vụ '!$B$12:$AJ$36,35,0)</f>
        <v>28</v>
      </c>
      <c r="F37" s="357">
        <f t="shared" si="0"/>
        <v>71428.571428571435</v>
      </c>
      <c r="G37" s="951">
        <f t="shared" si="1"/>
        <v>2000000.0000000002</v>
      </c>
      <c r="H37" s="951">
        <v>20000</v>
      </c>
      <c r="I37" s="951">
        <f t="shared" si="2"/>
        <v>560000</v>
      </c>
      <c r="J37" s="951">
        <f t="shared" si="3"/>
        <v>2560000</v>
      </c>
      <c r="K37" s="355"/>
      <c r="L37" s="355"/>
      <c r="M37" s="155"/>
      <c r="N37" s="156"/>
      <c r="O37" s="157">
        <f>25*2560000</f>
        <v>64000000</v>
      </c>
    </row>
    <row r="38" spans="1:17" ht="32.25" customHeight="1">
      <c r="A38" s="355">
        <v>25</v>
      </c>
      <c r="B38" s="1010" t="str">
        <f>'Bảng CCBV thời vụ '!B36</f>
        <v>T. Xê</v>
      </c>
      <c r="C38" s="1010" t="str">
        <f>'Bảng CCBV thời vụ '!C36</f>
        <v>BVTV</v>
      </c>
      <c r="D38" s="355">
        <f>'Bảng CCBV thời vụ '!D36</f>
        <v>4</v>
      </c>
      <c r="E38" s="952">
        <f>VLOOKUP(B38,'Bảng CCBV thời vụ '!$B$12:$AJ$36,35,0)</f>
        <v>28</v>
      </c>
      <c r="F38" s="357">
        <f t="shared" si="0"/>
        <v>71428.571428571435</v>
      </c>
      <c r="G38" s="951">
        <f t="shared" si="1"/>
        <v>2000000.0000000002</v>
      </c>
      <c r="H38" s="951">
        <v>20000</v>
      </c>
      <c r="I38" s="951">
        <f t="shared" si="2"/>
        <v>560000</v>
      </c>
      <c r="J38" s="951">
        <f t="shared" si="3"/>
        <v>2560000</v>
      </c>
      <c r="K38" s="355"/>
      <c r="L38" s="355"/>
      <c r="M38" s="155"/>
      <c r="N38" s="156"/>
      <c r="O38" s="157"/>
    </row>
    <row r="39" spans="1:17" ht="32.25" customHeight="1">
      <c r="A39" s="2066" t="s">
        <v>256</v>
      </c>
      <c r="B39" s="2066"/>
      <c r="C39" s="1495"/>
      <c r="D39" s="1495"/>
      <c r="E39" s="567">
        <f t="shared" ref="E39" si="5">SUM(E14:E38)</f>
        <v>700</v>
      </c>
      <c r="F39" s="372"/>
      <c r="G39" s="372">
        <f>SUM(G14:G38)</f>
        <v>50000000.000000007</v>
      </c>
      <c r="H39" s="372"/>
      <c r="I39" s="372">
        <f>SUM(I14:I38)</f>
        <v>14000000</v>
      </c>
      <c r="J39" s="372">
        <f>SUM(J14:J38)</f>
        <v>64000000</v>
      </c>
      <c r="K39" s="1495"/>
      <c r="L39" s="355"/>
      <c r="M39" s="155"/>
      <c r="N39" s="156">
        <f>G39/25000</f>
        <v>2000.0000000000002</v>
      </c>
      <c r="O39" s="157">
        <f>G39/25000</f>
        <v>2000.0000000000002</v>
      </c>
      <c r="P39" s="1">
        <f>O37/25000</f>
        <v>2560</v>
      </c>
    </row>
    <row r="40" spans="1:17" ht="29.25" customHeight="1">
      <c r="A40" s="2072" t="s">
        <v>1172</v>
      </c>
      <c r="B40" s="2073"/>
      <c r="C40" s="2073"/>
      <c r="D40" s="2073"/>
      <c r="E40" s="2073"/>
      <c r="F40" s="2073"/>
      <c r="G40" s="2073"/>
      <c r="H40" s="2073"/>
      <c r="I40" s="2073"/>
      <c r="J40" s="2073"/>
      <c r="K40" s="2073"/>
      <c r="L40" s="2074"/>
      <c r="O40" s="1">
        <f>J39/25000</f>
        <v>2560</v>
      </c>
    </row>
    <row r="41" spans="1:17" ht="17.25">
      <c r="A41" s="358"/>
      <c r="B41" s="358"/>
      <c r="C41" s="358"/>
      <c r="D41" s="358"/>
      <c r="E41" s="358"/>
      <c r="F41" s="358"/>
      <c r="G41" s="2181" t="s">
        <v>1122</v>
      </c>
      <c r="H41" s="2181"/>
      <c r="I41" s="2181"/>
      <c r="J41" s="2181"/>
      <c r="K41" s="2181"/>
      <c r="L41" s="2181"/>
      <c r="M41" s="29"/>
      <c r="N41" s="29"/>
      <c r="O41" s="29"/>
      <c r="P41" s="29"/>
      <c r="Q41" s="29"/>
    </row>
    <row r="42" spans="1:17" ht="16.5">
      <c r="A42" s="359"/>
      <c r="B42" s="2114" t="s">
        <v>266</v>
      </c>
      <c r="C42" s="2114"/>
      <c r="D42" s="942"/>
      <c r="E42" s="2114" t="s">
        <v>819</v>
      </c>
      <c r="F42" s="2114"/>
      <c r="G42" s="942"/>
      <c r="H42" s="2114" t="s">
        <v>101</v>
      </c>
      <c r="I42" s="2114"/>
      <c r="J42" s="1496"/>
      <c r="K42" s="2114" t="s">
        <v>826</v>
      </c>
      <c r="L42" s="2114"/>
    </row>
    <row r="49" spans="2:12" ht="16.5">
      <c r="B49" s="2214" t="s">
        <v>830</v>
      </c>
      <c r="C49" s="2214"/>
      <c r="D49" s="17"/>
      <c r="E49" s="2214" t="s">
        <v>908</v>
      </c>
      <c r="F49" s="2214"/>
      <c r="G49" s="1555"/>
      <c r="H49" s="2221" t="s">
        <v>419</v>
      </c>
      <c r="I49" s="2221"/>
      <c r="J49" s="1497"/>
      <c r="K49" s="2114" t="s">
        <v>76</v>
      </c>
      <c r="L49" s="2114"/>
    </row>
    <row r="50" spans="2:12">
      <c r="E50" s="1" t="s">
        <v>268</v>
      </c>
    </row>
  </sheetData>
  <mergeCells count="29">
    <mergeCell ref="G12:G13"/>
    <mergeCell ref="H42:I42"/>
    <mergeCell ref="H49:I49"/>
    <mergeCell ref="E42:F42"/>
    <mergeCell ref="E49:F49"/>
    <mergeCell ref="H12:H13"/>
    <mergeCell ref="I12:I13"/>
    <mergeCell ref="J12:J13"/>
    <mergeCell ref="K12:K13"/>
    <mergeCell ref="L12:L13"/>
    <mergeCell ref="B42:C42"/>
    <mergeCell ref="B49:C49"/>
    <mergeCell ref="A39:B39"/>
    <mergeCell ref="A40:L40"/>
    <mergeCell ref="G41:L41"/>
    <mergeCell ref="K42:L42"/>
    <mergeCell ref="K49:L49"/>
    <mergeCell ref="A12:A13"/>
    <mergeCell ref="B12:B13"/>
    <mergeCell ref="C12:C13"/>
    <mergeCell ref="E12:E13"/>
    <mergeCell ref="F12:F13"/>
    <mergeCell ref="D12:D13"/>
    <mergeCell ref="A10:L10"/>
    <mergeCell ref="A3:L3"/>
    <mergeCell ref="A4:L4"/>
    <mergeCell ref="A5:L5"/>
    <mergeCell ref="A7:F7"/>
    <mergeCell ref="A8:F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51"/>
  <sheetViews>
    <sheetView topLeftCell="A28" zoomScale="115" zoomScaleNormal="115" workbookViewId="0">
      <selection activeCell="AK41" sqref="AK41"/>
    </sheetView>
  </sheetViews>
  <sheetFormatPr defaultColWidth="9.140625" defaultRowHeight="15"/>
  <cols>
    <col min="1" max="1" width="3.7109375" style="1742" bestFit="1" customWidth="1"/>
    <col min="2" max="2" width="11" style="1742" customWidth="1"/>
    <col min="3" max="3" width="10.42578125" style="1742" customWidth="1"/>
    <col min="4" max="4" width="5.42578125" style="1742" customWidth="1"/>
    <col min="5" max="8" width="3" style="1742" customWidth="1"/>
    <col min="9" max="9" width="3" style="1775" customWidth="1"/>
    <col min="10" max="32" width="3" style="1742" customWidth="1"/>
    <col min="33" max="33" width="3.5703125" style="1742" customWidth="1"/>
    <col min="34" max="35" width="3.42578125" style="1742" customWidth="1"/>
    <col min="36" max="36" width="7.28515625" style="1742" customWidth="1"/>
    <col min="37" max="37" width="12.85546875" style="1742" customWidth="1"/>
    <col min="38" max="38" width="9.140625" style="1742"/>
    <col min="39" max="39" width="14.85546875" style="1742" bestFit="1" customWidth="1"/>
    <col min="40" max="44" width="9.140625" style="1742"/>
    <col min="45" max="45" width="15.85546875" style="1742" customWidth="1"/>
    <col min="46" max="16384" width="9.140625" style="1742"/>
  </cols>
  <sheetData>
    <row r="1" spans="1:38" ht="15" customHeight="1">
      <c r="A1" s="2260" t="s">
        <v>90</v>
      </c>
      <c r="B1" s="2260"/>
      <c r="C1" s="2260"/>
      <c r="D1" s="2260"/>
      <c r="E1" s="2260"/>
      <c r="F1" s="2260"/>
      <c r="G1" s="2260"/>
      <c r="H1" s="2260"/>
      <c r="I1" s="2260"/>
      <c r="J1" s="2260"/>
      <c r="K1" s="2260"/>
      <c r="L1" s="2260"/>
      <c r="M1" s="2260"/>
      <c r="N1" s="2260"/>
      <c r="O1" s="2260"/>
      <c r="P1" s="2260"/>
      <c r="Q1" s="2260"/>
      <c r="R1" s="2260"/>
      <c r="S1" s="2260"/>
      <c r="T1" s="2260"/>
      <c r="U1" s="2260"/>
      <c r="V1" s="2260"/>
      <c r="W1" s="2260"/>
      <c r="X1" s="2260"/>
      <c r="Y1" s="2260"/>
      <c r="Z1" s="2260"/>
      <c r="AA1" s="2260"/>
      <c r="AB1" s="2260"/>
      <c r="AC1" s="2260"/>
      <c r="AD1" s="2260"/>
      <c r="AE1" s="2260"/>
      <c r="AF1" s="2260"/>
      <c r="AG1" s="2260"/>
      <c r="AH1" s="2260"/>
      <c r="AI1" s="2260"/>
      <c r="AJ1" s="2260"/>
      <c r="AK1" s="1741"/>
    </row>
    <row r="2" spans="1:38" ht="15" customHeight="1">
      <c r="A2" s="2260" t="s">
        <v>81</v>
      </c>
      <c r="B2" s="2260"/>
      <c r="C2" s="2260"/>
      <c r="D2" s="2260"/>
      <c r="E2" s="2260"/>
      <c r="F2" s="2260"/>
      <c r="G2" s="2260"/>
      <c r="H2" s="2260"/>
      <c r="I2" s="2260"/>
      <c r="J2" s="2260"/>
      <c r="K2" s="2260"/>
      <c r="L2" s="2260"/>
      <c r="M2" s="2260"/>
      <c r="N2" s="2260"/>
      <c r="O2" s="2260"/>
      <c r="P2" s="2260"/>
      <c r="Q2" s="2260"/>
      <c r="R2" s="2260"/>
      <c r="S2" s="2260"/>
      <c r="T2" s="2260"/>
      <c r="U2" s="2260"/>
      <c r="V2" s="2260"/>
      <c r="W2" s="2260"/>
      <c r="X2" s="2260"/>
      <c r="Y2" s="2260"/>
      <c r="Z2" s="2260"/>
      <c r="AA2" s="2260"/>
      <c r="AB2" s="2260"/>
      <c r="AC2" s="2260"/>
      <c r="AD2" s="2260"/>
      <c r="AE2" s="2260"/>
      <c r="AF2" s="2260"/>
      <c r="AG2" s="2260"/>
      <c r="AH2" s="2260"/>
      <c r="AI2" s="2260"/>
      <c r="AJ2" s="2260"/>
      <c r="AK2" s="1741"/>
    </row>
    <row r="3" spans="1:38" ht="17.25" customHeight="1">
      <c r="A3" s="2261" t="s">
        <v>604</v>
      </c>
      <c r="B3" s="2262"/>
      <c r="C3" s="2262"/>
      <c r="D3" s="2262"/>
      <c r="E3" s="2262"/>
      <c r="F3" s="2262"/>
      <c r="G3" s="2262"/>
      <c r="H3" s="2262"/>
      <c r="I3" s="2262"/>
      <c r="J3" s="2262"/>
      <c r="K3" s="2262"/>
      <c r="L3" s="2262"/>
      <c r="M3" s="2262"/>
      <c r="N3" s="2262"/>
      <c r="O3" s="2262"/>
      <c r="P3" s="2262"/>
      <c r="Q3" s="2262"/>
      <c r="R3" s="2262"/>
      <c r="S3" s="2262"/>
      <c r="T3" s="2262"/>
      <c r="U3" s="2262"/>
      <c r="V3" s="2262"/>
      <c r="W3" s="2262"/>
      <c r="X3" s="2262"/>
      <c r="Y3" s="2262"/>
      <c r="Z3" s="2262"/>
      <c r="AA3" s="2262"/>
      <c r="AB3" s="2262"/>
      <c r="AC3" s="2262"/>
      <c r="AD3" s="2262"/>
      <c r="AE3" s="2262"/>
      <c r="AF3" s="2262"/>
      <c r="AG3" s="2262"/>
      <c r="AH3" s="2262"/>
      <c r="AI3" s="2262"/>
      <c r="AJ3" s="2262"/>
      <c r="AK3" s="1743"/>
    </row>
    <row r="4" spans="1:38" ht="9" customHeight="1">
      <c r="A4" s="1744"/>
      <c r="B4" s="1744"/>
      <c r="C4" s="1744"/>
      <c r="D4" s="1744"/>
      <c r="E4" s="1744"/>
      <c r="F4" s="1744"/>
      <c r="G4" s="1744"/>
      <c r="H4" s="1744"/>
      <c r="I4" s="1744"/>
      <c r="J4" s="1744"/>
      <c r="K4" s="1744"/>
      <c r="L4" s="1744"/>
      <c r="M4" s="1744"/>
      <c r="N4" s="1744"/>
      <c r="O4" s="1744"/>
      <c r="P4" s="1744"/>
      <c r="Q4" s="1744"/>
      <c r="R4" s="1744"/>
      <c r="S4" s="1744"/>
      <c r="T4" s="1744"/>
      <c r="U4" s="1744"/>
      <c r="V4" s="1744"/>
      <c r="W4" s="1744"/>
      <c r="X4" s="1744"/>
      <c r="Y4" s="1744"/>
      <c r="Z4" s="1744"/>
      <c r="AA4" s="1744"/>
      <c r="AB4" s="1744"/>
      <c r="AC4" s="1744"/>
      <c r="AD4" s="1744"/>
      <c r="AE4" s="1744"/>
      <c r="AF4" s="1744"/>
      <c r="AG4" s="1744"/>
      <c r="AH4" s="1744"/>
      <c r="AI4" s="1744"/>
      <c r="AJ4" s="1744"/>
      <c r="AK4" s="1744"/>
    </row>
    <row r="5" spans="1:38" ht="23.25" customHeight="1">
      <c r="A5" s="2262" t="s">
        <v>5</v>
      </c>
      <c r="B5" s="2262"/>
      <c r="C5" s="2262"/>
      <c r="D5" s="2262"/>
      <c r="E5" s="2262"/>
      <c r="F5" s="2262"/>
      <c r="G5" s="2262"/>
      <c r="H5" s="2262"/>
      <c r="I5" s="2262"/>
      <c r="J5" s="2262"/>
      <c r="K5" s="2262"/>
      <c r="L5" s="2262"/>
      <c r="M5" s="2262"/>
      <c r="N5" s="2262"/>
      <c r="O5" s="2262"/>
      <c r="P5" s="2262"/>
      <c r="Q5" s="1744"/>
      <c r="R5" s="1744"/>
      <c r="S5" s="1744"/>
      <c r="T5" s="1744"/>
      <c r="U5" s="1744"/>
      <c r="V5" s="1744"/>
      <c r="W5" s="1744"/>
      <c r="X5" s="1744"/>
      <c r="Y5" s="1744"/>
      <c r="Z5" s="1744"/>
      <c r="AA5" s="1744"/>
      <c r="AB5" s="1744"/>
      <c r="AC5" s="1744"/>
      <c r="AD5" s="1744"/>
      <c r="AE5" s="1744"/>
      <c r="AF5" s="1744"/>
      <c r="AG5" s="1744"/>
      <c r="AH5" s="1744"/>
      <c r="AI5" s="1744"/>
      <c r="AJ5" s="1744"/>
      <c r="AK5" s="1744"/>
    </row>
    <row r="6" spans="1:38" ht="18" customHeight="1">
      <c r="A6" s="2262" t="s">
        <v>101</v>
      </c>
      <c r="B6" s="2262"/>
      <c r="C6" s="2262"/>
      <c r="D6" s="2262"/>
      <c r="E6" s="2262"/>
      <c r="F6" s="2262"/>
      <c r="G6" s="2262"/>
      <c r="H6" s="2262"/>
      <c r="I6" s="2262"/>
      <c r="J6" s="2262"/>
      <c r="K6" s="2262"/>
      <c r="L6" s="2262"/>
      <c r="M6" s="1744"/>
      <c r="N6" s="1744"/>
      <c r="O6" s="1744"/>
      <c r="P6" s="1744"/>
      <c r="Q6" s="1744"/>
      <c r="R6" s="1744"/>
      <c r="S6" s="1744"/>
      <c r="T6" s="1744"/>
      <c r="U6" s="1744"/>
      <c r="V6" s="1744"/>
      <c r="W6" s="1744"/>
      <c r="X6" s="1744"/>
      <c r="Y6" s="1744"/>
      <c r="Z6" s="1744"/>
      <c r="AA6" s="1744"/>
      <c r="AB6" s="1744"/>
      <c r="AC6" s="1744"/>
      <c r="AD6" s="1744"/>
      <c r="AE6" s="1744"/>
      <c r="AF6" s="1744"/>
      <c r="AG6" s="1744"/>
      <c r="AH6" s="1744"/>
      <c r="AI6" s="1744"/>
      <c r="AJ6" s="1744"/>
      <c r="AK6" s="1744"/>
    </row>
    <row r="7" spans="1:38" ht="12" customHeight="1">
      <c r="A7" s="1745"/>
      <c r="B7" s="1745"/>
      <c r="C7" s="1745"/>
      <c r="D7" s="1745"/>
      <c r="E7" s="1745"/>
      <c r="F7" s="1745"/>
      <c r="G7" s="1745"/>
      <c r="H7" s="1745"/>
      <c r="I7" s="1745"/>
      <c r="J7" s="1745"/>
      <c r="K7" s="1745"/>
      <c r="L7" s="1745"/>
      <c r="M7" s="1746"/>
      <c r="N7" s="1746"/>
      <c r="O7" s="1746"/>
      <c r="P7" s="1746"/>
      <c r="Q7" s="1746"/>
      <c r="R7" s="1746"/>
      <c r="S7" s="1746"/>
      <c r="T7" s="1746"/>
      <c r="U7" s="1746"/>
      <c r="V7" s="1746"/>
      <c r="W7" s="1746"/>
      <c r="X7" s="1746"/>
      <c r="Y7" s="1746"/>
      <c r="Z7" s="1746"/>
      <c r="AA7" s="1746"/>
      <c r="AB7" s="1746"/>
      <c r="AC7" s="1746"/>
      <c r="AD7" s="1746"/>
      <c r="AE7" s="1746"/>
      <c r="AF7" s="1746"/>
      <c r="AG7" s="1746"/>
      <c r="AH7" s="1746"/>
      <c r="AI7" s="1746"/>
      <c r="AJ7" s="1746"/>
      <c r="AK7" s="1746"/>
    </row>
    <row r="8" spans="1:38" ht="23.25" customHeight="1">
      <c r="A8" s="2259" t="s">
        <v>1121</v>
      </c>
      <c r="B8" s="2259"/>
      <c r="C8" s="2259"/>
      <c r="D8" s="2259"/>
      <c r="E8" s="2259"/>
      <c r="F8" s="2259"/>
      <c r="G8" s="2259"/>
      <c r="H8" s="2259"/>
      <c r="I8" s="2259"/>
      <c r="J8" s="2259"/>
      <c r="K8" s="2259"/>
      <c r="L8" s="2259"/>
      <c r="M8" s="2259"/>
      <c r="N8" s="2259"/>
      <c r="O8" s="2259"/>
      <c r="P8" s="2259"/>
      <c r="Q8" s="2259"/>
      <c r="R8" s="2259"/>
      <c r="S8" s="2259"/>
      <c r="T8" s="2259"/>
      <c r="U8" s="2259"/>
      <c r="V8" s="2259"/>
      <c r="W8" s="2259"/>
      <c r="X8" s="2259"/>
      <c r="Y8" s="2259"/>
      <c r="Z8" s="2259"/>
      <c r="AA8" s="2259"/>
      <c r="AB8" s="2259"/>
      <c r="AC8" s="2259"/>
      <c r="AD8" s="2259"/>
      <c r="AE8" s="2259"/>
      <c r="AF8" s="2259"/>
      <c r="AG8" s="2259"/>
      <c r="AH8" s="2259"/>
      <c r="AI8" s="2259"/>
      <c r="AJ8" s="2259"/>
      <c r="AK8" s="1747"/>
    </row>
    <row r="9" spans="1:38" ht="18" customHeight="1">
      <c r="A9" s="2263"/>
      <c r="B9" s="2263"/>
      <c r="C9" s="2263"/>
      <c r="D9" s="2263"/>
      <c r="E9" s="2263"/>
      <c r="F9" s="2263"/>
      <c r="G9" s="2263"/>
      <c r="H9" s="2263"/>
      <c r="I9" s="2263"/>
      <c r="J9" s="2263"/>
      <c r="K9" s="2263"/>
      <c r="L9" s="2263"/>
      <c r="M9" s="2263"/>
      <c r="N9" s="2263"/>
      <c r="O9" s="2263"/>
      <c r="P9" s="2263"/>
      <c r="Q9" s="2263"/>
      <c r="R9" s="2263"/>
      <c r="S9" s="2263"/>
      <c r="T9" s="2263"/>
      <c r="U9" s="2263"/>
      <c r="V9" s="2263"/>
      <c r="W9" s="2263"/>
      <c r="X9" s="2263"/>
      <c r="Y9" s="2263"/>
      <c r="Z9" s="2263"/>
      <c r="AA9" s="2263"/>
      <c r="AB9" s="2263"/>
      <c r="AC9" s="2263"/>
      <c r="AD9" s="2263"/>
      <c r="AE9" s="2263"/>
      <c r="AF9" s="2263"/>
      <c r="AG9" s="2263"/>
      <c r="AH9" s="2263"/>
      <c r="AI9" s="2263"/>
      <c r="AJ9" s="2263"/>
      <c r="AK9" s="1748"/>
    </row>
    <row r="10" spans="1:38" ht="15" customHeight="1">
      <c r="A10" s="2264" t="s">
        <v>82</v>
      </c>
      <c r="B10" s="2264" t="s">
        <v>83</v>
      </c>
      <c r="C10" s="2264" t="s">
        <v>84</v>
      </c>
      <c r="D10" s="2265" t="s">
        <v>1028</v>
      </c>
      <c r="E10" s="2267" t="s">
        <v>85</v>
      </c>
      <c r="F10" s="2267"/>
      <c r="G10" s="2267"/>
      <c r="H10" s="2267"/>
      <c r="I10" s="2267"/>
      <c r="J10" s="2267"/>
      <c r="K10" s="2267"/>
      <c r="L10" s="2267"/>
      <c r="M10" s="2267"/>
      <c r="N10" s="2267"/>
      <c r="O10" s="2267"/>
      <c r="P10" s="2267"/>
      <c r="Q10" s="2267"/>
      <c r="R10" s="2267"/>
      <c r="S10" s="2267"/>
      <c r="T10" s="2267"/>
      <c r="U10" s="2267"/>
      <c r="V10" s="2267"/>
      <c r="W10" s="2267"/>
      <c r="X10" s="2267"/>
      <c r="Y10" s="2267"/>
      <c r="Z10" s="2267"/>
      <c r="AA10" s="2267"/>
      <c r="AB10" s="2267"/>
      <c r="AC10" s="2267"/>
      <c r="AD10" s="2267"/>
      <c r="AE10" s="2267"/>
      <c r="AF10" s="2267"/>
      <c r="AG10" s="2267"/>
      <c r="AH10" s="2267"/>
      <c r="AI10" s="1749"/>
      <c r="AJ10" s="2268" t="s">
        <v>49</v>
      </c>
      <c r="AK10" s="2268" t="s">
        <v>715</v>
      </c>
      <c r="AL10" s="1750">
        <f>AJ12</f>
        <v>28</v>
      </c>
    </row>
    <row r="11" spans="1:38" ht="29.25" customHeight="1">
      <c r="A11" s="2264"/>
      <c r="B11" s="2264"/>
      <c r="C11" s="2264"/>
      <c r="D11" s="2266"/>
      <c r="E11" s="1751">
        <v>1</v>
      </c>
      <c r="F11" s="1751">
        <v>2</v>
      </c>
      <c r="G11" s="1751">
        <v>3</v>
      </c>
      <c r="H11" s="1751">
        <v>4</v>
      </c>
      <c r="I11" s="1751">
        <v>5</v>
      </c>
      <c r="J11" s="1751">
        <v>6</v>
      </c>
      <c r="K11" s="1751">
        <v>7</v>
      </c>
      <c r="L11" s="1751">
        <v>8</v>
      </c>
      <c r="M11" s="1751">
        <v>9</v>
      </c>
      <c r="N11" s="1751">
        <v>10</v>
      </c>
      <c r="O11" s="1751">
        <v>11</v>
      </c>
      <c r="P11" s="1751">
        <v>12</v>
      </c>
      <c r="Q11" s="1751">
        <v>13</v>
      </c>
      <c r="R11" s="1751">
        <v>14</v>
      </c>
      <c r="S11" s="1751">
        <v>15</v>
      </c>
      <c r="T11" s="1751">
        <v>16</v>
      </c>
      <c r="U11" s="1751">
        <v>17</v>
      </c>
      <c r="V11" s="1751">
        <v>18</v>
      </c>
      <c r="W11" s="1751">
        <v>19</v>
      </c>
      <c r="X11" s="1751">
        <v>20</v>
      </c>
      <c r="Y11" s="1751">
        <v>21</v>
      </c>
      <c r="Z11" s="1751">
        <v>22</v>
      </c>
      <c r="AA11" s="1751">
        <v>23</v>
      </c>
      <c r="AB11" s="1751">
        <v>24</v>
      </c>
      <c r="AC11" s="1751">
        <v>25</v>
      </c>
      <c r="AD11" s="1751">
        <v>26</v>
      </c>
      <c r="AE11" s="1751">
        <v>27</v>
      </c>
      <c r="AF11" s="1751">
        <v>28</v>
      </c>
      <c r="AG11" s="1751">
        <v>29</v>
      </c>
      <c r="AH11" s="1751">
        <v>30</v>
      </c>
      <c r="AI11" s="1751">
        <v>31</v>
      </c>
      <c r="AJ11" s="2268"/>
      <c r="AK11" s="2268"/>
    </row>
    <row r="12" spans="1:38" s="1755" customFormat="1" ht="18.75" customHeight="1">
      <c r="A12" s="1752">
        <v>1</v>
      </c>
      <c r="B12" s="1753" t="s">
        <v>706</v>
      </c>
      <c r="C12" s="1753" t="s">
        <v>1027</v>
      </c>
      <c r="D12" s="1752">
        <v>1</v>
      </c>
      <c r="E12" s="1752" t="s">
        <v>86</v>
      </c>
      <c r="F12" s="1752" t="s">
        <v>86</v>
      </c>
      <c r="G12" s="1752" t="s">
        <v>86</v>
      </c>
      <c r="H12" s="1752" t="s">
        <v>86</v>
      </c>
      <c r="I12" s="1752" t="s">
        <v>86</v>
      </c>
      <c r="J12" s="1752" t="s">
        <v>86</v>
      </c>
      <c r="K12" s="1752" t="s">
        <v>86</v>
      </c>
      <c r="L12" s="1752" t="s">
        <v>86</v>
      </c>
      <c r="M12" s="1752" t="s">
        <v>86</v>
      </c>
      <c r="N12" s="1752" t="s">
        <v>86</v>
      </c>
      <c r="O12" s="1752" t="s">
        <v>86</v>
      </c>
      <c r="P12" s="1752" t="s">
        <v>86</v>
      </c>
      <c r="Q12" s="1752" t="s">
        <v>86</v>
      </c>
      <c r="R12" s="1752" t="s">
        <v>86</v>
      </c>
      <c r="S12" s="1752" t="s">
        <v>86</v>
      </c>
      <c r="T12" s="1752" t="s">
        <v>86</v>
      </c>
      <c r="U12" s="1752" t="s">
        <v>86</v>
      </c>
      <c r="V12" s="1752" t="s">
        <v>86</v>
      </c>
      <c r="W12" s="1752" t="s">
        <v>86</v>
      </c>
      <c r="X12" s="1752" t="s">
        <v>86</v>
      </c>
      <c r="Y12" s="1752" t="s">
        <v>86</v>
      </c>
      <c r="Z12" s="1752" t="s">
        <v>86</v>
      </c>
      <c r="AA12" s="1752" t="s">
        <v>86</v>
      </c>
      <c r="AB12" s="1752" t="s">
        <v>86</v>
      </c>
      <c r="AC12" s="1752" t="s">
        <v>86</v>
      </c>
      <c r="AD12" s="1752" t="s">
        <v>86</v>
      </c>
      <c r="AE12" s="1752" t="s">
        <v>86</v>
      </c>
      <c r="AF12" s="1752" t="s">
        <v>86</v>
      </c>
      <c r="AG12" s="1752"/>
      <c r="AH12" s="1752"/>
      <c r="AI12" s="1752"/>
      <c r="AJ12" s="1754">
        <f>COUNTIF(E12:AI12,"x")+ COUNTIF(E12:AI12,"p")+COUNTIF(E12:AI12,"pt")+COUNTIF(E12:AI12,"T")+COUNTIF(E12:AI12,"VN")</f>
        <v>28</v>
      </c>
      <c r="AK12" s="1754" t="s">
        <v>1033</v>
      </c>
    </row>
    <row r="13" spans="1:38" s="1755" customFormat="1" ht="18.75" customHeight="1">
      <c r="A13" s="1752">
        <v>2</v>
      </c>
      <c r="B13" s="1753" t="s">
        <v>1029</v>
      </c>
      <c r="C13" s="1753" t="s">
        <v>1027</v>
      </c>
      <c r="D13" s="1752">
        <v>1</v>
      </c>
      <c r="E13" s="1752" t="s">
        <v>86</v>
      </c>
      <c r="F13" s="1752" t="s">
        <v>86</v>
      </c>
      <c r="G13" s="1752" t="s">
        <v>86</v>
      </c>
      <c r="H13" s="1752" t="s">
        <v>86</v>
      </c>
      <c r="I13" s="1752" t="s">
        <v>86</v>
      </c>
      <c r="J13" s="1752" t="s">
        <v>86</v>
      </c>
      <c r="K13" s="1752" t="s">
        <v>86</v>
      </c>
      <c r="L13" s="1752" t="s">
        <v>86</v>
      </c>
      <c r="M13" s="1752" t="s">
        <v>86</v>
      </c>
      <c r="N13" s="1752" t="s">
        <v>86</v>
      </c>
      <c r="O13" s="1752" t="s">
        <v>86</v>
      </c>
      <c r="P13" s="1752" t="s">
        <v>86</v>
      </c>
      <c r="Q13" s="1752" t="s">
        <v>86</v>
      </c>
      <c r="R13" s="1752" t="s">
        <v>86</v>
      </c>
      <c r="S13" s="1752" t="s">
        <v>86</v>
      </c>
      <c r="T13" s="1752" t="s">
        <v>86</v>
      </c>
      <c r="U13" s="1752" t="s">
        <v>86</v>
      </c>
      <c r="V13" s="1752" t="s">
        <v>86</v>
      </c>
      <c r="W13" s="1752" t="s">
        <v>86</v>
      </c>
      <c r="X13" s="1752" t="s">
        <v>86</v>
      </c>
      <c r="Y13" s="1752" t="s">
        <v>86</v>
      </c>
      <c r="Z13" s="1752" t="s">
        <v>86</v>
      </c>
      <c r="AA13" s="1752" t="s">
        <v>86</v>
      </c>
      <c r="AB13" s="1752" t="s">
        <v>86</v>
      </c>
      <c r="AC13" s="1752" t="s">
        <v>86</v>
      </c>
      <c r="AD13" s="1752" t="s">
        <v>86</v>
      </c>
      <c r="AE13" s="1752" t="s">
        <v>86</v>
      </c>
      <c r="AF13" s="1752" t="s">
        <v>86</v>
      </c>
      <c r="AG13" s="1752"/>
      <c r="AH13" s="1752"/>
      <c r="AI13" s="1752"/>
      <c r="AJ13" s="1754">
        <f t="shared" ref="AJ13:AJ36" si="0">COUNTIF(E13:AI13,"x")+ COUNTIF(E13:AI13,"p")+COUNTIF(E13:AI13,"pt")+COUNTIF(E13:AI13,"T")+COUNTIF(E13:AI13,"VN")</f>
        <v>28</v>
      </c>
      <c r="AK13" s="1754" t="s">
        <v>1033</v>
      </c>
    </row>
    <row r="14" spans="1:38" s="1755" customFormat="1" ht="18.75" customHeight="1">
      <c r="A14" s="1752">
        <v>3</v>
      </c>
      <c r="B14" s="1753" t="s">
        <v>1102</v>
      </c>
      <c r="C14" s="1753" t="s">
        <v>1027</v>
      </c>
      <c r="D14" s="1752">
        <v>1</v>
      </c>
      <c r="E14" s="1752" t="s">
        <v>86</v>
      </c>
      <c r="F14" s="1752" t="s">
        <v>86</v>
      </c>
      <c r="G14" s="1752" t="s">
        <v>86</v>
      </c>
      <c r="H14" s="1752" t="s">
        <v>86</v>
      </c>
      <c r="I14" s="1752" t="s">
        <v>86</v>
      </c>
      <c r="J14" s="1752" t="s">
        <v>86</v>
      </c>
      <c r="K14" s="1752" t="s">
        <v>86</v>
      </c>
      <c r="L14" s="1752" t="s">
        <v>86</v>
      </c>
      <c r="M14" s="1752" t="s">
        <v>86</v>
      </c>
      <c r="N14" s="1752" t="s">
        <v>86</v>
      </c>
      <c r="O14" s="1752" t="s">
        <v>86</v>
      </c>
      <c r="P14" s="1752" t="s">
        <v>86</v>
      </c>
      <c r="Q14" s="1752" t="s">
        <v>86</v>
      </c>
      <c r="R14" s="1752" t="s">
        <v>86</v>
      </c>
      <c r="S14" s="1752" t="s">
        <v>86</v>
      </c>
      <c r="T14" s="1752" t="s">
        <v>86</v>
      </c>
      <c r="U14" s="1752" t="s">
        <v>86</v>
      </c>
      <c r="V14" s="1752" t="s">
        <v>86</v>
      </c>
      <c r="W14" s="1752" t="s">
        <v>86</v>
      </c>
      <c r="X14" s="1752" t="s">
        <v>86</v>
      </c>
      <c r="Y14" s="1752" t="s">
        <v>86</v>
      </c>
      <c r="Z14" s="1752" t="s">
        <v>86</v>
      </c>
      <c r="AA14" s="1752" t="s">
        <v>86</v>
      </c>
      <c r="AB14" s="1752" t="s">
        <v>86</v>
      </c>
      <c r="AC14" s="1752" t="s">
        <v>86</v>
      </c>
      <c r="AD14" s="1752" t="s">
        <v>86</v>
      </c>
      <c r="AE14" s="1752" t="s">
        <v>86</v>
      </c>
      <c r="AF14" s="1752" t="s">
        <v>86</v>
      </c>
      <c r="AG14" s="1752"/>
      <c r="AH14" s="1752"/>
      <c r="AI14" s="1752"/>
      <c r="AJ14" s="1754">
        <f t="shared" si="0"/>
        <v>28</v>
      </c>
      <c r="AK14" s="1754" t="s">
        <v>1033</v>
      </c>
    </row>
    <row r="15" spans="1:38" s="1755" customFormat="1" ht="18.75" customHeight="1">
      <c r="A15" s="1752">
        <v>4</v>
      </c>
      <c r="B15" s="1753" t="s">
        <v>1154</v>
      </c>
      <c r="C15" s="1753" t="s">
        <v>1027</v>
      </c>
      <c r="D15" s="1752">
        <v>1</v>
      </c>
      <c r="E15" s="1752" t="s">
        <v>86</v>
      </c>
      <c r="F15" s="1752" t="s">
        <v>86</v>
      </c>
      <c r="G15" s="1752" t="s">
        <v>86</v>
      </c>
      <c r="H15" s="1752" t="s">
        <v>86</v>
      </c>
      <c r="I15" s="1752" t="s">
        <v>86</v>
      </c>
      <c r="J15" s="1752" t="s">
        <v>86</v>
      </c>
      <c r="K15" s="1752" t="s">
        <v>86</v>
      </c>
      <c r="L15" s="1752" t="s">
        <v>86</v>
      </c>
      <c r="M15" s="1752" t="s">
        <v>86</v>
      </c>
      <c r="N15" s="1752" t="s">
        <v>86</v>
      </c>
      <c r="O15" s="1752" t="s">
        <v>86</v>
      </c>
      <c r="P15" s="1752" t="s">
        <v>86</v>
      </c>
      <c r="Q15" s="1752" t="s">
        <v>86</v>
      </c>
      <c r="R15" s="1752" t="s">
        <v>86</v>
      </c>
      <c r="S15" s="1752" t="s">
        <v>86</v>
      </c>
      <c r="T15" s="1752" t="s">
        <v>86</v>
      </c>
      <c r="U15" s="1752" t="s">
        <v>86</v>
      </c>
      <c r="V15" s="1752" t="s">
        <v>86</v>
      </c>
      <c r="W15" s="1752" t="s">
        <v>86</v>
      </c>
      <c r="X15" s="1752" t="s">
        <v>86</v>
      </c>
      <c r="Y15" s="1752" t="s">
        <v>86</v>
      </c>
      <c r="Z15" s="1752" t="s">
        <v>86</v>
      </c>
      <c r="AA15" s="1752" t="s">
        <v>86</v>
      </c>
      <c r="AB15" s="1752" t="s">
        <v>86</v>
      </c>
      <c r="AC15" s="1752" t="s">
        <v>86</v>
      </c>
      <c r="AD15" s="1752" t="s">
        <v>86</v>
      </c>
      <c r="AE15" s="1752" t="s">
        <v>86</v>
      </c>
      <c r="AF15" s="1752" t="s">
        <v>86</v>
      </c>
      <c r="AG15" s="1752"/>
      <c r="AH15" s="1752"/>
      <c r="AI15" s="1752"/>
      <c r="AJ15" s="1754">
        <f t="shared" si="0"/>
        <v>28</v>
      </c>
      <c r="AK15" s="1754" t="s">
        <v>1033</v>
      </c>
    </row>
    <row r="16" spans="1:38" s="1755" customFormat="1" ht="18.75" customHeight="1">
      <c r="A16" s="1752">
        <v>5</v>
      </c>
      <c r="B16" s="1753" t="s">
        <v>1156</v>
      </c>
      <c r="C16" s="1753" t="s">
        <v>1027</v>
      </c>
      <c r="D16" s="1752">
        <v>2</v>
      </c>
      <c r="E16" s="1752" t="s">
        <v>86</v>
      </c>
      <c r="F16" s="1752" t="s">
        <v>86</v>
      </c>
      <c r="G16" s="1752" t="s">
        <v>86</v>
      </c>
      <c r="H16" s="1752" t="s">
        <v>86</v>
      </c>
      <c r="I16" s="1752" t="s">
        <v>86</v>
      </c>
      <c r="J16" s="1752" t="s">
        <v>86</v>
      </c>
      <c r="K16" s="1752" t="s">
        <v>86</v>
      </c>
      <c r="L16" s="1752" t="s">
        <v>86</v>
      </c>
      <c r="M16" s="1752" t="s">
        <v>86</v>
      </c>
      <c r="N16" s="1752" t="s">
        <v>86</v>
      </c>
      <c r="O16" s="1752" t="s">
        <v>86</v>
      </c>
      <c r="P16" s="1752" t="s">
        <v>86</v>
      </c>
      <c r="Q16" s="1752" t="s">
        <v>86</v>
      </c>
      <c r="R16" s="1752" t="s">
        <v>86</v>
      </c>
      <c r="S16" s="1752" t="s">
        <v>86</v>
      </c>
      <c r="T16" s="1752" t="s">
        <v>86</v>
      </c>
      <c r="U16" s="1752" t="s">
        <v>86</v>
      </c>
      <c r="V16" s="1752" t="s">
        <v>86</v>
      </c>
      <c r="W16" s="1752" t="s">
        <v>86</v>
      </c>
      <c r="X16" s="1752" t="s">
        <v>86</v>
      </c>
      <c r="Y16" s="1752" t="s">
        <v>86</v>
      </c>
      <c r="Z16" s="1752" t="s">
        <v>86</v>
      </c>
      <c r="AA16" s="1752" t="s">
        <v>86</v>
      </c>
      <c r="AB16" s="1752" t="s">
        <v>86</v>
      </c>
      <c r="AC16" s="1752" t="s">
        <v>86</v>
      </c>
      <c r="AD16" s="1752" t="s">
        <v>86</v>
      </c>
      <c r="AE16" s="1752" t="s">
        <v>86</v>
      </c>
      <c r="AF16" s="1752" t="s">
        <v>86</v>
      </c>
      <c r="AG16" s="1752"/>
      <c r="AH16" s="1752"/>
      <c r="AI16" s="1752"/>
      <c r="AJ16" s="1754">
        <f t="shared" si="0"/>
        <v>28</v>
      </c>
      <c r="AK16" s="1754" t="s">
        <v>1033</v>
      </c>
    </row>
    <row r="17" spans="1:39" s="1755" customFormat="1" ht="18.75" customHeight="1">
      <c r="A17" s="1752">
        <v>6</v>
      </c>
      <c r="B17" s="1753" t="s">
        <v>1155</v>
      </c>
      <c r="C17" s="1753" t="s">
        <v>1027</v>
      </c>
      <c r="D17" s="1752">
        <v>2</v>
      </c>
      <c r="E17" s="1752" t="s">
        <v>86</v>
      </c>
      <c r="F17" s="1752" t="s">
        <v>86</v>
      </c>
      <c r="G17" s="1752" t="s">
        <v>86</v>
      </c>
      <c r="H17" s="1752" t="s">
        <v>86</v>
      </c>
      <c r="I17" s="1752" t="s">
        <v>86</v>
      </c>
      <c r="J17" s="1752" t="s">
        <v>86</v>
      </c>
      <c r="K17" s="1752" t="s">
        <v>86</v>
      </c>
      <c r="L17" s="1752" t="s">
        <v>86</v>
      </c>
      <c r="M17" s="1752" t="s">
        <v>86</v>
      </c>
      <c r="N17" s="1752" t="s">
        <v>86</v>
      </c>
      <c r="O17" s="1752" t="s">
        <v>86</v>
      </c>
      <c r="P17" s="1752" t="s">
        <v>86</v>
      </c>
      <c r="Q17" s="1752" t="s">
        <v>86</v>
      </c>
      <c r="R17" s="1752" t="s">
        <v>86</v>
      </c>
      <c r="S17" s="1752" t="s">
        <v>86</v>
      </c>
      <c r="T17" s="1752" t="s">
        <v>86</v>
      </c>
      <c r="U17" s="1752" t="s">
        <v>86</v>
      </c>
      <c r="V17" s="1752" t="s">
        <v>86</v>
      </c>
      <c r="W17" s="1752" t="s">
        <v>86</v>
      </c>
      <c r="X17" s="1752" t="s">
        <v>86</v>
      </c>
      <c r="Y17" s="1752" t="s">
        <v>86</v>
      </c>
      <c r="Z17" s="1752" t="s">
        <v>86</v>
      </c>
      <c r="AA17" s="1752" t="s">
        <v>86</v>
      </c>
      <c r="AB17" s="1752" t="s">
        <v>86</v>
      </c>
      <c r="AC17" s="1752" t="s">
        <v>86</v>
      </c>
      <c r="AD17" s="1752" t="s">
        <v>86</v>
      </c>
      <c r="AE17" s="1752" t="s">
        <v>86</v>
      </c>
      <c r="AF17" s="1752" t="s">
        <v>86</v>
      </c>
      <c r="AG17" s="1752"/>
      <c r="AH17" s="1752"/>
      <c r="AI17" s="1752"/>
      <c r="AJ17" s="1754">
        <f t="shared" si="0"/>
        <v>28</v>
      </c>
      <c r="AK17" s="1754" t="s">
        <v>1033</v>
      </c>
    </row>
    <row r="18" spans="1:39" s="1755" customFormat="1" ht="18.75" customHeight="1">
      <c r="A18" s="1752">
        <v>7</v>
      </c>
      <c r="B18" s="1753" t="s">
        <v>1030</v>
      </c>
      <c r="C18" s="1753" t="s">
        <v>1027</v>
      </c>
      <c r="D18" s="1752">
        <v>2</v>
      </c>
      <c r="E18" s="1752" t="s">
        <v>86</v>
      </c>
      <c r="F18" s="1752" t="s">
        <v>86</v>
      </c>
      <c r="G18" s="1752" t="s">
        <v>86</v>
      </c>
      <c r="H18" s="1752" t="s">
        <v>86</v>
      </c>
      <c r="I18" s="1752" t="s">
        <v>86</v>
      </c>
      <c r="J18" s="1752" t="s">
        <v>86</v>
      </c>
      <c r="K18" s="1752" t="s">
        <v>86</v>
      </c>
      <c r="L18" s="1752" t="s">
        <v>86</v>
      </c>
      <c r="M18" s="1752" t="s">
        <v>86</v>
      </c>
      <c r="N18" s="1752" t="s">
        <v>86</v>
      </c>
      <c r="O18" s="1752" t="s">
        <v>86</v>
      </c>
      <c r="P18" s="1752" t="s">
        <v>86</v>
      </c>
      <c r="Q18" s="1752" t="s">
        <v>86</v>
      </c>
      <c r="R18" s="1752" t="s">
        <v>86</v>
      </c>
      <c r="S18" s="1752" t="s">
        <v>86</v>
      </c>
      <c r="T18" s="1752" t="s">
        <v>86</v>
      </c>
      <c r="U18" s="1752" t="s">
        <v>86</v>
      </c>
      <c r="V18" s="1752" t="s">
        <v>86</v>
      </c>
      <c r="W18" s="1752" t="s">
        <v>86</v>
      </c>
      <c r="X18" s="1752" t="s">
        <v>86</v>
      </c>
      <c r="Y18" s="1752" t="s">
        <v>86</v>
      </c>
      <c r="Z18" s="1752" t="s">
        <v>86</v>
      </c>
      <c r="AA18" s="1752" t="s">
        <v>86</v>
      </c>
      <c r="AB18" s="1752" t="s">
        <v>86</v>
      </c>
      <c r="AC18" s="1752" t="s">
        <v>86</v>
      </c>
      <c r="AD18" s="1752" t="s">
        <v>86</v>
      </c>
      <c r="AE18" s="1752" t="s">
        <v>86</v>
      </c>
      <c r="AF18" s="1752" t="s">
        <v>86</v>
      </c>
      <c r="AG18" s="1752"/>
      <c r="AH18" s="1752"/>
      <c r="AI18" s="1752"/>
      <c r="AJ18" s="1754">
        <f t="shared" si="0"/>
        <v>28</v>
      </c>
      <c r="AK18" s="1754" t="s">
        <v>1033</v>
      </c>
    </row>
    <row r="19" spans="1:39" s="1755" customFormat="1" ht="18.75" customHeight="1">
      <c r="A19" s="1752">
        <v>8</v>
      </c>
      <c r="B19" s="1753" t="s">
        <v>1031</v>
      </c>
      <c r="C19" s="1753" t="s">
        <v>1027</v>
      </c>
      <c r="D19" s="1752">
        <v>2</v>
      </c>
      <c r="E19" s="1752" t="s">
        <v>86</v>
      </c>
      <c r="F19" s="1752" t="s">
        <v>86</v>
      </c>
      <c r="G19" s="1752" t="s">
        <v>86</v>
      </c>
      <c r="H19" s="1752" t="s">
        <v>86</v>
      </c>
      <c r="I19" s="1752" t="s">
        <v>86</v>
      </c>
      <c r="J19" s="1752" t="s">
        <v>86</v>
      </c>
      <c r="K19" s="1752" t="s">
        <v>86</v>
      </c>
      <c r="L19" s="1752" t="s">
        <v>86</v>
      </c>
      <c r="M19" s="1752" t="s">
        <v>86</v>
      </c>
      <c r="N19" s="1752" t="s">
        <v>86</v>
      </c>
      <c r="O19" s="1752" t="s">
        <v>86</v>
      </c>
      <c r="P19" s="1752" t="s">
        <v>86</v>
      </c>
      <c r="Q19" s="1752" t="s">
        <v>86</v>
      </c>
      <c r="R19" s="1752" t="s">
        <v>86</v>
      </c>
      <c r="S19" s="1752" t="s">
        <v>86</v>
      </c>
      <c r="T19" s="1752" t="s">
        <v>86</v>
      </c>
      <c r="U19" s="1752" t="s">
        <v>86</v>
      </c>
      <c r="V19" s="1752" t="s">
        <v>86</v>
      </c>
      <c r="W19" s="1752" t="s">
        <v>86</v>
      </c>
      <c r="X19" s="1752" t="s">
        <v>86</v>
      </c>
      <c r="Y19" s="1752" t="s">
        <v>86</v>
      </c>
      <c r="Z19" s="1752" t="s">
        <v>86</v>
      </c>
      <c r="AA19" s="1752" t="s">
        <v>86</v>
      </c>
      <c r="AB19" s="1752" t="s">
        <v>86</v>
      </c>
      <c r="AC19" s="1752" t="s">
        <v>86</v>
      </c>
      <c r="AD19" s="1752" t="s">
        <v>86</v>
      </c>
      <c r="AE19" s="1752" t="s">
        <v>86</v>
      </c>
      <c r="AF19" s="1752" t="s">
        <v>86</v>
      </c>
      <c r="AG19" s="1752"/>
      <c r="AH19" s="1752"/>
      <c r="AI19" s="1752"/>
      <c r="AJ19" s="1754">
        <f t="shared" si="0"/>
        <v>28</v>
      </c>
      <c r="AK19" s="1754" t="s">
        <v>1033</v>
      </c>
    </row>
    <row r="20" spans="1:39" s="1755" customFormat="1" ht="18.75" customHeight="1">
      <c r="A20" s="1752">
        <v>9</v>
      </c>
      <c r="B20" s="1753" t="s">
        <v>1032</v>
      </c>
      <c r="C20" s="1753" t="s">
        <v>1027</v>
      </c>
      <c r="D20" s="1752">
        <v>2</v>
      </c>
      <c r="E20" s="1752" t="s">
        <v>86</v>
      </c>
      <c r="F20" s="1752" t="s">
        <v>86</v>
      </c>
      <c r="G20" s="1752" t="s">
        <v>86</v>
      </c>
      <c r="H20" s="1752" t="s">
        <v>86</v>
      </c>
      <c r="I20" s="1752" t="s">
        <v>86</v>
      </c>
      <c r="J20" s="1752" t="s">
        <v>86</v>
      </c>
      <c r="K20" s="1752" t="s">
        <v>86</v>
      </c>
      <c r="L20" s="1752" t="s">
        <v>86</v>
      </c>
      <c r="M20" s="1752" t="s">
        <v>86</v>
      </c>
      <c r="N20" s="1752" t="s">
        <v>86</v>
      </c>
      <c r="O20" s="1752" t="s">
        <v>86</v>
      </c>
      <c r="P20" s="1752" t="s">
        <v>86</v>
      </c>
      <c r="Q20" s="1752" t="s">
        <v>86</v>
      </c>
      <c r="R20" s="1752" t="s">
        <v>86</v>
      </c>
      <c r="S20" s="1752" t="s">
        <v>86</v>
      </c>
      <c r="T20" s="1752" t="s">
        <v>86</v>
      </c>
      <c r="U20" s="1752" t="s">
        <v>86</v>
      </c>
      <c r="V20" s="1752" t="s">
        <v>86</v>
      </c>
      <c r="W20" s="1752" t="s">
        <v>86</v>
      </c>
      <c r="X20" s="1752" t="s">
        <v>86</v>
      </c>
      <c r="Y20" s="1752" t="s">
        <v>86</v>
      </c>
      <c r="Z20" s="1752" t="s">
        <v>86</v>
      </c>
      <c r="AA20" s="1752" t="s">
        <v>86</v>
      </c>
      <c r="AB20" s="1752" t="s">
        <v>86</v>
      </c>
      <c r="AC20" s="1752" t="s">
        <v>86</v>
      </c>
      <c r="AD20" s="1752" t="s">
        <v>86</v>
      </c>
      <c r="AE20" s="1752" t="s">
        <v>86</v>
      </c>
      <c r="AF20" s="1752" t="s">
        <v>86</v>
      </c>
      <c r="AG20" s="1752"/>
      <c r="AH20" s="1752"/>
      <c r="AI20" s="1752"/>
      <c r="AJ20" s="1754">
        <f t="shared" si="0"/>
        <v>28</v>
      </c>
      <c r="AK20" s="1754" t="s">
        <v>1033</v>
      </c>
    </row>
    <row r="21" spans="1:39" s="1755" customFormat="1" ht="18.75" customHeight="1">
      <c r="A21" s="1752">
        <v>10</v>
      </c>
      <c r="B21" s="1753" t="s">
        <v>1034</v>
      </c>
      <c r="C21" s="1753" t="s">
        <v>1027</v>
      </c>
      <c r="D21" s="1752">
        <v>3</v>
      </c>
      <c r="E21" s="1752" t="s">
        <v>86</v>
      </c>
      <c r="F21" s="1752" t="s">
        <v>86</v>
      </c>
      <c r="G21" s="1752" t="s">
        <v>86</v>
      </c>
      <c r="H21" s="1752" t="s">
        <v>86</v>
      </c>
      <c r="I21" s="1752" t="s">
        <v>86</v>
      </c>
      <c r="J21" s="1752" t="s">
        <v>86</v>
      </c>
      <c r="K21" s="1752" t="s">
        <v>86</v>
      </c>
      <c r="L21" s="1752" t="s">
        <v>86</v>
      </c>
      <c r="M21" s="1752" t="s">
        <v>86</v>
      </c>
      <c r="N21" s="1752" t="s">
        <v>86</v>
      </c>
      <c r="O21" s="1752" t="s">
        <v>86</v>
      </c>
      <c r="P21" s="1752" t="s">
        <v>86</v>
      </c>
      <c r="Q21" s="1752" t="s">
        <v>86</v>
      </c>
      <c r="R21" s="1752" t="s">
        <v>86</v>
      </c>
      <c r="S21" s="1752" t="s">
        <v>86</v>
      </c>
      <c r="T21" s="1752" t="s">
        <v>86</v>
      </c>
      <c r="U21" s="1752" t="s">
        <v>86</v>
      </c>
      <c r="V21" s="1752" t="s">
        <v>86</v>
      </c>
      <c r="W21" s="1752" t="s">
        <v>86</v>
      </c>
      <c r="X21" s="1752" t="s">
        <v>86</v>
      </c>
      <c r="Y21" s="1752" t="s">
        <v>86</v>
      </c>
      <c r="Z21" s="1752" t="s">
        <v>86</v>
      </c>
      <c r="AA21" s="1752" t="s">
        <v>86</v>
      </c>
      <c r="AB21" s="1752" t="s">
        <v>86</v>
      </c>
      <c r="AC21" s="1752" t="s">
        <v>86</v>
      </c>
      <c r="AD21" s="1752" t="s">
        <v>86</v>
      </c>
      <c r="AE21" s="1752" t="s">
        <v>86</v>
      </c>
      <c r="AF21" s="1752" t="s">
        <v>86</v>
      </c>
      <c r="AG21" s="1752"/>
      <c r="AH21" s="1752"/>
      <c r="AI21" s="1752"/>
      <c r="AJ21" s="1754">
        <f t="shared" si="0"/>
        <v>28</v>
      </c>
      <c r="AK21" s="1754" t="s">
        <v>1033</v>
      </c>
    </row>
    <row r="22" spans="1:39" s="1755" customFormat="1" ht="18.75" customHeight="1">
      <c r="A22" s="1752">
        <v>11</v>
      </c>
      <c r="B22" s="1753" t="s">
        <v>1035</v>
      </c>
      <c r="C22" s="1753" t="s">
        <v>1027</v>
      </c>
      <c r="D22" s="1752">
        <v>3</v>
      </c>
      <c r="E22" s="1752" t="s">
        <v>86</v>
      </c>
      <c r="F22" s="1752" t="s">
        <v>86</v>
      </c>
      <c r="G22" s="1752" t="s">
        <v>86</v>
      </c>
      <c r="H22" s="1752" t="s">
        <v>86</v>
      </c>
      <c r="I22" s="1752" t="s">
        <v>86</v>
      </c>
      <c r="J22" s="1752" t="s">
        <v>86</v>
      </c>
      <c r="K22" s="1752" t="s">
        <v>86</v>
      </c>
      <c r="L22" s="1752" t="s">
        <v>86</v>
      </c>
      <c r="M22" s="1752" t="s">
        <v>86</v>
      </c>
      <c r="N22" s="1752" t="s">
        <v>86</v>
      </c>
      <c r="O22" s="1752" t="s">
        <v>86</v>
      </c>
      <c r="P22" s="1752" t="s">
        <v>86</v>
      </c>
      <c r="Q22" s="1752" t="s">
        <v>86</v>
      </c>
      <c r="R22" s="1752" t="s">
        <v>86</v>
      </c>
      <c r="S22" s="1752" t="s">
        <v>86</v>
      </c>
      <c r="T22" s="1752" t="s">
        <v>86</v>
      </c>
      <c r="U22" s="1752" t="s">
        <v>86</v>
      </c>
      <c r="V22" s="1752" t="s">
        <v>86</v>
      </c>
      <c r="W22" s="1752" t="s">
        <v>86</v>
      </c>
      <c r="X22" s="1752" t="s">
        <v>86</v>
      </c>
      <c r="Y22" s="1752" t="s">
        <v>86</v>
      </c>
      <c r="Z22" s="1752" t="s">
        <v>86</v>
      </c>
      <c r="AA22" s="1752" t="s">
        <v>86</v>
      </c>
      <c r="AB22" s="1752" t="s">
        <v>86</v>
      </c>
      <c r="AC22" s="1752" t="s">
        <v>86</v>
      </c>
      <c r="AD22" s="1752" t="s">
        <v>86</v>
      </c>
      <c r="AE22" s="1752" t="s">
        <v>86</v>
      </c>
      <c r="AF22" s="1752" t="s">
        <v>86</v>
      </c>
      <c r="AG22" s="1752"/>
      <c r="AH22" s="1752"/>
      <c r="AI22" s="1752"/>
      <c r="AJ22" s="1754">
        <f t="shared" si="0"/>
        <v>28</v>
      </c>
      <c r="AK22" s="1754" t="s">
        <v>1033</v>
      </c>
    </row>
    <row r="23" spans="1:39" s="1755" customFormat="1" ht="18.75" customHeight="1">
      <c r="A23" s="1752">
        <v>12</v>
      </c>
      <c r="B23" s="1753" t="s">
        <v>1036</v>
      </c>
      <c r="C23" s="1753" t="s">
        <v>1027</v>
      </c>
      <c r="D23" s="1752">
        <v>3</v>
      </c>
      <c r="E23" s="1752" t="s">
        <v>86</v>
      </c>
      <c r="F23" s="1752" t="s">
        <v>86</v>
      </c>
      <c r="G23" s="1752" t="s">
        <v>86</v>
      </c>
      <c r="H23" s="1752" t="s">
        <v>86</v>
      </c>
      <c r="I23" s="1752" t="s">
        <v>86</v>
      </c>
      <c r="J23" s="1752" t="s">
        <v>86</v>
      </c>
      <c r="K23" s="1752" t="s">
        <v>86</v>
      </c>
      <c r="L23" s="1752" t="s">
        <v>86</v>
      </c>
      <c r="M23" s="1752" t="s">
        <v>86</v>
      </c>
      <c r="N23" s="1752" t="s">
        <v>86</v>
      </c>
      <c r="O23" s="1752" t="s">
        <v>86</v>
      </c>
      <c r="P23" s="1752" t="s">
        <v>86</v>
      </c>
      <c r="Q23" s="1752" t="s">
        <v>86</v>
      </c>
      <c r="R23" s="1752" t="s">
        <v>86</v>
      </c>
      <c r="S23" s="1752" t="s">
        <v>86</v>
      </c>
      <c r="T23" s="1752" t="s">
        <v>86</v>
      </c>
      <c r="U23" s="1752" t="s">
        <v>86</v>
      </c>
      <c r="V23" s="1752" t="s">
        <v>86</v>
      </c>
      <c r="W23" s="1752" t="s">
        <v>86</v>
      </c>
      <c r="X23" s="1752" t="s">
        <v>86</v>
      </c>
      <c r="Y23" s="1752" t="s">
        <v>86</v>
      </c>
      <c r="Z23" s="1752" t="s">
        <v>86</v>
      </c>
      <c r="AA23" s="1752" t="s">
        <v>86</v>
      </c>
      <c r="AB23" s="1752" t="s">
        <v>86</v>
      </c>
      <c r="AC23" s="1752" t="s">
        <v>86</v>
      </c>
      <c r="AD23" s="1752" t="s">
        <v>86</v>
      </c>
      <c r="AE23" s="1752" t="s">
        <v>86</v>
      </c>
      <c r="AF23" s="1752" t="s">
        <v>86</v>
      </c>
      <c r="AG23" s="1752"/>
      <c r="AH23" s="1752"/>
      <c r="AI23" s="1752"/>
      <c r="AJ23" s="1754">
        <f t="shared" si="0"/>
        <v>28</v>
      </c>
      <c r="AK23" s="1754" t="s">
        <v>1033</v>
      </c>
    </row>
    <row r="24" spans="1:39" s="1755" customFormat="1" ht="18.75" customHeight="1">
      <c r="A24" s="1752">
        <v>13</v>
      </c>
      <c r="B24" s="1753" t="s">
        <v>1037</v>
      </c>
      <c r="C24" s="1753" t="s">
        <v>1027</v>
      </c>
      <c r="D24" s="1785">
        <v>3</v>
      </c>
      <c r="E24" s="1752" t="s">
        <v>86</v>
      </c>
      <c r="F24" s="1752" t="s">
        <v>86</v>
      </c>
      <c r="G24" s="1752" t="s">
        <v>86</v>
      </c>
      <c r="H24" s="1752" t="s">
        <v>86</v>
      </c>
      <c r="I24" s="1752" t="s">
        <v>86</v>
      </c>
      <c r="J24" s="1752" t="s">
        <v>86</v>
      </c>
      <c r="K24" s="1752" t="s">
        <v>86</v>
      </c>
      <c r="L24" s="1752" t="s">
        <v>86</v>
      </c>
      <c r="M24" s="1752" t="s">
        <v>86</v>
      </c>
      <c r="N24" s="1752" t="s">
        <v>86</v>
      </c>
      <c r="O24" s="1752" t="s">
        <v>86</v>
      </c>
      <c r="P24" s="1752" t="s">
        <v>86</v>
      </c>
      <c r="Q24" s="1752" t="s">
        <v>86</v>
      </c>
      <c r="R24" s="1752" t="s">
        <v>86</v>
      </c>
      <c r="S24" s="1752" t="s">
        <v>86</v>
      </c>
      <c r="T24" s="1752" t="s">
        <v>86</v>
      </c>
      <c r="U24" s="1752" t="s">
        <v>86</v>
      </c>
      <c r="V24" s="1752" t="s">
        <v>86</v>
      </c>
      <c r="W24" s="1752" t="s">
        <v>86</v>
      </c>
      <c r="X24" s="1752" t="s">
        <v>86</v>
      </c>
      <c r="Y24" s="1752" t="s">
        <v>86</v>
      </c>
      <c r="Z24" s="1752" t="s">
        <v>86</v>
      </c>
      <c r="AA24" s="1752" t="s">
        <v>86</v>
      </c>
      <c r="AB24" s="1752" t="s">
        <v>86</v>
      </c>
      <c r="AC24" s="1752" t="s">
        <v>86</v>
      </c>
      <c r="AD24" s="1752" t="s">
        <v>86</v>
      </c>
      <c r="AE24" s="1752" t="s">
        <v>86</v>
      </c>
      <c r="AF24" s="1752" t="s">
        <v>86</v>
      </c>
      <c r="AG24" s="1752"/>
      <c r="AH24" s="1752"/>
      <c r="AI24" s="1752"/>
      <c r="AJ24" s="1754">
        <f t="shared" si="0"/>
        <v>28</v>
      </c>
      <c r="AK24" s="1754" t="s">
        <v>1033</v>
      </c>
    </row>
    <row r="25" spans="1:39" s="1755" customFormat="1" ht="18.75" customHeight="1">
      <c r="A25" s="1752">
        <v>14</v>
      </c>
      <c r="B25" s="1753" t="s">
        <v>1038</v>
      </c>
      <c r="C25" s="1753" t="s">
        <v>1027</v>
      </c>
      <c r="D25" s="1752">
        <v>3</v>
      </c>
      <c r="E25" s="1752" t="s">
        <v>86</v>
      </c>
      <c r="F25" s="1752" t="s">
        <v>86</v>
      </c>
      <c r="G25" s="1752" t="s">
        <v>86</v>
      </c>
      <c r="H25" s="1752" t="s">
        <v>86</v>
      </c>
      <c r="I25" s="1752" t="s">
        <v>86</v>
      </c>
      <c r="J25" s="1752" t="s">
        <v>86</v>
      </c>
      <c r="K25" s="1752" t="s">
        <v>86</v>
      </c>
      <c r="L25" s="1752" t="s">
        <v>86</v>
      </c>
      <c r="M25" s="1752" t="s">
        <v>86</v>
      </c>
      <c r="N25" s="1752" t="s">
        <v>86</v>
      </c>
      <c r="O25" s="1752" t="s">
        <v>86</v>
      </c>
      <c r="P25" s="1752" t="s">
        <v>86</v>
      </c>
      <c r="Q25" s="1752" t="s">
        <v>86</v>
      </c>
      <c r="R25" s="1752" t="s">
        <v>86</v>
      </c>
      <c r="S25" s="1752" t="s">
        <v>86</v>
      </c>
      <c r="T25" s="1752" t="s">
        <v>86</v>
      </c>
      <c r="U25" s="1752" t="s">
        <v>86</v>
      </c>
      <c r="V25" s="1752" t="s">
        <v>86</v>
      </c>
      <c r="W25" s="1752" t="s">
        <v>86</v>
      </c>
      <c r="X25" s="1752" t="s">
        <v>86</v>
      </c>
      <c r="Y25" s="1752" t="s">
        <v>86</v>
      </c>
      <c r="Z25" s="1752" t="s">
        <v>86</v>
      </c>
      <c r="AA25" s="1752" t="s">
        <v>86</v>
      </c>
      <c r="AB25" s="1752" t="s">
        <v>86</v>
      </c>
      <c r="AC25" s="1752" t="s">
        <v>86</v>
      </c>
      <c r="AD25" s="1752" t="s">
        <v>86</v>
      </c>
      <c r="AE25" s="1752" t="s">
        <v>86</v>
      </c>
      <c r="AF25" s="1752" t="s">
        <v>86</v>
      </c>
      <c r="AG25" s="1752"/>
      <c r="AH25" s="1752"/>
      <c r="AI25" s="1752"/>
      <c r="AJ25" s="1754">
        <f t="shared" si="0"/>
        <v>28</v>
      </c>
      <c r="AK25" s="1754" t="s">
        <v>1033</v>
      </c>
    </row>
    <row r="26" spans="1:39" s="1755" customFormat="1" ht="18.75" customHeight="1">
      <c r="A26" s="1752">
        <v>15</v>
      </c>
      <c r="B26" s="1756" t="s">
        <v>1039</v>
      </c>
      <c r="C26" s="1753" t="s">
        <v>1027</v>
      </c>
      <c r="D26" s="1752">
        <v>3</v>
      </c>
      <c r="E26" s="1752" t="s">
        <v>86</v>
      </c>
      <c r="F26" s="1752" t="s">
        <v>86</v>
      </c>
      <c r="G26" s="1752" t="s">
        <v>86</v>
      </c>
      <c r="H26" s="1752" t="s">
        <v>86</v>
      </c>
      <c r="I26" s="1752" t="s">
        <v>86</v>
      </c>
      <c r="J26" s="1752" t="s">
        <v>86</v>
      </c>
      <c r="K26" s="1752" t="s">
        <v>86</v>
      </c>
      <c r="L26" s="1752" t="s">
        <v>86</v>
      </c>
      <c r="M26" s="1752" t="s">
        <v>86</v>
      </c>
      <c r="N26" s="1752" t="s">
        <v>86</v>
      </c>
      <c r="O26" s="1752" t="s">
        <v>86</v>
      </c>
      <c r="P26" s="1752" t="s">
        <v>86</v>
      </c>
      <c r="Q26" s="1752" t="s">
        <v>86</v>
      </c>
      <c r="R26" s="1752" t="s">
        <v>86</v>
      </c>
      <c r="S26" s="1752" t="s">
        <v>86</v>
      </c>
      <c r="T26" s="1752" t="s">
        <v>86</v>
      </c>
      <c r="U26" s="1752" t="s">
        <v>86</v>
      </c>
      <c r="V26" s="1752" t="s">
        <v>86</v>
      </c>
      <c r="W26" s="1752" t="s">
        <v>86</v>
      </c>
      <c r="X26" s="1752" t="s">
        <v>86</v>
      </c>
      <c r="Y26" s="1752" t="s">
        <v>86</v>
      </c>
      <c r="Z26" s="1752" t="s">
        <v>86</v>
      </c>
      <c r="AA26" s="1752" t="s">
        <v>86</v>
      </c>
      <c r="AB26" s="1752" t="s">
        <v>86</v>
      </c>
      <c r="AC26" s="1752" t="s">
        <v>86</v>
      </c>
      <c r="AD26" s="1752" t="s">
        <v>86</v>
      </c>
      <c r="AE26" s="1752" t="s">
        <v>86</v>
      </c>
      <c r="AF26" s="1752" t="s">
        <v>86</v>
      </c>
      <c r="AG26" s="1752"/>
      <c r="AH26" s="1752"/>
      <c r="AI26" s="1752"/>
      <c r="AJ26" s="1754">
        <f t="shared" si="0"/>
        <v>28</v>
      </c>
      <c r="AK26" s="1754" t="s">
        <v>1033</v>
      </c>
    </row>
    <row r="27" spans="1:39" s="1755" customFormat="1" ht="18.75" customHeight="1">
      <c r="A27" s="1752">
        <v>16</v>
      </c>
      <c r="B27" s="1756" t="s">
        <v>1040</v>
      </c>
      <c r="C27" s="1753" t="s">
        <v>1027</v>
      </c>
      <c r="D27" s="1785">
        <v>4</v>
      </c>
      <c r="E27" s="1752" t="s">
        <v>86</v>
      </c>
      <c r="F27" s="1752" t="s">
        <v>86</v>
      </c>
      <c r="G27" s="1752" t="s">
        <v>86</v>
      </c>
      <c r="H27" s="1752" t="s">
        <v>86</v>
      </c>
      <c r="I27" s="1752" t="s">
        <v>86</v>
      </c>
      <c r="J27" s="1752" t="s">
        <v>86</v>
      </c>
      <c r="K27" s="1752" t="s">
        <v>86</v>
      </c>
      <c r="L27" s="1752" t="s">
        <v>86</v>
      </c>
      <c r="M27" s="1752" t="s">
        <v>86</v>
      </c>
      <c r="N27" s="1752" t="s">
        <v>86</v>
      </c>
      <c r="O27" s="1752" t="s">
        <v>86</v>
      </c>
      <c r="P27" s="1752" t="s">
        <v>86</v>
      </c>
      <c r="Q27" s="1752" t="s">
        <v>86</v>
      </c>
      <c r="R27" s="1752" t="s">
        <v>86</v>
      </c>
      <c r="S27" s="1752" t="s">
        <v>86</v>
      </c>
      <c r="T27" s="1752" t="s">
        <v>86</v>
      </c>
      <c r="U27" s="1752" t="s">
        <v>86</v>
      </c>
      <c r="V27" s="1752" t="s">
        <v>86</v>
      </c>
      <c r="W27" s="1752" t="s">
        <v>86</v>
      </c>
      <c r="X27" s="1752" t="s">
        <v>86</v>
      </c>
      <c r="Y27" s="1752" t="s">
        <v>86</v>
      </c>
      <c r="Z27" s="1752" t="s">
        <v>86</v>
      </c>
      <c r="AA27" s="1752" t="s">
        <v>86</v>
      </c>
      <c r="AB27" s="1752" t="s">
        <v>86</v>
      </c>
      <c r="AC27" s="1752" t="s">
        <v>86</v>
      </c>
      <c r="AD27" s="1752" t="s">
        <v>86</v>
      </c>
      <c r="AE27" s="1752" t="s">
        <v>86</v>
      </c>
      <c r="AF27" s="1752" t="s">
        <v>86</v>
      </c>
      <c r="AG27" s="1752"/>
      <c r="AH27" s="1752"/>
      <c r="AI27" s="1752"/>
      <c r="AJ27" s="1754">
        <f t="shared" si="0"/>
        <v>28</v>
      </c>
      <c r="AK27" s="1754" t="s">
        <v>1033</v>
      </c>
    </row>
    <row r="28" spans="1:39" s="1755" customFormat="1" ht="18.75" customHeight="1">
      <c r="A28" s="1752">
        <v>17</v>
      </c>
      <c r="B28" s="1756" t="s">
        <v>1041</v>
      </c>
      <c r="C28" s="1753" t="s">
        <v>1027</v>
      </c>
      <c r="D28" s="1752">
        <v>4</v>
      </c>
      <c r="E28" s="1752" t="s">
        <v>86</v>
      </c>
      <c r="F28" s="1752" t="s">
        <v>86</v>
      </c>
      <c r="G28" s="1752" t="s">
        <v>86</v>
      </c>
      <c r="H28" s="1752" t="s">
        <v>86</v>
      </c>
      <c r="I28" s="1752" t="s">
        <v>86</v>
      </c>
      <c r="J28" s="1752" t="s">
        <v>86</v>
      </c>
      <c r="K28" s="1752" t="s">
        <v>86</v>
      </c>
      <c r="L28" s="1752" t="s">
        <v>86</v>
      </c>
      <c r="M28" s="1752" t="s">
        <v>86</v>
      </c>
      <c r="N28" s="1752" t="s">
        <v>86</v>
      </c>
      <c r="O28" s="1752" t="s">
        <v>86</v>
      </c>
      <c r="P28" s="1752" t="s">
        <v>86</v>
      </c>
      <c r="Q28" s="1752" t="s">
        <v>86</v>
      </c>
      <c r="R28" s="1752" t="s">
        <v>86</v>
      </c>
      <c r="S28" s="1752" t="s">
        <v>86</v>
      </c>
      <c r="T28" s="1752" t="s">
        <v>86</v>
      </c>
      <c r="U28" s="1752" t="s">
        <v>86</v>
      </c>
      <c r="V28" s="1752" t="s">
        <v>86</v>
      </c>
      <c r="W28" s="1752" t="s">
        <v>86</v>
      </c>
      <c r="X28" s="1752" t="s">
        <v>86</v>
      </c>
      <c r="Y28" s="1752" t="s">
        <v>86</v>
      </c>
      <c r="Z28" s="1752" t="s">
        <v>86</v>
      </c>
      <c r="AA28" s="1752" t="s">
        <v>86</v>
      </c>
      <c r="AB28" s="1752" t="s">
        <v>86</v>
      </c>
      <c r="AC28" s="1752" t="s">
        <v>86</v>
      </c>
      <c r="AD28" s="1752" t="s">
        <v>86</v>
      </c>
      <c r="AE28" s="1752" t="s">
        <v>86</v>
      </c>
      <c r="AF28" s="1752" t="s">
        <v>86</v>
      </c>
      <c r="AG28" s="1752"/>
      <c r="AH28" s="1752"/>
      <c r="AI28" s="1752"/>
      <c r="AJ28" s="1754">
        <f t="shared" si="0"/>
        <v>28</v>
      </c>
      <c r="AK28" s="1754" t="s">
        <v>1033</v>
      </c>
    </row>
    <row r="29" spans="1:39" s="1755" customFormat="1" ht="18.75" customHeight="1">
      <c r="A29" s="1752">
        <v>18</v>
      </c>
      <c r="B29" s="1756" t="s">
        <v>1042</v>
      </c>
      <c r="C29" s="1753" t="s">
        <v>1027</v>
      </c>
      <c r="D29" s="1752">
        <v>4</v>
      </c>
      <c r="E29" s="1752" t="s">
        <v>86</v>
      </c>
      <c r="F29" s="1752" t="s">
        <v>86</v>
      </c>
      <c r="G29" s="1752" t="s">
        <v>86</v>
      </c>
      <c r="H29" s="1752" t="s">
        <v>86</v>
      </c>
      <c r="I29" s="1752" t="s">
        <v>86</v>
      </c>
      <c r="J29" s="1752" t="s">
        <v>86</v>
      </c>
      <c r="K29" s="1752" t="s">
        <v>86</v>
      </c>
      <c r="L29" s="1752" t="s">
        <v>86</v>
      </c>
      <c r="M29" s="1752" t="s">
        <v>86</v>
      </c>
      <c r="N29" s="1752" t="s">
        <v>86</v>
      </c>
      <c r="O29" s="1752" t="s">
        <v>86</v>
      </c>
      <c r="P29" s="1752" t="s">
        <v>86</v>
      </c>
      <c r="Q29" s="1752" t="s">
        <v>86</v>
      </c>
      <c r="R29" s="1752" t="s">
        <v>86</v>
      </c>
      <c r="S29" s="1752" t="s">
        <v>86</v>
      </c>
      <c r="T29" s="1752" t="s">
        <v>86</v>
      </c>
      <c r="U29" s="1752" t="s">
        <v>86</v>
      </c>
      <c r="V29" s="1752" t="s">
        <v>86</v>
      </c>
      <c r="W29" s="1752" t="s">
        <v>86</v>
      </c>
      <c r="X29" s="1752" t="s">
        <v>86</v>
      </c>
      <c r="Y29" s="1752" t="s">
        <v>86</v>
      </c>
      <c r="Z29" s="1752" t="s">
        <v>86</v>
      </c>
      <c r="AA29" s="1752" t="s">
        <v>86</v>
      </c>
      <c r="AB29" s="1752" t="s">
        <v>86</v>
      </c>
      <c r="AC29" s="1752" t="s">
        <v>86</v>
      </c>
      <c r="AD29" s="1752" t="s">
        <v>86</v>
      </c>
      <c r="AE29" s="1752" t="s">
        <v>86</v>
      </c>
      <c r="AF29" s="1752" t="s">
        <v>86</v>
      </c>
      <c r="AG29" s="1752"/>
      <c r="AH29" s="1752"/>
      <c r="AI29" s="1752"/>
      <c r="AJ29" s="1754">
        <f t="shared" si="0"/>
        <v>28</v>
      </c>
      <c r="AK29" s="1754" t="s">
        <v>1033</v>
      </c>
    </row>
    <row r="30" spans="1:39" s="1755" customFormat="1" ht="18.75" customHeight="1">
      <c r="A30" s="1752">
        <v>19</v>
      </c>
      <c r="B30" s="1757" t="s">
        <v>1043</v>
      </c>
      <c r="C30" s="1753" t="s">
        <v>1027</v>
      </c>
      <c r="D30" s="1752">
        <v>4</v>
      </c>
      <c r="E30" s="1752" t="s">
        <v>86</v>
      </c>
      <c r="F30" s="1752" t="s">
        <v>86</v>
      </c>
      <c r="G30" s="1752" t="s">
        <v>86</v>
      </c>
      <c r="H30" s="1752" t="s">
        <v>86</v>
      </c>
      <c r="I30" s="1752" t="s">
        <v>86</v>
      </c>
      <c r="J30" s="1752" t="s">
        <v>86</v>
      </c>
      <c r="K30" s="1752" t="s">
        <v>86</v>
      </c>
      <c r="L30" s="1752" t="s">
        <v>86</v>
      </c>
      <c r="M30" s="1752" t="s">
        <v>86</v>
      </c>
      <c r="N30" s="1752" t="s">
        <v>86</v>
      </c>
      <c r="O30" s="1752" t="s">
        <v>86</v>
      </c>
      <c r="P30" s="1752" t="s">
        <v>86</v>
      </c>
      <c r="Q30" s="1752" t="s">
        <v>86</v>
      </c>
      <c r="R30" s="1752" t="s">
        <v>86</v>
      </c>
      <c r="S30" s="1752" t="s">
        <v>86</v>
      </c>
      <c r="T30" s="1752" t="s">
        <v>86</v>
      </c>
      <c r="U30" s="1752" t="s">
        <v>86</v>
      </c>
      <c r="V30" s="1752" t="s">
        <v>86</v>
      </c>
      <c r="W30" s="1752" t="s">
        <v>86</v>
      </c>
      <c r="X30" s="1752" t="s">
        <v>86</v>
      </c>
      <c r="Y30" s="1752" t="s">
        <v>86</v>
      </c>
      <c r="Z30" s="1752" t="s">
        <v>86</v>
      </c>
      <c r="AA30" s="1752" t="s">
        <v>86</v>
      </c>
      <c r="AB30" s="1752" t="s">
        <v>86</v>
      </c>
      <c r="AC30" s="1752" t="s">
        <v>86</v>
      </c>
      <c r="AD30" s="1752" t="s">
        <v>86</v>
      </c>
      <c r="AE30" s="1752" t="s">
        <v>86</v>
      </c>
      <c r="AF30" s="1752" t="s">
        <v>86</v>
      </c>
      <c r="AG30" s="1752"/>
      <c r="AH30" s="1752"/>
      <c r="AI30" s="1752"/>
      <c r="AJ30" s="1754">
        <f t="shared" si="0"/>
        <v>28</v>
      </c>
      <c r="AK30" s="1754" t="s">
        <v>1033</v>
      </c>
    </row>
    <row r="31" spans="1:39" s="1755" customFormat="1" ht="18.75" customHeight="1">
      <c r="A31" s="1752">
        <v>20</v>
      </c>
      <c r="B31" s="1756" t="s">
        <v>1044</v>
      </c>
      <c r="C31" s="1753" t="s">
        <v>1027</v>
      </c>
      <c r="D31" s="1752">
        <v>4</v>
      </c>
      <c r="E31" s="1752" t="s">
        <v>86</v>
      </c>
      <c r="F31" s="1752" t="s">
        <v>86</v>
      </c>
      <c r="G31" s="1752" t="s">
        <v>86</v>
      </c>
      <c r="H31" s="1752" t="s">
        <v>86</v>
      </c>
      <c r="I31" s="1752" t="s">
        <v>86</v>
      </c>
      <c r="J31" s="1752" t="s">
        <v>86</v>
      </c>
      <c r="K31" s="1752" t="s">
        <v>86</v>
      </c>
      <c r="L31" s="1752" t="s">
        <v>86</v>
      </c>
      <c r="M31" s="1752" t="s">
        <v>86</v>
      </c>
      <c r="N31" s="1752" t="s">
        <v>86</v>
      </c>
      <c r="O31" s="1752" t="s">
        <v>86</v>
      </c>
      <c r="P31" s="1752" t="s">
        <v>86</v>
      </c>
      <c r="Q31" s="1752" t="s">
        <v>86</v>
      </c>
      <c r="R31" s="1752" t="s">
        <v>86</v>
      </c>
      <c r="S31" s="1752" t="s">
        <v>86</v>
      </c>
      <c r="T31" s="1752" t="s">
        <v>86</v>
      </c>
      <c r="U31" s="1752" t="s">
        <v>86</v>
      </c>
      <c r="V31" s="1752" t="s">
        <v>86</v>
      </c>
      <c r="W31" s="1752" t="s">
        <v>86</v>
      </c>
      <c r="X31" s="1752" t="s">
        <v>86</v>
      </c>
      <c r="Y31" s="1752" t="s">
        <v>86</v>
      </c>
      <c r="Z31" s="1752" t="s">
        <v>86</v>
      </c>
      <c r="AA31" s="1752" t="s">
        <v>86</v>
      </c>
      <c r="AB31" s="1752" t="s">
        <v>86</v>
      </c>
      <c r="AC31" s="1752" t="s">
        <v>86</v>
      </c>
      <c r="AD31" s="1752" t="s">
        <v>86</v>
      </c>
      <c r="AE31" s="1752" t="s">
        <v>86</v>
      </c>
      <c r="AF31" s="1752" t="s">
        <v>86</v>
      </c>
      <c r="AG31" s="1752"/>
      <c r="AH31" s="1752"/>
      <c r="AI31" s="1752"/>
      <c r="AJ31" s="1754">
        <f t="shared" si="0"/>
        <v>28</v>
      </c>
      <c r="AK31" s="1754" t="s">
        <v>1033</v>
      </c>
      <c r="AM31" s="1758" t="s">
        <v>611</v>
      </c>
    </row>
    <row r="32" spans="1:39" s="1755" customFormat="1" ht="17.45" customHeight="1">
      <c r="A32" s="1752">
        <v>21</v>
      </c>
      <c r="B32" s="1756" t="s">
        <v>1051</v>
      </c>
      <c r="C32" s="1753" t="s">
        <v>1027</v>
      </c>
      <c r="D32" s="1752">
        <v>4</v>
      </c>
      <c r="E32" s="1752" t="s">
        <v>86</v>
      </c>
      <c r="F32" s="1752" t="s">
        <v>86</v>
      </c>
      <c r="G32" s="1752" t="s">
        <v>86</v>
      </c>
      <c r="H32" s="1752" t="s">
        <v>86</v>
      </c>
      <c r="I32" s="1752" t="s">
        <v>86</v>
      </c>
      <c r="J32" s="1752" t="s">
        <v>86</v>
      </c>
      <c r="K32" s="1752" t="s">
        <v>86</v>
      </c>
      <c r="L32" s="1752" t="s">
        <v>86</v>
      </c>
      <c r="M32" s="1752" t="s">
        <v>86</v>
      </c>
      <c r="N32" s="1752" t="s">
        <v>86</v>
      </c>
      <c r="O32" s="1752" t="s">
        <v>86</v>
      </c>
      <c r="P32" s="1752" t="s">
        <v>86</v>
      </c>
      <c r="Q32" s="1752" t="s">
        <v>86</v>
      </c>
      <c r="R32" s="1752" t="s">
        <v>86</v>
      </c>
      <c r="S32" s="1752" t="s">
        <v>86</v>
      </c>
      <c r="T32" s="1752" t="s">
        <v>86</v>
      </c>
      <c r="U32" s="1752" t="s">
        <v>86</v>
      </c>
      <c r="V32" s="1752" t="s">
        <v>86</v>
      </c>
      <c r="W32" s="1752" t="s">
        <v>86</v>
      </c>
      <c r="X32" s="1752" t="s">
        <v>86</v>
      </c>
      <c r="Y32" s="1752" t="s">
        <v>86</v>
      </c>
      <c r="Z32" s="1752" t="s">
        <v>86</v>
      </c>
      <c r="AA32" s="1752" t="s">
        <v>86</v>
      </c>
      <c r="AB32" s="1752" t="s">
        <v>86</v>
      </c>
      <c r="AC32" s="1752" t="s">
        <v>86</v>
      </c>
      <c r="AD32" s="1752" t="s">
        <v>86</v>
      </c>
      <c r="AE32" s="1752" t="s">
        <v>86</v>
      </c>
      <c r="AF32" s="1752" t="s">
        <v>86</v>
      </c>
      <c r="AG32" s="1752"/>
      <c r="AH32" s="1752"/>
      <c r="AI32" s="1752"/>
      <c r="AJ32" s="1754">
        <f t="shared" si="0"/>
        <v>28</v>
      </c>
      <c r="AK32" s="1754" t="s">
        <v>1033</v>
      </c>
    </row>
    <row r="33" spans="1:37" s="1755" customFormat="1" ht="19.5" customHeight="1">
      <c r="A33" s="1752">
        <v>22</v>
      </c>
      <c r="B33" s="1756" t="s">
        <v>1045</v>
      </c>
      <c r="C33" s="1753" t="s">
        <v>1027</v>
      </c>
      <c r="D33" s="1752">
        <v>4</v>
      </c>
      <c r="E33" s="1752" t="s">
        <v>86</v>
      </c>
      <c r="F33" s="1752" t="s">
        <v>86</v>
      </c>
      <c r="G33" s="1752" t="s">
        <v>86</v>
      </c>
      <c r="H33" s="1752" t="s">
        <v>86</v>
      </c>
      <c r="I33" s="1752" t="s">
        <v>86</v>
      </c>
      <c r="J33" s="1752" t="s">
        <v>86</v>
      </c>
      <c r="K33" s="1752" t="s">
        <v>86</v>
      </c>
      <c r="L33" s="1752" t="s">
        <v>86</v>
      </c>
      <c r="M33" s="1752" t="s">
        <v>86</v>
      </c>
      <c r="N33" s="1752" t="s">
        <v>86</v>
      </c>
      <c r="O33" s="1752" t="s">
        <v>86</v>
      </c>
      <c r="P33" s="1752" t="s">
        <v>86</v>
      </c>
      <c r="Q33" s="1752" t="s">
        <v>86</v>
      </c>
      <c r="R33" s="1752" t="s">
        <v>86</v>
      </c>
      <c r="S33" s="1752" t="s">
        <v>86</v>
      </c>
      <c r="T33" s="1752" t="s">
        <v>86</v>
      </c>
      <c r="U33" s="1752" t="s">
        <v>86</v>
      </c>
      <c r="V33" s="1752" t="s">
        <v>86</v>
      </c>
      <c r="W33" s="1752" t="s">
        <v>86</v>
      </c>
      <c r="X33" s="1752" t="s">
        <v>86</v>
      </c>
      <c r="Y33" s="1752" t="s">
        <v>86</v>
      </c>
      <c r="Z33" s="1752" t="s">
        <v>86</v>
      </c>
      <c r="AA33" s="1752" t="s">
        <v>86</v>
      </c>
      <c r="AB33" s="1752" t="s">
        <v>86</v>
      </c>
      <c r="AC33" s="1752" t="s">
        <v>86</v>
      </c>
      <c r="AD33" s="1752" t="s">
        <v>86</v>
      </c>
      <c r="AE33" s="1752" t="s">
        <v>86</v>
      </c>
      <c r="AF33" s="1752" t="s">
        <v>86</v>
      </c>
      <c r="AG33" s="1752"/>
      <c r="AH33" s="1752"/>
      <c r="AI33" s="1752"/>
      <c r="AJ33" s="1754">
        <f t="shared" si="0"/>
        <v>28</v>
      </c>
      <c r="AK33" s="1754" t="s">
        <v>1033</v>
      </c>
    </row>
    <row r="34" spans="1:37" s="1755" customFormat="1" ht="19.5" customHeight="1">
      <c r="A34" s="1752">
        <v>23</v>
      </c>
      <c r="B34" s="1756" t="s">
        <v>1046</v>
      </c>
      <c r="C34" s="1753" t="s">
        <v>1027</v>
      </c>
      <c r="D34" s="1752">
        <v>4</v>
      </c>
      <c r="E34" s="1752" t="s">
        <v>86</v>
      </c>
      <c r="F34" s="1752" t="s">
        <v>86</v>
      </c>
      <c r="G34" s="1752" t="s">
        <v>86</v>
      </c>
      <c r="H34" s="1752" t="s">
        <v>86</v>
      </c>
      <c r="I34" s="1752" t="s">
        <v>86</v>
      </c>
      <c r="J34" s="1752" t="s">
        <v>86</v>
      </c>
      <c r="K34" s="1752" t="s">
        <v>86</v>
      </c>
      <c r="L34" s="1752" t="s">
        <v>86</v>
      </c>
      <c r="M34" s="1752" t="s">
        <v>86</v>
      </c>
      <c r="N34" s="1752" t="s">
        <v>86</v>
      </c>
      <c r="O34" s="1752" t="s">
        <v>86</v>
      </c>
      <c r="P34" s="1752" t="s">
        <v>86</v>
      </c>
      <c r="Q34" s="1752" t="s">
        <v>86</v>
      </c>
      <c r="R34" s="1752" t="s">
        <v>86</v>
      </c>
      <c r="S34" s="1752" t="s">
        <v>86</v>
      </c>
      <c r="T34" s="1752" t="s">
        <v>86</v>
      </c>
      <c r="U34" s="1752" t="s">
        <v>86</v>
      </c>
      <c r="V34" s="1752" t="s">
        <v>86</v>
      </c>
      <c r="W34" s="1752" t="s">
        <v>86</v>
      </c>
      <c r="X34" s="1752" t="s">
        <v>86</v>
      </c>
      <c r="Y34" s="1752" t="s">
        <v>86</v>
      </c>
      <c r="Z34" s="1752" t="s">
        <v>86</v>
      </c>
      <c r="AA34" s="1752" t="s">
        <v>86</v>
      </c>
      <c r="AB34" s="1752" t="s">
        <v>86</v>
      </c>
      <c r="AC34" s="1752" t="s">
        <v>86</v>
      </c>
      <c r="AD34" s="1752" t="s">
        <v>86</v>
      </c>
      <c r="AE34" s="1752" t="s">
        <v>86</v>
      </c>
      <c r="AF34" s="1752" t="s">
        <v>86</v>
      </c>
      <c r="AG34" s="1752"/>
      <c r="AH34" s="1752"/>
      <c r="AI34" s="1752"/>
      <c r="AJ34" s="1754">
        <f t="shared" si="0"/>
        <v>28</v>
      </c>
      <c r="AK34" s="1754" t="s">
        <v>1033</v>
      </c>
    </row>
    <row r="35" spans="1:37" s="1755" customFormat="1" ht="19.5" customHeight="1">
      <c r="A35" s="1752">
        <v>24</v>
      </c>
      <c r="B35" s="1756" t="s">
        <v>692</v>
      </c>
      <c r="C35" s="1753" t="s">
        <v>1027</v>
      </c>
      <c r="D35" s="1752">
        <v>4</v>
      </c>
      <c r="E35" s="1752" t="s">
        <v>86</v>
      </c>
      <c r="F35" s="1752" t="s">
        <v>86</v>
      </c>
      <c r="G35" s="1752" t="s">
        <v>86</v>
      </c>
      <c r="H35" s="1752" t="s">
        <v>86</v>
      </c>
      <c r="I35" s="1752" t="s">
        <v>86</v>
      </c>
      <c r="J35" s="1752" t="s">
        <v>86</v>
      </c>
      <c r="K35" s="1752" t="s">
        <v>86</v>
      </c>
      <c r="L35" s="1752" t="s">
        <v>86</v>
      </c>
      <c r="M35" s="1752" t="s">
        <v>86</v>
      </c>
      <c r="N35" s="1752" t="s">
        <v>86</v>
      </c>
      <c r="O35" s="1752" t="s">
        <v>86</v>
      </c>
      <c r="P35" s="1752" t="s">
        <v>86</v>
      </c>
      <c r="Q35" s="1752" t="s">
        <v>86</v>
      </c>
      <c r="R35" s="1752" t="s">
        <v>86</v>
      </c>
      <c r="S35" s="1752" t="s">
        <v>86</v>
      </c>
      <c r="T35" s="1752" t="s">
        <v>86</v>
      </c>
      <c r="U35" s="1752" t="s">
        <v>86</v>
      </c>
      <c r="V35" s="1752" t="s">
        <v>86</v>
      </c>
      <c r="W35" s="1752" t="s">
        <v>86</v>
      </c>
      <c r="X35" s="1752" t="s">
        <v>86</v>
      </c>
      <c r="Y35" s="1752" t="s">
        <v>86</v>
      </c>
      <c r="Z35" s="1752" t="s">
        <v>86</v>
      </c>
      <c r="AA35" s="1752" t="s">
        <v>86</v>
      </c>
      <c r="AB35" s="1752" t="s">
        <v>86</v>
      </c>
      <c r="AC35" s="1752" t="s">
        <v>86</v>
      </c>
      <c r="AD35" s="1752" t="s">
        <v>86</v>
      </c>
      <c r="AE35" s="1752" t="s">
        <v>86</v>
      </c>
      <c r="AF35" s="1752" t="s">
        <v>86</v>
      </c>
      <c r="AG35" s="1752"/>
      <c r="AH35" s="1752"/>
      <c r="AI35" s="1752"/>
      <c r="AJ35" s="1754">
        <f t="shared" si="0"/>
        <v>28</v>
      </c>
      <c r="AK35" s="1754" t="s">
        <v>1033</v>
      </c>
    </row>
    <row r="36" spans="1:37" s="1755" customFormat="1" ht="19.5" customHeight="1">
      <c r="A36" s="1752">
        <v>25</v>
      </c>
      <c r="B36" s="1756" t="s">
        <v>1047</v>
      </c>
      <c r="C36" s="1753" t="s">
        <v>1027</v>
      </c>
      <c r="D36" s="1752">
        <v>4</v>
      </c>
      <c r="E36" s="1752" t="s">
        <v>86</v>
      </c>
      <c r="F36" s="1752" t="s">
        <v>86</v>
      </c>
      <c r="G36" s="1752" t="s">
        <v>86</v>
      </c>
      <c r="H36" s="1752" t="s">
        <v>86</v>
      </c>
      <c r="I36" s="1752" t="s">
        <v>86</v>
      </c>
      <c r="J36" s="1752" t="s">
        <v>86</v>
      </c>
      <c r="K36" s="1752" t="s">
        <v>86</v>
      </c>
      <c r="L36" s="1752" t="s">
        <v>86</v>
      </c>
      <c r="M36" s="1752" t="s">
        <v>86</v>
      </c>
      <c r="N36" s="1752" t="s">
        <v>86</v>
      </c>
      <c r="O36" s="1752" t="s">
        <v>86</v>
      </c>
      <c r="P36" s="1752" t="s">
        <v>86</v>
      </c>
      <c r="Q36" s="1752" t="s">
        <v>86</v>
      </c>
      <c r="R36" s="1752" t="s">
        <v>86</v>
      </c>
      <c r="S36" s="1752" t="s">
        <v>86</v>
      </c>
      <c r="T36" s="1752" t="s">
        <v>86</v>
      </c>
      <c r="U36" s="1752" t="s">
        <v>86</v>
      </c>
      <c r="V36" s="1752" t="s">
        <v>86</v>
      </c>
      <c r="W36" s="1752" t="s">
        <v>86</v>
      </c>
      <c r="X36" s="1752" t="s">
        <v>86</v>
      </c>
      <c r="Y36" s="1752" t="s">
        <v>86</v>
      </c>
      <c r="Z36" s="1752" t="s">
        <v>86</v>
      </c>
      <c r="AA36" s="1752" t="s">
        <v>86</v>
      </c>
      <c r="AB36" s="1752" t="s">
        <v>86</v>
      </c>
      <c r="AC36" s="1752" t="s">
        <v>86</v>
      </c>
      <c r="AD36" s="1752" t="s">
        <v>86</v>
      </c>
      <c r="AE36" s="1752" t="s">
        <v>86</v>
      </c>
      <c r="AF36" s="1752" t="s">
        <v>86</v>
      </c>
      <c r="AG36" s="1752"/>
      <c r="AH36" s="1752"/>
      <c r="AI36" s="1752"/>
      <c r="AJ36" s="1754">
        <f t="shared" si="0"/>
        <v>28</v>
      </c>
      <c r="AK36" s="1754" t="s">
        <v>1033</v>
      </c>
    </row>
    <row r="37" spans="1:37" s="1755" customFormat="1" ht="19.5" customHeight="1">
      <c r="A37" s="2271" t="s">
        <v>256</v>
      </c>
      <c r="B37" s="2271"/>
      <c r="C37" s="2271"/>
      <c r="D37" s="1759"/>
      <c r="E37" s="1760">
        <f>COUNTIF(E12:E36,"x")</f>
        <v>25</v>
      </c>
      <c r="F37" s="1760">
        <f t="shared" ref="F37:AF37" si="1">COUNTIF(F12:F36,"x")</f>
        <v>25</v>
      </c>
      <c r="G37" s="1760">
        <f t="shared" si="1"/>
        <v>25</v>
      </c>
      <c r="H37" s="1760">
        <f t="shared" si="1"/>
        <v>25</v>
      </c>
      <c r="I37" s="1760">
        <f t="shared" si="1"/>
        <v>25</v>
      </c>
      <c r="J37" s="1760">
        <f t="shared" si="1"/>
        <v>25</v>
      </c>
      <c r="K37" s="1760">
        <f t="shared" si="1"/>
        <v>25</v>
      </c>
      <c r="L37" s="1760">
        <f t="shared" si="1"/>
        <v>25</v>
      </c>
      <c r="M37" s="1760">
        <f t="shared" si="1"/>
        <v>25</v>
      </c>
      <c r="N37" s="1760">
        <f t="shared" si="1"/>
        <v>25</v>
      </c>
      <c r="O37" s="1760">
        <f t="shared" si="1"/>
        <v>25</v>
      </c>
      <c r="P37" s="1760">
        <f t="shared" si="1"/>
        <v>25</v>
      </c>
      <c r="Q37" s="1760">
        <f t="shared" si="1"/>
        <v>25</v>
      </c>
      <c r="R37" s="1760">
        <f t="shared" si="1"/>
        <v>25</v>
      </c>
      <c r="S37" s="1760">
        <f t="shared" si="1"/>
        <v>25</v>
      </c>
      <c r="T37" s="1760">
        <f t="shared" si="1"/>
        <v>25</v>
      </c>
      <c r="U37" s="1760">
        <f t="shared" si="1"/>
        <v>25</v>
      </c>
      <c r="V37" s="1760">
        <f t="shared" si="1"/>
        <v>25</v>
      </c>
      <c r="W37" s="1760">
        <f t="shared" si="1"/>
        <v>25</v>
      </c>
      <c r="X37" s="1760">
        <f t="shared" si="1"/>
        <v>25</v>
      </c>
      <c r="Y37" s="1760">
        <f t="shared" si="1"/>
        <v>25</v>
      </c>
      <c r="Z37" s="1760">
        <f t="shared" si="1"/>
        <v>25</v>
      </c>
      <c r="AA37" s="1760">
        <f t="shared" si="1"/>
        <v>25</v>
      </c>
      <c r="AB37" s="1760">
        <f t="shared" si="1"/>
        <v>25</v>
      </c>
      <c r="AC37" s="1760">
        <f t="shared" si="1"/>
        <v>25</v>
      </c>
      <c r="AD37" s="1760">
        <f t="shared" si="1"/>
        <v>25</v>
      </c>
      <c r="AE37" s="1760">
        <f t="shared" si="1"/>
        <v>25</v>
      </c>
      <c r="AF37" s="1760">
        <f t="shared" si="1"/>
        <v>25</v>
      </c>
      <c r="AG37" s="1760"/>
      <c r="AH37" s="1760"/>
      <c r="AI37" s="1754"/>
      <c r="AJ37" s="1761">
        <f>SUM(AJ12:AJ36)</f>
        <v>700</v>
      </c>
      <c r="AK37" s="1761"/>
    </row>
    <row r="38" spans="1:37" ht="15.75" customHeight="1">
      <c r="B38" s="1768" t="s">
        <v>856</v>
      </c>
      <c r="C38" s="2269" t="s">
        <v>859</v>
      </c>
      <c r="D38" s="2269"/>
      <c r="E38" s="2269"/>
      <c r="F38" s="2269"/>
      <c r="G38" s="2269"/>
      <c r="H38" s="2269"/>
      <c r="I38" s="2269"/>
      <c r="J38" s="2269"/>
      <c r="K38" s="2269"/>
      <c r="L38" s="2269"/>
      <c r="M38" s="2269"/>
      <c r="N38" s="1762"/>
      <c r="O38" s="1762"/>
      <c r="P38" s="1762"/>
      <c r="Q38" s="1762"/>
      <c r="R38" s="1762"/>
      <c r="S38" s="1762"/>
      <c r="T38" s="1762"/>
      <c r="U38" s="2272" t="s">
        <v>1109</v>
      </c>
      <c r="V38" s="2272"/>
      <c r="W38" s="2272"/>
      <c r="X38" s="2272"/>
      <c r="Y38" s="2272"/>
      <c r="Z38" s="2272"/>
      <c r="AA38" s="2272"/>
      <c r="AB38" s="2272"/>
      <c r="AC38" s="2272"/>
      <c r="AD38" s="2272"/>
      <c r="AE38" s="2272"/>
      <c r="AF38" s="2272"/>
      <c r="AG38" s="2272"/>
      <c r="AH38" s="2272"/>
      <c r="AI38" s="2272"/>
      <c r="AJ38" s="2272"/>
      <c r="AK38" s="1763"/>
    </row>
    <row r="39" spans="1:37" ht="17.25" customHeight="1">
      <c r="A39" s="1764"/>
      <c r="C39" s="1807" t="s">
        <v>45</v>
      </c>
      <c r="J39" s="1765"/>
      <c r="K39" s="1765"/>
      <c r="M39" s="2273" t="s">
        <v>713</v>
      </c>
      <c r="N39" s="2273"/>
      <c r="O39" s="2273"/>
      <c r="P39" s="2273"/>
      <c r="Q39" s="2273"/>
      <c r="R39" s="2273"/>
      <c r="S39" s="2273"/>
      <c r="T39" s="2273"/>
      <c r="U39" s="1766"/>
      <c r="V39" s="1766"/>
      <c r="W39" s="1766"/>
      <c r="X39" s="1766"/>
      <c r="Y39" s="2273" t="s">
        <v>196</v>
      </c>
      <c r="Z39" s="2273"/>
      <c r="AA39" s="2273"/>
      <c r="AB39" s="2273"/>
      <c r="AC39" s="2273"/>
      <c r="AD39" s="2273"/>
      <c r="AE39" s="2273"/>
      <c r="AF39" s="2273"/>
      <c r="AG39" s="2273"/>
      <c r="AH39" s="2273"/>
      <c r="AI39" s="2273"/>
      <c r="AJ39" s="2273"/>
      <c r="AK39" s="1767"/>
    </row>
    <row r="40" spans="1:37" ht="15" customHeight="1">
      <c r="A40" s="1746"/>
      <c r="B40" s="1768"/>
      <c r="C40" s="1769"/>
      <c r="D40" s="1769"/>
      <c r="E40" s="1746"/>
      <c r="F40" s="1746"/>
      <c r="G40" s="1746"/>
      <c r="H40" s="1746"/>
      <c r="I40" s="1746"/>
      <c r="J40" s="1770"/>
      <c r="K40" s="1770"/>
      <c r="L40" s="1770"/>
      <c r="M40" s="1771"/>
      <c r="N40" s="1771"/>
      <c r="O40" s="1771"/>
      <c r="P40" s="1771"/>
      <c r="Q40" s="1771"/>
      <c r="R40" s="1771"/>
      <c r="S40" s="1771"/>
      <c r="T40" s="1771"/>
      <c r="U40" s="1771"/>
      <c r="V40" s="1771"/>
      <c r="W40" s="1771"/>
      <c r="X40" s="1771"/>
      <c r="Y40" s="1771"/>
      <c r="Z40" s="1771"/>
      <c r="AA40" s="1771"/>
      <c r="AB40" s="1771"/>
      <c r="AC40" s="1771"/>
      <c r="AD40" s="1771"/>
      <c r="AE40" s="1771"/>
      <c r="AF40" s="1771"/>
      <c r="AG40" s="1771"/>
      <c r="AH40" s="1771"/>
      <c r="AI40" s="1771"/>
      <c r="AJ40" s="1771"/>
      <c r="AK40" s="1771"/>
    </row>
    <row r="41" spans="1:37" ht="13.5" customHeight="1">
      <c r="A41" s="1746"/>
      <c r="B41" s="1772"/>
      <c r="C41" s="1769"/>
      <c r="D41" s="1769"/>
      <c r="E41" s="1746"/>
      <c r="F41" s="1746"/>
      <c r="G41" s="1746"/>
      <c r="H41" s="1746"/>
      <c r="I41" s="1746"/>
      <c r="J41" s="1746"/>
      <c r="K41" s="1746"/>
      <c r="L41" s="1746"/>
      <c r="M41" s="1746"/>
      <c r="N41" s="1746"/>
      <c r="O41" s="1771"/>
      <c r="P41" s="1771"/>
      <c r="Q41" s="1771"/>
      <c r="R41" s="1770"/>
      <c r="S41" s="1770"/>
      <c r="T41" s="1770"/>
      <c r="U41" s="1770"/>
      <c r="V41" s="1770"/>
      <c r="W41" s="1770"/>
      <c r="X41" s="1771"/>
      <c r="Y41" s="1771"/>
      <c r="Z41" s="1771"/>
      <c r="AA41" s="1771"/>
      <c r="AB41" s="1771"/>
      <c r="AC41" s="1771"/>
      <c r="AD41" s="1771"/>
      <c r="AE41" s="1771"/>
      <c r="AF41" s="1771"/>
      <c r="AG41" s="1771"/>
      <c r="AH41" s="1771"/>
      <c r="AI41" s="1771"/>
      <c r="AJ41" s="1770"/>
      <c r="AK41" s="1770"/>
    </row>
    <row r="42" spans="1:37" ht="13.5" customHeight="1">
      <c r="A42" s="1746"/>
      <c r="B42" s="1772"/>
      <c r="C42" s="1769"/>
      <c r="D42" s="1769"/>
      <c r="E42" s="1746"/>
      <c r="F42" s="1746"/>
      <c r="G42" s="1746"/>
      <c r="H42" s="1746"/>
      <c r="I42" s="1746"/>
      <c r="J42" s="1770"/>
      <c r="K42" s="1770"/>
      <c r="L42" s="1766"/>
      <c r="M42" s="1746"/>
      <c r="N42" s="1746"/>
      <c r="O42" s="1771"/>
      <c r="P42" s="1771"/>
      <c r="Q42" s="1771"/>
      <c r="R42" s="1771"/>
      <c r="S42" s="1771"/>
      <c r="T42" s="1771"/>
      <c r="U42" s="1771"/>
      <c r="V42" s="1771"/>
      <c r="W42" s="1771"/>
      <c r="X42" s="1771"/>
      <c r="Y42" s="1771"/>
      <c r="Z42" s="1771"/>
      <c r="AA42" s="1771"/>
      <c r="AB42" s="1771"/>
      <c r="AC42" s="1771"/>
      <c r="AD42" s="1771"/>
      <c r="AE42" s="1771"/>
      <c r="AF42" s="1771"/>
      <c r="AG42" s="1771"/>
      <c r="AH42" s="1771"/>
      <c r="AI42" s="1771"/>
      <c r="AJ42" s="1771"/>
      <c r="AK42" s="1771"/>
    </row>
    <row r="43" spans="1:37" ht="13.5" customHeight="1">
      <c r="A43" s="1746"/>
      <c r="B43" s="1772"/>
      <c r="C43" s="1769"/>
      <c r="D43" s="1769"/>
      <c r="E43" s="1746"/>
      <c r="F43" s="1746"/>
      <c r="G43" s="1746"/>
      <c r="H43" s="1746"/>
      <c r="I43" s="1746"/>
      <c r="J43" s="1746"/>
      <c r="K43" s="1746"/>
      <c r="L43" s="1766"/>
      <c r="M43" s="1746"/>
      <c r="N43" s="1746"/>
      <c r="O43" s="1771"/>
      <c r="P43" s="1771"/>
      <c r="Q43" s="1771"/>
      <c r="R43" s="1770"/>
      <c r="S43" s="1770"/>
      <c r="T43" s="1770"/>
      <c r="U43" s="1770"/>
      <c r="V43" s="1770"/>
      <c r="W43" s="1770"/>
      <c r="X43" s="1770"/>
      <c r="Y43" s="1770"/>
      <c r="Z43" s="1770"/>
      <c r="AA43" s="1770"/>
      <c r="AB43" s="1770"/>
      <c r="AC43" s="1770"/>
      <c r="AD43" s="1770"/>
      <c r="AE43" s="1770"/>
      <c r="AF43" s="1770"/>
      <c r="AG43" s="1770"/>
      <c r="AH43" s="1770"/>
      <c r="AI43" s="1770"/>
      <c r="AJ43" s="1770"/>
      <c r="AK43" s="1770"/>
    </row>
    <row r="44" spans="1:37" ht="12" customHeight="1">
      <c r="A44" s="1746"/>
      <c r="B44" s="1772"/>
      <c r="C44" s="1773"/>
      <c r="D44" s="1773"/>
      <c r="E44" s="1746"/>
      <c r="F44" s="1746"/>
      <c r="G44" s="1746"/>
      <c r="H44" s="1746"/>
      <c r="I44" s="1746"/>
      <c r="J44" s="1746"/>
      <c r="K44" s="1746"/>
      <c r="L44" s="1766"/>
      <c r="M44" s="1746"/>
      <c r="N44" s="1746"/>
      <c r="O44" s="1771"/>
      <c r="P44" s="1771"/>
      <c r="Q44" s="1771"/>
      <c r="R44" s="1770"/>
      <c r="S44" s="1770"/>
      <c r="T44" s="1770"/>
      <c r="U44" s="1770"/>
      <c r="V44" s="1770"/>
      <c r="W44" s="1770"/>
      <c r="X44" s="1770"/>
      <c r="Y44" s="1770"/>
      <c r="Z44" s="1770"/>
      <c r="AA44" s="1770"/>
      <c r="AB44" s="1770"/>
      <c r="AC44" s="1770"/>
      <c r="AD44" s="1770"/>
      <c r="AE44" s="1770"/>
      <c r="AF44" s="1770"/>
      <c r="AG44" s="1770"/>
      <c r="AH44" s="1770"/>
      <c r="AI44" s="1770"/>
      <c r="AJ44" s="1770"/>
      <c r="AK44" s="1770"/>
    </row>
    <row r="45" spans="1:37" ht="15.75" customHeight="1">
      <c r="A45" s="1746"/>
      <c r="B45" s="1772"/>
      <c r="C45" s="1746"/>
      <c r="D45" s="1746"/>
      <c r="E45" s="1746"/>
      <c r="F45" s="1746"/>
      <c r="G45" s="1746"/>
      <c r="H45" s="1746"/>
      <c r="I45" s="1746"/>
      <c r="J45" s="1746"/>
      <c r="K45" s="1746"/>
      <c r="M45" s="1746"/>
      <c r="N45" s="1766"/>
      <c r="O45" s="1766"/>
      <c r="P45" s="1766"/>
      <c r="Q45" s="1766"/>
      <c r="R45" s="1766"/>
      <c r="S45" s="1766"/>
      <c r="T45" s="1766"/>
      <c r="U45" s="1766"/>
      <c r="V45" s="1766"/>
      <c r="W45" s="1766"/>
      <c r="X45" s="1771"/>
      <c r="Y45" s="2273"/>
      <c r="Z45" s="2273"/>
      <c r="AA45" s="2273"/>
      <c r="AB45" s="2273"/>
      <c r="AC45" s="2273"/>
      <c r="AD45" s="2273"/>
      <c r="AE45" s="2273"/>
      <c r="AF45" s="2273"/>
      <c r="AG45" s="2273"/>
      <c r="AH45" s="2273"/>
      <c r="AI45" s="2273"/>
      <c r="AJ45" s="2273"/>
      <c r="AK45" s="1767"/>
    </row>
    <row r="46" spans="1:37" ht="13.5" customHeight="1">
      <c r="A46" s="1746"/>
      <c r="C46" s="1774"/>
      <c r="D46" s="1774"/>
      <c r="E46" s="1774"/>
      <c r="F46" s="1774"/>
      <c r="G46" s="1774"/>
      <c r="H46" s="1774"/>
      <c r="I46" s="1774"/>
      <c r="J46" s="1774"/>
      <c r="K46" s="1774"/>
      <c r="L46" s="1774"/>
      <c r="M46" s="1746"/>
      <c r="N46" s="1746"/>
      <c r="O46" s="1746"/>
      <c r="P46" s="1746"/>
      <c r="Q46" s="1746"/>
      <c r="R46" s="1746"/>
      <c r="S46" s="1746"/>
      <c r="T46" s="1746"/>
      <c r="U46" s="1746"/>
      <c r="V46" s="1746"/>
      <c r="W46" s="1746"/>
      <c r="X46" s="1746"/>
      <c r="Y46" s="1746"/>
      <c r="Z46" s="1746"/>
      <c r="AA46" s="1746"/>
      <c r="AB46" s="1746"/>
      <c r="AC46" s="1746"/>
      <c r="AD46" s="1746"/>
      <c r="AE46" s="1746"/>
      <c r="AF46" s="1746"/>
      <c r="AG46" s="1746"/>
      <c r="AH46" s="1746"/>
      <c r="AI46" s="1746"/>
      <c r="AJ46" s="1746"/>
      <c r="AK46" s="1746"/>
    </row>
    <row r="47" spans="1:37" ht="13.5" customHeight="1">
      <c r="A47" s="1746"/>
      <c r="E47" s="1773"/>
      <c r="F47" s="1773"/>
      <c r="G47" s="1773"/>
      <c r="H47" s="1773"/>
      <c r="I47" s="1773"/>
      <c r="J47" s="1746"/>
      <c r="K47" s="1746"/>
      <c r="L47" s="1746"/>
      <c r="M47" s="1746"/>
      <c r="N47" s="1746"/>
      <c r="O47" s="1746"/>
      <c r="P47" s="1746"/>
      <c r="Q47" s="1746"/>
      <c r="R47" s="1746"/>
      <c r="S47" s="1746"/>
      <c r="T47" s="1746"/>
      <c r="U47" s="1746"/>
      <c r="V47" s="1746"/>
      <c r="W47" s="1746"/>
      <c r="X47" s="1746"/>
      <c r="Y47" s="1746"/>
      <c r="Z47" s="1746"/>
      <c r="AA47" s="1746"/>
      <c r="AB47" s="1746"/>
      <c r="AC47" s="1746"/>
      <c r="AD47" s="1746"/>
      <c r="AE47" s="1746"/>
      <c r="AF47" s="1746"/>
      <c r="AG47" s="1746"/>
      <c r="AH47" s="1746"/>
      <c r="AI47" s="1746"/>
      <c r="AJ47" s="1746"/>
      <c r="AK47" s="1746"/>
    </row>
    <row r="48" spans="1:37" ht="15.75" customHeight="1">
      <c r="A48" s="1746"/>
    </row>
    <row r="49" spans="1:13">
      <c r="A49" s="1746"/>
      <c r="B49" s="1772"/>
      <c r="C49" s="2270"/>
      <c r="D49" s="2270"/>
      <c r="E49" s="2270"/>
      <c r="F49" s="2270"/>
      <c r="G49" s="2270"/>
      <c r="H49" s="2270"/>
      <c r="I49" s="2270"/>
      <c r="J49" s="2270"/>
      <c r="K49" s="2270"/>
      <c r="L49" s="2270"/>
      <c r="M49" s="2270"/>
    </row>
    <row r="50" spans="1:13">
      <c r="C50" s="2269"/>
      <c r="D50" s="2269"/>
      <c r="E50" s="2269"/>
      <c r="F50" s="2269"/>
      <c r="G50" s="2269"/>
      <c r="H50" s="2269"/>
      <c r="I50" s="2269"/>
      <c r="J50" s="2269"/>
      <c r="K50" s="2269"/>
      <c r="L50" s="2269"/>
      <c r="M50" s="2269"/>
    </row>
    <row r="51" spans="1:13">
      <c r="C51" s="2269"/>
      <c r="D51" s="2269"/>
      <c r="E51" s="2269"/>
      <c r="F51" s="2269"/>
      <c r="G51" s="2269"/>
      <c r="H51" s="2269"/>
      <c r="I51" s="2269"/>
      <c r="J51" s="2269"/>
      <c r="K51" s="2269"/>
      <c r="L51" s="2269"/>
      <c r="M51" s="2269"/>
    </row>
  </sheetData>
  <mergeCells count="23">
    <mergeCell ref="C38:M38"/>
    <mergeCell ref="C49:M49"/>
    <mergeCell ref="C50:M50"/>
    <mergeCell ref="C51:M51"/>
    <mergeCell ref="AK10:AK11"/>
    <mergeCell ref="A37:C37"/>
    <mergeCell ref="U38:AJ38"/>
    <mergeCell ref="Y39:AJ39"/>
    <mergeCell ref="Y45:AJ45"/>
    <mergeCell ref="M39:T39"/>
    <mergeCell ref="A9:AJ9"/>
    <mergeCell ref="A10:A11"/>
    <mergeCell ref="B10:B11"/>
    <mergeCell ref="C10:C11"/>
    <mergeCell ref="D10:D11"/>
    <mergeCell ref="E10:AH10"/>
    <mergeCell ref="AJ10:AJ11"/>
    <mergeCell ref="A8:AJ8"/>
    <mergeCell ref="A1:AJ1"/>
    <mergeCell ref="A2:AJ2"/>
    <mergeCell ref="A3:AJ3"/>
    <mergeCell ref="A5:P5"/>
    <mergeCell ref="A6:L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7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-0.249977111117893"/>
  </sheetPr>
  <dimension ref="A1:Z370"/>
  <sheetViews>
    <sheetView topLeftCell="E1" zoomScale="85" zoomScaleNormal="85" workbookViewId="0">
      <pane ySplit="1" topLeftCell="A2" activePane="bottomLeft" state="frozen"/>
      <selection pane="bottomLeft" activeCell="F7" sqref="F7"/>
    </sheetView>
  </sheetViews>
  <sheetFormatPr defaultColWidth="9.140625" defaultRowHeight="15"/>
  <cols>
    <col min="1" max="1" width="9.140625" style="742"/>
    <col min="2" max="2" width="0" style="113" hidden="1" customWidth="1"/>
    <col min="3" max="3" width="0" style="173" hidden="1" customWidth="1"/>
    <col min="4" max="4" width="20" style="2" customWidth="1"/>
    <col min="5" max="5" width="13.42578125" style="2" customWidth="1"/>
    <col min="6" max="6" width="9.140625" style="742"/>
    <col min="7" max="11" width="9.140625" style="2"/>
    <col min="12" max="12" width="12" style="55" customWidth="1"/>
    <col min="13" max="13" width="11.28515625" style="2" customWidth="1"/>
    <col min="14" max="14" width="9.140625" style="2"/>
    <col min="15" max="15" width="9.140625" style="2" customWidth="1"/>
    <col min="16" max="17" width="9.140625" style="2"/>
    <col min="18" max="18" width="9.28515625" style="2" customWidth="1"/>
    <col min="19" max="19" width="9.140625" style="2"/>
    <col min="20" max="20" width="9.140625" style="2" customWidth="1"/>
    <col min="21" max="21" width="20.42578125" style="2" customWidth="1"/>
    <col min="22" max="22" width="16.28515625" style="2" customWidth="1"/>
    <col min="23" max="23" width="9.140625" style="13"/>
    <col min="24" max="24" width="9.140625" style="2"/>
    <col min="25" max="25" width="20.5703125" style="2" customWidth="1"/>
    <col min="26" max="16384" width="9.140625" style="2"/>
  </cols>
  <sheetData>
    <row r="1" spans="1:26" s="235" customFormat="1" ht="16.5">
      <c r="A1" s="2111" t="s">
        <v>5</v>
      </c>
      <c r="B1" s="2111"/>
      <c r="C1" s="2111"/>
      <c r="D1" s="2111"/>
      <c r="E1" s="2111"/>
      <c r="F1" s="2111"/>
      <c r="G1" s="2111"/>
      <c r="H1" s="2111"/>
      <c r="I1" s="2111"/>
      <c r="J1" s="738"/>
      <c r="K1" s="738"/>
      <c r="L1" s="168"/>
      <c r="M1" s="2062" t="s">
        <v>90</v>
      </c>
      <c r="N1" s="2062"/>
      <c r="O1" s="2062"/>
      <c r="P1" s="2062"/>
      <c r="Q1" s="2062"/>
      <c r="R1" s="2062"/>
      <c r="S1" s="2062"/>
      <c r="T1" s="2062"/>
      <c r="U1" s="2062"/>
      <c r="V1" s="2062"/>
      <c r="W1" s="2062"/>
    </row>
    <row r="2" spans="1:26" s="235" customFormat="1" ht="16.5">
      <c r="A2" s="2277" t="s">
        <v>189</v>
      </c>
      <c r="B2" s="2277"/>
      <c r="C2" s="2277"/>
      <c r="D2" s="2277"/>
      <c r="E2" s="2277"/>
      <c r="F2" s="2277"/>
      <c r="G2" s="2277"/>
      <c r="H2" s="2277"/>
      <c r="I2" s="2277"/>
      <c r="J2" s="747"/>
      <c r="K2" s="747"/>
      <c r="L2" s="170"/>
      <c r="M2" s="2062" t="s">
        <v>56</v>
      </c>
      <c r="N2" s="2062"/>
      <c r="O2" s="2062"/>
      <c r="P2" s="2062"/>
      <c r="Q2" s="2062"/>
      <c r="R2" s="2062"/>
      <c r="S2" s="2062"/>
      <c r="T2" s="2062"/>
      <c r="U2" s="2062"/>
      <c r="V2" s="2062"/>
      <c r="W2" s="2062"/>
    </row>
    <row r="3" spans="1:26" s="235" customFormat="1" ht="16.5">
      <c r="L3" s="243"/>
      <c r="W3" s="13"/>
    </row>
    <row r="4" spans="1:26" s="235" customFormat="1" ht="18.75">
      <c r="A4" s="2126" t="s">
        <v>637</v>
      </c>
      <c r="B4" s="2126"/>
      <c r="C4" s="2126"/>
      <c r="D4" s="2126"/>
      <c r="E4" s="2126"/>
      <c r="F4" s="2126"/>
      <c r="G4" s="2126"/>
      <c r="H4" s="2126"/>
      <c r="I4" s="2126"/>
      <c r="J4" s="2126"/>
      <c r="K4" s="2126"/>
      <c r="L4" s="2126"/>
      <c r="M4" s="2126"/>
      <c r="N4" s="2126"/>
      <c r="O4" s="2126"/>
      <c r="P4" s="2126"/>
      <c r="Q4" s="2126"/>
      <c r="R4" s="2126"/>
      <c r="S4" s="2126"/>
      <c r="T4" s="2126"/>
      <c r="U4" s="2126"/>
      <c r="V4" s="2126"/>
      <c r="W4" s="2126"/>
    </row>
    <row r="5" spans="1:26" ht="18.75">
      <c r="A5" s="2126"/>
      <c r="B5" s="2126"/>
      <c r="C5" s="2126"/>
      <c r="D5" s="2126"/>
      <c r="E5" s="2126"/>
      <c r="F5" s="2126"/>
      <c r="G5" s="2126"/>
      <c r="H5" s="2126"/>
      <c r="I5" s="2126"/>
      <c r="J5" s="2126"/>
      <c r="K5" s="2126"/>
      <c r="L5" s="2126"/>
      <c r="M5" s="2126"/>
      <c r="N5" s="2126"/>
      <c r="O5" s="2126"/>
      <c r="P5" s="2126"/>
      <c r="Q5" s="2126"/>
      <c r="R5" s="2126"/>
      <c r="S5" s="2126"/>
      <c r="T5" s="2126"/>
      <c r="U5" s="2126"/>
      <c r="V5" s="2126"/>
      <c r="W5" s="2126"/>
    </row>
    <row r="6" spans="1:26">
      <c r="B6" s="421"/>
      <c r="C6" s="421"/>
      <c r="D6" s="2274" t="s">
        <v>322</v>
      </c>
      <c r="E6" s="2274"/>
      <c r="F6" s="422">
        <f>'[5]BẢNG KÊ LƯƠNG'!C9</f>
        <v>20743</v>
      </c>
      <c r="G6" s="13"/>
      <c r="H6" s="13"/>
      <c r="I6" s="2279"/>
      <c r="J6" s="2279"/>
      <c r="K6" s="2279"/>
      <c r="L6" s="2279"/>
      <c r="M6" s="13"/>
      <c r="N6" s="13"/>
      <c r="O6" s="13"/>
      <c r="P6" s="13"/>
      <c r="Q6" s="423"/>
      <c r="R6" s="423"/>
      <c r="S6" s="13"/>
      <c r="T6" s="13"/>
      <c r="U6" s="13"/>
      <c r="V6" s="13"/>
    </row>
    <row r="7" spans="1:26">
      <c r="B7" s="421"/>
      <c r="C7" s="421"/>
      <c r="D7" s="2275" t="s">
        <v>323</v>
      </c>
      <c r="E7" s="2275"/>
      <c r="F7" s="424">
        <f>'[5]BẢNG KÊ LƯƠNG'!C10</f>
        <v>1.0048999999999999</v>
      </c>
      <c r="G7" s="425"/>
      <c r="H7" s="425"/>
      <c r="I7" s="2279"/>
      <c r="J7" s="2279"/>
      <c r="K7" s="2279"/>
      <c r="L7" s="2279"/>
      <c r="M7" s="13"/>
      <c r="N7" s="13"/>
      <c r="O7" s="13"/>
      <c r="P7" s="13"/>
      <c r="Q7" s="13"/>
      <c r="R7" s="13"/>
      <c r="S7" s="13"/>
      <c r="T7" s="13"/>
      <c r="U7" s="13"/>
      <c r="V7" s="13"/>
      <c r="X7" s="2">
        <f>'[5]Bảng CC VP,BV'!AJ6</f>
        <v>26</v>
      </c>
      <c r="Y7" s="2">
        <f>ROUND(X7/30000,5)</f>
        <v>8.7000000000000001E-4</v>
      </c>
      <c r="Z7" s="55">
        <f>Y7*30000</f>
        <v>26.1</v>
      </c>
    </row>
    <row r="8" spans="1:26">
      <c r="A8" s="749"/>
      <c r="B8" s="172"/>
      <c r="D8" s="13"/>
      <c r="E8" s="13"/>
      <c r="F8" s="749"/>
      <c r="G8" s="13"/>
      <c r="H8" s="13"/>
      <c r="I8" s="13"/>
      <c r="J8" s="13"/>
      <c r="K8" s="13"/>
      <c r="L8" s="174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6">
      <c r="A9" s="1891" t="s">
        <v>11</v>
      </c>
      <c r="B9" s="2276" t="s">
        <v>145</v>
      </c>
      <c r="C9" s="1891" t="s">
        <v>12</v>
      </c>
      <c r="D9" s="1891"/>
      <c r="E9" s="1891" t="s">
        <v>15</v>
      </c>
      <c r="F9" s="1891" t="s">
        <v>16</v>
      </c>
      <c r="G9" s="1891"/>
      <c r="H9" s="1891"/>
      <c r="I9" s="1891"/>
      <c r="J9" s="1891"/>
      <c r="K9" s="1891"/>
      <c r="L9" s="1891"/>
      <c r="M9" s="1891"/>
      <c r="N9" s="1891"/>
      <c r="O9" s="1891"/>
      <c r="P9" s="1973" t="s">
        <v>274</v>
      </c>
      <c r="Q9" s="1973" t="s">
        <v>18</v>
      </c>
      <c r="R9" s="1973" t="s">
        <v>20</v>
      </c>
      <c r="S9" s="1973" t="s">
        <v>60</v>
      </c>
      <c r="T9" s="1973" t="s">
        <v>21</v>
      </c>
      <c r="U9" s="1973" t="s">
        <v>25</v>
      </c>
      <c r="V9" s="1973" t="s">
        <v>26</v>
      </c>
      <c r="W9" s="1973" t="s">
        <v>106</v>
      </c>
    </row>
    <row r="10" spans="1:26" ht="38.25">
      <c r="A10" s="1891"/>
      <c r="B10" s="2276"/>
      <c r="C10" s="161" t="s">
        <v>13</v>
      </c>
      <c r="D10" s="741" t="s">
        <v>14</v>
      </c>
      <c r="E10" s="1891"/>
      <c r="F10" s="743" t="s">
        <v>22</v>
      </c>
      <c r="G10" s="743" t="s">
        <v>23</v>
      </c>
      <c r="H10" s="743" t="s">
        <v>31</v>
      </c>
      <c r="I10" s="741" t="s">
        <v>17</v>
      </c>
      <c r="J10" s="175" t="s">
        <v>407</v>
      </c>
      <c r="K10" s="2291" t="s">
        <v>642</v>
      </c>
      <c r="L10" s="175" t="s">
        <v>24</v>
      </c>
      <c r="M10" s="743" t="s">
        <v>61</v>
      </c>
      <c r="N10" s="743" t="s">
        <v>57</v>
      </c>
      <c r="O10" s="743" t="s">
        <v>58</v>
      </c>
      <c r="P10" s="1891"/>
      <c r="Q10" s="1891"/>
      <c r="R10" s="1973"/>
      <c r="S10" s="1973"/>
      <c r="T10" s="1891"/>
      <c r="U10" s="1891"/>
      <c r="V10" s="1891"/>
      <c r="W10" s="1891"/>
    </row>
    <row r="11" spans="1:26" ht="56.25">
      <c r="A11" s="176" t="s">
        <v>63</v>
      </c>
      <c r="B11" s="426"/>
      <c r="C11" s="112" t="s">
        <v>64</v>
      </c>
      <c r="D11" s="176" t="s">
        <v>65</v>
      </c>
      <c r="E11" s="176" t="s">
        <v>66</v>
      </c>
      <c r="F11" s="176" t="s">
        <v>67</v>
      </c>
      <c r="G11" s="176" t="s">
        <v>68</v>
      </c>
      <c r="H11" s="176"/>
      <c r="I11" s="176" t="s">
        <v>509</v>
      </c>
      <c r="J11" s="176"/>
      <c r="K11" s="2292"/>
      <c r="L11" s="177" t="s">
        <v>69</v>
      </c>
      <c r="M11" s="176" t="s">
        <v>70</v>
      </c>
      <c r="N11" s="176" t="s">
        <v>510</v>
      </c>
      <c r="O11" s="176" t="s">
        <v>511</v>
      </c>
      <c r="P11" s="176"/>
      <c r="Q11" s="176" t="s">
        <v>71</v>
      </c>
      <c r="R11" s="176"/>
      <c r="S11" s="176" t="s">
        <v>72</v>
      </c>
      <c r="T11" s="176" t="s">
        <v>73</v>
      </c>
      <c r="U11" s="176" t="s">
        <v>74</v>
      </c>
      <c r="V11" s="176" t="s">
        <v>75</v>
      </c>
      <c r="W11" s="178"/>
    </row>
    <row r="12" spans="1:26">
      <c r="A12" s="427" t="s">
        <v>494</v>
      </c>
      <c r="B12" s="428" t="s">
        <v>495</v>
      </c>
      <c r="C12" s="427" t="s">
        <v>494</v>
      </c>
      <c r="D12" s="428" t="s">
        <v>496</v>
      </c>
      <c r="E12" s="428" t="s">
        <v>497</v>
      </c>
      <c r="F12" s="428" t="s">
        <v>498</v>
      </c>
      <c r="G12" s="428" t="s">
        <v>499</v>
      </c>
      <c r="H12" s="428"/>
      <c r="I12" s="428" t="s">
        <v>500</v>
      </c>
      <c r="J12" s="428"/>
      <c r="K12" s="428"/>
      <c r="L12" s="428" t="s">
        <v>501</v>
      </c>
      <c r="M12" s="428" t="s">
        <v>501</v>
      </c>
      <c r="N12" s="428" t="s">
        <v>512</v>
      </c>
      <c r="O12" s="428" t="s">
        <v>502</v>
      </c>
      <c r="P12" s="428" t="s">
        <v>503</v>
      </c>
      <c r="Q12" s="428" t="s">
        <v>496</v>
      </c>
      <c r="R12" s="428" t="s">
        <v>504</v>
      </c>
      <c r="S12" s="428" t="s">
        <v>513</v>
      </c>
      <c r="T12" s="428" t="s">
        <v>496</v>
      </c>
      <c r="U12" s="428" t="s">
        <v>505</v>
      </c>
      <c r="V12" s="428" t="s">
        <v>514</v>
      </c>
      <c r="W12" s="428" t="s">
        <v>515</v>
      </c>
    </row>
    <row r="13" spans="1:26" s="180" customFormat="1" ht="16.5">
      <c r="A13" s="294">
        <v>1</v>
      </c>
      <c r="B13" s="429" t="str">
        <f>[5]CNKT!B15</f>
        <v>01615</v>
      </c>
      <c r="C13" s="430"/>
      <c r="D13" s="431" t="e">
        <f>'LƯƠNG CN TRỰC TIẾP '!#REF!</f>
        <v>#REF!</v>
      </c>
      <c r="E13" s="431" t="str">
        <f>[5]CNKT!D13</f>
        <v>Đ. phó</v>
      </c>
      <c r="F13" s="432" t="e">
        <f>'LƯƠNG CN TRỰC TIẾP '!#REF!</f>
        <v>#REF!</v>
      </c>
      <c r="G13" s="433" t="e">
        <f>#REF!</f>
        <v>#REF!</v>
      </c>
      <c r="H13" s="433"/>
      <c r="I13" s="433" t="s">
        <v>120</v>
      </c>
      <c r="J13" s="433" t="e">
        <f>'LƯƠNG CN TRỰC TIẾP '!#REF!</f>
        <v>#REF!</v>
      </c>
      <c r="K13" s="433"/>
      <c r="L13" s="433" t="e">
        <f>J13+K13</f>
        <v>#REF!</v>
      </c>
      <c r="M13" s="433" t="e">
        <f>L13</f>
        <v>#REF!</v>
      </c>
      <c r="N13" s="433"/>
      <c r="O13" s="433"/>
      <c r="P13" s="339" t="e">
        <f>SUM(M13:O13)</f>
        <v>#REF!</v>
      </c>
      <c r="Q13" s="339"/>
      <c r="R13" s="434" t="e">
        <f>#REF!</f>
        <v>#REF!</v>
      </c>
      <c r="S13" s="339" t="e">
        <f>P13-R13</f>
        <v>#REF!</v>
      </c>
      <c r="T13" s="339"/>
      <c r="U13" s="435" t="e">
        <f>ROUND(S13-T13,0)</f>
        <v>#REF!</v>
      </c>
      <c r="V13" s="436"/>
      <c r="W13" s="431" t="s">
        <v>138</v>
      </c>
      <c r="X13" s="179"/>
    </row>
    <row r="14" spans="1:26" s="180" customFormat="1" ht="16.5">
      <c r="A14" s="295">
        <v>2</v>
      </c>
      <c r="B14" s="437">
        <f>[5]CNKT!B16</f>
        <v>0</v>
      </c>
      <c r="C14" s="438" t="s">
        <v>241</v>
      </c>
      <c r="D14" s="431" t="e">
        <f>'LƯƠNG CN TRỰC TIẾP '!#REF!</f>
        <v>#REF!</v>
      </c>
      <c r="E14" s="439" t="s">
        <v>213</v>
      </c>
      <c r="F14" s="432">
        <v>14.5</v>
      </c>
      <c r="G14" s="252">
        <v>29310.344827586207</v>
      </c>
      <c r="H14" s="252">
        <v>0</v>
      </c>
      <c r="I14" s="433" t="s">
        <v>120</v>
      </c>
      <c r="J14" s="252">
        <v>0</v>
      </c>
      <c r="K14" s="252">
        <v>150000</v>
      </c>
      <c r="L14" s="252">
        <v>1000000</v>
      </c>
      <c r="M14" s="252">
        <v>1000000</v>
      </c>
      <c r="N14" s="252">
        <v>0</v>
      </c>
      <c r="O14" s="252">
        <v>0</v>
      </c>
      <c r="P14" s="252">
        <v>1000000</v>
      </c>
      <c r="Q14" s="252">
        <v>0</v>
      </c>
      <c r="R14" s="252">
        <v>0</v>
      </c>
      <c r="S14" s="252">
        <v>1000000</v>
      </c>
      <c r="T14" s="252">
        <v>0</v>
      </c>
      <c r="U14" s="441">
        <v>1000000</v>
      </c>
      <c r="V14" s="442"/>
      <c r="W14" s="439" t="e">
        <f>D14</f>
        <v>#REF!</v>
      </c>
      <c r="X14" s="179"/>
    </row>
    <row r="15" spans="1:26" s="180" customFormat="1" ht="16.5">
      <c r="A15" s="295">
        <v>3</v>
      </c>
      <c r="B15" s="437"/>
      <c r="C15" s="438"/>
      <c r="D15" s="431" t="s">
        <v>245</v>
      </c>
      <c r="E15" s="439" t="s">
        <v>213</v>
      </c>
      <c r="F15" s="432">
        <v>14.5</v>
      </c>
      <c r="G15" s="252">
        <v>29310.344827586207</v>
      </c>
      <c r="H15" s="252">
        <v>0</v>
      </c>
      <c r="I15" s="433" t="s">
        <v>120</v>
      </c>
      <c r="J15" s="252">
        <v>0</v>
      </c>
      <c r="K15" s="252">
        <v>150000</v>
      </c>
      <c r="L15" s="252">
        <v>1000000</v>
      </c>
      <c r="M15" s="252">
        <v>1000000</v>
      </c>
      <c r="N15" s="252">
        <v>0</v>
      </c>
      <c r="O15" s="252">
        <v>0</v>
      </c>
      <c r="P15" s="252">
        <v>1000000</v>
      </c>
      <c r="Q15" s="252">
        <v>0</v>
      </c>
      <c r="R15" s="252">
        <v>0</v>
      </c>
      <c r="S15" s="252">
        <v>1000000</v>
      </c>
      <c r="T15" s="252">
        <v>0</v>
      </c>
      <c r="U15" s="441">
        <v>1000000</v>
      </c>
      <c r="V15" s="442"/>
      <c r="W15" s="439"/>
      <c r="X15" s="179"/>
    </row>
    <row r="16" spans="1:26" s="180" customFormat="1" ht="16.5">
      <c r="A16" s="295">
        <v>4</v>
      </c>
      <c r="B16" s="437"/>
      <c r="C16" s="438"/>
      <c r="D16" s="431"/>
      <c r="E16" s="439"/>
      <c r="F16" s="432"/>
      <c r="G16" s="252"/>
      <c r="H16" s="252"/>
      <c r="I16" s="252"/>
      <c r="J16" s="252"/>
      <c r="K16" s="252"/>
      <c r="L16" s="753">
        <v>1137253.4722222222</v>
      </c>
      <c r="M16" s="252"/>
      <c r="N16" s="252"/>
      <c r="O16" s="252"/>
      <c r="P16" s="252"/>
      <c r="Q16" s="252"/>
      <c r="R16" s="252"/>
      <c r="S16" s="252"/>
      <c r="T16" s="252"/>
      <c r="U16" s="441"/>
      <c r="V16" s="442"/>
      <c r="W16" s="439"/>
      <c r="X16" s="179"/>
    </row>
    <row r="17" spans="1:25" s="180" customFormat="1" ht="16.5">
      <c r="A17" s="295">
        <v>5</v>
      </c>
      <c r="B17" s="437"/>
      <c r="C17" s="438"/>
      <c r="D17" s="431"/>
      <c r="E17" s="439"/>
      <c r="F17" s="432"/>
      <c r="G17" s="252"/>
      <c r="H17" s="252"/>
      <c r="I17" s="252"/>
      <c r="J17" s="252"/>
      <c r="K17" s="252"/>
      <c r="L17" s="753">
        <v>1137253.4722222222</v>
      </c>
      <c r="M17" s="252"/>
      <c r="N17" s="252"/>
      <c r="O17" s="252"/>
      <c r="P17" s="252"/>
      <c r="Q17" s="252"/>
      <c r="R17" s="252"/>
      <c r="S17" s="252"/>
      <c r="T17" s="252"/>
      <c r="U17" s="441"/>
      <c r="V17" s="442"/>
      <c r="W17" s="439"/>
      <c r="X17" s="179"/>
    </row>
    <row r="18" spans="1:25" s="180" customFormat="1" ht="16.5">
      <c r="A18" s="295">
        <v>6</v>
      </c>
      <c r="B18" s="437"/>
      <c r="C18" s="438"/>
      <c r="D18" s="431"/>
      <c r="E18" s="439"/>
      <c r="F18" s="432"/>
      <c r="G18" s="252"/>
      <c r="H18" s="252"/>
      <c r="I18" s="252"/>
      <c r="J18" s="252"/>
      <c r="K18" s="252"/>
      <c r="L18" s="753">
        <v>1137253.4722222222</v>
      </c>
      <c r="M18" s="252"/>
      <c r="N18" s="252"/>
      <c r="O18" s="252"/>
      <c r="P18" s="252"/>
      <c r="Q18" s="252"/>
      <c r="R18" s="252"/>
      <c r="S18" s="252"/>
      <c r="T18" s="252"/>
      <c r="U18" s="441"/>
      <c r="V18" s="442"/>
      <c r="W18" s="439"/>
      <c r="X18" s="179"/>
    </row>
    <row r="19" spans="1:25" s="180" customFormat="1" ht="16.5">
      <c r="A19" s="295">
        <v>7</v>
      </c>
      <c r="B19" s="437"/>
      <c r="C19" s="438"/>
      <c r="D19" s="431"/>
      <c r="E19" s="439"/>
      <c r="F19" s="432"/>
      <c r="G19" s="252"/>
      <c r="H19" s="252"/>
      <c r="I19" s="252"/>
      <c r="J19" s="252"/>
      <c r="K19" s="252"/>
      <c r="L19" s="753">
        <v>1137253.4722222222</v>
      </c>
      <c r="M19" s="252"/>
      <c r="N19" s="252"/>
      <c r="O19" s="252"/>
      <c r="P19" s="252"/>
      <c r="Q19" s="252"/>
      <c r="R19" s="252"/>
      <c r="S19" s="252"/>
      <c r="T19" s="252"/>
      <c r="U19" s="441"/>
      <c r="V19" s="442"/>
      <c r="W19" s="439"/>
      <c r="X19" s="179"/>
    </row>
    <row r="20" spans="1:25" s="180" customFormat="1" ht="16.5">
      <c r="A20" s="295">
        <v>8</v>
      </c>
      <c r="B20" s="437"/>
      <c r="C20" s="438"/>
      <c r="D20" s="431"/>
      <c r="E20" s="439"/>
      <c r="F20" s="432"/>
      <c r="G20" s="252"/>
      <c r="H20" s="252"/>
      <c r="I20" s="252"/>
      <c r="J20" s="252"/>
      <c r="K20" s="252"/>
      <c r="L20" s="753">
        <v>1137253.4722222222</v>
      </c>
      <c r="M20" s="252"/>
      <c r="N20" s="252"/>
      <c r="O20" s="252"/>
      <c r="P20" s="252"/>
      <c r="Q20" s="252"/>
      <c r="R20" s="252"/>
      <c r="S20" s="252"/>
      <c r="T20" s="252"/>
      <c r="U20" s="441"/>
      <c r="V20" s="442"/>
      <c r="W20" s="439"/>
      <c r="X20" s="179"/>
    </row>
    <row r="21" spans="1:25" s="180" customFormat="1" ht="16.5">
      <c r="A21" s="295">
        <v>9</v>
      </c>
      <c r="B21" s="437"/>
      <c r="C21" s="438"/>
      <c r="D21" s="431"/>
      <c r="E21" s="439"/>
      <c r="F21" s="432"/>
      <c r="G21" s="252"/>
      <c r="H21" s="252"/>
      <c r="I21" s="252"/>
      <c r="J21" s="252"/>
      <c r="K21" s="252"/>
      <c r="L21" s="753">
        <v>1137253.4722222222</v>
      </c>
      <c r="M21" s="252"/>
      <c r="N21" s="252"/>
      <c r="O21" s="252"/>
      <c r="P21" s="252"/>
      <c r="Q21" s="252"/>
      <c r="R21" s="252"/>
      <c r="S21" s="252"/>
      <c r="T21" s="252"/>
      <c r="U21" s="441"/>
      <c r="V21" s="442"/>
      <c r="W21" s="439"/>
      <c r="X21" s="179"/>
      <c r="Y21" s="752"/>
    </row>
    <row r="22" spans="1:25" s="180" customFormat="1" ht="16.5">
      <c r="A22" s="295">
        <v>10</v>
      </c>
      <c r="B22" s="437"/>
      <c r="C22" s="438"/>
      <c r="D22" s="431"/>
      <c r="E22" s="439"/>
      <c r="F22" s="432"/>
      <c r="G22" s="252"/>
      <c r="H22" s="252"/>
      <c r="I22" s="252"/>
      <c r="J22" s="252"/>
      <c r="K22" s="252"/>
      <c r="L22" s="753">
        <v>1137253.4722222222</v>
      </c>
      <c r="M22" s="252"/>
      <c r="N22" s="252"/>
      <c r="O22" s="252"/>
      <c r="P22" s="252"/>
      <c r="Q22" s="252"/>
      <c r="R22" s="252"/>
      <c r="S22" s="252"/>
      <c r="T22" s="252"/>
      <c r="U22" s="441"/>
      <c r="V22" s="442"/>
      <c r="W22" s="439"/>
      <c r="X22" s="179"/>
    </row>
    <row r="23" spans="1:25" s="180" customFormat="1" ht="16.5">
      <c r="A23" s="295">
        <v>11</v>
      </c>
      <c r="B23" s="437"/>
      <c r="C23" s="438"/>
      <c r="D23" s="431"/>
      <c r="E23" s="439"/>
      <c r="F23" s="432"/>
      <c r="G23" s="252"/>
      <c r="H23" s="252"/>
      <c r="I23" s="252"/>
      <c r="J23" s="252"/>
      <c r="K23" s="252"/>
      <c r="L23" s="753">
        <v>1137253.4722222222</v>
      </c>
      <c r="M23" s="252"/>
      <c r="N23" s="252"/>
      <c r="O23" s="252"/>
      <c r="P23" s="252"/>
      <c r="Q23" s="252"/>
      <c r="R23" s="252"/>
      <c r="S23" s="252"/>
      <c r="T23" s="252"/>
      <c r="U23" s="441"/>
      <c r="V23" s="442"/>
      <c r="W23" s="439"/>
      <c r="X23" s="179"/>
    </row>
    <row r="24" spans="1:25" s="180" customFormat="1" ht="16.5">
      <c r="A24" s="295">
        <v>12</v>
      </c>
      <c r="B24" s="437"/>
      <c r="C24" s="438"/>
      <c r="D24" s="431"/>
      <c r="E24" s="439"/>
      <c r="F24" s="432"/>
      <c r="G24" s="252"/>
      <c r="H24" s="252"/>
      <c r="I24" s="252"/>
      <c r="J24" s="252"/>
      <c r="K24" s="252"/>
      <c r="L24" s="753">
        <v>1137253.4722222222</v>
      </c>
      <c r="M24" s="252"/>
      <c r="N24" s="252"/>
      <c r="O24" s="252"/>
      <c r="P24" s="252"/>
      <c r="Q24" s="252"/>
      <c r="R24" s="252"/>
      <c r="S24" s="252"/>
      <c r="T24" s="252"/>
      <c r="U24" s="441"/>
      <c r="V24" s="442"/>
      <c r="W24" s="439"/>
      <c r="X24" s="179"/>
    </row>
    <row r="25" spans="1:25" s="180" customFormat="1" ht="16.5">
      <c r="A25" s="295">
        <v>13</v>
      </c>
      <c r="B25" s="437"/>
      <c r="C25" s="438"/>
      <c r="D25" s="431"/>
      <c r="E25" s="439"/>
      <c r="F25" s="432"/>
      <c r="G25" s="252"/>
      <c r="H25" s="252"/>
      <c r="I25" s="252"/>
      <c r="J25" s="252"/>
      <c r="K25" s="252"/>
      <c r="L25" s="753">
        <v>1137253.4722222222</v>
      </c>
      <c r="M25" s="252"/>
      <c r="N25" s="252"/>
      <c r="O25" s="252"/>
      <c r="P25" s="252"/>
      <c r="Q25" s="252"/>
      <c r="R25" s="252"/>
      <c r="S25" s="252"/>
      <c r="T25" s="252"/>
      <c r="U25" s="441"/>
      <c r="V25" s="442"/>
      <c r="W25" s="439"/>
      <c r="X25" s="179"/>
    </row>
    <row r="26" spans="1:25" s="180" customFormat="1" ht="16.5">
      <c r="A26" s="295">
        <v>14</v>
      </c>
      <c r="B26" s="437"/>
      <c r="C26" s="438"/>
      <c r="D26" s="431"/>
      <c r="E26" s="439"/>
      <c r="F26" s="432"/>
      <c r="G26" s="252"/>
      <c r="H26" s="252"/>
      <c r="I26" s="252"/>
      <c r="J26" s="252"/>
      <c r="K26" s="252"/>
      <c r="L26" s="753">
        <v>1137253.4722222222</v>
      </c>
      <c r="M26" s="252"/>
      <c r="N26" s="252"/>
      <c r="O26" s="252"/>
      <c r="P26" s="252"/>
      <c r="Q26" s="252"/>
      <c r="R26" s="252"/>
      <c r="S26" s="252"/>
      <c r="T26" s="252"/>
      <c r="U26" s="441"/>
      <c r="V26" s="442"/>
      <c r="W26" s="439"/>
      <c r="X26" s="179"/>
    </row>
    <row r="27" spans="1:25" s="180" customFormat="1" ht="16.5">
      <c r="A27" s="295">
        <v>15</v>
      </c>
      <c r="B27" s="437"/>
      <c r="C27" s="438"/>
      <c r="D27" s="431"/>
      <c r="E27" s="439"/>
      <c r="F27" s="432"/>
      <c r="G27" s="252"/>
      <c r="H27" s="252"/>
      <c r="I27" s="252"/>
      <c r="J27" s="252"/>
      <c r="K27" s="252"/>
      <c r="L27" s="753">
        <v>1137253.4722222222</v>
      </c>
      <c r="M27" s="252"/>
      <c r="N27" s="252"/>
      <c r="O27" s="252"/>
      <c r="P27" s="252"/>
      <c r="Q27" s="252"/>
      <c r="R27" s="252"/>
      <c r="S27" s="252"/>
      <c r="T27" s="252"/>
      <c r="U27" s="441"/>
      <c r="V27" s="442"/>
      <c r="W27" s="439"/>
      <c r="X27" s="179"/>
    </row>
    <row r="28" spans="1:25" s="180" customFormat="1" ht="16.5">
      <c r="A28" s="295">
        <v>16</v>
      </c>
      <c r="B28" s="437"/>
      <c r="C28" s="438"/>
      <c r="D28" s="431"/>
      <c r="E28" s="439"/>
      <c r="F28" s="432"/>
      <c r="G28" s="252"/>
      <c r="H28" s="252"/>
      <c r="I28" s="252"/>
      <c r="J28" s="252"/>
      <c r="K28" s="252"/>
      <c r="L28" s="753">
        <v>1137253.4722222222</v>
      </c>
      <c r="M28" s="252"/>
      <c r="N28" s="252"/>
      <c r="O28" s="252"/>
      <c r="P28" s="252"/>
      <c r="Q28" s="252"/>
      <c r="R28" s="252"/>
      <c r="S28" s="252"/>
      <c r="T28" s="252"/>
      <c r="U28" s="441"/>
      <c r="V28" s="442"/>
      <c r="W28" s="439"/>
      <c r="X28" s="179"/>
    </row>
    <row r="29" spans="1:25" s="180" customFormat="1" ht="16.5">
      <c r="A29" s="295">
        <v>17</v>
      </c>
      <c r="B29" s="437"/>
      <c r="C29" s="438"/>
      <c r="D29" s="431"/>
      <c r="E29" s="439"/>
      <c r="F29" s="432"/>
      <c r="G29" s="252"/>
      <c r="H29" s="252"/>
      <c r="I29" s="252"/>
      <c r="J29" s="252"/>
      <c r="K29" s="252"/>
      <c r="L29" s="753">
        <v>1137253.4722222222</v>
      </c>
      <c r="M29" s="252"/>
      <c r="N29" s="252"/>
      <c r="O29" s="252"/>
      <c r="P29" s="252"/>
      <c r="Q29" s="252"/>
      <c r="R29" s="252"/>
      <c r="S29" s="252"/>
      <c r="T29" s="252"/>
      <c r="U29" s="441"/>
      <c r="V29" s="442"/>
      <c r="W29" s="439"/>
      <c r="X29" s="179"/>
    </row>
    <row r="30" spans="1:25" s="180" customFormat="1" ht="16.5">
      <c r="A30" s="295">
        <v>18</v>
      </c>
      <c r="B30" s="437"/>
      <c r="C30" s="438"/>
      <c r="D30" s="431"/>
      <c r="E30" s="439"/>
      <c r="F30" s="432"/>
      <c r="G30" s="252"/>
      <c r="H30" s="252"/>
      <c r="I30" s="252"/>
      <c r="J30" s="252"/>
      <c r="K30" s="252"/>
      <c r="L30" s="753">
        <v>1137253.4722222222</v>
      </c>
      <c r="M30" s="252"/>
      <c r="N30" s="252"/>
      <c r="O30" s="252"/>
      <c r="P30" s="252"/>
      <c r="Q30" s="252"/>
      <c r="R30" s="252"/>
      <c r="S30" s="252"/>
      <c r="T30" s="252"/>
      <c r="U30" s="441"/>
      <c r="V30" s="442"/>
      <c r="W30" s="439"/>
      <c r="X30" s="179"/>
    </row>
    <row r="31" spans="1:25" s="180" customFormat="1" ht="16.5">
      <c r="A31" s="295">
        <v>19</v>
      </c>
      <c r="B31" s="437"/>
      <c r="C31" s="438"/>
      <c r="D31" s="431"/>
      <c r="E31" s="439"/>
      <c r="F31" s="432"/>
      <c r="G31" s="252"/>
      <c r="H31" s="252"/>
      <c r="I31" s="252"/>
      <c r="J31" s="252"/>
      <c r="K31" s="252"/>
      <c r="L31" s="753">
        <v>1137253.4722222222</v>
      </c>
      <c r="M31" s="252"/>
      <c r="N31" s="252"/>
      <c r="O31" s="252"/>
      <c r="P31" s="252"/>
      <c r="Q31" s="252"/>
      <c r="R31" s="252"/>
      <c r="S31" s="252"/>
      <c r="T31" s="252"/>
      <c r="U31" s="441"/>
      <c r="V31" s="442"/>
      <c r="W31" s="439"/>
      <c r="X31" s="179"/>
    </row>
    <row r="32" spans="1:25" s="180" customFormat="1" ht="16.5">
      <c r="A32" s="295">
        <v>20</v>
      </c>
      <c r="B32" s="437"/>
      <c r="C32" s="438"/>
      <c r="D32" s="431"/>
      <c r="E32" s="439"/>
      <c r="F32" s="432"/>
      <c r="G32" s="252"/>
      <c r="H32" s="252"/>
      <c r="I32" s="252"/>
      <c r="J32" s="252"/>
      <c r="K32" s="252"/>
      <c r="L32" s="753">
        <v>1137253.4722222222</v>
      </c>
      <c r="M32" s="252"/>
      <c r="N32" s="252"/>
      <c r="O32" s="252"/>
      <c r="P32" s="252"/>
      <c r="Q32" s="252"/>
      <c r="R32" s="252"/>
      <c r="S32" s="252"/>
      <c r="T32" s="252"/>
      <c r="U32" s="441"/>
      <c r="V32" s="442"/>
      <c r="W32" s="439"/>
      <c r="X32" s="179"/>
    </row>
    <row r="33" spans="1:24" s="180" customFormat="1" ht="16.5">
      <c r="A33" s="295">
        <v>21</v>
      </c>
      <c r="B33" s="437"/>
      <c r="C33" s="438"/>
      <c r="D33" s="431"/>
      <c r="E33" s="439"/>
      <c r="F33" s="432"/>
      <c r="G33" s="252"/>
      <c r="H33" s="252"/>
      <c r="I33" s="252"/>
      <c r="J33" s="252"/>
      <c r="K33" s="252"/>
      <c r="L33" s="753">
        <v>1137253.4722222222</v>
      </c>
      <c r="M33" s="252"/>
      <c r="N33" s="252"/>
      <c r="O33" s="252"/>
      <c r="P33" s="252"/>
      <c r="Q33" s="252"/>
      <c r="R33" s="252"/>
      <c r="S33" s="252"/>
      <c r="T33" s="252"/>
      <c r="U33" s="441"/>
      <c r="V33" s="442"/>
      <c r="W33" s="439"/>
      <c r="X33" s="179"/>
    </row>
    <row r="34" spans="1:24" s="180" customFormat="1" ht="16.5">
      <c r="A34" s="295">
        <v>22</v>
      </c>
      <c r="B34" s="437"/>
      <c r="C34" s="438"/>
      <c r="D34" s="431"/>
      <c r="E34" s="439"/>
      <c r="F34" s="432"/>
      <c r="G34" s="252"/>
      <c r="H34" s="252"/>
      <c r="I34" s="252"/>
      <c r="J34" s="252"/>
      <c r="K34" s="252"/>
      <c r="L34" s="753">
        <v>1137253.4722222222</v>
      </c>
      <c r="M34" s="252"/>
      <c r="N34" s="252"/>
      <c r="O34" s="252"/>
      <c r="P34" s="252"/>
      <c r="Q34" s="252"/>
      <c r="R34" s="252"/>
      <c r="S34" s="252"/>
      <c r="T34" s="252"/>
      <c r="U34" s="441"/>
      <c r="V34" s="442"/>
      <c r="W34" s="439"/>
      <c r="X34" s="179"/>
    </row>
    <row r="35" spans="1:24" s="180" customFormat="1" ht="16.5">
      <c r="A35" s="295">
        <v>23</v>
      </c>
      <c r="B35" s="437"/>
      <c r="C35" s="438"/>
      <c r="D35" s="431"/>
      <c r="E35" s="439"/>
      <c r="F35" s="432"/>
      <c r="G35" s="252"/>
      <c r="H35" s="252"/>
      <c r="I35" s="252"/>
      <c r="J35" s="252"/>
      <c r="K35" s="252"/>
      <c r="L35" s="753">
        <v>1137253.4722222222</v>
      </c>
      <c r="M35" s="252"/>
      <c r="N35" s="252"/>
      <c r="O35" s="252"/>
      <c r="P35" s="252"/>
      <c r="Q35" s="252"/>
      <c r="R35" s="252"/>
      <c r="S35" s="252"/>
      <c r="T35" s="252"/>
      <c r="U35" s="441"/>
      <c r="V35" s="442"/>
      <c r="W35" s="439"/>
      <c r="X35" s="179"/>
    </row>
    <row r="36" spans="1:24" s="180" customFormat="1" ht="16.5">
      <c r="A36" s="295">
        <v>24</v>
      </c>
      <c r="B36" s="437"/>
      <c r="C36" s="438"/>
      <c r="D36" s="431"/>
      <c r="E36" s="439"/>
      <c r="F36" s="432"/>
      <c r="G36" s="252"/>
      <c r="H36" s="252"/>
      <c r="I36" s="252"/>
      <c r="J36" s="252"/>
      <c r="K36" s="252"/>
      <c r="L36" s="753">
        <v>1137253.4722222222</v>
      </c>
      <c r="M36" s="252"/>
      <c r="N36" s="252"/>
      <c r="O36" s="252"/>
      <c r="P36" s="252"/>
      <c r="Q36" s="252"/>
      <c r="R36" s="252"/>
      <c r="S36" s="252"/>
      <c r="T36" s="252"/>
      <c r="U36" s="441"/>
      <c r="V36" s="442"/>
      <c r="W36" s="439"/>
      <c r="X36" s="179"/>
    </row>
    <row r="37" spans="1:24" s="180" customFormat="1" ht="16.5">
      <c r="A37" s="295">
        <v>25</v>
      </c>
      <c r="B37" s="437"/>
      <c r="C37" s="438"/>
      <c r="D37" s="431"/>
      <c r="E37" s="439"/>
      <c r="F37" s="432"/>
      <c r="G37" s="252"/>
      <c r="H37" s="252"/>
      <c r="I37" s="252"/>
      <c r="J37" s="252"/>
      <c r="K37" s="252"/>
      <c r="L37" s="753">
        <v>1137253.4722222222</v>
      </c>
      <c r="M37" s="252"/>
      <c r="N37" s="252"/>
      <c r="O37" s="252"/>
      <c r="P37" s="252"/>
      <c r="Q37" s="252"/>
      <c r="R37" s="252"/>
      <c r="S37" s="252"/>
      <c r="T37" s="252"/>
      <c r="U37" s="441"/>
      <c r="V37" s="442"/>
      <c r="W37" s="439"/>
      <c r="X37" s="179"/>
    </row>
    <row r="38" spans="1:24" s="180" customFormat="1" ht="16.5">
      <c r="A38" s="295">
        <v>26</v>
      </c>
      <c r="B38" s="437"/>
      <c r="C38" s="438"/>
      <c r="D38" s="431"/>
      <c r="E38" s="439"/>
      <c r="F38" s="432"/>
      <c r="G38" s="252"/>
      <c r="H38" s="252"/>
      <c r="I38" s="252"/>
      <c r="J38" s="252"/>
      <c r="K38" s="252"/>
      <c r="L38" s="753">
        <v>1137253.4722222222</v>
      </c>
      <c r="M38" s="252"/>
      <c r="N38" s="252"/>
      <c r="O38" s="252"/>
      <c r="P38" s="252"/>
      <c r="Q38" s="252"/>
      <c r="R38" s="252"/>
      <c r="S38" s="252"/>
      <c r="T38" s="252"/>
      <c r="U38" s="441"/>
      <c r="V38" s="442"/>
      <c r="W38" s="439"/>
      <c r="X38" s="179"/>
    </row>
    <row r="39" spans="1:24" s="180" customFormat="1" ht="16.5">
      <c r="A39" s="295">
        <v>27</v>
      </c>
      <c r="B39" s="437"/>
      <c r="C39" s="438"/>
      <c r="D39" s="431"/>
      <c r="E39" s="439"/>
      <c r="F39" s="432"/>
      <c r="G39" s="252"/>
      <c r="H39" s="252"/>
      <c r="I39" s="252"/>
      <c r="J39" s="252"/>
      <c r="K39" s="252"/>
      <c r="L39" s="753">
        <v>1137253.4722222222</v>
      </c>
      <c r="M39" s="252"/>
      <c r="N39" s="252"/>
      <c r="O39" s="252"/>
      <c r="P39" s="252"/>
      <c r="Q39" s="252"/>
      <c r="R39" s="252"/>
      <c r="S39" s="252"/>
      <c r="T39" s="252"/>
      <c r="U39" s="441"/>
      <c r="V39" s="442"/>
      <c r="W39" s="439"/>
      <c r="X39" s="179"/>
    </row>
    <row r="40" spans="1:24" s="180" customFormat="1" ht="16.5">
      <c r="A40" s="295">
        <v>28</v>
      </c>
      <c r="B40" s="437"/>
      <c r="C40" s="438"/>
      <c r="D40" s="431"/>
      <c r="E40" s="439"/>
      <c r="F40" s="432"/>
      <c r="G40" s="252"/>
      <c r="H40" s="252"/>
      <c r="I40" s="252"/>
      <c r="J40" s="252"/>
      <c r="K40" s="252"/>
      <c r="L40" s="753">
        <v>1137253.4722222222</v>
      </c>
      <c r="M40" s="252"/>
      <c r="N40" s="252"/>
      <c r="O40" s="252"/>
      <c r="P40" s="252"/>
      <c r="Q40" s="252"/>
      <c r="R40" s="252"/>
      <c r="S40" s="252"/>
      <c r="T40" s="252"/>
      <c r="U40" s="441"/>
      <c r="V40" s="442"/>
      <c r="W40" s="439"/>
      <c r="X40" s="179"/>
    </row>
    <row r="41" spans="1:24" s="180" customFormat="1" ht="16.5">
      <c r="A41" s="295">
        <v>29</v>
      </c>
      <c r="B41" s="437"/>
      <c r="C41" s="438"/>
      <c r="D41" s="431"/>
      <c r="E41" s="439"/>
      <c r="F41" s="432"/>
      <c r="G41" s="252"/>
      <c r="H41" s="252"/>
      <c r="I41" s="252"/>
      <c r="J41" s="252"/>
      <c r="K41" s="252"/>
      <c r="L41" s="753">
        <v>1137253.4722222222</v>
      </c>
      <c r="M41" s="252"/>
      <c r="N41" s="252"/>
      <c r="O41" s="252"/>
      <c r="P41" s="252"/>
      <c r="Q41" s="252"/>
      <c r="R41" s="252"/>
      <c r="S41" s="252"/>
      <c r="T41" s="252"/>
      <c r="U41" s="441"/>
      <c r="V41" s="442"/>
      <c r="W41" s="439"/>
      <c r="X41" s="179"/>
    </row>
    <row r="42" spans="1:24" s="180" customFormat="1" ht="16.5">
      <c r="A42" s="295">
        <v>30</v>
      </c>
      <c r="B42" s="437"/>
      <c r="C42" s="438"/>
      <c r="D42" s="431"/>
      <c r="E42" s="439"/>
      <c r="F42" s="432"/>
      <c r="G42" s="252"/>
      <c r="H42" s="252"/>
      <c r="I42" s="252"/>
      <c r="J42" s="252"/>
      <c r="K42" s="252"/>
      <c r="L42" s="753">
        <v>1137253.4722222222</v>
      </c>
      <c r="M42" s="252"/>
      <c r="N42" s="252"/>
      <c r="O42" s="252"/>
      <c r="P42" s="252"/>
      <c r="Q42" s="252"/>
      <c r="R42" s="252"/>
      <c r="S42" s="252"/>
      <c r="T42" s="252"/>
      <c r="U42" s="441"/>
      <c r="V42" s="442"/>
      <c r="W42" s="439"/>
      <c r="X42" s="179"/>
    </row>
    <row r="43" spans="1:24" s="180" customFormat="1" ht="16.5">
      <c r="A43" s="295">
        <v>31</v>
      </c>
      <c r="B43" s="437"/>
      <c r="C43" s="438"/>
      <c r="D43" s="431"/>
      <c r="E43" s="439"/>
      <c r="F43" s="432"/>
      <c r="G43" s="252"/>
      <c r="H43" s="252"/>
      <c r="I43" s="252"/>
      <c r="J43" s="252"/>
      <c r="K43" s="252"/>
      <c r="L43" s="753">
        <v>1137253.4722222222</v>
      </c>
      <c r="M43" s="252"/>
      <c r="N43" s="252"/>
      <c r="O43" s="252"/>
      <c r="P43" s="252"/>
      <c r="Q43" s="252"/>
      <c r="R43" s="252"/>
      <c r="S43" s="252"/>
      <c r="T43" s="252"/>
      <c r="U43" s="441"/>
      <c r="V43" s="442"/>
      <c r="W43" s="439"/>
      <c r="X43" s="179"/>
    </row>
    <row r="44" spans="1:24" s="180" customFormat="1" ht="16.5">
      <c r="A44" s="295">
        <v>32</v>
      </c>
      <c r="B44" s="437"/>
      <c r="C44" s="438"/>
      <c r="D44" s="431"/>
      <c r="E44" s="439"/>
      <c r="F44" s="432"/>
      <c r="G44" s="252"/>
      <c r="H44" s="252"/>
      <c r="I44" s="252"/>
      <c r="J44" s="252"/>
      <c r="K44" s="252"/>
      <c r="L44" s="753">
        <v>1137253.4722222222</v>
      </c>
      <c r="M44" s="252"/>
      <c r="N44" s="252"/>
      <c r="O44" s="252"/>
      <c r="P44" s="252"/>
      <c r="Q44" s="252"/>
      <c r="R44" s="252"/>
      <c r="S44" s="252"/>
      <c r="T44" s="252"/>
      <c r="U44" s="441"/>
      <c r="V44" s="442"/>
      <c r="W44" s="439"/>
      <c r="X44" s="179"/>
    </row>
    <row r="45" spans="1:24" s="180" customFormat="1" ht="16.5">
      <c r="A45" s="295">
        <v>33</v>
      </c>
      <c r="B45" s="437"/>
      <c r="C45" s="438"/>
      <c r="D45" s="431"/>
      <c r="E45" s="439"/>
      <c r="F45" s="432"/>
      <c r="G45" s="252"/>
      <c r="H45" s="252"/>
      <c r="I45" s="252"/>
      <c r="J45" s="252"/>
      <c r="K45" s="252"/>
      <c r="L45" s="753">
        <v>1137253.4722222222</v>
      </c>
      <c r="M45" s="252"/>
      <c r="N45" s="252"/>
      <c r="O45" s="252"/>
      <c r="P45" s="252"/>
      <c r="Q45" s="252"/>
      <c r="R45" s="252"/>
      <c r="S45" s="252"/>
      <c r="T45" s="252"/>
      <c r="U45" s="441"/>
      <c r="V45" s="442"/>
      <c r="W45" s="439"/>
      <c r="X45" s="179"/>
    </row>
    <row r="46" spans="1:24" s="180" customFormat="1" ht="16.5">
      <c r="A46" s="295">
        <v>34</v>
      </c>
      <c r="B46" s="437"/>
      <c r="C46" s="438"/>
      <c r="D46" s="431"/>
      <c r="E46" s="439"/>
      <c r="F46" s="432"/>
      <c r="G46" s="252"/>
      <c r="H46" s="252"/>
      <c r="I46" s="252"/>
      <c r="J46" s="252"/>
      <c r="K46" s="252"/>
      <c r="L46" s="753">
        <v>1137253.4722222222</v>
      </c>
      <c r="M46" s="252"/>
      <c r="N46" s="252"/>
      <c r="O46" s="252"/>
      <c r="P46" s="252"/>
      <c r="Q46" s="252"/>
      <c r="R46" s="252"/>
      <c r="S46" s="252"/>
      <c r="T46" s="252"/>
      <c r="U46" s="441"/>
      <c r="V46" s="442"/>
      <c r="W46" s="439"/>
      <c r="X46" s="179"/>
    </row>
    <row r="47" spans="1:24" s="180" customFormat="1" ht="16.5">
      <c r="A47" s="295">
        <v>35</v>
      </c>
      <c r="B47" s="437"/>
      <c r="C47" s="438"/>
      <c r="D47" s="431"/>
      <c r="E47" s="439"/>
      <c r="F47" s="432"/>
      <c r="G47" s="252"/>
      <c r="H47" s="252"/>
      <c r="I47" s="252"/>
      <c r="J47" s="252"/>
      <c r="K47" s="252"/>
      <c r="L47" s="753">
        <v>1137253.4722222222</v>
      </c>
      <c r="M47" s="252"/>
      <c r="N47" s="252"/>
      <c r="O47" s="252"/>
      <c r="P47" s="252"/>
      <c r="Q47" s="252"/>
      <c r="R47" s="252"/>
      <c r="S47" s="252"/>
      <c r="T47" s="252"/>
      <c r="U47" s="441"/>
      <c r="V47" s="442"/>
      <c r="W47" s="439"/>
      <c r="X47" s="179"/>
    </row>
    <row r="48" spans="1:24" s="180" customFormat="1" ht="16.5">
      <c r="A48" s="295">
        <v>36</v>
      </c>
      <c r="B48" s="437"/>
      <c r="C48" s="438"/>
      <c r="D48" s="431"/>
      <c r="E48" s="439"/>
      <c r="F48" s="432"/>
      <c r="G48" s="252"/>
      <c r="H48" s="252"/>
      <c r="I48" s="252"/>
      <c r="J48" s="252"/>
      <c r="K48" s="252"/>
      <c r="L48" s="753">
        <v>1137253.4722222222</v>
      </c>
      <c r="M48" s="252"/>
      <c r="N48" s="252"/>
      <c r="O48" s="252"/>
      <c r="P48" s="252"/>
      <c r="Q48" s="252"/>
      <c r="R48" s="252"/>
      <c r="S48" s="252"/>
      <c r="T48" s="252"/>
      <c r="U48" s="441"/>
      <c r="V48" s="442"/>
      <c r="W48" s="439"/>
      <c r="X48" s="179"/>
    </row>
    <row r="49" spans="1:24" s="180" customFormat="1" ht="16.5">
      <c r="A49" s="295">
        <v>37</v>
      </c>
      <c r="B49" s="437"/>
      <c r="C49" s="438"/>
      <c r="D49" s="431"/>
      <c r="E49" s="439"/>
      <c r="F49" s="432"/>
      <c r="G49" s="252"/>
      <c r="H49" s="252"/>
      <c r="I49" s="252"/>
      <c r="J49" s="252"/>
      <c r="K49" s="252"/>
      <c r="L49" s="753">
        <v>1137253.4722222222</v>
      </c>
      <c r="M49" s="252"/>
      <c r="N49" s="252"/>
      <c r="O49" s="252"/>
      <c r="P49" s="252"/>
      <c r="Q49" s="252"/>
      <c r="R49" s="252"/>
      <c r="S49" s="252"/>
      <c r="T49" s="252"/>
      <c r="U49" s="441"/>
      <c r="V49" s="442"/>
      <c r="W49" s="439"/>
      <c r="X49" s="179"/>
    </row>
    <row r="50" spans="1:24" s="180" customFormat="1" ht="16.5">
      <c r="A50" s="295">
        <v>38</v>
      </c>
      <c r="B50" s="437"/>
      <c r="C50" s="438"/>
      <c r="D50" s="431"/>
      <c r="E50" s="439"/>
      <c r="F50" s="432"/>
      <c r="G50" s="252"/>
      <c r="H50" s="252"/>
      <c r="I50" s="252"/>
      <c r="J50" s="252"/>
      <c r="K50" s="252"/>
      <c r="L50" s="753">
        <v>1137253.4722222222</v>
      </c>
      <c r="M50" s="252"/>
      <c r="N50" s="252"/>
      <c r="O50" s="252"/>
      <c r="P50" s="252"/>
      <c r="Q50" s="252"/>
      <c r="R50" s="252"/>
      <c r="S50" s="252"/>
      <c r="T50" s="252"/>
      <c r="U50" s="441"/>
      <c r="V50" s="442"/>
      <c r="W50" s="439"/>
      <c r="X50" s="179"/>
    </row>
    <row r="51" spans="1:24" s="180" customFormat="1" ht="16.5">
      <c r="A51" s="295">
        <v>39</v>
      </c>
      <c r="B51" s="437"/>
      <c r="C51" s="438"/>
      <c r="D51" s="431"/>
      <c r="E51" s="439"/>
      <c r="F51" s="432"/>
      <c r="G51" s="252"/>
      <c r="H51" s="252"/>
      <c r="I51" s="252"/>
      <c r="J51" s="252"/>
      <c r="K51" s="252"/>
      <c r="L51" s="753">
        <v>1137253.4722222222</v>
      </c>
      <c r="M51" s="252"/>
      <c r="N51" s="252"/>
      <c r="O51" s="252"/>
      <c r="P51" s="252"/>
      <c r="Q51" s="252"/>
      <c r="R51" s="252"/>
      <c r="S51" s="252"/>
      <c r="T51" s="252"/>
      <c r="U51" s="441"/>
      <c r="V51" s="442"/>
      <c r="W51" s="439"/>
      <c r="X51" s="179"/>
    </row>
    <row r="52" spans="1:24" s="180" customFormat="1" ht="16.5">
      <c r="A52" s="295">
        <v>40</v>
      </c>
      <c r="B52" s="437"/>
      <c r="C52" s="438"/>
      <c r="D52" s="431"/>
      <c r="E52" s="439"/>
      <c r="F52" s="432"/>
      <c r="G52" s="252"/>
      <c r="H52" s="252"/>
      <c r="I52" s="252"/>
      <c r="J52" s="252"/>
      <c r="K52" s="252"/>
      <c r="L52" s="753">
        <v>1137253.4722222222</v>
      </c>
      <c r="M52" s="252"/>
      <c r="N52" s="252"/>
      <c r="O52" s="252"/>
      <c r="P52" s="252"/>
      <c r="Q52" s="252"/>
      <c r="R52" s="252"/>
      <c r="S52" s="252"/>
      <c r="T52" s="252"/>
      <c r="U52" s="441"/>
      <c r="V52" s="442"/>
      <c r="W52" s="439"/>
      <c r="X52" s="179"/>
    </row>
    <row r="53" spans="1:24" s="180" customFormat="1" ht="16.5">
      <c r="A53" s="295">
        <v>41</v>
      </c>
      <c r="B53" s="437"/>
      <c r="C53" s="438"/>
      <c r="D53" s="431"/>
      <c r="E53" s="439"/>
      <c r="F53" s="432"/>
      <c r="G53" s="252"/>
      <c r="H53" s="252"/>
      <c r="I53" s="252"/>
      <c r="J53" s="252"/>
      <c r="K53" s="252"/>
      <c r="L53" s="753">
        <v>1137253.4722222222</v>
      </c>
      <c r="M53" s="252"/>
      <c r="N53" s="252"/>
      <c r="O53" s="252"/>
      <c r="P53" s="252"/>
      <c r="Q53" s="252"/>
      <c r="R53" s="252"/>
      <c r="S53" s="252"/>
      <c r="T53" s="252"/>
      <c r="U53" s="441"/>
      <c r="V53" s="442"/>
      <c r="W53" s="439"/>
      <c r="X53" s="179"/>
    </row>
    <row r="54" spans="1:24" s="180" customFormat="1" ht="16.5">
      <c r="A54" s="295">
        <v>42</v>
      </c>
      <c r="B54" s="437"/>
      <c r="C54" s="438"/>
      <c r="D54" s="431"/>
      <c r="E54" s="439"/>
      <c r="F54" s="432"/>
      <c r="G54" s="252"/>
      <c r="H54" s="252"/>
      <c r="I54" s="252"/>
      <c r="J54" s="252"/>
      <c r="K54" s="252"/>
      <c r="L54" s="753">
        <v>1137253.4722222222</v>
      </c>
      <c r="M54" s="252"/>
      <c r="N54" s="252"/>
      <c r="O54" s="252"/>
      <c r="P54" s="252"/>
      <c r="Q54" s="252"/>
      <c r="R54" s="252"/>
      <c r="S54" s="252"/>
      <c r="T54" s="252"/>
      <c r="U54" s="441"/>
      <c r="V54" s="442"/>
      <c r="W54" s="439"/>
      <c r="X54" s="179"/>
    </row>
    <row r="55" spans="1:24" s="180" customFormat="1" ht="16.5">
      <c r="A55" s="295">
        <v>43</v>
      </c>
      <c r="B55" s="437"/>
      <c r="C55" s="438"/>
      <c r="D55" s="431"/>
      <c r="E55" s="439"/>
      <c r="F55" s="432"/>
      <c r="G55" s="252"/>
      <c r="H55" s="252"/>
      <c r="I55" s="252"/>
      <c r="J55" s="252"/>
      <c r="K55" s="252"/>
      <c r="L55" s="753">
        <v>1137253.4722222222</v>
      </c>
      <c r="M55" s="252"/>
      <c r="N55" s="252"/>
      <c r="O55" s="252"/>
      <c r="P55" s="252"/>
      <c r="Q55" s="252"/>
      <c r="R55" s="252"/>
      <c r="S55" s="252"/>
      <c r="T55" s="252"/>
      <c r="U55" s="441"/>
      <c r="V55" s="442"/>
      <c r="W55" s="439"/>
      <c r="X55" s="179"/>
    </row>
    <row r="56" spans="1:24" s="180" customFormat="1" ht="16.5">
      <c r="A56" s="295">
        <v>44</v>
      </c>
      <c r="B56" s="437"/>
      <c r="C56" s="438"/>
      <c r="D56" s="431"/>
      <c r="E56" s="439"/>
      <c r="F56" s="432"/>
      <c r="G56" s="252"/>
      <c r="H56" s="252"/>
      <c r="I56" s="252"/>
      <c r="J56" s="252"/>
      <c r="K56" s="252"/>
      <c r="L56" s="753">
        <v>1137253.4722222222</v>
      </c>
      <c r="M56" s="252"/>
      <c r="N56" s="252"/>
      <c r="O56" s="252"/>
      <c r="P56" s="252"/>
      <c r="Q56" s="252"/>
      <c r="R56" s="252"/>
      <c r="S56" s="252"/>
      <c r="T56" s="252"/>
      <c r="U56" s="441"/>
      <c r="V56" s="442"/>
      <c r="W56" s="439"/>
      <c r="X56" s="179"/>
    </row>
    <row r="57" spans="1:24" s="180" customFormat="1" ht="16.5">
      <c r="A57" s="295">
        <v>45</v>
      </c>
      <c r="B57" s="437"/>
      <c r="C57" s="438"/>
      <c r="D57" s="431"/>
      <c r="E57" s="439"/>
      <c r="F57" s="432"/>
      <c r="G57" s="252"/>
      <c r="H57" s="252"/>
      <c r="I57" s="252"/>
      <c r="J57" s="252"/>
      <c r="K57" s="252"/>
      <c r="L57" s="753">
        <v>1137253.4722222222</v>
      </c>
      <c r="M57" s="252"/>
      <c r="N57" s="252"/>
      <c r="O57" s="252"/>
      <c r="P57" s="252"/>
      <c r="Q57" s="252"/>
      <c r="R57" s="252"/>
      <c r="S57" s="252"/>
      <c r="T57" s="252"/>
      <c r="U57" s="441"/>
      <c r="V57" s="442"/>
      <c r="W57" s="439"/>
      <c r="X57" s="179"/>
    </row>
    <row r="58" spans="1:24" s="180" customFormat="1" ht="16.5">
      <c r="A58" s="295">
        <v>46</v>
      </c>
      <c r="B58" s="437"/>
      <c r="C58" s="438"/>
      <c r="D58" s="431"/>
      <c r="E58" s="439"/>
      <c r="F58" s="432"/>
      <c r="G58" s="252"/>
      <c r="H58" s="252"/>
      <c r="I58" s="252"/>
      <c r="J58" s="252"/>
      <c r="K58" s="252"/>
      <c r="L58" s="753">
        <v>1137253.4722222222</v>
      </c>
      <c r="M58" s="252"/>
      <c r="N58" s="252"/>
      <c r="O58" s="252"/>
      <c r="P58" s="252"/>
      <c r="Q58" s="252"/>
      <c r="R58" s="252"/>
      <c r="S58" s="252"/>
      <c r="T58" s="252"/>
      <c r="U58" s="441"/>
      <c r="V58" s="442"/>
      <c r="W58" s="439"/>
      <c r="X58" s="179"/>
    </row>
    <row r="59" spans="1:24" s="180" customFormat="1" ht="16.5">
      <c r="A59" s="295">
        <v>47</v>
      </c>
      <c r="B59" s="437"/>
      <c r="C59" s="438"/>
      <c r="D59" s="431"/>
      <c r="E59" s="439"/>
      <c r="F59" s="432"/>
      <c r="G59" s="252"/>
      <c r="H59" s="252"/>
      <c r="I59" s="252"/>
      <c r="J59" s="252"/>
      <c r="K59" s="252"/>
      <c r="L59" s="753">
        <v>1137253.4722222222</v>
      </c>
      <c r="M59" s="252"/>
      <c r="N59" s="252"/>
      <c r="O59" s="252"/>
      <c r="P59" s="252"/>
      <c r="Q59" s="252"/>
      <c r="R59" s="252"/>
      <c r="S59" s="252"/>
      <c r="T59" s="252"/>
      <c r="U59" s="441"/>
      <c r="V59" s="442"/>
      <c r="W59" s="439"/>
      <c r="X59" s="179"/>
    </row>
    <row r="60" spans="1:24" s="180" customFormat="1" ht="16.5">
      <c r="A60" s="295">
        <v>48</v>
      </c>
      <c r="B60" s="437"/>
      <c r="C60" s="438"/>
      <c r="D60" s="431"/>
      <c r="E60" s="439"/>
      <c r="F60" s="432"/>
      <c r="G60" s="252"/>
      <c r="H60" s="252"/>
      <c r="I60" s="252"/>
      <c r="J60" s="252"/>
      <c r="K60" s="252"/>
      <c r="L60" s="753">
        <v>1137253.4722222222</v>
      </c>
      <c r="M60" s="252"/>
      <c r="N60" s="252"/>
      <c r="O60" s="252"/>
      <c r="P60" s="252"/>
      <c r="Q60" s="252"/>
      <c r="R60" s="252"/>
      <c r="S60" s="252"/>
      <c r="T60" s="252"/>
      <c r="U60" s="441"/>
      <c r="V60" s="442"/>
      <c r="W60" s="439"/>
      <c r="X60" s="179"/>
    </row>
    <row r="61" spans="1:24" s="180" customFormat="1" ht="16.5">
      <c r="A61" s="295">
        <v>49</v>
      </c>
      <c r="B61" s="437"/>
      <c r="C61" s="438"/>
      <c r="D61" s="431"/>
      <c r="E61" s="439"/>
      <c r="F61" s="432"/>
      <c r="G61" s="252"/>
      <c r="H61" s="252"/>
      <c r="I61" s="252"/>
      <c r="J61" s="252"/>
      <c r="K61" s="252"/>
      <c r="L61" s="753">
        <v>1137253.4722222222</v>
      </c>
      <c r="M61" s="252"/>
      <c r="N61" s="252"/>
      <c r="O61" s="252"/>
      <c r="P61" s="252"/>
      <c r="Q61" s="252"/>
      <c r="R61" s="252"/>
      <c r="S61" s="252"/>
      <c r="T61" s="252"/>
      <c r="U61" s="441"/>
      <c r="V61" s="442"/>
      <c r="W61" s="439"/>
      <c r="X61" s="179"/>
    </row>
    <row r="62" spans="1:24" s="180" customFormat="1" ht="16.5">
      <c r="A62" s="295">
        <v>50</v>
      </c>
      <c r="B62" s="437"/>
      <c r="C62" s="438"/>
      <c r="D62" s="431"/>
      <c r="E62" s="439"/>
      <c r="F62" s="432"/>
      <c r="G62" s="252"/>
      <c r="H62" s="252"/>
      <c r="I62" s="252"/>
      <c r="J62" s="252"/>
      <c r="K62" s="252"/>
      <c r="L62" s="753">
        <v>1137253.4722222222</v>
      </c>
      <c r="M62" s="252"/>
      <c r="N62" s="252"/>
      <c r="O62" s="252"/>
      <c r="P62" s="252"/>
      <c r="Q62" s="252"/>
      <c r="R62" s="252"/>
      <c r="S62" s="252"/>
      <c r="T62" s="252"/>
      <c r="U62" s="441"/>
      <c r="V62" s="442"/>
      <c r="W62" s="439"/>
      <c r="X62" s="179"/>
    </row>
    <row r="63" spans="1:24" s="180" customFormat="1" ht="16.5">
      <c r="A63" s="295">
        <v>51</v>
      </c>
      <c r="B63" s="437"/>
      <c r="C63" s="438"/>
      <c r="D63" s="431"/>
      <c r="E63" s="439"/>
      <c r="F63" s="432"/>
      <c r="G63" s="252"/>
      <c r="H63" s="252"/>
      <c r="I63" s="252"/>
      <c r="J63" s="252"/>
      <c r="K63" s="252"/>
      <c r="L63" s="753">
        <v>1137253.4722222222</v>
      </c>
      <c r="M63" s="252"/>
      <c r="N63" s="252"/>
      <c r="O63" s="252"/>
      <c r="P63" s="252"/>
      <c r="Q63" s="252"/>
      <c r="R63" s="252"/>
      <c r="S63" s="252"/>
      <c r="T63" s="252"/>
      <c r="U63" s="441"/>
      <c r="V63" s="442"/>
      <c r="W63" s="439"/>
      <c r="X63" s="179"/>
    </row>
    <row r="64" spans="1:24" s="180" customFormat="1" ht="16.5">
      <c r="A64" s="295">
        <v>52</v>
      </c>
      <c r="B64" s="437"/>
      <c r="C64" s="438"/>
      <c r="D64" s="431"/>
      <c r="E64" s="439"/>
      <c r="F64" s="432"/>
      <c r="G64" s="252"/>
      <c r="H64" s="252"/>
      <c r="I64" s="252"/>
      <c r="J64" s="252"/>
      <c r="K64" s="252"/>
      <c r="L64" s="753">
        <v>1137253.4722222222</v>
      </c>
      <c r="M64" s="252"/>
      <c r="N64" s="252"/>
      <c r="O64" s="252"/>
      <c r="P64" s="252"/>
      <c r="Q64" s="252"/>
      <c r="R64" s="252"/>
      <c r="S64" s="252"/>
      <c r="T64" s="252"/>
      <c r="U64" s="441"/>
      <c r="V64" s="442"/>
      <c r="W64" s="439"/>
      <c r="X64" s="179"/>
    </row>
    <row r="65" spans="1:24" s="180" customFormat="1" ht="16.5">
      <c r="A65" s="295">
        <v>53</v>
      </c>
      <c r="B65" s="437"/>
      <c r="C65" s="438"/>
      <c r="D65" s="431"/>
      <c r="E65" s="439"/>
      <c r="F65" s="432"/>
      <c r="G65" s="252"/>
      <c r="H65" s="252"/>
      <c r="I65" s="252"/>
      <c r="J65" s="252"/>
      <c r="K65" s="252"/>
      <c r="L65" s="753">
        <v>1137253.4722222222</v>
      </c>
      <c r="M65" s="252"/>
      <c r="N65" s="252"/>
      <c r="O65" s="252"/>
      <c r="P65" s="252"/>
      <c r="Q65" s="252"/>
      <c r="R65" s="252"/>
      <c r="S65" s="252"/>
      <c r="T65" s="252"/>
      <c r="U65" s="441"/>
      <c r="V65" s="442"/>
      <c r="W65" s="439"/>
      <c r="X65" s="179"/>
    </row>
    <row r="66" spans="1:24" s="180" customFormat="1" ht="16.5">
      <c r="A66" s="295">
        <v>54</v>
      </c>
      <c r="B66" s="437"/>
      <c r="C66" s="438"/>
      <c r="D66" s="431"/>
      <c r="E66" s="439"/>
      <c r="F66" s="432"/>
      <c r="G66" s="252"/>
      <c r="H66" s="252"/>
      <c r="I66" s="252"/>
      <c r="J66" s="252"/>
      <c r="K66" s="252"/>
      <c r="L66" s="753">
        <v>1137253.4722222222</v>
      </c>
      <c r="M66" s="252"/>
      <c r="N66" s="252"/>
      <c r="O66" s="252"/>
      <c r="P66" s="252"/>
      <c r="Q66" s="252"/>
      <c r="R66" s="252"/>
      <c r="S66" s="252"/>
      <c r="T66" s="252"/>
      <c r="U66" s="441"/>
      <c r="V66" s="442"/>
      <c r="W66" s="439"/>
      <c r="X66" s="179"/>
    </row>
    <row r="67" spans="1:24" s="180" customFormat="1" ht="16.5">
      <c r="A67" s="295">
        <v>55</v>
      </c>
      <c r="B67" s="437"/>
      <c r="C67" s="438"/>
      <c r="D67" s="431"/>
      <c r="E67" s="439"/>
      <c r="F67" s="432"/>
      <c r="G67" s="252"/>
      <c r="H67" s="252"/>
      <c r="I67" s="252"/>
      <c r="J67" s="252"/>
      <c r="K67" s="252"/>
      <c r="L67" s="753">
        <v>1137253.4722222222</v>
      </c>
      <c r="M67" s="252"/>
      <c r="N67" s="252"/>
      <c r="O67" s="252"/>
      <c r="P67" s="252"/>
      <c r="Q67" s="252"/>
      <c r="R67" s="252"/>
      <c r="S67" s="252"/>
      <c r="T67" s="252"/>
      <c r="U67" s="441"/>
      <c r="V67" s="442"/>
      <c r="W67" s="439"/>
      <c r="X67" s="179"/>
    </row>
    <row r="68" spans="1:24" s="180" customFormat="1" ht="16.5">
      <c r="A68" s="295">
        <v>56</v>
      </c>
      <c r="B68" s="437"/>
      <c r="C68" s="438"/>
      <c r="D68" s="431"/>
      <c r="E68" s="439"/>
      <c r="F68" s="432"/>
      <c r="G68" s="252"/>
      <c r="H68" s="252"/>
      <c r="I68" s="252"/>
      <c r="J68" s="252"/>
      <c r="K68" s="252"/>
      <c r="L68" s="753">
        <v>1137253.4722222222</v>
      </c>
      <c r="M68" s="252"/>
      <c r="N68" s="252"/>
      <c r="O68" s="252"/>
      <c r="P68" s="252"/>
      <c r="Q68" s="252"/>
      <c r="R68" s="252"/>
      <c r="S68" s="252"/>
      <c r="T68" s="252"/>
      <c r="U68" s="441"/>
      <c r="V68" s="442"/>
      <c r="W68" s="439"/>
      <c r="X68" s="179"/>
    </row>
    <row r="69" spans="1:24" s="180" customFormat="1" ht="16.5">
      <c r="A69" s="295">
        <v>57</v>
      </c>
      <c r="B69" s="437"/>
      <c r="C69" s="438"/>
      <c r="D69" s="431"/>
      <c r="E69" s="439"/>
      <c r="F69" s="432"/>
      <c r="G69" s="252"/>
      <c r="H69" s="252"/>
      <c r="I69" s="252"/>
      <c r="J69" s="252"/>
      <c r="K69" s="252"/>
      <c r="L69" s="753">
        <v>1137253.4722222222</v>
      </c>
      <c r="M69" s="252"/>
      <c r="N69" s="252"/>
      <c r="O69" s="252"/>
      <c r="P69" s="252"/>
      <c r="Q69" s="252"/>
      <c r="R69" s="252"/>
      <c r="S69" s="252"/>
      <c r="T69" s="252"/>
      <c r="U69" s="441"/>
      <c r="V69" s="442"/>
      <c r="W69" s="439"/>
      <c r="X69" s="179"/>
    </row>
    <row r="70" spans="1:24" s="180" customFormat="1" ht="16.5">
      <c r="A70" s="295">
        <v>58</v>
      </c>
      <c r="B70" s="437"/>
      <c r="C70" s="438"/>
      <c r="D70" s="431"/>
      <c r="E70" s="439"/>
      <c r="F70" s="432"/>
      <c r="G70" s="252"/>
      <c r="H70" s="252"/>
      <c r="I70" s="252"/>
      <c r="J70" s="252"/>
      <c r="K70" s="252"/>
      <c r="L70" s="753">
        <v>1137253.4722222222</v>
      </c>
      <c r="M70" s="252"/>
      <c r="N70" s="252"/>
      <c r="O70" s="252"/>
      <c r="P70" s="252"/>
      <c r="Q70" s="252"/>
      <c r="R70" s="252"/>
      <c r="S70" s="252"/>
      <c r="T70" s="252"/>
      <c r="U70" s="441"/>
      <c r="V70" s="442"/>
      <c r="W70" s="439"/>
      <c r="X70" s="179"/>
    </row>
    <row r="71" spans="1:24" s="180" customFormat="1" ht="16.5">
      <c r="A71" s="295">
        <v>59</v>
      </c>
      <c r="B71" s="437"/>
      <c r="C71" s="438"/>
      <c r="D71" s="431"/>
      <c r="E71" s="439"/>
      <c r="F71" s="432"/>
      <c r="G71" s="252"/>
      <c r="H71" s="252"/>
      <c r="I71" s="252"/>
      <c r="J71" s="252"/>
      <c r="K71" s="252"/>
      <c r="L71" s="753">
        <v>1137253.4722222222</v>
      </c>
      <c r="M71" s="252"/>
      <c r="N71" s="252"/>
      <c r="O71" s="252"/>
      <c r="P71" s="252"/>
      <c r="Q71" s="252"/>
      <c r="R71" s="252"/>
      <c r="S71" s="252"/>
      <c r="T71" s="252"/>
      <c r="U71" s="441"/>
      <c r="V71" s="442"/>
      <c r="W71" s="439"/>
      <c r="X71" s="179"/>
    </row>
    <row r="72" spans="1:24" s="180" customFormat="1" ht="16.5">
      <c r="A72" s="295">
        <v>60</v>
      </c>
      <c r="B72" s="437"/>
      <c r="C72" s="438"/>
      <c r="D72" s="431"/>
      <c r="E72" s="439"/>
      <c r="F72" s="432"/>
      <c r="G72" s="252"/>
      <c r="H72" s="252"/>
      <c r="I72" s="252"/>
      <c r="J72" s="252"/>
      <c r="K72" s="252"/>
      <c r="L72" s="753">
        <v>1137253.4722222222</v>
      </c>
      <c r="M72" s="252"/>
      <c r="N72" s="252"/>
      <c r="O72" s="252"/>
      <c r="P72" s="252"/>
      <c r="Q72" s="252"/>
      <c r="R72" s="252"/>
      <c r="S72" s="252"/>
      <c r="T72" s="252"/>
      <c r="U72" s="441"/>
      <c r="V72" s="442"/>
      <c r="W72" s="439"/>
      <c r="X72" s="179"/>
    </row>
    <row r="73" spans="1:24" s="180" customFormat="1" ht="16.5">
      <c r="A73" s="295">
        <v>61</v>
      </c>
      <c r="B73" s="437"/>
      <c r="C73" s="438"/>
      <c r="D73" s="431"/>
      <c r="E73" s="439"/>
      <c r="F73" s="432"/>
      <c r="G73" s="252"/>
      <c r="H73" s="252"/>
      <c r="I73" s="252"/>
      <c r="J73" s="252"/>
      <c r="K73" s="252"/>
      <c r="L73" s="753">
        <v>1137253.4722222222</v>
      </c>
      <c r="M73" s="252"/>
      <c r="N73" s="252"/>
      <c r="O73" s="252"/>
      <c r="P73" s="252"/>
      <c r="Q73" s="252"/>
      <c r="R73" s="252"/>
      <c r="S73" s="252"/>
      <c r="T73" s="252"/>
      <c r="U73" s="441"/>
      <c r="V73" s="442"/>
      <c r="W73" s="439"/>
      <c r="X73" s="179"/>
    </row>
    <row r="74" spans="1:24" s="180" customFormat="1" ht="16.5">
      <c r="A74" s="295">
        <v>62</v>
      </c>
      <c r="B74" s="437"/>
      <c r="C74" s="438"/>
      <c r="D74" s="431"/>
      <c r="E74" s="439"/>
      <c r="F74" s="432"/>
      <c r="G74" s="252"/>
      <c r="H74" s="252"/>
      <c r="I74" s="252"/>
      <c r="J74" s="252"/>
      <c r="K74" s="252"/>
      <c r="L74" s="753">
        <v>1137253.4722222222</v>
      </c>
      <c r="M74" s="252"/>
      <c r="N74" s="252"/>
      <c r="O74" s="252"/>
      <c r="P74" s="252"/>
      <c r="Q74" s="252"/>
      <c r="R74" s="252"/>
      <c r="S74" s="252"/>
      <c r="T74" s="252"/>
      <c r="U74" s="441"/>
      <c r="V74" s="442"/>
      <c r="W74" s="439"/>
      <c r="X74" s="179"/>
    </row>
    <row r="75" spans="1:24" s="180" customFormat="1" ht="16.5">
      <c r="A75" s="295">
        <v>63</v>
      </c>
      <c r="B75" s="437"/>
      <c r="C75" s="438"/>
      <c r="D75" s="431"/>
      <c r="E75" s="439"/>
      <c r="F75" s="432"/>
      <c r="G75" s="252"/>
      <c r="H75" s="252"/>
      <c r="I75" s="252"/>
      <c r="J75" s="252"/>
      <c r="K75" s="252"/>
      <c r="L75" s="753">
        <v>1137253.4722222222</v>
      </c>
      <c r="M75" s="252"/>
      <c r="N75" s="252"/>
      <c r="O75" s="252"/>
      <c r="P75" s="252"/>
      <c r="Q75" s="252"/>
      <c r="R75" s="252"/>
      <c r="S75" s="252"/>
      <c r="T75" s="252"/>
      <c r="U75" s="441"/>
      <c r="V75" s="442"/>
      <c r="W75" s="439"/>
      <c r="X75" s="179"/>
    </row>
    <row r="76" spans="1:24" s="180" customFormat="1" ht="16.5">
      <c r="A76" s="295">
        <v>64</v>
      </c>
      <c r="B76" s="437"/>
      <c r="C76" s="438"/>
      <c r="D76" s="431"/>
      <c r="E76" s="439"/>
      <c r="F76" s="432"/>
      <c r="G76" s="252"/>
      <c r="H76" s="252"/>
      <c r="I76" s="252"/>
      <c r="J76" s="252"/>
      <c r="K76" s="252"/>
      <c r="L76" s="753">
        <v>1137253.4722222222</v>
      </c>
      <c r="M76" s="252"/>
      <c r="N76" s="252"/>
      <c r="O76" s="252"/>
      <c r="P76" s="252"/>
      <c r="Q76" s="252"/>
      <c r="R76" s="252"/>
      <c r="S76" s="252"/>
      <c r="T76" s="252"/>
      <c r="U76" s="441"/>
      <c r="V76" s="442"/>
      <c r="W76" s="439"/>
      <c r="X76" s="179"/>
    </row>
    <row r="77" spans="1:24" s="180" customFormat="1" ht="16.5">
      <c r="A77" s="295">
        <v>65</v>
      </c>
      <c r="B77" s="437"/>
      <c r="C77" s="438"/>
      <c r="D77" s="431"/>
      <c r="E77" s="439"/>
      <c r="F77" s="432"/>
      <c r="G77" s="252"/>
      <c r="H77" s="252"/>
      <c r="I77" s="252"/>
      <c r="J77" s="252"/>
      <c r="K77" s="252"/>
      <c r="L77" s="753">
        <v>1137253.4722222222</v>
      </c>
      <c r="M77" s="252"/>
      <c r="N77" s="252"/>
      <c r="O77" s="252"/>
      <c r="P77" s="252"/>
      <c r="Q77" s="252"/>
      <c r="R77" s="252"/>
      <c r="S77" s="252"/>
      <c r="T77" s="252"/>
      <c r="U77" s="441"/>
      <c r="V77" s="442"/>
      <c r="W77" s="439"/>
      <c r="X77" s="179"/>
    </row>
    <row r="78" spans="1:24" s="180" customFormat="1" ht="16.5">
      <c r="A78" s="295">
        <v>66</v>
      </c>
      <c r="B78" s="437"/>
      <c r="C78" s="438"/>
      <c r="D78" s="431"/>
      <c r="E78" s="439"/>
      <c r="F78" s="432"/>
      <c r="G78" s="252"/>
      <c r="H78" s="252"/>
      <c r="I78" s="252"/>
      <c r="J78" s="252"/>
      <c r="K78" s="252"/>
      <c r="L78" s="753">
        <v>1137253.4722222222</v>
      </c>
      <c r="M78" s="252"/>
      <c r="N78" s="252"/>
      <c r="O78" s="252"/>
      <c r="P78" s="252"/>
      <c r="Q78" s="252"/>
      <c r="R78" s="252"/>
      <c r="S78" s="252"/>
      <c r="T78" s="252"/>
      <c r="U78" s="441"/>
      <c r="V78" s="442"/>
      <c r="W78" s="439"/>
      <c r="X78" s="179"/>
    </row>
    <row r="79" spans="1:24" s="180" customFormat="1" ht="16.5">
      <c r="A79" s="295">
        <v>67</v>
      </c>
      <c r="B79" s="437"/>
      <c r="C79" s="438"/>
      <c r="D79" s="431"/>
      <c r="E79" s="439"/>
      <c r="F79" s="432"/>
      <c r="G79" s="252"/>
      <c r="H79" s="252"/>
      <c r="I79" s="252"/>
      <c r="J79" s="252"/>
      <c r="K79" s="252"/>
      <c r="L79" s="753">
        <v>1137253.4722222222</v>
      </c>
      <c r="M79" s="252"/>
      <c r="N79" s="252"/>
      <c r="O79" s="252"/>
      <c r="P79" s="252"/>
      <c r="Q79" s="252"/>
      <c r="R79" s="252"/>
      <c r="S79" s="252"/>
      <c r="T79" s="252"/>
      <c r="U79" s="441"/>
      <c r="V79" s="442"/>
      <c r="W79" s="439"/>
      <c r="X79" s="179"/>
    </row>
    <row r="80" spans="1:24" s="180" customFormat="1" ht="16.5">
      <c r="A80" s="295"/>
      <c r="B80" s="437"/>
      <c r="C80" s="438"/>
      <c r="D80" s="431"/>
      <c r="E80" s="439"/>
      <c r="F80" s="432"/>
      <c r="G80" s="252"/>
      <c r="H80" s="252"/>
      <c r="I80" s="252"/>
      <c r="J80" s="252"/>
      <c r="K80" s="252"/>
      <c r="L80" s="753">
        <v>1137253.4722222222</v>
      </c>
      <c r="M80" s="252"/>
      <c r="N80" s="252"/>
      <c r="O80" s="252"/>
      <c r="P80" s="252"/>
      <c r="Q80" s="252"/>
      <c r="R80" s="252"/>
      <c r="S80" s="252"/>
      <c r="T80" s="252"/>
      <c r="U80" s="441"/>
      <c r="V80" s="442"/>
      <c r="W80" s="439"/>
      <c r="X80" s="179"/>
    </row>
    <row r="81" spans="1:24" s="180" customFormat="1" ht="16.5">
      <c r="A81" s="295"/>
      <c r="B81" s="437"/>
      <c r="C81" s="438"/>
      <c r="D81" s="431"/>
      <c r="E81" s="439"/>
      <c r="F81" s="432"/>
      <c r="G81" s="252"/>
      <c r="H81" s="252"/>
      <c r="I81" s="252"/>
      <c r="J81" s="252"/>
      <c r="K81" s="252"/>
      <c r="L81" s="753">
        <v>1137253.4722222222</v>
      </c>
      <c r="M81" s="252"/>
      <c r="N81" s="252"/>
      <c r="O81" s="252"/>
      <c r="P81" s="252"/>
      <c r="Q81" s="252"/>
      <c r="R81" s="252"/>
      <c r="S81" s="252"/>
      <c r="T81" s="252"/>
      <c r="U81" s="441"/>
      <c r="V81" s="442"/>
      <c r="W81" s="439"/>
      <c r="X81" s="179"/>
    </row>
    <row r="82" spans="1:24" s="180" customFormat="1" ht="16.5">
      <c r="A82" s="295"/>
      <c r="B82" s="437"/>
      <c r="C82" s="438"/>
      <c r="D82" s="431"/>
      <c r="E82" s="439"/>
      <c r="F82" s="432"/>
      <c r="G82" s="252"/>
      <c r="H82" s="252"/>
      <c r="I82" s="252"/>
      <c r="J82" s="252"/>
      <c r="K82" s="252"/>
      <c r="L82" s="753">
        <v>1137253.4722222222</v>
      </c>
      <c r="M82" s="252"/>
      <c r="N82" s="252"/>
      <c r="O82" s="252"/>
      <c r="P82" s="252"/>
      <c r="Q82" s="252"/>
      <c r="R82" s="252"/>
      <c r="S82" s="252"/>
      <c r="T82" s="252"/>
      <c r="U82" s="441"/>
      <c r="V82" s="442"/>
      <c r="W82" s="439"/>
      <c r="X82" s="179"/>
    </row>
    <row r="83" spans="1:24" s="180" customFormat="1" ht="16.5">
      <c r="A83" s="295"/>
      <c r="B83" s="437"/>
      <c r="C83" s="438"/>
      <c r="D83" s="431"/>
      <c r="E83" s="439"/>
      <c r="F83" s="432"/>
      <c r="G83" s="252"/>
      <c r="H83" s="252"/>
      <c r="I83" s="252"/>
      <c r="J83" s="252"/>
      <c r="K83" s="252"/>
      <c r="L83" s="753">
        <v>1137253.4722222222</v>
      </c>
      <c r="M83" s="252"/>
      <c r="N83" s="252"/>
      <c r="O83" s="252"/>
      <c r="P83" s="252"/>
      <c r="Q83" s="252"/>
      <c r="R83" s="252"/>
      <c r="S83" s="252"/>
      <c r="T83" s="252"/>
      <c r="U83" s="441"/>
      <c r="V83" s="442"/>
      <c r="W83" s="439"/>
      <c r="X83" s="179"/>
    </row>
    <row r="84" spans="1:24" s="180" customFormat="1" ht="16.5">
      <c r="A84" s="295"/>
      <c r="B84" s="437"/>
      <c r="C84" s="438"/>
      <c r="D84" s="431"/>
      <c r="E84" s="439"/>
      <c r="F84" s="432"/>
      <c r="G84" s="252"/>
      <c r="H84" s="252"/>
      <c r="I84" s="252"/>
      <c r="J84" s="252"/>
      <c r="K84" s="252"/>
      <c r="L84" s="753">
        <v>1137253.4722222222</v>
      </c>
      <c r="M84" s="252"/>
      <c r="N84" s="252"/>
      <c r="O84" s="252"/>
      <c r="P84" s="252"/>
      <c r="Q84" s="252"/>
      <c r="R84" s="252"/>
      <c r="S84" s="252"/>
      <c r="T84" s="252"/>
      <c r="U84" s="441"/>
      <c r="V84" s="442"/>
      <c r="W84" s="439"/>
      <c r="X84" s="179"/>
    </row>
    <row r="85" spans="1:24" s="180" customFormat="1" ht="16.5">
      <c r="A85" s="295"/>
      <c r="B85" s="437"/>
      <c r="C85" s="438"/>
      <c r="D85" s="431"/>
      <c r="E85" s="439"/>
      <c r="F85" s="432"/>
      <c r="G85" s="252"/>
      <c r="H85" s="252"/>
      <c r="I85" s="252"/>
      <c r="J85" s="252"/>
      <c r="K85" s="252"/>
      <c r="L85" s="753">
        <v>1137253.4722222222</v>
      </c>
      <c r="M85" s="252"/>
      <c r="N85" s="252"/>
      <c r="O85" s="252"/>
      <c r="P85" s="252"/>
      <c r="Q85" s="252"/>
      <c r="R85" s="252"/>
      <c r="S85" s="252"/>
      <c r="T85" s="252"/>
      <c r="U85" s="441"/>
      <c r="V85" s="442"/>
      <c r="W85" s="439"/>
      <c r="X85" s="179"/>
    </row>
    <row r="86" spans="1:24" s="180" customFormat="1" ht="16.5">
      <c r="A86" s="295"/>
      <c r="B86" s="437"/>
      <c r="C86" s="438"/>
      <c r="D86" s="431"/>
      <c r="E86" s="439"/>
      <c r="F86" s="432"/>
      <c r="G86" s="252"/>
      <c r="H86" s="252"/>
      <c r="I86" s="252"/>
      <c r="J86" s="252"/>
      <c r="K86" s="252"/>
      <c r="L86" s="753">
        <v>1137253.4722222222</v>
      </c>
      <c r="M86" s="252"/>
      <c r="N86" s="252"/>
      <c r="O86" s="252"/>
      <c r="P86" s="252"/>
      <c r="Q86" s="252"/>
      <c r="R86" s="252"/>
      <c r="S86" s="252"/>
      <c r="T86" s="252"/>
      <c r="U86" s="441"/>
      <c r="V86" s="442"/>
      <c r="W86" s="439"/>
      <c r="X86" s="179"/>
    </row>
    <row r="87" spans="1:24" s="180" customFormat="1" ht="16.5">
      <c r="A87" s="295"/>
      <c r="B87" s="437"/>
      <c r="C87" s="438"/>
      <c r="D87" s="431"/>
      <c r="E87" s="439"/>
      <c r="F87" s="432"/>
      <c r="G87" s="252"/>
      <c r="H87" s="252"/>
      <c r="I87" s="252"/>
      <c r="J87" s="252"/>
      <c r="K87" s="252"/>
      <c r="L87" s="753">
        <v>1137253.4722222222</v>
      </c>
      <c r="M87" s="252"/>
      <c r="N87" s="252"/>
      <c r="O87" s="252"/>
      <c r="P87" s="252"/>
      <c r="Q87" s="252"/>
      <c r="R87" s="252"/>
      <c r="S87" s="252"/>
      <c r="T87" s="252"/>
      <c r="U87" s="441"/>
      <c r="V87" s="442"/>
      <c r="W87" s="439"/>
      <c r="X87" s="179"/>
    </row>
    <row r="88" spans="1:24" s="180" customFormat="1" ht="16.5">
      <c r="A88" s="295">
        <v>68</v>
      </c>
      <c r="B88" s="437"/>
      <c r="C88" s="438"/>
      <c r="D88" s="431"/>
      <c r="E88" s="439"/>
      <c r="F88" s="432"/>
      <c r="G88" s="252"/>
      <c r="H88" s="252"/>
      <c r="I88" s="252"/>
      <c r="J88" s="252"/>
      <c r="K88" s="252"/>
      <c r="L88" s="753">
        <v>1137253.4722222222</v>
      </c>
      <c r="M88" s="252"/>
      <c r="N88" s="252"/>
      <c r="O88" s="252"/>
      <c r="P88" s="252"/>
      <c r="Q88" s="252"/>
      <c r="R88" s="252"/>
      <c r="S88" s="252"/>
      <c r="T88" s="252"/>
      <c r="U88" s="441"/>
      <c r="V88" s="442"/>
      <c r="W88" s="439"/>
      <c r="X88" s="179"/>
    </row>
    <row r="89" spans="1:24" s="180" customFormat="1" ht="16.5">
      <c r="A89" s="295">
        <v>69</v>
      </c>
      <c r="B89" s="437"/>
      <c r="C89" s="438"/>
      <c r="D89" s="431"/>
      <c r="E89" s="439"/>
      <c r="F89" s="432"/>
      <c r="G89" s="252"/>
      <c r="H89" s="252"/>
      <c r="I89" s="252"/>
      <c r="J89" s="252"/>
      <c r="K89" s="252"/>
      <c r="L89" s="753">
        <v>1137253.4722222222</v>
      </c>
      <c r="M89" s="252"/>
      <c r="N89" s="252"/>
      <c r="O89" s="252"/>
      <c r="P89" s="252"/>
      <c r="Q89" s="252"/>
      <c r="R89" s="252"/>
      <c r="S89" s="252"/>
      <c r="T89" s="252"/>
      <c r="U89" s="441"/>
      <c r="V89" s="442"/>
      <c r="W89" s="439"/>
      <c r="X89" s="179"/>
    </row>
    <row r="90" spans="1:24" s="180" customFormat="1" ht="16.5">
      <c r="A90" s="295">
        <v>70</v>
      </c>
      <c r="B90" s="437"/>
      <c r="C90" s="438"/>
      <c r="D90" s="431"/>
      <c r="E90" s="439"/>
      <c r="F90" s="432"/>
      <c r="G90" s="252"/>
      <c r="H90" s="252"/>
      <c r="I90" s="252"/>
      <c r="J90" s="252"/>
      <c r="K90" s="252"/>
      <c r="L90" s="753">
        <v>1137253.4722222222</v>
      </c>
      <c r="M90" s="252"/>
      <c r="N90" s="252"/>
      <c r="O90" s="252"/>
      <c r="P90" s="252"/>
      <c r="Q90" s="252"/>
      <c r="R90" s="252"/>
      <c r="S90" s="252"/>
      <c r="T90" s="252"/>
      <c r="U90" s="441"/>
      <c r="V90" s="442"/>
      <c r="W90" s="439"/>
      <c r="X90" s="179"/>
    </row>
    <row r="91" spans="1:24" s="180" customFormat="1" ht="16.5">
      <c r="A91" s="295">
        <v>71</v>
      </c>
      <c r="B91" s="437"/>
      <c r="C91" s="438"/>
      <c r="D91" s="431"/>
      <c r="E91" s="439"/>
      <c r="F91" s="432"/>
      <c r="G91" s="252"/>
      <c r="H91" s="252"/>
      <c r="I91" s="252"/>
      <c r="J91" s="252"/>
      <c r="K91" s="252"/>
      <c r="L91" s="753">
        <v>1137253.4722222222</v>
      </c>
      <c r="M91" s="252"/>
      <c r="N91" s="252"/>
      <c r="O91" s="252"/>
      <c r="P91" s="252"/>
      <c r="Q91" s="252"/>
      <c r="R91" s="252"/>
      <c r="S91" s="252"/>
      <c r="T91" s="252"/>
      <c r="U91" s="441"/>
      <c r="V91" s="442"/>
      <c r="W91" s="439"/>
      <c r="X91" s="179"/>
    </row>
    <row r="92" spans="1:24" s="180" customFormat="1" ht="16.5">
      <c r="A92" s="295">
        <v>72</v>
      </c>
      <c r="B92" s="437"/>
      <c r="C92" s="438"/>
      <c r="D92" s="431"/>
      <c r="E92" s="439"/>
      <c r="F92" s="432"/>
      <c r="G92" s="252"/>
      <c r="H92" s="252"/>
      <c r="I92" s="252"/>
      <c r="J92" s="252"/>
      <c r="K92" s="252"/>
      <c r="L92" s="753">
        <v>1137253.4722222222</v>
      </c>
      <c r="M92" s="252"/>
      <c r="N92" s="252"/>
      <c r="O92" s="252"/>
      <c r="P92" s="252"/>
      <c r="Q92" s="252"/>
      <c r="R92" s="252"/>
      <c r="S92" s="252"/>
      <c r="T92" s="252"/>
      <c r="U92" s="441"/>
      <c r="V92" s="442"/>
      <c r="W92" s="439"/>
      <c r="X92" s="179"/>
    </row>
    <row r="93" spans="1:24" s="180" customFormat="1" ht="16.5">
      <c r="A93" s="295">
        <v>73</v>
      </c>
      <c r="B93" s="754"/>
      <c r="C93" s="755"/>
      <c r="D93" s="756"/>
      <c r="E93" s="757"/>
      <c r="F93" s="758"/>
      <c r="G93" s="550"/>
      <c r="H93" s="550"/>
      <c r="I93" s="550"/>
      <c r="J93" s="550"/>
      <c r="K93" s="550"/>
      <c r="L93" s="753">
        <v>1137253.4722222222</v>
      </c>
      <c r="M93" s="550"/>
      <c r="N93" s="550"/>
      <c r="O93" s="550"/>
      <c r="P93" s="550"/>
      <c r="Q93" s="550"/>
      <c r="R93" s="550"/>
      <c r="S93" s="550"/>
      <c r="T93" s="550"/>
      <c r="U93" s="759"/>
      <c r="V93" s="751"/>
      <c r="W93" s="757"/>
      <c r="X93" s="179"/>
    </row>
    <row r="94" spans="1:24" s="180" customFormat="1" ht="16.5">
      <c r="A94" s="295"/>
      <c r="B94" s="754"/>
      <c r="C94" s="755"/>
      <c r="D94" s="756"/>
      <c r="E94" s="757"/>
      <c r="F94" s="758"/>
      <c r="G94" s="550"/>
      <c r="H94" s="550"/>
      <c r="I94" s="550"/>
      <c r="J94" s="550"/>
      <c r="K94" s="550"/>
      <c r="L94" s="753">
        <v>1137253.4722222222</v>
      </c>
      <c r="M94" s="550"/>
      <c r="N94" s="550"/>
      <c r="O94" s="550"/>
      <c r="P94" s="550"/>
      <c r="Q94" s="550"/>
      <c r="R94" s="550"/>
      <c r="S94" s="550"/>
      <c r="T94" s="550"/>
      <c r="U94" s="759"/>
      <c r="V94" s="751"/>
      <c r="W94" s="757"/>
      <c r="X94" s="179"/>
    </row>
    <row r="95" spans="1:24" s="180" customFormat="1" ht="16.5">
      <c r="A95" s="295"/>
      <c r="B95" s="754"/>
      <c r="C95" s="755"/>
      <c r="D95" s="756"/>
      <c r="E95" s="757"/>
      <c r="F95" s="758"/>
      <c r="G95" s="550"/>
      <c r="H95" s="550"/>
      <c r="I95" s="550"/>
      <c r="J95" s="550"/>
      <c r="K95" s="550"/>
      <c r="L95" s="753">
        <v>1137253.4722222222</v>
      </c>
      <c r="M95" s="550"/>
      <c r="N95" s="550"/>
      <c r="O95" s="550"/>
      <c r="P95" s="550"/>
      <c r="Q95" s="550"/>
      <c r="R95" s="550"/>
      <c r="S95" s="550"/>
      <c r="T95" s="550"/>
      <c r="U95" s="759"/>
      <c r="V95" s="751"/>
      <c r="W95" s="757"/>
      <c r="X95" s="179"/>
    </row>
    <row r="96" spans="1:24" s="180" customFormat="1" ht="16.5">
      <c r="A96" s="295"/>
      <c r="B96" s="754"/>
      <c r="C96" s="755"/>
      <c r="D96" s="756"/>
      <c r="E96" s="757"/>
      <c r="F96" s="758"/>
      <c r="G96" s="550"/>
      <c r="H96" s="550"/>
      <c r="I96" s="550"/>
      <c r="J96" s="550"/>
      <c r="K96" s="550"/>
      <c r="L96" s="753">
        <v>1137253.4722222222</v>
      </c>
      <c r="M96" s="550"/>
      <c r="N96" s="550"/>
      <c r="O96" s="550"/>
      <c r="P96" s="550"/>
      <c r="Q96" s="550"/>
      <c r="R96" s="550"/>
      <c r="S96" s="550"/>
      <c r="T96" s="550"/>
      <c r="U96" s="759"/>
      <c r="V96" s="751"/>
      <c r="W96" s="757"/>
      <c r="X96" s="179"/>
    </row>
    <row r="97" spans="1:25" s="180" customFormat="1" ht="16.5">
      <c r="A97" s="295">
        <v>74</v>
      </c>
      <c r="B97" s="754"/>
      <c r="C97" s="755"/>
      <c r="D97" s="756"/>
      <c r="E97" s="757"/>
      <c r="F97" s="758"/>
      <c r="G97" s="550"/>
      <c r="H97" s="550"/>
      <c r="I97" s="550"/>
      <c r="J97" s="550"/>
      <c r="K97" s="550"/>
      <c r="L97" s="753">
        <v>1137253.4722222222</v>
      </c>
      <c r="M97" s="550"/>
      <c r="N97" s="550"/>
      <c r="O97" s="550"/>
      <c r="P97" s="550"/>
      <c r="Q97" s="550"/>
      <c r="R97" s="550"/>
      <c r="S97" s="550"/>
      <c r="T97" s="550"/>
      <c r="U97" s="759"/>
      <c r="V97" s="751"/>
      <c r="W97" s="757"/>
      <c r="X97" s="179"/>
    </row>
    <row r="98" spans="1:25" s="180" customFormat="1" ht="16.5">
      <c r="A98" s="295">
        <v>75</v>
      </c>
      <c r="B98" s="754"/>
      <c r="C98" s="755"/>
      <c r="D98" s="756"/>
      <c r="E98" s="757"/>
      <c r="F98" s="758"/>
      <c r="G98" s="550"/>
      <c r="H98" s="550"/>
      <c r="I98" s="550"/>
      <c r="J98" s="550"/>
      <c r="K98" s="550"/>
      <c r="L98" s="753">
        <v>1137253.4722222222</v>
      </c>
      <c r="M98" s="550"/>
      <c r="N98" s="550"/>
      <c r="O98" s="550"/>
      <c r="P98" s="550"/>
      <c r="Q98" s="550"/>
      <c r="R98" s="550"/>
      <c r="S98" s="550"/>
      <c r="T98" s="550"/>
      <c r="U98" s="759"/>
      <c r="V98" s="751"/>
      <c r="W98" s="757"/>
      <c r="X98" s="179"/>
    </row>
    <row r="99" spans="1:25" s="180" customFormat="1" ht="14.25">
      <c r="A99" s="2280" t="s">
        <v>219</v>
      </c>
      <c r="B99" s="2281"/>
      <c r="C99" s="2281"/>
      <c r="D99" s="2282"/>
      <c r="E99" s="454"/>
      <c r="F99" s="455" t="e">
        <f>SUM(F13:F92)</f>
        <v>#REF!</v>
      </c>
      <c r="G99" s="456"/>
      <c r="H99" s="456"/>
      <c r="I99" s="456"/>
      <c r="J99" s="457" t="e">
        <f>SUM(J13:J92)</f>
        <v>#REF!</v>
      </c>
      <c r="K99" s="457">
        <f>SUM(K13:K92)</f>
        <v>300000</v>
      </c>
      <c r="L99" s="457" t="e">
        <f>SUM(L13:L98)</f>
        <v>#REF!</v>
      </c>
      <c r="M99" s="457" t="e">
        <f t="shared" ref="M99:U99" si="0">SUM(M13:M92)</f>
        <v>#REF!</v>
      </c>
      <c r="N99" s="457">
        <f t="shared" si="0"/>
        <v>0</v>
      </c>
      <c r="O99" s="457">
        <f t="shared" si="0"/>
        <v>0</v>
      </c>
      <c r="P99" s="457" t="e">
        <f t="shared" si="0"/>
        <v>#REF!</v>
      </c>
      <c r="Q99" s="457">
        <f t="shared" si="0"/>
        <v>0</v>
      </c>
      <c r="R99" s="457" t="e">
        <f t="shared" si="0"/>
        <v>#REF!</v>
      </c>
      <c r="S99" s="457" t="e">
        <f t="shared" si="0"/>
        <v>#REF!</v>
      </c>
      <c r="T99" s="457">
        <f t="shared" si="0"/>
        <v>0</v>
      </c>
      <c r="U99" s="457" t="e">
        <f t="shared" si="0"/>
        <v>#REF!</v>
      </c>
      <c r="V99" s="456"/>
      <c r="W99" s="458"/>
      <c r="X99" s="179" t="e">
        <f>P99-Q99-#REF!-T99</f>
        <v>#REF!</v>
      </c>
      <c r="Y99" s="182"/>
    </row>
    <row r="100" spans="1:25" s="180" customFormat="1" ht="16.5">
      <c r="A100" s="294">
        <v>1</v>
      </c>
      <c r="B100" s="459" t="s">
        <v>156</v>
      </c>
      <c r="C100" s="430" t="s">
        <v>240</v>
      </c>
      <c r="D100" s="748" t="str">
        <f>[5]CNKT!C96</f>
        <v>T . Zét</v>
      </c>
      <c r="E100" s="748" t="str">
        <f>[5]CNKT!D96</f>
        <v>Bảo vệ</v>
      </c>
      <c r="F100" s="435" t="e">
        <f>#REF!</f>
        <v>#REF!</v>
      </c>
      <c r="G100" s="433" t="e">
        <f>#REF!</f>
        <v>#REF!</v>
      </c>
      <c r="H100" s="433"/>
      <c r="I100" s="433" t="s">
        <v>120</v>
      </c>
      <c r="J100" s="433"/>
      <c r="K100" s="433"/>
      <c r="L100" s="433" t="e">
        <f>F100*G100</f>
        <v>#REF!</v>
      </c>
      <c r="M100" s="433" t="e">
        <f>L100</f>
        <v>#REF!</v>
      </c>
      <c r="N100" s="433"/>
      <c r="O100" s="460"/>
      <c r="P100" s="433" t="e">
        <f>SUM(M100:O100)</f>
        <v>#REF!</v>
      </c>
      <c r="Q100" s="433"/>
      <c r="R100" s="433"/>
      <c r="S100" s="433" t="e">
        <f t="shared" ref="S100:S160" si="1">ROUND(P100-Q100,0)</f>
        <v>#REF!</v>
      </c>
      <c r="T100" s="433"/>
      <c r="U100" s="435" t="e">
        <f>ROUND(S100-T100,0)</f>
        <v>#REF!</v>
      </c>
      <c r="V100" s="432"/>
      <c r="W100" s="431" t="str">
        <f>D100</f>
        <v>T . Zét</v>
      </c>
      <c r="X100" s="183"/>
      <c r="Y100" s="182"/>
    </row>
    <row r="101" spans="1:25" s="180" customFormat="1" ht="16.5">
      <c r="A101" s="295">
        <v>2</v>
      </c>
      <c r="B101" s="461" t="s">
        <v>155</v>
      </c>
      <c r="C101" s="438"/>
      <c r="D101" s="462" t="e">
        <f>#REF!</f>
        <v>#REF!</v>
      </c>
      <c r="E101" s="462" t="str">
        <f>[5]CNKT!D98</f>
        <v>CNKT</v>
      </c>
      <c r="F101" s="463" t="e">
        <f>VLOOKUP(D101,#REF!,3,0)</f>
        <v>#REF!</v>
      </c>
      <c r="G101" s="252" t="e">
        <f>VLOOKUP(D101,[5]CNKT!C96:F183,4,0)</f>
        <v>#REF!</v>
      </c>
      <c r="H101" s="252"/>
      <c r="I101" s="252" t="s">
        <v>120</v>
      </c>
      <c r="J101" s="252"/>
      <c r="K101" s="252"/>
      <c r="L101" s="252" t="e">
        <f>VLOOKUP(D101,#REF!,8,0)</f>
        <v>#REF!</v>
      </c>
      <c r="M101" s="252" t="e">
        <f>L101</f>
        <v>#REF!</v>
      </c>
      <c r="N101" s="252" t="e">
        <f>VLOOKUP(D101,#REF!,11,0)</f>
        <v>#REF!</v>
      </c>
      <c r="O101" s="252" t="e">
        <f>VLOOKUP(D101,#REF!,21,0)</f>
        <v>#REF!</v>
      </c>
      <c r="P101" s="252" t="e">
        <f>VLOOKUP(D101,#REF!,22,0)</f>
        <v>#REF!</v>
      </c>
      <c r="Q101" s="252"/>
      <c r="R101" s="252"/>
      <c r="S101" s="252" t="e">
        <f>ROUND(P101-Q101,0)</f>
        <v>#REF!</v>
      </c>
      <c r="T101" s="252"/>
      <c r="U101" s="441" t="e">
        <f>ROUND(S101-R101,0)</f>
        <v>#REF!</v>
      </c>
      <c r="V101" s="440"/>
      <c r="W101" s="439" t="e">
        <f t="shared" ref="W101:W164" si="2">D101</f>
        <v>#REF!</v>
      </c>
      <c r="X101" s="183"/>
      <c r="Y101" s="182"/>
    </row>
    <row r="102" spans="1:25" s="180" customFormat="1" ht="16.5">
      <c r="A102" s="295">
        <v>3</v>
      </c>
      <c r="B102" s="461" t="s">
        <v>516</v>
      </c>
      <c r="C102" s="438"/>
      <c r="D102" s="462" t="e">
        <f>#REF!</f>
        <v>#REF!</v>
      </c>
      <c r="E102" s="462" t="str">
        <f>[5]CNKT!D99</f>
        <v>CNKT</v>
      </c>
      <c r="F102" s="463" t="e">
        <f>VLOOKUP(D102,#REF!,3,0)</f>
        <v>#REF!</v>
      </c>
      <c r="G102" s="252" t="e">
        <f>VLOOKUP(D102,[5]CNKT!C97:F184,4,0)</f>
        <v>#REF!</v>
      </c>
      <c r="H102" s="252"/>
      <c r="I102" s="252" t="s">
        <v>120</v>
      </c>
      <c r="J102" s="252"/>
      <c r="K102" s="252"/>
      <c r="L102" s="252" t="e">
        <f>VLOOKUP(D102,#REF!,8,0)</f>
        <v>#REF!</v>
      </c>
      <c r="M102" s="252" t="e">
        <f t="shared" ref="M102:M165" si="3">L102</f>
        <v>#REF!</v>
      </c>
      <c r="N102" s="252" t="e">
        <f>VLOOKUP(D102,#REF!,11,0)</f>
        <v>#REF!</v>
      </c>
      <c r="O102" s="252" t="e">
        <f>VLOOKUP(D102,#REF!,21,0)</f>
        <v>#REF!</v>
      </c>
      <c r="P102" s="252" t="e">
        <f>VLOOKUP(D102,#REF!,22,0)</f>
        <v>#REF!</v>
      </c>
      <c r="Q102" s="252"/>
      <c r="R102" s="252"/>
      <c r="S102" s="252" t="e">
        <f t="shared" si="1"/>
        <v>#REF!</v>
      </c>
      <c r="T102" s="252"/>
      <c r="U102" s="441" t="e">
        <f>ROUND(S102-R102,0)</f>
        <v>#REF!</v>
      </c>
      <c r="V102" s="440"/>
      <c r="W102" s="439" t="e">
        <f t="shared" si="2"/>
        <v>#REF!</v>
      </c>
      <c r="X102" s="183"/>
      <c r="Y102" s="182"/>
    </row>
    <row r="103" spans="1:25" s="180" customFormat="1" ht="16.5">
      <c r="A103" s="295">
        <v>4</v>
      </c>
      <c r="B103" s="461" t="s">
        <v>517</v>
      </c>
      <c r="C103" s="438"/>
      <c r="D103" s="462" t="e">
        <f>#REF!</f>
        <v>#REF!</v>
      </c>
      <c r="E103" s="462" t="str">
        <f>[5]CNKT!D100</f>
        <v>CNKT</v>
      </c>
      <c r="F103" s="463" t="e">
        <f>VLOOKUP(D103,#REF!,3,0)</f>
        <v>#REF!</v>
      </c>
      <c r="G103" s="252" t="e">
        <f>VLOOKUP(D103,[5]CNKT!C98:F185,4,0)</f>
        <v>#REF!</v>
      </c>
      <c r="H103" s="252"/>
      <c r="I103" s="252" t="s">
        <v>120</v>
      </c>
      <c r="J103" s="252"/>
      <c r="K103" s="252"/>
      <c r="L103" s="252" t="e">
        <f>VLOOKUP(D103,#REF!,8,0)</f>
        <v>#REF!</v>
      </c>
      <c r="M103" s="252" t="e">
        <f t="shared" si="3"/>
        <v>#REF!</v>
      </c>
      <c r="N103" s="252" t="e">
        <f>VLOOKUP(D103,#REF!,11,0)</f>
        <v>#REF!</v>
      </c>
      <c r="O103" s="252" t="e">
        <f>VLOOKUP(D103,#REF!,21,0)</f>
        <v>#REF!</v>
      </c>
      <c r="P103" s="252" t="e">
        <f>VLOOKUP(D103,#REF!,22,0)</f>
        <v>#REF!</v>
      </c>
      <c r="Q103" s="252"/>
      <c r="R103" s="252"/>
      <c r="S103" s="252" t="e">
        <f t="shared" si="1"/>
        <v>#REF!</v>
      </c>
      <c r="T103" s="252"/>
      <c r="U103" s="441" t="e">
        <f>ROUND(S103-R103,0)</f>
        <v>#REF!</v>
      </c>
      <c r="V103" s="440"/>
      <c r="W103" s="439" t="e">
        <f t="shared" si="2"/>
        <v>#REF!</v>
      </c>
      <c r="X103" s="183"/>
      <c r="Y103" s="182"/>
    </row>
    <row r="104" spans="1:25" s="180" customFormat="1" ht="16.5">
      <c r="A104" s="295">
        <v>5</v>
      </c>
      <c r="B104" s="461" t="s">
        <v>518</v>
      </c>
      <c r="C104" s="438"/>
      <c r="D104" s="462" t="e">
        <f>#REF!</f>
        <v>#REF!</v>
      </c>
      <c r="E104" s="462" t="str">
        <f>[5]CNKT!D101</f>
        <v>CNKT</v>
      </c>
      <c r="F104" s="463" t="e">
        <f>VLOOKUP(D104,#REF!,3,0)</f>
        <v>#REF!</v>
      </c>
      <c r="G104" s="252" t="e">
        <f>VLOOKUP(D104,[5]CNKT!C99:F186,4,0)</f>
        <v>#REF!</v>
      </c>
      <c r="H104" s="252"/>
      <c r="I104" s="252" t="s">
        <v>120</v>
      </c>
      <c r="J104" s="252"/>
      <c r="K104" s="252"/>
      <c r="L104" s="252" t="e">
        <f>VLOOKUP(D104,#REF!,8,0)</f>
        <v>#REF!</v>
      </c>
      <c r="M104" s="252" t="e">
        <f t="shared" si="3"/>
        <v>#REF!</v>
      </c>
      <c r="N104" s="252" t="e">
        <f>VLOOKUP(D104,#REF!,11,0)</f>
        <v>#REF!</v>
      </c>
      <c r="O104" s="252" t="e">
        <f>VLOOKUP(D104,#REF!,21,0)</f>
        <v>#REF!</v>
      </c>
      <c r="P104" s="252" t="e">
        <f>VLOOKUP(D104,#REF!,22,0)</f>
        <v>#REF!</v>
      </c>
      <c r="Q104" s="252"/>
      <c r="R104" s="252"/>
      <c r="S104" s="252" t="e">
        <f t="shared" si="1"/>
        <v>#REF!</v>
      </c>
      <c r="T104" s="252"/>
      <c r="U104" s="441" t="e">
        <f>ROUND(S104-R104,0)</f>
        <v>#REF!</v>
      </c>
      <c r="V104" s="440"/>
      <c r="W104" s="439" t="e">
        <f t="shared" si="2"/>
        <v>#REF!</v>
      </c>
      <c r="X104" s="183"/>
      <c r="Y104" s="182"/>
    </row>
    <row r="105" spans="1:25" s="180" customFormat="1" ht="16.5">
      <c r="A105" s="295">
        <v>6</v>
      </c>
      <c r="B105" s="461" t="s">
        <v>519</v>
      </c>
      <c r="C105" s="438"/>
      <c r="D105" s="462" t="e">
        <f>#REF!</f>
        <v>#REF!</v>
      </c>
      <c r="E105" s="462" t="str">
        <f>[5]CNKT!D102</f>
        <v>CNKT</v>
      </c>
      <c r="F105" s="463" t="e">
        <f>VLOOKUP(D105,#REF!,3,0)</f>
        <v>#REF!</v>
      </c>
      <c r="G105" s="252" t="e">
        <f>VLOOKUP(D105,[5]CNKT!C100:F187,4,0)</f>
        <v>#REF!</v>
      </c>
      <c r="H105" s="252"/>
      <c r="I105" s="252" t="s">
        <v>120</v>
      </c>
      <c r="J105" s="252"/>
      <c r="K105" s="252"/>
      <c r="L105" s="252" t="e">
        <f>VLOOKUP(D105,#REF!,8,0)</f>
        <v>#REF!</v>
      </c>
      <c r="M105" s="252" t="e">
        <f t="shared" si="3"/>
        <v>#REF!</v>
      </c>
      <c r="N105" s="252" t="e">
        <f>VLOOKUP(D105,#REF!,11,0)</f>
        <v>#REF!</v>
      </c>
      <c r="O105" s="252" t="e">
        <f>VLOOKUP(D105,#REF!,21,0)</f>
        <v>#REF!</v>
      </c>
      <c r="P105" s="252" t="e">
        <f>VLOOKUP(D105,#REF!,22,0)</f>
        <v>#REF!</v>
      </c>
      <c r="Q105" s="252"/>
      <c r="R105" s="252"/>
      <c r="S105" s="252" t="e">
        <f t="shared" si="1"/>
        <v>#REF!</v>
      </c>
      <c r="T105" s="252"/>
      <c r="U105" s="441" t="e">
        <f>ROUND(S105-R105,0)</f>
        <v>#REF!</v>
      </c>
      <c r="V105" s="440"/>
      <c r="W105" s="439" t="e">
        <f t="shared" si="2"/>
        <v>#REF!</v>
      </c>
      <c r="X105" s="183"/>
      <c r="Y105" s="182"/>
    </row>
    <row r="106" spans="1:25" s="180" customFormat="1" ht="16.5">
      <c r="A106" s="295">
        <v>7</v>
      </c>
      <c r="B106" s="461" t="s">
        <v>520</v>
      </c>
      <c r="C106" s="438"/>
      <c r="D106" s="462" t="e">
        <f>#REF!</f>
        <v>#REF!</v>
      </c>
      <c r="E106" s="462" t="str">
        <f>[5]CNKT!D103</f>
        <v>CNKT</v>
      </c>
      <c r="F106" s="463" t="e">
        <f>VLOOKUP(D106,#REF!,3,0)</f>
        <v>#REF!</v>
      </c>
      <c r="G106" s="252" t="e">
        <f>VLOOKUP(D106,[5]CNKT!C101:F188,4,0)</f>
        <v>#REF!</v>
      </c>
      <c r="H106" s="252"/>
      <c r="I106" s="252" t="s">
        <v>120</v>
      </c>
      <c r="J106" s="252"/>
      <c r="K106" s="252"/>
      <c r="L106" s="252" t="e">
        <f>VLOOKUP(D106,#REF!,8,0)</f>
        <v>#REF!</v>
      </c>
      <c r="M106" s="252" t="e">
        <f t="shared" si="3"/>
        <v>#REF!</v>
      </c>
      <c r="N106" s="252" t="e">
        <f>VLOOKUP(D106,#REF!,11,0)</f>
        <v>#REF!</v>
      </c>
      <c r="O106" s="252" t="e">
        <f>VLOOKUP(D106,#REF!,21,0)</f>
        <v>#REF!</v>
      </c>
      <c r="P106" s="252" t="e">
        <f>VLOOKUP(D106,#REF!,22,0)</f>
        <v>#REF!</v>
      </c>
      <c r="Q106" s="252"/>
      <c r="R106" s="252"/>
      <c r="S106" s="252" t="e">
        <f t="shared" si="1"/>
        <v>#REF!</v>
      </c>
      <c r="T106" s="252"/>
      <c r="U106" s="441" t="e">
        <f t="shared" ref="U106:U160" si="4">ROUND(S106-R106,0)</f>
        <v>#REF!</v>
      </c>
      <c r="V106" s="440"/>
      <c r="W106" s="439" t="e">
        <f t="shared" si="2"/>
        <v>#REF!</v>
      </c>
      <c r="X106" s="183"/>
      <c r="Y106" s="182"/>
    </row>
    <row r="107" spans="1:25" s="180" customFormat="1" ht="16.5">
      <c r="A107" s="295">
        <v>8</v>
      </c>
      <c r="B107" s="461" t="s">
        <v>521</v>
      </c>
      <c r="C107" s="438"/>
      <c r="D107" s="462" t="e">
        <f>#REF!</f>
        <v>#REF!</v>
      </c>
      <c r="E107" s="462" t="str">
        <f>[5]CNKT!D104</f>
        <v>CNKT</v>
      </c>
      <c r="F107" s="463" t="e">
        <f>VLOOKUP(D107,#REF!,3,0)</f>
        <v>#REF!</v>
      </c>
      <c r="G107" s="252" t="e">
        <f>VLOOKUP(D107,[5]CNKT!C102:F189,4,0)</f>
        <v>#REF!</v>
      </c>
      <c r="H107" s="252"/>
      <c r="I107" s="252" t="s">
        <v>120</v>
      </c>
      <c r="J107" s="252"/>
      <c r="K107" s="252"/>
      <c r="L107" s="252" t="e">
        <f>VLOOKUP(D107,#REF!,8,0)</f>
        <v>#REF!</v>
      </c>
      <c r="M107" s="252" t="e">
        <f t="shared" si="3"/>
        <v>#REF!</v>
      </c>
      <c r="N107" s="252" t="e">
        <f>VLOOKUP(D107,#REF!,11,0)</f>
        <v>#REF!</v>
      </c>
      <c r="O107" s="252" t="e">
        <f>VLOOKUP(D107,#REF!,21,0)</f>
        <v>#REF!</v>
      </c>
      <c r="P107" s="252" t="e">
        <f>VLOOKUP(D107,#REF!,22,0)</f>
        <v>#REF!</v>
      </c>
      <c r="Q107" s="252"/>
      <c r="R107" s="252"/>
      <c r="S107" s="252" t="e">
        <f t="shared" si="1"/>
        <v>#REF!</v>
      </c>
      <c r="T107" s="252"/>
      <c r="U107" s="441" t="e">
        <f t="shared" si="4"/>
        <v>#REF!</v>
      </c>
      <c r="V107" s="440"/>
      <c r="W107" s="439" t="e">
        <f t="shared" si="2"/>
        <v>#REF!</v>
      </c>
      <c r="X107" s="183"/>
      <c r="Y107" s="182"/>
    </row>
    <row r="108" spans="1:25" s="180" customFormat="1" ht="16.5">
      <c r="A108" s="295">
        <v>9</v>
      </c>
      <c r="B108" s="461" t="s">
        <v>522</v>
      </c>
      <c r="C108" s="438"/>
      <c r="D108" s="462" t="e">
        <f>#REF!</f>
        <v>#REF!</v>
      </c>
      <c r="E108" s="462" t="str">
        <f>[5]CNKT!D105</f>
        <v>CNKT</v>
      </c>
      <c r="F108" s="463" t="e">
        <f>VLOOKUP(D108,#REF!,3,0)</f>
        <v>#REF!</v>
      </c>
      <c r="G108" s="252" t="e">
        <f>VLOOKUP(D108,[5]CNKT!C103:F190,4,0)</f>
        <v>#REF!</v>
      </c>
      <c r="H108" s="252"/>
      <c r="I108" s="252" t="s">
        <v>120</v>
      </c>
      <c r="J108" s="252"/>
      <c r="K108" s="252"/>
      <c r="L108" s="252" t="e">
        <f>VLOOKUP(D108,#REF!,8,0)</f>
        <v>#REF!</v>
      </c>
      <c r="M108" s="252" t="e">
        <f t="shared" si="3"/>
        <v>#REF!</v>
      </c>
      <c r="N108" s="252" t="e">
        <f>VLOOKUP(D108,#REF!,11,0)</f>
        <v>#REF!</v>
      </c>
      <c r="O108" s="252" t="e">
        <f>VLOOKUP(D108,#REF!,21,0)</f>
        <v>#REF!</v>
      </c>
      <c r="P108" s="252" t="e">
        <f>VLOOKUP(D108,#REF!,22,0)</f>
        <v>#REF!</v>
      </c>
      <c r="Q108" s="252"/>
      <c r="R108" s="252"/>
      <c r="S108" s="252" t="e">
        <f t="shared" si="1"/>
        <v>#REF!</v>
      </c>
      <c r="T108" s="252"/>
      <c r="U108" s="441" t="e">
        <f t="shared" si="4"/>
        <v>#REF!</v>
      </c>
      <c r="V108" s="440"/>
      <c r="W108" s="439" t="e">
        <f t="shared" si="2"/>
        <v>#REF!</v>
      </c>
      <c r="X108" s="183"/>
      <c r="Y108" s="182"/>
    </row>
    <row r="109" spans="1:25" s="180" customFormat="1" ht="16.5">
      <c r="A109" s="295">
        <v>10</v>
      </c>
      <c r="B109" s="461" t="s">
        <v>523</v>
      </c>
      <c r="C109" s="438"/>
      <c r="D109" s="462" t="e">
        <f>#REF!</f>
        <v>#REF!</v>
      </c>
      <c r="E109" s="462" t="str">
        <f>[5]CNKT!D106</f>
        <v>CNKT</v>
      </c>
      <c r="F109" s="463" t="e">
        <f>VLOOKUP(D109,#REF!,3,0)</f>
        <v>#REF!</v>
      </c>
      <c r="G109" s="252" t="e">
        <f>VLOOKUP(D109,[5]CNKT!C104:F191,4,0)</f>
        <v>#REF!</v>
      </c>
      <c r="H109" s="252"/>
      <c r="I109" s="252" t="s">
        <v>120</v>
      </c>
      <c r="J109" s="252"/>
      <c r="K109" s="252"/>
      <c r="L109" s="252" t="e">
        <f>VLOOKUP(D109,#REF!,8,0)</f>
        <v>#REF!</v>
      </c>
      <c r="M109" s="252" t="e">
        <f t="shared" si="3"/>
        <v>#REF!</v>
      </c>
      <c r="N109" s="252" t="e">
        <f>VLOOKUP(D109,#REF!,11,0)</f>
        <v>#REF!</v>
      </c>
      <c r="O109" s="252" t="e">
        <f>VLOOKUP(D109,#REF!,21,0)</f>
        <v>#REF!</v>
      </c>
      <c r="P109" s="252" t="e">
        <f>VLOOKUP(D109,#REF!,22,0)</f>
        <v>#REF!</v>
      </c>
      <c r="Q109" s="252"/>
      <c r="R109" s="252"/>
      <c r="S109" s="252" t="e">
        <f t="shared" si="1"/>
        <v>#REF!</v>
      </c>
      <c r="T109" s="252"/>
      <c r="U109" s="441" t="e">
        <f t="shared" si="4"/>
        <v>#REF!</v>
      </c>
      <c r="V109" s="440"/>
      <c r="W109" s="439" t="e">
        <f t="shared" si="2"/>
        <v>#REF!</v>
      </c>
      <c r="X109" s="183"/>
      <c r="Y109" s="182"/>
    </row>
    <row r="110" spans="1:25" s="180" customFormat="1" ht="16.5">
      <c r="A110" s="295">
        <v>11</v>
      </c>
      <c r="B110" s="461" t="s">
        <v>524</v>
      </c>
      <c r="C110" s="438"/>
      <c r="D110" s="462" t="e">
        <f>#REF!</f>
        <v>#REF!</v>
      </c>
      <c r="E110" s="462" t="str">
        <f>[5]CNKT!D107</f>
        <v>CNKT</v>
      </c>
      <c r="F110" s="463" t="e">
        <f>VLOOKUP(D110,#REF!,3,0)</f>
        <v>#REF!</v>
      </c>
      <c r="G110" s="252" t="e">
        <f>VLOOKUP(D110,[5]CNKT!C105:F192,4,0)</f>
        <v>#REF!</v>
      </c>
      <c r="H110" s="252"/>
      <c r="I110" s="252" t="s">
        <v>120</v>
      </c>
      <c r="J110" s="252"/>
      <c r="K110" s="252"/>
      <c r="L110" s="252" t="e">
        <f>VLOOKUP(D110,#REF!,8,0)</f>
        <v>#REF!</v>
      </c>
      <c r="M110" s="252" t="e">
        <f t="shared" si="3"/>
        <v>#REF!</v>
      </c>
      <c r="N110" s="252" t="e">
        <f>VLOOKUP(D110,#REF!,11,0)</f>
        <v>#REF!</v>
      </c>
      <c r="O110" s="252" t="e">
        <f>VLOOKUP(D110,#REF!,21,0)</f>
        <v>#REF!</v>
      </c>
      <c r="P110" s="252" t="e">
        <f>VLOOKUP(D110,#REF!,22,0)</f>
        <v>#REF!</v>
      </c>
      <c r="Q110" s="252"/>
      <c r="R110" s="252"/>
      <c r="S110" s="252" t="e">
        <f t="shared" si="1"/>
        <v>#REF!</v>
      </c>
      <c r="T110" s="252"/>
      <c r="U110" s="441" t="e">
        <f t="shared" si="4"/>
        <v>#REF!</v>
      </c>
      <c r="V110" s="440"/>
      <c r="W110" s="439" t="e">
        <f t="shared" si="2"/>
        <v>#REF!</v>
      </c>
      <c r="X110" s="183"/>
      <c r="Y110" s="182"/>
    </row>
    <row r="111" spans="1:25" s="180" customFormat="1" ht="16.5">
      <c r="A111" s="295">
        <v>11</v>
      </c>
      <c r="B111" s="461" t="s">
        <v>525</v>
      </c>
      <c r="C111" s="438"/>
      <c r="D111" s="462" t="e">
        <f>#REF!</f>
        <v>#REF!</v>
      </c>
      <c r="E111" s="462" t="str">
        <f>[5]CNKT!D108</f>
        <v>CNKT</v>
      </c>
      <c r="F111" s="463" t="e">
        <f>VLOOKUP(D111,#REF!,3,0)</f>
        <v>#REF!</v>
      </c>
      <c r="G111" s="252" t="e">
        <f>VLOOKUP(D111,[5]CNKT!C106:F193,4,0)</f>
        <v>#REF!</v>
      </c>
      <c r="H111" s="252"/>
      <c r="I111" s="252" t="s">
        <v>120</v>
      </c>
      <c r="J111" s="252"/>
      <c r="K111" s="252"/>
      <c r="L111" s="252" t="e">
        <f>VLOOKUP(D111,#REF!,8,0)</f>
        <v>#REF!</v>
      </c>
      <c r="M111" s="252" t="e">
        <f t="shared" si="3"/>
        <v>#REF!</v>
      </c>
      <c r="N111" s="252" t="e">
        <f>VLOOKUP(D111,#REF!,11,0)</f>
        <v>#REF!</v>
      </c>
      <c r="O111" s="252" t="e">
        <f>VLOOKUP(D111,#REF!,21,0)</f>
        <v>#REF!</v>
      </c>
      <c r="P111" s="252" t="e">
        <f>VLOOKUP(D111,#REF!,22,0)</f>
        <v>#REF!</v>
      </c>
      <c r="Q111" s="252"/>
      <c r="R111" s="252"/>
      <c r="S111" s="252" t="e">
        <f t="shared" si="1"/>
        <v>#REF!</v>
      </c>
      <c r="T111" s="252"/>
      <c r="U111" s="441" t="e">
        <f t="shared" si="4"/>
        <v>#REF!</v>
      </c>
      <c r="V111" s="440"/>
      <c r="W111" s="439" t="e">
        <f t="shared" si="2"/>
        <v>#REF!</v>
      </c>
      <c r="X111" s="183"/>
      <c r="Y111" s="182"/>
    </row>
    <row r="112" spans="1:25" s="180" customFormat="1" ht="16.5">
      <c r="A112" s="295">
        <v>12</v>
      </c>
      <c r="B112" s="461" t="s">
        <v>526</v>
      </c>
      <c r="C112" s="438"/>
      <c r="D112" s="462" t="e">
        <f>#REF!</f>
        <v>#REF!</v>
      </c>
      <c r="E112" s="462" t="str">
        <f>[5]CNKT!D109</f>
        <v>CNKT</v>
      </c>
      <c r="F112" s="463" t="e">
        <f>VLOOKUP(D112,#REF!,3,0)</f>
        <v>#REF!</v>
      </c>
      <c r="G112" s="252" t="e">
        <f>VLOOKUP(D112,[5]CNKT!C107:F194,4,0)</f>
        <v>#REF!</v>
      </c>
      <c r="H112" s="252"/>
      <c r="I112" s="252" t="s">
        <v>120</v>
      </c>
      <c r="J112" s="252"/>
      <c r="K112" s="252"/>
      <c r="L112" s="252" t="e">
        <f>VLOOKUP(D112,#REF!,8,0)</f>
        <v>#REF!</v>
      </c>
      <c r="M112" s="252" t="e">
        <f t="shared" si="3"/>
        <v>#REF!</v>
      </c>
      <c r="N112" s="252" t="e">
        <f>VLOOKUP(D112,#REF!,11,0)</f>
        <v>#REF!</v>
      </c>
      <c r="O112" s="252" t="e">
        <f>VLOOKUP(D112,#REF!,21,0)</f>
        <v>#REF!</v>
      </c>
      <c r="P112" s="252" t="e">
        <f>VLOOKUP(D112,#REF!,22,0)</f>
        <v>#REF!</v>
      </c>
      <c r="Q112" s="252"/>
      <c r="R112" s="252"/>
      <c r="S112" s="252" t="e">
        <f t="shared" si="1"/>
        <v>#REF!</v>
      </c>
      <c r="T112" s="252"/>
      <c r="U112" s="441" t="e">
        <f t="shared" si="4"/>
        <v>#REF!</v>
      </c>
      <c r="V112" s="440"/>
      <c r="W112" s="439" t="e">
        <f t="shared" si="2"/>
        <v>#REF!</v>
      </c>
      <c r="X112" s="183"/>
      <c r="Y112" s="182"/>
    </row>
    <row r="113" spans="1:25" s="180" customFormat="1" ht="16.5">
      <c r="A113" s="295">
        <v>13</v>
      </c>
      <c r="B113" s="461" t="s">
        <v>527</v>
      </c>
      <c r="C113" s="438"/>
      <c r="D113" s="462" t="e">
        <f>#REF!</f>
        <v>#REF!</v>
      </c>
      <c r="E113" s="462" t="str">
        <f>[5]CNKT!D110</f>
        <v>CNKT</v>
      </c>
      <c r="F113" s="463" t="e">
        <f>VLOOKUP(D113,#REF!,3,0)</f>
        <v>#REF!</v>
      </c>
      <c r="G113" s="252" t="e">
        <f>VLOOKUP(D113,[5]CNKT!C108:F195,4,0)</f>
        <v>#REF!</v>
      </c>
      <c r="H113" s="252"/>
      <c r="I113" s="252" t="s">
        <v>120</v>
      </c>
      <c r="J113" s="252"/>
      <c r="K113" s="252"/>
      <c r="L113" s="252" t="e">
        <f>VLOOKUP(D113,#REF!,8,0)</f>
        <v>#REF!</v>
      </c>
      <c r="M113" s="252" t="e">
        <f t="shared" si="3"/>
        <v>#REF!</v>
      </c>
      <c r="N113" s="252" t="e">
        <f>VLOOKUP(D113,#REF!,11,0)</f>
        <v>#REF!</v>
      </c>
      <c r="O113" s="252" t="e">
        <f>VLOOKUP(D113,#REF!,21,0)</f>
        <v>#REF!</v>
      </c>
      <c r="P113" s="252" t="e">
        <f>VLOOKUP(D113,#REF!,22,0)</f>
        <v>#REF!</v>
      </c>
      <c r="Q113" s="252"/>
      <c r="R113" s="252"/>
      <c r="S113" s="252" t="e">
        <f t="shared" si="1"/>
        <v>#REF!</v>
      </c>
      <c r="T113" s="252"/>
      <c r="U113" s="441" t="e">
        <f t="shared" si="4"/>
        <v>#REF!</v>
      </c>
      <c r="V113" s="440"/>
      <c r="W113" s="439" t="e">
        <f t="shared" si="2"/>
        <v>#REF!</v>
      </c>
      <c r="X113" s="183"/>
      <c r="Y113" s="182"/>
    </row>
    <row r="114" spans="1:25" s="180" customFormat="1" ht="16.5">
      <c r="A114" s="295">
        <v>14</v>
      </c>
      <c r="B114" s="461" t="s">
        <v>528</v>
      </c>
      <c r="C114" s="438"/>
      <c r="D114" s="462" t="e">
        <f>#REF!</f>
        <v>#REF!</v>
      </c>
      <c r="E114" s="462" t="str">
        <f>[5]CNKT!D111</f>
        <v>CNKT</v>
      </c>
      <c r="F114" s="463" t="e">
        <f>VLOOKUP(D114,#REF!,3,0)</f>
        <v>#REF!</v>
      </c>
      <c r="G114" s="252" t="e">
        <f>VLOOKUP(D114,[5]CNKT!C109:F196,4,0)</f>
        <v>#REF!</v>
      </c>
      <c r="H114" s="252"/>
      <c r="I114" s="252" t="s">
        <v>120</v>
      </c>
      <c r="J114" s="252"/>
      <c r="K114" s="252"/>
      <c r="L114" s="252" t="e">
        <f>VLOOKUP(D114,#REF!,8,0)</f>
        <v>#REF!</v>
      </c>
      <c r="M114" s="252" t="e">
        <f t="shared" si="3"/>
        <v>#REF!</v>
      </c>
      <c r="N114" s="252" t="e">
        <f>VLOOKUP(D114,#REF!,11,0)</f>
        <v>#REF!</v>
      </c>
      <c r="O114" s="252" t="e">
        <f>VLOOKUP(D114,#REF!,21,0)</f>
        <v>#REF!</v>
      </c>
      <c r="P114" s="252" t="e">
        <f>VLOOKUP(D114,#REF!,22,0)</f>
        <v>#REF!</v>
      </c>
      <c r="Q114" s="252"/>
      <c r="R114" s="252"/>
      <c r="S114" s="252" t="e">
        <f t="shared" si="1"/>
        <v>#REF!</v>
      </c>
      <c r="T114" s="252"/>
      <c r="U114" s="441" t="e">
        <f t="shared" si="4"/>
        <v>#REF!</v>
      </c>
      <c r="V114" s="440"/>
      <c r="W114" s="439" t="e">
        <f t="shared" si="2"/>
        <v>#REF!</v>
      </c>
      <c r="X114" s="183"/>
      <c r="Y114" s="182"/>
    </row>
    <row r="115" spans="1:25" s="180" customFormat="1" ht="16.5">
      <c r="A115" s="295">
        <v>15</v>
      </c>
      <c r="B115" s="461" t="s">
        <v>529</v>
      </c>
      <c r="C115" s="438"/>
      <c r="D115" s="462" t="e">
        <f>#REF!</f>
        <v>#REF!</v>
      </c>
      <c r="E115" s="462" t="str">
        <f>[5]CNKT!D112</f>
        <v>CNKT</v>
      </c>
      <c r="F115" s="463" t="e">
        <f>VLOOKUP(D115,#REF!,3,0)</f>
        <v>#REF!</v>
      </c>
      <c r="G115" s="252" t="e">
        <f>VLOOKUP(D115,[5]CNKT!C110:F197,4,0)</f>
        <v>#REF!</v>
      </c>
      <c r="H115" s="252"/>
      <c r="I115" s="252" t="s">
        <v>120</v>
      </c>
      <c r="J115" s="252"/>
      <c r="K115" s="252"/>
      <c r="L115" s="252" t="e">
        <f>VLOOKUP(D115,#REF!,8,0)</f>
        <v>#REF!</v>
      </c>
      <c r="M115" s="252" t="e">
        <f t="shared" si="3"/>
        <v>#REF!</v>
      </c>
      <c r="N115" s="252" t="e">
        <f>VLOOKUP(D115,#REF!,11,0)</f>
        <v>#REF!</v>
      </c>
      <c r="O115" s="252" t="e">
        <f>VLOOKUP(D115,#REF!,21,0)</f>
        <v>#REF!</v>
      </c>
      <c r="P115" s="252" t="e">
        <f>VLOOKUP(D115,#REF!,22,0)</f>
        <v>#REF!</v>
      </c>
      <c r="Q115" s="252"/>
      <c r="R115" s="252"/>
      <c r="S115" s="252" t="e">
        <f t="shared" si="1"/>
        <v>#REF!</v>
      </c>
      <c r="T115" s="252"/>
      <c r="U115" s="441" t="e">
        <f t="shared" si="4"/>
        <v>#REF!</v>
      </c>
      <c r="V115" s="440"/>
      <c r="W115" s="439" t="e">
        <f t="shared" si="2"/>
        <v>#REF!</v>
      </c>
      <c r="X115" s="183"/>
      <c r="Y115" s="182"/>
    </row>
    <row r="116" spans="1:25" s="180" customFormat="1" ht="16.5">
      <c r="A116" s="295">
        <v>16</v>
      </c>
      <c r="B116" s="461" t="s">
        <v>530</v>
      </c>
      <c r="C116" s="438"/>
      <c r="D116" s="462" t="e">
        <f>#REF!</f>
        <v>#REF!</v>
      </c>
      <c r="E116" s="462" t="str">
        <f>[5]CNKT!D113</f>
        <v>CNKT</v>
      </c>
      <c r="F116" s="463" t="e">
        <f>VLOOKUP(D116,#REF!,3,0)</f>
        <v>#REF!</v>
      </c>
      <c r="G116" s="252" t="e">
        <f>VLOOKUP(D116,[5]CNKT!C111:F198,4,0)</f>
        <v>#REF!</v>
      </c>
      <c r="H116" s="252"/>
      <c r="I116" s="252" t="s">
        <v>120</v>
      </c>
      <c r="J116" s="252"/>
      <c r="K116" s="252"/>
      <c r="L116" s="252" t="e">
        <f>VLOOKUP(D116,#REF!,8,0)</f>
        <v>#REF!</v>
      </c>
      <c r="M116" s="252" t="e">
        <f t="shared" si="3"/>
        <v>#REF!</v>
      </c>
      <c r="N116" s="252" t="e">
        <f>VLOOKUP(D116,#REF!,11,0)</f>
        <v>#REF!</v>
      </c>
      <c r="O116" s="252" t="e">
        <f>VLOOKUP(D116,#REF!,21,0)</f>
        <v>#REF!</v>
      </c>
      <c r="P116" s="252" t="e">
        <f>VLOOKUP(D116,#REF!,22,0)</f>
        <v>#REF!</v>
      </c>
      <c r="Q116" s="252"/>
      <c r="R116" s="252"/>
      <c r="S116" s="252" t="e">
        <f t="shared" si="1"/>
        <v>#REF!</v>
      </c>
      <c r="T116" s="252"/>
      <c r="U116" s="441" t="e">
        <f t="shared" si="4"/>
        <v>#REF!</v>
      </c>
      <c r="V116" s="440"/>
      <c r="W116" s="439" t="e">
        <f t="shared" si="2"/>
        <v>#REF!</v>
      </c>
      <c r="X116" s="183"/>
      <c r="Y116" s="182"/>
    </row>
    <row r="117" spans="1:25" s="180" customFormat="1" ht="16.5">
      <c r="A117" s="295">
        <v>17</v>
      </c>
      <c r="B117" s="461" t="s">
        <v>531</v>
      </c>
      <c r="C117" s="438"/>
      <c r="D117" s="462" t="e">
        <f>#REF!</f>
        <v>#REF!</v>
      </c>
      <c r="E117" s="462" t="str">
        <f>[5]CNKT!D114</f>
        <v>CNKT</v>
      </c>
      <c r="F117" s="463" t="e">
        <f>VLOOKUP(D117,#REF!,3,0)</f>
        <v>#REF!</v>
      </c>
      <c r="G117" s="252" t="e">
        <f>VLOOKUP(D117,[5]CNKT!C112:F199,4,0)</f>
        <v>#REF!</v>
      </c>
      <c r="H117" s="252"/>
      <c r="I117" s="252" t="s">
        <v>120</v>
      </c>
      <c r="J117" s="252"/>
      <c r="K117" s="252"/>
      <c r="L117" s="252" t="e">
        <f>VLOOKUP(D117,#REF!,8,0)</f>
        <v>#REF!</v>
      </c>
      <c r="M117" s="252" t="e">
        <f t="shared" si="3"/>
        <v>#REF!</v>
      </c>
      <c r="N117" s="252" t="e">
        <f>VLOOKUP(D117,#REF!,11,0)</f>
        <v>#REF!</v>
      </c>
      <c r="O117" s="252" t="e">
        <f>VLOOKUP(D117,#REF!,21,0)</f>
        <v>#REF!</v>
      </c>
      <c r="P117" s="252" t="e">
        <f>VLOOKUP(D117,#REF!,22,0)</f>
        <v>#REF!</v>
      </c>
      <c r="Q117" s="252"/>
      <c r="R117" s="252"/>
      <c r="S117" s="252" t="e">
        <f t="shared" si="1"/>
        <v>#REF!</v>
      </c>
      <c r="T117" s="252"/>
      <c r="U117" s="441" t="e">
        <f t="shared" si="4"/>
        <v>#REF!</v>
      </c>
      <c r="V117" s="440"/>
      <c r="W117" s="439" t="e">
        <f t="shared" si="2"/>
        <v>#REF!</v>
      </c>
      <c r="X117" s="183"/>
      <c r="Y117" s="182"/>
    </row>
    <row r="118" spans="1:25" s="180" customFormat="1" ht="16.5">
      <c r="A118" s="295">
        <v>18</v>
      </c>
      <c r="B118" s="461" t="s">
        <v>532</v>
      </c>
      <c r="C118" s="438"/>
      <c r="D118" s="462" t="e">
        <f>#REF!</f>
        <v>#REF!</v>
      </c>
      <c r="E118" s="462" t="str">
        <f>[5]CNKT!D115</f>
        <v>CNKT</v>
      </c>
      <c r="F118" s="463" t="e">
        <f>VLOOKUP(D118,#REF!,3,0)</f>
        <v>#REF!</v>
      </c>
      <c r="G118" s="252" t="e">
        <f>VLOOKUP(D118,[5]CNKT!C113:F200,4,0)</f>
        <v>#REF!</v>
      </c>
      <c r="H118" s="252"/>
      <c r="I118" s="252" t="s">
        <v>120</v>
      </c>
      <c r="J118" s="252"/>
      <c r="K118" s="252"/>
      <c r="L118" s="252" t="e">
        <f>VLOOKUP(D118,#REF!,8,0)</f>
        <v>#REF!</v>
      </c>
      <c r="M118" s="252" t="e">
        <f t="shared" si="3"/>
        <v>#REF!</v>
      </c>
      <c r="N118" s="252" t="e">
        <f>VLOOKUP(D118,#REF!,11,0)</f>
        <v>#REF!</v>
      </c>
      <c r="O118" s="252" t="e">
        <f>VLOOKUP(D118,#REF!,21,0)</f>
        <v>#REF!</v>
      </c>
      <c r="P118" s="252" t="e">
        <f>VLOOKUP(D118,#REF!,22,0)</f>
        <v>#REF!</v>
      </c>
      <c r="Q118" s="252"/>
      <c r="R118" s="252"/>
      <c r="S118" s="252" t="e">
        <f t="shared" si="1"/>
        <v>#REF!</v>
      </c>
      <c r="T118" s="252"/>
      <c r="U118" s="441" t="e">
        <f t="shared" si="4"/>
        <v>#REF!</v>
      </c>
      <c r="V118" s="440"/>
      <c r="W118" s="439" t="e">
        <f t="shared" si="2"/>
        <v>#REF!</v>
      </c>
      <c r="X118" s="183"/>
      <c r="Y118" s="182"/>
    </row>
    <row r="119" spans="1:25" s="180" customFormat="1" ht="16.5">
      <c r="A119" s="295">
        <v>19</v>
      </c>
      <c r="B119" s="461" t="s">
        <v>533</v>
      </c>
      <c r="C119" s="438"/>
      <c r="D119" s="462" t="e">
        <f>#REF!</f>
        <v>#REF!</v>
      </c>
      <c r="E119" s="462" t="str">
        <f>[5]CNKT!D116</f>
        <v>CNKT</v>
      </c>
      <c r="F119" s="463" t="e">
        <f>VLOOKUP(D119,#REF!,3,0)</f>
        <v>#REF!</v>
      </c>
      <c r="G119" s="252" t="e">
        <f>VLOOKUP(D119,[5]CNKT!C114:F201,4,0)</f>
        <v>#REF!</v>
      </c>
      <c r="H119" s="252"/>
      <c r="I119" s="252" t="s">
        <v>120</v>
      </c>
      <c r="J119" s="252"/>
      <c r="K119" s="252"/>
      <c r="L119" s="252" t="e">
        <f>VLOOKUP(D119,#REF!,8,0)</f>
        <v>#REF!</v>
      </c>
      <c r="M119" s="252" t="e">
        <f t="shared" si="3"/>
        <v>#REF!</v>
      </c>
      <c r="N119" s="252" t="e">
        <f>VLOOKUP(D119,#REF!,11,0)</f>
        <v>#REF!</v>
      </c>
      <c r="O119" s="252" t="e">
        <f>VLOOKUP(D119,#REF!,21,0)</f>
        <v>#REF!</v>
      </c>
      <c r="P119" s="252" t="e">
        <f>VLOOKUP(D119,#REF!,22,0)</f>
        <v>#REF!</v>
      </c>
      <c r="Q119" s="252"/>
      <c r="R119" s="252"/>
      <c r="S119" s="252" t="e">
        <f t="shared" si="1"/>
        <v>#REF!</v>
      </c>
      <c r="T119" s="252"/>
      <c r="U119" s="441" t="e">
        <f t="shared" si="4"/>
        <v>#REF!</v>
      </c>
      <c r="V119" s="440"/>
      <c r="W119" s="439" t="e">
        <f t="shared" si="2"/>
        <v>#REF!</v>
      </c>
      <c r="X119" s="183"/>
      <c r="Y119" s="182"/>
    </row>
    <row r="120" spans="1:25" s="180" customFormat="1" ht="16.5">
      <c r="A120" s="295">
        <v>20</v>
      </c>
      <c r="B120" s="461" t="s">
        <v>534</v>
      </c>
      <c r="C120" s="438"/>
      <c r="D120" s="462" t="e">
        <f>#REF!</f>
        <v>#REF!</v>
      </c>
      <c r="E120" s="462" t="str">
        <f>[5]CNKT!D117</f>
        <v>CNKT</v>
      </c>
      <c r="F120" s="463" t="e">
        <f>VLOOKUP(D120,#REF!,3,0)</f>
        <v>#REF!</v>
      </c>
      <c r="G120" s="252" t="e">
        <f>VLOOKUP(D120,[5]CNKT!C115:F202,4,0)</f>
        <v>#REF!</v>
      </c>
      <c r="H120" s="252"/>
      <c r="I120" s="252" t="s">
        <v>120</v>
      </c>
      <c r="J120" s="252"/>
      <c r="K120" s="252"/>
      <c r="L120" s="252" t="e">
        <f>VLOOKUP(D120,#REF!,8,0)</f>
        <v>#REF!</v>
      </c>
      <c r="M120" s="252" t="e">
        <f t="shared" si="3"/>
        <v>#REF!</v>
      </c>
      <c r="N120" s="252" t="e">
        <f>VLOOKUP(D120,#REF!,11,0)</f>
        <v>#REF!</v>
      </c>
      <c r="O120" s="252" t="e">
        <f>VLOOKUP(D120,#REF!,21,0)</f>
        <v>#REF!</v>
      </c>
      <c r="P120" s="252" t="e">
        <f>VLOOKUP(D120,#REF!,22,0)</f>
        <v>#REF!</v>
      </c>
      <c r="Q120" s="252"/>
      <c r="R120" s="252"/>
      <c r="S120" s="252" t="e">
        <f t="shared" si="1"/>
        <v>#REF!</v>
      </c>
      <c r="T120" s="252"/>
      <c r="U120" s="441" t="e">
        <f t="shared" si="4"/>
        <v>#REF!</v>
      </c>
      <c r="V120" s="440"/>
      <c r="W120" s="439" t="e">
        <f t="shared" si="2"/>
        <v>#REF!</v>
      </c>
      <c r="X120" s="183"/>
      <c r="Y120" s="182"/>
    </row>
    <row r="121" spans="1:25" s="180" customFormat="1" ht="16.5">
      <c r="A121" s="295">
        <v>22</v>
      </c>
      <c r="B121" s="461" t="s">
        <v>535</v>
      </c>
      <c r="C121" s="438"/>
      <c r="D121" s="462" t="e">
        <f>#REF!</f>
        <v>#REF!</v>
      </c>
      <c r="E121" s="462" t="str">
        <f>[5]CNKT!D118</f>
        <v>CNKT</v>
      </c>
      <c r="F121" s="463" t="e">
        <f>VLOOKUP(D121,#REF!,3,0)</f>
        <v>#REF!</v>
      </c>
      <c r="G121" s="252" t="e">
        <f>VLOOKUP(D121,[5]CNKT!C116:F203,4,0)</f>
        <v>#REF!</v>
      </c>
      <c r="H121" s="252"/>
      <c r="I121" s="252" t="s">
        <v>120</v>
      </c>
      <c r="J121" s="252"/>
      <c r="K121" s="252"/>
      <c r="L121" s="252" t="e">
        <f>VLOOKUP(D121,#REF!,8,0)</f>
        <v>#REF!</v>
      </c>
      <c r="M121" s="252" t="e">
        <f t="shared" si="3"/>
        <v>#REF!</v>
      </c>
      <c r="N121" s="252" t="e">
        <f>VLOOKUP(D121,#REF!,11,0)</f>
        <v>#REF!</v>
      </c>
      <c r="O121" s="252" t="e">
        <f>VLOOKUP(D121,#REF!,21,0)</f>
        <v>#REF!</v>
      </c>
      <c r="P121" s="252" t="e">
        <f>VLOOKUP(D121,#REF!,22,0)</f>
        <v>#REF!</v>
      </c>
      <c r="Q121" s="252"/>
      <c r="R121" s="252"/>
      <c r="S121" s="252" t="e">
        <f t="shared" si="1"/>
        <v>#REF!</v>
      </c>
      <c r="T121" s="252"/>
      <c r="U121" s="441" t="e">
        <f t="shared" si="4"/>
        <v>#REF!</v>
      </c>
      <c r="V121" s="440"/>
      <c r="W121" s="439" t="e">
        <f t="shared" si="2"/>
        <v>#REF!</v>
      </c>
      <c r="X121" s="183"/>
      <c r="Y121" s="182"/>
    </row>
    <row r="122" spans="1:25" s="180" customFormat="1" ht="16.5">
      <c r="A122" s="295">
        <v>21</v>
      </c>
      <c r="B122" s="461" t="s">
        <v>536</v>
      </c>
      <c r="C122" s="438"/>
      <c r="D122" s="462" t="e">
        <f>#REF!</f>
        <v>#REF!</v>
      </c>
      <c r="E122" s="462" t="str">
        <f>[5]CNKT!D119</f>
        <v>CNKT</v>
      </c>
      <c r="F122" s="463" t="e">
        <f>VLOOKUP(D122,#REF!,3,0)</f>
        <v>#REF!</v>
      </c>
      <c r="G122" s="252" t="e">
        <f>VLOOKUP(D122,[5]CNKT!C117:F204,4,0)</f>
        <v>#REF!</v>
      </c>
      <c r="H122" s="252"/>
      <c r="I122" s="252" t="s">
        <v>120</v>
      </c>
      <c r="J122" s="252"/>
      <c r="K122" s="252"/>
      <c r="L122" s="252" t="e">
        <f>VLOOKUP(D122,#REF!,8,0)</f>
        <v>#REF!</v>
      </c>
      <c r="M122" s="252" t="e">
        <f t="shared" si="3"/>
        <v>#REF!</v>
      </c>
      <c r="N122" s="252" t="e">
        <f>VLOOKUP(D122,#REF!,11,0)</f>
        <v>#REF!</v>
      </c>
      <c r="O122" s="252" t="e">
        <f>VLOOKUP(D122,#REF!,21,0)</f>
        <v>#REF!</v>
      </c>
      <c r="P122" s="252" t="e">
        <f>VLOOKUP(D122,#REF!,22,0)</f>
        <v>#REF!</v>
      </c>
      <c r="Q122" s="252"/>
      <c r="R122" s="252"/>
      <c r="S122" s="252" t="e">
        <f t="shared" si="1"/>
        <v>#REF!</v>
      </c>
      <c r="T122" s="252"/>
      <c r="U122" s="441" t="e">
        <f t="shared" si="4"/>
        <v>#REF!</v>
      </c>
      <c r="V122" s="440"/>
      <c r="W122" s="439" t="e">
        <f t="shared" si="2"/>
        <v>#REF!</v>
      </c>
      <c r="X122" s="183"/>
      <c r="Y122" s="182"/>
    </row>
    <row r="123" spans="1:25" s="180" customFormat="1" ht="16.5">
      <c r="A123" s="295">
        <v>22</v>
      </c>
      <c r="B123" s="461" t="s">
        <v>537</v>
      </c>
      <c r="C123" s="438"/>
      <c r="D123" s="462" t="e">
        <f>#REF!</f>
        <v>#REF!</v>
      </c>
      <c r="E123" s="462" t="str">
        <f>[5]CNKT!D120</f>
        <v>CNKT</v>
      </c>
      <c r="F123" s="463" t="e">
        <f>VLOOKUP(D123,#REF!,3,0)</f>
        <v>#REF!</v>
      </c>
      <c r="G123" s="252" t="e">
        <f>VLOOKUP(D123,[5]CNKT!C118:F205,4,0)</f>
        <v>#REF!</v>
      </c>
      <c r="H123" s="252"/>
      <c r="I123" s="252" t="s">
        <v>120</v>
      </c>
      <c r="J123" s="252"/>
      <c r="K123" s="252"/>
      <c r="L123" s="252" t="e">
        <f>VLOOKUP(D123,#REF!,8,0)</f>
        <v>#REF!</v>
      </c>
      <c r="M123" s="252" t="e">
        <f t="shared" si="3"/>
        <v>#REF!</v>
      </c>
      <c r="N123" s="252" t="e">
        <f>VLOOKUP(D123,#REF!,11,0)</f>
        <v>#REF!</v>
      </c>
      <c r="O123" s="252" t="e">
        <f>VLOOKUP(D123,#REF!,21,0)</f>
        <v>#REF!</v>
      </c>
      <c r="P123" s="252" t="e">
        <f>VLOOKUP(D123,#REF!,22,0)</f>
        <v>#REF!</v>
      </c>
      <c r="Q123" s="252"/>
      <c r="R123" s="252"/>
      <c r="S123" s="252" t="e">
        <f t="shared" si="1"/>
        <v>#REF!</v>
      </c>
      <c r="T123" s="252"/>
      <c r="U123" s="441" t="e">
        <f t="shared" si="4"/>
        <v>#REF!</v>
      </c>
      <c r="V123" s="440"/>
      <c r="W123" s="439" t="e">
        <f t="shared" si="2"/>
        <v>#REF!</v>
      </c>
      <c r="X123" s="183"/>
      <c r="Y123" s="182"/>
    </row>
    <row r="124" spans="1:25" s="180" customFormat="1" ht="16.5">
      <c r="A124" s="295">
        <v>23</v>
      </c>
      <c r="B124" s="461" t="s">
        <v>538</v>
      </c>
      <c r="C124" s="438"/>
      <c r="D124" s="462" t="e">
        <f>#REF!</f>
        <v>#REF!</v>
      </c>
      <c r="E124" s="462" t="str">
        <f>[5]CNKT!D121</f>
        <v>CNKT</v>
      </c>
      <c r="F124" s="463" t="e">
        <f>VLOOKUP(D124,#REF!,3,0)</f>
        <v>#REF!</v>
      </c>
      <c r="G124" s="252" t="e">
        <f>VLOOKUP(D124,[5]CNKT!C119:F206,4,0)</f>
        <v>#REF!</v>
      </c>
      <c r="H124" s="252"/>
      <c r="I124" s="252" t="s">
        <v>120</v>
      </c>
      <c r="J124" s="252"/>
      <c r="K124" s="252"/>
      <c r="L124" s="252" t="e">
        <f>VLOOKUP(D124,#REF!,8,0)</f>
        <v>#REF!</v>
      </c>
      <c r="M124" s="252" t="e">
        <f t="shared" si="3"/>
        <v>#REF!</v>
      </c>
      <c r="N124" s="252" t="e">
        <f>VLOOKUP(D124,#REF!,11,0)</f>
        <v>#REF!</v>
      </c>
      <c r="O124" s="252" t="e">
        <f>VLOOKUP(D124,#REF!,21,0)</f>
        <v>#REF!</v>
      </c>
      <c r="P124" s="252" t="e">
        <f>VLOOKUP(D124,#REF!,22,0)</f>
        <v>#REF!</v>
      </c>
      <c r="Q124" s="252"/>
      <c r="R124" s="252"/>
      <c r="S124" s="252" t="e">
        <f t="shared" si="1"/>
        <v>#REF!</v>
      </c>
      <c r="T124" s="252"/>
      <c r="U124" s="441" t="e">
        <f t="shared" si="4"/>
        <v>#REF!</v>
      </c>
      <c r="V124" s="440"/>
      <c r="W124" s="439" t="e">
        <f t="shared" si="2"/>
        <v>#REF!</v>
      </c>
      <c r="X124" s="183"/>
      <c r="Y124" s="182"/>
    </row>
    <row r="125" spans="1:25" s="180" customFormat="1" ht="16.5">
      <c r="A125" s="295">
        <v>24</v>
      </c>
      <c r="B125" s="461" t="s">
        <v>539</v>
      </c>
      <c r="C125" s="438"/>
      <c r="D125" s="462" t="e">
        <f>#REF!</f>
        <v>#REF!</v>
      </c>
      <c r="E125" s="462" t="str">
        <f>[5]CNKT!D122</f>
        <v>CNKT</v>
      </c>
      <c r="F125" s="463" t="e">
        <f>VLOOKUP(D125,#REF!,3,0)</f>
        <v>#REF!</v>
      </c>
      <c r="G125" s="252" t="e">
        <f>VLOOKUP(D125,[5]CNKT!C120:F207,4,0)</f>
        <v>#REF!</v>
      </c>
      <c r="H125" s="252"/>
      <c r="I125" s="252" t="s">
        <v>120</v>
      </c>
      <c r="J125" s="252"/>
      <c r="K125" s="252"/>
      <c r="L125" s="252" t="e">
        <f>VLOOKUP(D125,#REF!,8,0)</f>
        <v>#REF!</v>
      </c>
      <c r="M125" s="252" t="e">
        <f t="shared" si="3"/>
        <v>#REF!</v>
      </c>
      <c r="N125" s="252" t="e">
        <f>VLOOKUP(D125,#REF!,11,0)</f>
        <v>#REF!</v>
      </c>
      <c r="O125" s="252" t="e">
        <f>VLOOKUP(D125,#REF!,21,0)</f>
        <v>#REF!</v>
      </c>
      <c r="P125" s="252" t="e">
        <f>VLOOKUP(D125,#REF!,22,0)</f>
        <v>#REF!</v>
      </c>
      <c r="Q125" s="252"/>
      <c r="R125" s="252"/>
      <c r="S125" s="252" t="e">
        <f t="shared" si="1"/>
        <v>#REF!</v>
      </c>
      <c r="T125" s="252"/>
      <c r="U125" s="441" t="e">
        <f t="shared" si="4"/>
        <v>#REF!</v>
      </c>
      <c r="V125" s="440"/>
      <c r="W125" s="439" t="e">
        <f t="shared" si="2"/>
        <v>#REF!</v>
      </c>
      <c r="X125" s="183"/>
      <c r="Y125" s="182"/>
    </row>
    <row r="126" spans="1:25" s="180" customFormat="1" ht="16.5">
      <c r="A126" s="295">
        <v>25</v>
      </c>
      <c r="B126" s="461" t="s">
        <v>540</v>
      </c>
      <c r="C126" s="438"/>
      <c r="D126" s="462" t="e">
        <f>#REF!</f>
        <v>#REF!</v>
      </c>
      <c r="E126" s="462" t="str">
        <f>[5]CNKT!D123</f>
        <v>CNKT</v>
      </c>
      <c r="F126" s="463" t="e">
        <f>VLOOKUP(D126,#REF!,3,0)</f>
        <v>#REF!</v>
      </c>
      <c r="G126" s="252" t="e">
        <f>VLOOKUP(D126,[5]CNKT!C121:F208,4,0)</f>
        <v>#REF!</v>
      </c>
      <c r="H126" s="252"/>
      <c r="I126" s="252" t="s">
        <v>120</v>
      </c>
      <c r="J126" s="252"/>
      <c r="K126" s="252"/>
      <c r="L126" s="252" t="e">
        <f>VLOOKUP(D126,#REF!,8,0)</f>
        <v>#REF!</v>
      </c>
      <c r="M126" s="252" t="e">
        <f t="shared" si="3"/>
        <v>#REF!</v>
      </c>
      <c r="N126" s="252" t="e">
        <f>VLOOKUP(D126,#REF!,11,0)</f>
        <v>#REF!</v>
      </c>
      <c r="O126" s="252" t="e">
        <f>VLOOKUP(D126,#REF!,21,0)</f>
        <v>#REF!</v>
      </c>
      <c r="P126" s="252" t="e">
        <f>VLOOKUP(D126,#REF!,22,0)</f>
        <v>#REF!</v>
      </c>
      <c r="Q126" s="252"/>
      <c r="R126" s="252"/>
      <c r="S126" s="252" t="e">
        <f t="shared" si="1"/>
        <v>#REF!</v>
      </c>
      <c r="T126" s="252"/>
      <c r="U126" s="441" t="e">
        <f t="shared" si="4"/>
        <v>#REF!</v>
      </c>
      <c r="V126" s="440"/>
      <c r="W126" s="439" t="e">
        <f t="shared" si="2"/>
        <v>#REF!</v>
      </c>
      <c r="X126" s="183"/>
      <c r="Y126" s="182"/>
    </row>
    <row r="127" spans="1:25" s="180" customFormat="1" ht="16.5">
      <c r="A127" s="295">
        <v>28</v>
      </c>
      <c r="B127" s="461" t="s">
        <v>541</v>
      </c>
      <c r="C127" s="438"/>
      <c r="D127" s="462" t="e">
        <f>#REF!</f>
        <v>#REF!</v>
      </c>
      <c r="E127" s="462" t="str">
        <f>[5]CNKT!D124</f>
        <v>CNKT</v>
      </c>
      <c r="F127" s="463" t="e">
        <f>VLOOKUP(D127,#REF!,3,0)</f>
        <v>#REF!</v>
      </c>
      <c r="G127" s="252" t="e">
        <f>VLOOKUP(D127,[5]CNKT!C122:F209,4,0)</f>
        <v>#REF!</v>
      </c>
      <c r="H127" s="252"/>
      <c r="I127" s="252" t="s">
        <v>120</v>
      </c>
      <c r="J127" s="252"/>
      <c r="K127" s="252"/>
      <c r="L127" s="252" t="e">
        <f>VLOOKUP(D127,#REF!,8,0)</f>
        <v>#REF!</v>
      </c>
      <c r="M127" s="252" t="e">
        <f t="shared" si="3"/>
        <v>#REF!</v>
      </c>
      <c r="N127" s="252" t="e">
        <f>VLOOKUP(D127,#REF!,11,0)</f>
        <v>#REF!</v>
      </c>
      <c r="O127" s="252" t="e">
        <f>VLOOKUP(D127,#REF!,21,0)</f>
        <v>#REF!</v>
      </c>
      <c r="P127" s="252" t="e">
        <f>VLOOKUP(D127,#REF!,22,0)</f>
        <v>#REF!</v>
      </c>
      <c r="Q127" s="252"/>
      <c r="R127" s="252"/>
      <c r="S127" s="252" t="e">
        <f t="shared" si="1"/>
        <v>#REF!</v>
      </c>
      <c r="T127" s="252"/>
      <c r="U127" s="441" t="e">
        <f t="shared" si="4"/>
        <v>#REF!</v>
      </c>
      <c r="V127" s="440"/>
      <c r="W127" s="439" t="e">
        <f t="shared" si="2"/>
        <v>#REF!</v>
      </c>
      <c r="X127" s="183"/>
      <c r="Y127" s="182"/>
    </row>
    <row r="128" spans="1:25" s="180" customFormat="1" ht="16.5">
      <c r="A128" s="295">
        <v>26</v>
      </c>
      <c r="B128" s="461" t="s">
        <v>542</v>
      </c>
      <c r="C128" s="438"/>
      <c r="D128" s="462" t="e">
        <f>#REF!</f>
        <v>#REF!</v>
      </c>
      <c r="E128" s="462" t="str">
        <f>[5]CNKT!D125</f>
        <v>CNKT</v>
      </c>
      <c r="F128" s="463" t="e">
        <f>VLOOKUP(D128,#REF!,3,0)</f>
        <v>#REF!</v>
      </c>
      <c r="G128" s="252" t="e">
        <f>VLOOKUP(D128,[5]CNKT!C123:F210,4,0)</f>
        <v>#REF!</v>
      </c>
      <c r="H128" s="252"/>
      <c r="I128" s="252" t="s">
        <v>120</v>
      </c>
      <c r="J128" s="252"/>
      <c r="K128" s="252"/>
      <c r="L128" s="252" t="e">
        <f>VLOOKUP(D128,#REF!,8,0)</f>
        <v>#REF!</v>
      </c>
      <c r="M128" s="252" t="e">
        <f t="shared" si="3"/>
        <v>#REF!</v>
      </c>
      <c r="N128" s="252" t="e">
        <f>VLOOKUP(D128,#REF!,11,0)</f>
        <v>#REF!</v>
      </c>
      <c r="O128" s="252" t="e">
        <f>VLOOKUP(D128,#REF!,21,0)</f>
        <v>#REF!</v>
      </c>
      <c r="P128" s="252" t="e">
        <f>VLOOKUP(D128,#REF!,22,0)</f>
        <v>#REF!</v>
      </c>
      <c r="Q128" s="252"/>
      <c r="R128" s="252"/>
      <c r="S128" s="252" t="e">
        <f t="shared" si="1"/>
        <v>#REF!</v>
      </c>
      <c r="T128" s="252"/>
      <c r="U128" s="441" t="e">
        <f t="shared" si="4"/>
        <v>#REF!</v>
      </c>
      <c r="V128" s="440"/>
      <c r="W128" s="439" t="e">
        <f t="shared" si="2"/>
        <v>#REF!</v>
      </c>
      <c r="X128" s="183"/>
      <c r="Y128" s="182"/>
    </row>
    <row r="129" spans="1:25" s="180" customFormat="1" ht="16.5">
      <c r="A129" s="295">
        <v>30</v>
      </c>
      <c r="B129" s="461" t="s">
        <v>543</v>
      </c>
      <c r="C129" s="438"/>
      <c r="D129" s="462" t="e">
        <f>#REF!</f>
        <v>#REF!</v>
      </c>
      <c r="E129" s="462" t="str">
        <f>[5]CNKT!D126</f>
        <v>CNKT</v>
      </c>
      <c r="F129" s="463" t="e">
        <f>VLOOKUP(D129,#REF!,3,0)</f>
        <v>#REF!</v>
      </c>
      <c r="G129" s="252" t="e">
        <f>VLOOKUP(D129,[5]CNKT!C124:F211,4,0)</f>
        <v>#REF!</v>
      </c>
      <c r="H129" s="252"/>
      <c r="I129" s="252" t="s">
        <v>120</v>
      </c>
      <c r="J129" s="252"/>
      <c r="K129" s="252"/>
      <c r="L129" s="252" t="e">
        <f>VLOOKUP(D129,#REF!,8,0)</f>
        <v>#REF!</v>
      </c>
      <c r="M129" s="252" t="e">
        <f t="shared" si="3"/>
        <v>#REF!</v>
      </c>
      <c r="N129" s="252" t="e">
        <f>VLOOKUP(D129,#REF!,11,0)</f>
        <v>#REF!</v>
      </c>
      <c r="O129" s="252" t="e">
        <f>VLOOKUP(D129,#REF!,21,0)</f>
        <v>#REF!</v>
      </c>
      <c r="P129" s="252" t="e">
        <f>VLOOKUP(D129,#REF!,22,0)</f>
        <v>#REF!</v>
      </c>
      <c r="Q129" s="252"/>
      <c r="R129" s="252"/>
      <c r="S129" s="252" t="e">
        <f t="shared" si="1"/>
        <v>#REF!</v>
      </c>
      <c r="T129" s="252"/>
      <c r="U129" s="441" t="e">
        <f t="shared" si="4"/>
        <v>#REF!</v>
      </c>
      <c r="V129" s="440"/>
      <c r="W129" s="439" t="e">
        <f t="shared" si="2"/>
        <v>#REF!</v>
      </c>
      <c r="X129" s="183"/>
      <c r="Y129" s="182"/>
    </row>
    <row r="130" spans="1:25" s="180" customFormat="1" ht="16.5">
      <c r="A130" s="295">
        <v>27</v>
      </c>
      <c r="B130" s="461" t="s">
        <v>544</v>
      </c>
      <c r="C130" s="438"/>
      <c r="D130" s="462" t="e">
        <f>#REF!</f>
        <v>#REF!</v>
      </c>
      <c r="E130" s="462" t="str">
        <f>[5]CNKT!D127</f>
        <v>CNKT</v>
      </c>
      <c r="F130" s="463" t="e">
        <f>VLOOKUP(D130,#REF!,3,0)</f>
        <v>#REF!</v>
      </c>
      <c r="G130" s="252" t="e">
        <f>VLOOKUP(D130,[5]CNKT!C125:F212,4,0)</f>
        <v>#REF!</v>
      </c>
      <c r="H130" s="252"/>
      <c r="I130" s="252" t="s">
        <v>120</v>
      </c>
      <c r="J130" s="252"/>
      <c r="K130" s="252"/>
      <c r="L130" s="252" t="e">
        <f>VLOOKUP(D130,#REF!,8,0)</f>
        <v>#REF!</v>
      </c>
      <c r="M130" s="252" t="e">
        <f t="shared" si="3"/>
        <v>#REF!</v>
      </c>
      <c r="N130" s="252" t="e">
        <f>VLOOKUP(D130,#REF!,11,0)</f>
        <v>#REF!</v>
      </c>
      <c r="O130" s="252" t="e">
        <f>VLOOKUP(D130,#REF!,21,0)</f>
        <v>#REF!</v>
      </c>
      <c r="P130" s="252" t="e">
        <f>VLOOKUP(D130,#REF!,22,0)</f>
        <v>#REF!</v>
      </c>
      <c r="Q130" s="252"/>
      <c r="R130" s="252"/>
      <c r="S130" s="252" t="e">
        <f t="shared" si="1"/>
        <v>#REF!</v>
      </c>
      <c r="T130" s="252"/>
      <c r="U130" s="441" t="e">
        <f t="shared" si="4"/>
        <v>#REF!</v>
      </c>
      <c r="V130" s="440"/>
      <c r="W130" s="439" t="e">
        <f t="shared" si="2"/>
        <v>#REF!</v>
      </c>
      <c r="X130" s="183"/>
      <c r="Y130" s="182"/>
    </row>
    <row r="131" spans="1:25" s="180" customFormat="1" ht="16.5">
      <c r="A131" s="295">
        <v>28</v>
      </c>
      <c r="B131" s="461" t="s">
        <v>545</v>
      </c>
      <c r="C131" s="438"/>
      <c r="D131" s="462" t="e">
        <f>#REF!</f>
        <v>#REF!</v>
      </c>
      <c r="E131" s="462" t="str">
        <f>[5]CNKT!D128</f>
        <v>CNKT</v>
      </c>
      <c r="F131" s="463" t="e">
        <f>VLOOKUP(D131,#REF!,3,0)</f>
        <v>#REF!</v>
      </c>
      <c r="G131" s="252" t="e">
        <f>VLOOKUP(D131,[5]CNKT!C126:F213,4,0)</f>
        <v>#REF!</v>
      </c>
      <c r="H131" s="252"/>
      <c r="I131" s="252" t="s">
        <v>120</v>
      </c>
      <c r="J131" s="252"/>
      <c r="K131" s="252"/>
      <c r="L131" s="252" t="e">
        <f>VLOOKUP(D131,#REF!,8,0)</f>
        <v>#REF!</v>
      </c>
      <c r="M131" s="252" t="e">
        <f t="shared" si="3"/>
        <v>#REF!</v>
      </c>
      <c r="N131" s="252" t="e">
        <f>VLOOKUP(D131,#REF!,11,0)</f>
        <v>#REF!</v>
      </c>
      <c r="O131" s="252" t="e">
        <f>VLOOKUP(D131,#REF!,21,0)</f>
        <v>#REF!</v>
      </c>
      <c r="P131" s="252" t="e">
        <f>VLOOKUP(D131,#REF!,22,0)</f>
        <v>#REF!</v>
      </c>
      <c r="Q131" s="252"/>
      <c r="R131" s="252"/>
      <c r="S131" s="252" t="e">
        <f t="shared" si="1"/>
        <v>#REF!</v>
      </c>
      <c r="T131" s="252"/>
      <c r="U131" s="441" t="e">
        <f t="shared" si="4"/>
        <v>#REF!</v>
      </c>
      <c r="V131" s="440"/>
      <c r="W131" s="439" t="e">
        <f t="shared" si="2"/>
        <v>#REF!</v>
      </c>
      <c r="X131" s="183"/>
      <c r="Y131" s="182"/>
    </row>
    <row r="132" spans="1:25" s="180" customFormat="1" ht="16.5">
      <c r="A132" s="295">
        <v>29</v>
      </c>
      <c r="B132" s="461" t="s">
        <v>546</v>
      </c>
      <c r="C132" s="438"/>
      <c r="D132" s="462" t="e">
        <f>#REF!</f>
        <v>#REF!</v>
      </c>
      <c r="E132" s="462" t="str">
        <f>[5]CNKT!D129</f>
        <v>CNKT</v>
      </c>
      <c r="F132" s="463" t="e">
        <f>VLOOKUP(D132,#REF!,3,0)</f>
        <v>#REF!</v>
      </c>
      <c r="G132" s="252" t="e">
        <f>VLOOKUP(D132,[5]CNKT!C127:F214,4,0)</f>
        <v>#REF!</v>
      </c>
      <c r="H132" s="252"/>
      <c r="I132" s="252" t="s">
        <v>120</v>
      </c>
      <c r="J132" s="252"/>
      <c r="K132" s="252"/>
      <c r="L132" s="252" t="e">
        <f>VLOOKUP(D132,#REF!,8,0)</f>
        <v>#REF!</v>
      </c>
      <c r="M132" s="252" t="e">
        <f t="shared" si="3"/>
        <v>#REF!</v>
      </c>
      <c r="N132" s="252" t="e">
        <f>VLOOKUP(D132,#REF!,11,0)</f>
        <v>#REF!</v>
      </c>
      <c r="O132" s="252" t="e">
        <f>VLOOKUP(D132,#REF!,21,0)</f>
        <v>#REF!</v>
      </c>
      <c r="P132" s="252" t="e">
        <f>VLOOKUP(D132,#REF!,22,0)</f>
        <v>#REF!</v>
      </c>
      <c r="Q132" s="252"/>
      <c r="R132" s="252"/>
      <c r="S132" s="252" t="e">
        <f t="shared" si="1"/>
        <v>#REF!</v>
      </c>
      <c r="T132" s="252"/>
      <c r="U132" s="441" t="e">
        <f t="shared" si="4"/>
        <v>#REF!</v>
      </c>
      <c r="V132" s="440"/>
      <c r="W132" s="439" t="e">
        <f t="shared" si="2"/>
        <v>#REF!</v>
      </c>
      <c r="X132" s="183"/>
      <c r="Y132" s="182"/>
    </row>
    <row r="133" spans="1:25" s="180" customFormat="1" ht="16.5">
      <c r="A133" s="295">
        <v>30</v>
      </c>
      <c r="B133" s="461" t="s">
        <v>547</v>
      </c>
      <c r="C133" s="438"/>
      <c r="D133" s="462" t="e">
        <f>#REF!</f>
        <v>#REF!</v>
      </c>
      <c r="E133" s="462" t="str">
        <f>[5]CNKT!D130</f>
        <v>CNKT</v>
      </c>
      <c r="F133" s="463" t="e">
        <f>VLOOKUP(D133,#REF!,3,0)</f>
        <v>#REF!</v>
      </c>
      <c r="G133" s="252" t="e">
        <f>VLOOKUP(D133,[5]CNKT!C128:F215,4,0)</f>
        <v>#REF!</v>
      </c>
      <c r="H133" s="252"/>
      <c r="I133" s="252" t="s">
        <v>120</v>
      </c>
      <c r="J133" s="252"/>
      <c r="K133" s="252"/>
      <c r="L133" s="252" t="e">
        <f>VLOOKUP(D133,#REF!,8,0)</f>
        <v>#REF!</v>
      </c>
      <c r="M133" s="252" t="e">
        <f t="shared" si="3"/>
        <v>#REF!</v>
      </c>
      <c r="N133" s="252" t="e">
        <f>VLOOKUP(D133,#REF!,11,0)</f>
        <v>#REF!</v>
      </c>
      <c r="O133" s="252" t="e">
        <f>VLOOKUP(D133,#REF!,21,0)</f>
        <v>#REF!</v>
      </c>
      <c r="P133" s="252" t="e">
        <f>VLOOKUP(D133,#REF!,22,0)</f>
        <v>#REF!</v>
      </c>
      <c r="Q133" s="252"/>
      <c r="R133" s="252"/>
      <c r="S133" s="252" t="e">
        <f t="shared" si="1"/>
        <v>#REF!</v>
      </c>
      <c r="T133" s="252"/>
      <c r="U133" s="441" t="e">
        <f t="shared" si="4"/>
        <v>#REF!</v>
      </c>
      <c r="V133" s="440"/>
      <c r="W133" s="439" t="e">
        <f t="shared" si="2"/>
        <v>#REF!</v>
      </c>
      <c r="X133" s="183"/>
      <c r="Y133" s="182"/>
    </row>
    <row r="134" spans="1:25" s="180" customFormat="1" ht="16.5">
      <c r="A134" s="295">
        <v>35</v>
      </c>
      <c r="B134" s="461" t="s">
        <v>548</v>
      </c>
      <c r="C134" s="438"/>
      <c r="D134" s="462" t="e">
        <f>#REF!</f>
        <v>#REF!</v>
      </c>
      <c r="E134" s="462" t="str">
        <f>[5]CNKT!D131</f>
        <v>CNKT</v>
      </c>
      <c r="F134" s="463" t="e">
        <f>VLOOKUP(D134,#REF!,3,0)</f>
        <v>#REF!</v>
      </c>
      <c r="G134" s="252" t="e">
        <f>VLOOKUP(D134,[5]CNKT!C129:F216,4,0)</f>
        <v>#REF!</v>
      </c>
      <c r="H134" s="252"/>
      <c r="I134" s="252" t="s">
        <v>120</v>
      </c>
      <c r="J134" s="252"/>
      <c r="K134" s="252"/>
      <c r="L134" s="252" t="e">
        <f>VLOOKUP(D134,#REF!,8,0)</f>
        <v>#REF!</v>
      </c>
      <c r="M134" s="252" t="e">
        <f t="shared" si="3"/>
        <v>#REF!</v>
      </c>
      <c r="N134" s="252" t="e">
        <f>VLOOKUP(D134,#REF!,11,0)</f>
        <v>#REF!</v>
      </c>
      <c r="O134" s="252" t="e">
        <f>VLOOKUP(D134,#REF!,21,0)</f>
        <v>#REF!</v>
      </c>
      <c r="P134" s="252" t="e">
        <f>VLOOKUP(D134,#REF!,22,0)</f>
        <v>#REF!</v>
      </c>
      <c r="Q134" s="252"/>
      <c r="R134" s="252"/>
      <c r="S134" s="252" t="e">
        <f t="shared" si="1"/>
        <v>#REF!</v>
      </c>
      <c r="T134" s="252"/>
      <c r="U134" s="441" t="e">
        <f t="shared" si="4"/>
        <v>#REF!</v>
      </c>
      <c r="V134" s="440"/>
      <c r="W134" s="439" t="e">
        <f t="shared" si="2"/>
        <v>#REF!</v>
      </c>
      <c r="X134" s="183"/>
      <c r="Y134" s="182"/>
    </row>
    <row r="135" spans="1:25" s="180" customFormat="1" ht="16.5">
      <c r="A135" s="295">
        <v>36</v>
      </c>
      <c r="B135" s="461" t="s">
        <v>549</v>
      </c>
      <c r="C135" s="438"/>
      <c r="D135" s="462" t="e">
        <f>#REF!</f>
        <v>#REF!</v>
      </c>
      <c r="E135" s="462" t="str">
        <f>[5]CNKT!D132</f>
        <v>CNKT</v>
      </c>
      <c r="F135" s="463" t="e">
        <f>VLOOKUP(D135,#REF!,3,0)</f>
        <v>#REF!</v>
      </c>
      <c r="G135" s="252" t="e">
        <f>VLOOKUP(D135,[5]CNKT!C130:F217,4,0)</f>
        <v>#REF!</v>
      </c>
      <c r="H135" s="252"/>
      <c r="I135" s="252" t="s">
        <v>120</v>
      </c>
      <c r="J135" s="252"/>
      <c r="K135" s="252"/>
      <c r="L135" s="252" t="e">
        <f>VLOOKUP(D135,#REF!,8,0)</f>
        <v>#REF!</v>
      </c>
      <c r="M135" s="252" t="e">
        <f t="shared" si="3"/>
        <v>#REF!</v>
      </c>
      <c r="N135" s="252" t="e">
        <f>VLOOKUP(D135,#REF!,11,0)</f>
        <v>#REF!</v>
      </c>
      <c r="O135" s="252" t="e">
        <f>VLOOKUP(D135,#REF!,21,0)</f>
        <v>#REF!</v>
      </c>
      <c r="P135" s="252" t="e">
        <f>VLOOKUP(D135,#REF!,22,0)</f>
        <v>#REF!</v>
      </c>
      <c r="Q135" s="252"/>
      <c r="R135" s="252"/>
      <c r="S135" s="252" t="e">
        <f t="shared" si="1"/>
        <v>#REF!</v>
      </c>
      <c r="T135" s="252"/>
      <c r="U135" s="441" t="e">
        <f t="shared" si="4"/>
        <v>#REF!</v>
      </c>
      <c r="V135" s="440"/>
      <c r="W135" s="439" t="e">
        <f t="shared" si="2"/>
        <v>#REF!</v>
      </c>
      <c r="X135" s="183"/>
      <c r="Y135" s="182"/>
    </row>
    <row r="136" spans="1:25" s="180" customFormat="1" ht="16.5">
      <c r="A136" s="295">
        <v>31</v>
      </c>
      <c r="B136" s="461" t="s">
        <v>550</v>
      </c>
      <c r="C136" s="438"/>
      <c r="D136" s="462" t="e">
        <f>#REF!</f>
        <v>#REF!</v>
      </c>
      <c r="E136" s="462" t="str">
        <f>[5]CNKT!D133</f>
        <v>CNKT</v>
      </c>
      <c r="F136" s="463" t="e">
        <f>VLOOKUP(D136,#REF!,3,0)</f>
        <v>#REF!</v>
      </c>
      <c r="G136" s="252" t="e">
        <f>VLOOKUP(D136,[5]CNKT!C131:F218,4,0)</f>
        <v>#REF!</v>
      </c>
      <c r="H136" s="252"/>
      <c r="I136" s="252" t="s">
        <v>120</v>
      </c>
      <c r="J136" s="252"/>
      <c r="K136" s="252"/>
      <c r="L136" s="252" t="e">
        <f>VLOOKUP(D136,#REF!,8,0)</f>
        <v>#REF!</v>
      </c>
      <c r="M136" s="252" t="e">
        <f t="shared" si="3"/>
        <v>#REF!</v>
      </c>
      <c r="N136" s="252" t="e">
        <f>VLOOKUP(D136,#REF!,11,0)</f>
        <v>#REF!</v>
      </c>
      <c r="O136" s="252" t="e">
        <f>VLOOKUP(D136,#REF!,21,0)</f>
        <v>#REF!</v>
      </c>
      <c r="P136" s="252" t="e">
        <f>VLOOKUP(D136,#REF!,22,0)</f>
        <v>#REF!</v>
      </c>
      <c r="Q136" s="252"/>
      <c r="R136" s="252"/>
      <c r="S136" s="252" t="e">
        <f t="shared" si="1"/>
        <v>#REF!</v>
      </c>
      <c r="T136" s="252"/>
      <c r="U136" s="441" t="e">
        <f t="shared" si="4"/>
        <v>#REF!</v>
      </c>
      <c r="V136" s="440"/>
      <c r="W136" s="439" t="e">
        <f t="shared" si="2"/>
        <v>#REF!</v>
      </c>
      <c r="X136" s="183"/>
      <c r="Y136" s="182"/>
    </row>
    <row r="137" spans="1:25" s="180" customFormat="1" ht="16.5">
      <c r="A137" s="295">
        <v>32</v>
      </c>
      <c r="B137" s="461" t="s">
        <v>551</v>
      </c>
      <c r="C137" s="438"/>
      <c r="D137" s="462" t="e">
        <f>#REF!</f>
        <v>#REF!</v>
      </c>
      <c r="E137" s="462" t="str">
        <f>[5]CNKT!D134</f>
        <v>CNKT</v>
      </c>
      <c r="F137" s="463" t="e">
        <f>VLOOKUP(D137,#REF!,3,0)</f>
        <v>#REF!</v>
      </c>
      <c r="G137" s="252" t="e">
        <f>VLOOKUP(D137,[5]CNKT!C132:F219,4,0)</f>
        <v>#REF!</v>
      </c>
      <c r="H137" s="252"/>
      <c r="I137" s="252" t="s">
        <v>120</v>
      </c>
      <c r="J137" s="252"/>
      <c r="K137" s="252"/>
      <c r="L137" s="252" t="e">
        <f>VLOOKUP(D137,#REF!,8,0)</f>
        <v>#REF!</v>
      </c>
      <c r="M137" s="252" t="e">
        <f t="shared" si="3"/>
        <v>#REF!</v>
      </c>
      <c r="N137" s="252" t="e">
        <f>VLOOKUP(D137,#REF!,11,0)</f>
        <v>#REF!</v>
      </c>
      <c r="O137" s="252" t="e">
        <f>VLOOKUP(D137,#REF!,21,0)</f>
        <v>#REF!</v>
      </c>
      <c r="P137" s="252" t="e">
        <f>VLOOKUP(D137,#REF!,22,0)</f>
        <v>#REF!</v>
      </c>
      <c r="Q137" s="252"/>
      <c r="R137" s="252"/>
      <c r="S137" s="252" t="e">
        <f t="shared" si="1"/>
        <v>#REF!</v>
      </c>
      <c r="T137" s="252"/>
      <c r="U137" s="441" t="e">
        <f t="shared" si="4"/>
        <v>#REF!</v>
      </c>
      <c r="V137" s="440"/>
      <c r="W137" s="439" t="e">
        <f t="shared" si="2"/>
        <v>#REF!</v>
      </c>
      <c r="X137" s="183"/>
      <c r="Y137" s="182"/>
    </row>
    <row r="138" spans="1:25" s="180" customFormat="1" ht="16.5">
      <c r="A138" s="295">
        <v>33</v>
      </c>
      <c r="B138" s="461" t="s">
        <v>552</v>
      </c>
      <c r="C138" s="438"/>
      <c r="D138" s="462" t="e">
        <f>#REF!</f>
        <v>#REF!</v>
      </c>
      <c r="E138" s="462" t="str">
        <f>[5]CNKT!D135</f>
        <v>CNKT</v>
      </c>
      <c r="F138" s="463" t="e">
        <f>VLOOKUP(D138,#REF!,3,0)</f>
        <v>#REF!</v>
      </c>
      <c r="G138" s="252" t="e">
        <f>VLOOKUP(D138,[5]CNKT!C133:F220,4,0)</f>
        <v>#REF!</v>
      </c>
      <c r="H138" s="252"/>
      <c r="I138" s="252" t="s">
        <v>120</v>
      </c>
      <c r="J138" s="252"/>
      <c r="K138" s="252"/>
      <c r="L138" s="252" t="e">
        <f>VLOOKUP(D138,#REF!,8,0)</f>
        <v>#REF!</v>
      </c>
      <c r="M138" s="252" t="e">
        <f t="shared" si="3"/>
        <v>#REF!</v>
      </c>
      <c r="N138" s="252" t="e">
        <f>VLOOKUP(D138,#REF!,11,0)</f>
        <v>#REF!</v>
      </c>
      <c r="O138" s="252" t="e">
        <f>VLOOKUP(D138,#REF!,21,0)</f>
        <v>#REF!</v>
      </c>
      <c r="P138" s="252" t="e">
        <f>VLOOKUP(D138,#REF!,22,0)</f>
        <v>#REF!</v>
      </c>
      <c r="Q138" s="252"/>
      <c r="R138" s="252"/>
      <c r="S138" s="252" t="e">
        <f t="shared" si="1"/>
        <v>#REF!</v>
      </c>
      <c r="T138" s="252"/>
      <c r="U138" s="441" t="e">
        <f t="shared" si="4"/>
        <v>#REF!</v>
      </c>
      <c r="V138" s="440"/>
      <c r="W138" s="439" t="e">
        <f t="shared" si="2"/>
        <v>#REF!</v>
      </c>
      <c r="X138" s="183"/>
      <c r="Y138" s="182"/>
    </row>
    <row r="139" spans="1:25" s="180" customFormat="1" ht="16.5">
      <c r="A139" s="295">
        <v>34</v>
      </c>
      <c r="B139" s="461" t="s">
        <v>553</v>
      </c>
      <c r="C139" s="438"/>
      <c r="D139" s="462" t="e">
        <f>#REF!</f>
        <v>#REF!</v>
      </c>
      <c r="E139" s="462" t="str">
        <f>[5]CNKT!D136</f>
        <v>CNKT</v>
      </c>
      <c r="F139" s="463" t="e">
        <f>VLOOKUP(D139,#REF!,3,0)</f>
        <v>#REF!</v>
      </c>
      <c r="G139" s="252" t="e">
        <f>VLOOKUP(D139,[5]CNKT!C134:F221,4,0)</f>
        <v>#REF!</v>
      </c>
      <c r="H139" s="252"/>
      <c r="I139" s="252" t="s">
        <v>120</v>
      </c>
      <c r="J139" s="252"/>
      <c r="K139" s="252"/>
      <c r="L139" s="252" t="e">
        <f>VLOOKUP(D139,#REF!,8,0)</f>
        <v>#REF!</v>
      </c>
      <c r="M139" s="252" t="e">
        <f t="shared" si="3"/>
        <v>#REF!</v>
      </c>
      <c r="N139" s="252" t="e">
        <f>VLOOKUP(D139,#REF!,11,0)</f>
        <v>#REF!</v>
      </c>
      <c r="O139" s="252" t="e">
        <f>VLOOKUP(D139,#REF!,21,0)</f>
        <v>#REF!</v>
      </c>
      <c r="P139" s="252" t="e">
        <f>VLOOKUP(D139,#REF!,22,0)</f>
        <v>#REF!</v>
      </c>
      <c r="Q139" s="252"/>
      <c r="R139" s="252"/>
      <c r="S139" s="252" t="e">
        <f t="shared" si="1"/>
        <v>#REF!</v>
      </c>
      <c r="T139" s="252"/>
      <c r="U139" s="441" t="e">
        <f t="shared" si="4"/>
        <v>#REF!</v>
      </c>
      <c r="V139" s="440"/>
      <c r="W139" s="439" t="e">
        <f t="shared" si="2"/>
        <v>#REF!</v>
      </c>
      <c r="X139" s="183"/>
      <c r="Y139" s="182"/>
    </row>
    <row r="140" spans="1:25" s="180" customFormat="1" ht="16.5">
      <c r="A140" s="295">
        <v>35</v>
      </c>
      <c r="B140" s="461" t="s">
        <v>554</v>
      </c>
      <c r="C140" s="438"/>
      <c r="D140" s="462" t="e">
        <f>#REF!</f>
        <v>#REF!</v>
      </c>
      <c r="E140" s="462" t="str">
        <f>[5]CNKT!D137</f>
        <v>CNKT</v>
      </c>
      <c r="F140" s="463" t="e">
        <f>VLOOKUP(D140,#REF!,3,0)</f>
        <v>#REF!</v>
      </c>
      <c r="G140" s="252" t="e">
        <f>VLOOKUP(D140,[5]CNKT!C135:F222,4,0)</f>
        <v>#REF!</v>
      </c>
      <c r="H140" s="252"/>
      <c r="I140" s="252" t="s">
        <v>120</v>
      </c>
      <c r="J140" s="252"/>
      <c r="K140" s="252"/>
      <c r="L140" s="252" t="e">
        <f>VLOOKUP(D140,#REF!,8,0)</f>
        <v>#REF!</v>
      </c>
      <c r="M140" s="252" t="e">
        <f t="shared" si="3"/>
        <v>#REF!</v>
      </c>
      <c r="N140" s="252" t="e">
        <f>VLOOKUP(D140,#REF!,11,0)</f>
        <v>#REF!</v>
      </c>
      <c r="O140" s="252" t="e">
        <f>VLOOKUP(D140,#REF!,21,0)</f>
        <v>#REF!</v>
      </c>
      <c r="P140" s="252" t="e">
        <f>VLOOKUP(D140,#REF!,22,0)</f>
        <v>#REF!</v>
      </c>
      <c r="Q140" s="252"/>
      <c r="R140" s="252"/>
      <c r="S140" s="252" t="e">
        <f t="shared" si="1"/>
        <v>#REF!</v>
      </c>
      <c r="T140" s="252"/>
      <c r="U140" s="441" t="e">
        <f t="shared" si="4"/>
        <v>#REF!</v>
      </c>
      <c r="V140" s="440"/>
      <c r="W140" s="439" t="e">
        <f t="shared" si="2"/>
        <v>#REF!</v>
      </c>
      <c r="X140" s="183"/>
      <c r="Y140" s="182"/>
    </row>
    <row r="141" spans="1:25" s="180" customFormat="1" ht="16.5">
      <c r="A141" s="295">
        <v>36</v>
      </c>
      <c r="B141" s="461" t="s">
        <v>555</v>
      </c>
      <c r="C141" s="438"/>
      <c r="D141" s="462" t="e">
        <f>#REF!</f>
        <v>#REF!</v>
      </c>
      <c r="E141" s="462" t="str">
        <f>[5]CNKT!D138</f>
        <v>CNKT</v>
      </c>
      <c r="F141" s="463" t="e">
        <f>VLOOKUP(D141,#REF!,3,0)</f>
        <v>#REF!</v>
      </c>
      <c r="G141" s="252" t="e">
        <f>VLOOKUP(D141,[5]CNKT!C136:F223,4,0)</f>
        <v>#REF!</v>
      </c>
      <c r="H141" s="252"/>
      <c r="I141" s="252" t="s">
        <v>120</v>
      </c>
      <c r="J141" s="252"/>
      <c r="K141" s="252"/>
      <c r="L141" s="252" t="e">
        <f>VLOOKUP(D141,#REF!,8,0)</f>
        <v>#REF!</v>
      </c>
      <c r="M141" s="252" t="e">
        <f t="shared" si="3"/>
        <v>#REF!</v>
      </c>
      <c r="N141" s="252" t="e">
        <f>VLOOKUP(D141,#REF!,11,0)</f>
        <v>#REF!</v>
      </c>
      <c r="O141" s="252" t="e">
        <f>VLOOKUP(D141,#REF!,21,0)</f>
        <v>#REF!</v>
      </c>
      <c r="P141" s="252" t="e">
        <f>VLOOKUP(D141,#REF!,22,0)</f>
        <v>#REF!</v>
      </c>
      <c r="Q141" s="252"/>
      <c r="R141" s="252"/>
      <c r="S141" s="252" t="e">
        <f t="shared" si="1"/>
        <v>#REF!</v>
      </c>
      <c r="T141" s="252"/>
      <c r="U141" s="441" t="e">
        <f t="shared" si="4"/>
        <v>#REF!</v>
      </c>
      <c r="V141" s="440"/>
      <c r="W141" s="439" t="e">
        <f t="shared" si="2"/>
        <v>#REF!</v>
      </c>
      <c r="X141" s="183"/>
      <c r="Y141" s="182"/>
    </row>
    <row r="142" spans="1:25" s="180" customFormat="1" ht="16.5">
      <c r="A142" s="295">
        <v>37</v>
      </c>
      <c r="B142" s="461" t="s">
        <v>556</v>
      </c>
      <c r="C142" s="438"/>
      <c r="D142" s="462" t="e">
        <f>#REF!</f>
        <v>#REF!</v>
      </c>
      <c r="E142" s="462" t="str">
        <f>[5]CNKT!D139</f>
        <v>CNKT</v>
      </c>
      <c r="F142" s="463" t="e">
        <f>VLOOKUP(D142,#REF!,3,0)</f>
        <v>#REF!</v>
      </c>
      <c r="G142" s="252" t="e">
        <f>VLOOKUP(D142,[5]CNKT!C137:F224,4,0)</f>
        <v>#REF!</v>
      </c>
      <c r="H142" s="252"/>
      <c r="I142" s="252" t="s">
        <v>120</v>
      </c>
      <c r="J142" s="252"/>
      <c r="K142" s="252"/>
      <c r="L142" s="252" t="e">
        <f>VLOOKUP(D142,#REF!,8,0)</f>
        <v>#REF!</v>
      </c>
      <c r="M142" s="252" t="e">
        <f t="shared" si="3"/>
        <v>#REF!</v>
      </c>
      <c r="N142" s="252" t="e">
        <f>VLOOKUP(D142,#REF!,11,0)</f>
        <v>#REF!</v>
      </c>
      <c r="O142" s="252" t="e">
        <f>VLOOKUP(D142,#REF!,21,0)</f>
        <v>#REF!</v>
      </c>
      <c r="P142" s="252" t="e">
        <f>VLOOKUP(D142,#REF!,22,0)</f>
        <v>#REF!</v>
      </c>
      <c r="Q142" s="252"/>
      <c r="R142" s="252"/>
      <c r="S142" s="252" t="e">
        <f t="shared" si="1"/>
        <v>#REF!</v>
      </c>
      <c r="T142" s="252"/>
      <c r="U142" s="441" t="e">
        <f t="shared" si="4"/>
        <v>#REF!</v>
      </c>
      <c r="V142" s="440"/>
      <c r="W142" s="439" t="e">
        <f t="shared" si="2"/>
        <v>#REF!</v>
      </c>
      <c r="X142" s="183"/>
      <c r="Y142" s="182"/>
    </row>
    <row r="143" spans="1:25" s="180" customFormat="1" ht="16.5">
      <c r="A143" s="295">
        <v>38</v>
      </c>
      <c r="B143" s="461" t="s">
        <v>557</v>
      </c>
      <c r="C143" s="438"/>
      <c r="D143" s="462" t="e">
        <f>#REF!</f>
        <v>#REF!</v>
      </c>
      <c r="E143" s="462" t="str">
        <f>[5]CNKT!D140</f>
        <v>CNKT</v>
      </c>
      <c r="F143" s="463" t="e">
        <f>VLOOKUP(D143,#REF!,3,0)</f>
        <v>#REF!</v>
      </c>
      <c r="G143" s="252" t="e">
        <f>VLOOKUP(D143,[5]CNKT!C138:F225,4,0)</f>
        <v>#REF!</v>
      </c>
      <c r="H143" s="252"/>
      <c r="I143" s="252" t="s">
        <v>120</v>
      </c>
      <c r="J143" s="252"/>
      <c r="K143" s="252"/>
      <c r="L143" s="252" t="e">
        <f>VLOOKUP(D143,#REF!,8,0)</f>
        <v>#REF!</v>
      </c>
      <c r="M143" s="252" t="e">
        <f t="shared" si="3"/>
        <v>#REF!</v>
      </c>
      <c r="N143" s="252" t="e">
        <f>VLOOKUP(D143,#REF!,11,0)</f>
        <v>#REF!</v>
      </c>
      <c r="O143" s="252" t="e">
        <f>VLOOKUP(D143,#REF!,21,0)</f>
        <v>#REF!</v>
      </c>
      <c r="P143" s="252" t="e">
        <f>VLOOKUP(D143,#REF!,22,0)</f>
        <v>#REF!</v>
      </c>
      <c r="Q143" s="252"/>
      <c r="R143" s="252"/>
      <c r="S143" s="252" t="e">
        <f t="shared" si="1"/>
        <v>#REF!</v>
      </c>
      <c r="T143" s="252"/>
      <c r="U143" s="441" t="e">
        <f t="shared" si="4"/>
        <v>#REF!</v>
      </c>
      <c r="V143" s="440"/>
      <c r="W143" s="439" t="e">
        <f t="shared" si="2"/>
        <v>#REF!</v>
      </c>
      <c r="X143" s="183"/>
      <c r="Y143" s="182"/>
    </row>
    <row r="144" spans="1:25" s="180" customFormat="1" ht="16.5">
      <c r="A144" s="295">
        <v>39</v>
      </c>
      <c r="B144" s="461" t="s">
        <v>558</v>
      </c>
      <c r="C144" s="438"/>
      <c r="D144" s="462" t="e">
        <f>#REF!</f>
        <v>#REF!</v>
      </c>
      <c r="E144" s="462" t="str">
        <f>[5]CNKT!D141</f>
        <v>CNKT</v>
      </c>
      <c r="F144" s="463" t="e">
        <f>VLOOKUP(D144,#REF!,3,0)</f>
        <v>#REF!</v>
      </c>
      <c r="G144" s="252" t="e">
        <f>VLOOKUP(D144,[5]CNKT!C139:F226,4,0)</f>
        <v>#REF!</v>
      </c>
      <c r="H144" s="252"/>
      <c r="I144" s="252" t="s">
        <v>120</v>
      </c>
      <c r="J144" s="252"/>
      <c r="K144" s="252"/>
      <c r="L144" s="252" t="e">
        <f>VLOOKUP(D144,#REF!,8,0)</f>
        <v>#REF!</v>
      </c>
      <c r="M144" s="252" t="e">
        <f t="shared" si="3"/>
        <v>#REF!</v>
      </c>
      <c r="N144" s="252" t="e">
        <f>VLOOKUP(D144,#REF!,11,0)</f>
        <v>#REF!</v>
      </c>
      <c r="O144" s="252" t="e">
        <f>VLOOKUP(D144,#REF!,21,0)</f>
        <v>#REF!</v>
      </c>
      <c r="P144" s="252" t="e">
        <f>VLOOKUP(D144,#REF!,22,0)</f>
        <v>#REF!</v>
      </c>
      <c r="Q144" s="252"/>
      <c r="R144" s="252"/>
      <c r="S144" s="252" t="e">
        <f t="shared" si="1"/>
        <v>#REF!</v>
      </c>
      <c r="T144" s="252"/>
      <c r="U144" s="441" t="e">
        <f t="shared" si="4"/>
        <v>#REF!</v>
      </c>
      <c r="V144" s="440"/>
      <c r="W144" s="439" t="e">
        <f t="shared" si="2"/>
        <v>#REF!</v>
      </c>
      <c r="X144" s="183"/>
      <c r="Y144" s="182"/>
    </row>
    <row r="145" spans="1:25" s="180" customFormat="1" ht="16.5">
      <c r="A145" s="295">
        <v>46</v>
      </c>
      <c r="B145" s="461" t="s">
        <v>559</v>
      </c>
      <c r="C145" s="438"/>
      <c r="D145" s="462" t="e">
        <f>#REF!</f>
        <v>#REF!</v>
      </c>
      <c r="E145" s="462" t="str">
        <f>[5]CNKT!D142</f>
        <v>CNKT</v>
      </c>
      <c r="F145" s="463" t="e">
        <f>VLOOKUP(D145,#REF!,3,0)</f>
        <v>#REF!</v>
      </c>
      <c r="G145" s="252" t="e">
        <f>VLOOKUP(D145,[5]CNKT!C140:F227,4,0)</f>
        <v>#REF!</v>
      </c>
      <c r="H145" s="252"/>
      <c r="I145" s="252" t="s">
        <v>120</v>
      </c>
      <c r="J145" s="252"/>
      <c r="K145" s="252"/>
      <c r="L145" s="252" t="e">
        <f>VLOOKUP(D145,#REF!,8,0)</f>
        <v>#REF!</v>
      </c>
      <c r="M145" s="252" t="e">
        <f t="shared" si="3"/>
        <v>#REF!</v>
      </c>
      <c r="N145" s="252" t="e">
        <f>VLOOKUP(D145,#REF!,11,0)</f>
        <v>#REF!</v>
      </c>
      <c r="O145" s="252" t="e">
        <f>VLOOKUP(D145,#REF!,21,0)</f>
        <v>#REF!</v>
      </c>
      <c r="P145" s="252" t="e">
        <f>VLOOKUP(D145,#REF!,22,0)</f>
        <v>#REF!</v>
      </c>
      <c r="Q145" s="252"/>
      <c r="R145" s="252"/>
      <c r="S145" s="252" t="e">
        <f t="shared" si="1"/>
        <v>#REF!</v>
      </c>
      <c r="T145" s="252"/>
      <c r="U145" s="441" t="e">
        <f t="shared" si="4"/>
        <v>#REF!</v>
      </c>
      <c r="V145" s="440"/>
      <c r="W145" s="439" t="e">
        <f t="shared" si="2"/>
        <v>#REF!</v>
      </c>
      <c r="X145" s="183"/>
      <c r="Y145" s="182"/>
    </row>
    <row r="146" spans="1:25" s="180" customFormat="1" ht="16.5">
      <c r="A146" s="295">
        <v>40</v>
      </c>
      <c r="B146" s="461" t="s">
        <v>560</v>
      </c>
      <c r="C146" s="438"/>
      <c r="D146" s="462" t="e">
        <f>#REF!</f>
        <v>#REF!</v>
      </c>
      <c r="E146" s="462" t="str">
        <f>[5]CNKT!D143</f>
        <v>CNKT</v>
      </c>
      <c r="F146" s="463" t="e">
        <f>VLOOKUP(D146,#REF!,3,0)</f>
        <v>#REF!</v>
      </c>
      <c r="G146" s="252" t="e">
        <f>VLOOKUP(D146,[5]CNKT!C141:F228,4,0)</f>
        <v>#REF!</v>
      </c>
      <c r="H146" s="252"/>
      <c r="I146" s="252" t="s">
        <v>120</v>
      </c>
      <c r="J146" s="252"/>
      <c r="K146" s="252"/>
      <c r="L146" s="252" t="e">
        <f>VLOOKUP(D146,#REF!,8,0)</f>
        <v>#REF!</v>
      </c>
      <c r="M146" s="252" t="e">
        <f t="shared" si="3"/>
        <v>#REF!</v>
      </c>
      <c r="N146" s="252" t="e">
        <f>VLOOKUP(D146,#REF!,11,0)</f>
        <v>#REF!</v>
      </c>
      <c r="O146" s="252" t="e">
        <f>VLOOKUP(D146,#REF!,21,0)</f>
        <v>#REF!</v>
      </c>
      <c r="P146" s="252" t="e">
        <f>VLOOKUP(D146,#REF!,22,0)</f>
        <v>#REF!</v>
      </c>
      <c r="Q146" s="252"/>
      <c r="R146" s="252"/>
      <c r="S146" s="252" t="e">
        <f t="shared" si="1"/>
        <v>#REF!</v>
      </c>
      <c r="T146" s="252"/>
      <c r="U146" s="441" t="e">
        <f t="shared" si="4"/>
        <v>#REF!</v>
      </c>
      <c r="V146" s="440"/>
      <c r="W146" s="439" t="e">
        <f t="shared" si="2"/>
        <v>#REF!</v>
      </c>
      <c r="X146" s="183"/>
      <c r="Y146" s="182"/>
    </row>
    <row r="147" spans="1:25" s="180" customFormat="1" ht="16.5">
      <c r="A147" s="295">
        <v>41</v>
      </c>
      <c r="B147" s="461" t="s">
        <v>561</v>
      </c>
      <c r="C147" s="438"/>
      <c r="D147" s="462" t="e">
        <f>#REF!</f>
        <v>#REF!</v>
      </c>
      <c r="E147" s="462" t="str">
        <f>[5]CNKT!D144</f>
        <v>CNKT</v>
      </c>
      <c r="F147" s="463" t="e">
        <f>VLOOKUP(D147,#REF!,3,0)</f>
        <v>#REF!</v>
      </c>
      <c r="G147" s="252" t="e">
        <f>VLOOKUP(D147,[5]CNKT!C142:F229,4,0)</f>
        <v>#REF!</v>
      </c>
      <c r="H147" s="252"/>
      <c r="I147" s="252" t="s">
        <v>120</v>
      </c>
      <c r="J147" s="252"/>
      <c r="K147" s="252"/>
      <c r="L147" s="252" t="e">
        <f>VLOOKUP(D147,#REF!,8,0)</f>
        <v>#REF!</v>
      </c>
      <c r="M147" s="252" t="e">
        <f t="shared" si="3"/>
        <v>#REF!</v>
      </c>
      <c r="N147" s="252" t="e">
        <f>VLOOKUP(D147,#REF!,11,0)</f>
        <v>#REF!</v>
      </c>
      <c r="O147" s="252" t="e">
        <f>VLOOKUP(D147,#REF!,21,0)</f>
        <v>#REF!</v>
      </c>
      <c r="P147" s="252" t="e">
        <f>VLOOKUP(D147,#REF!,22,0)</f>
        <v>#REF!</v>
      </c>
      <c r="Q147" s="252"/>
      <c r="R147" s="252"/>
      <c r="S147" s="252" t="e">
        <f t="shared" si="1"/>
        <v>#REF!</v>
      </c>
      <c r="T147" s="252"/>
      <c r="U147" s="441" t="e">
        <f t="shared" si="4"/>
        <v>#REF!</v>
      </c>
      <c r="V147" s="440"/>
      <c r="W147" s="439" t="e">
        <f t="shared" si="2"/>
        <v>#REF!</v>
      </c>
      <c r="X147" s="183"/>
      <c r="Y147" s="182"/>
    </row>
    <row r="148" spans="1:25" s="180" customFormat="1" ht="16.5">
      <c r="A148" s="295">
        <v>42</v>
      </c>
      <c r="B148" s="461" t="s">
        <v>562</v>
      </c>
      <c r="C148" s="438"/>
      <c r="D148" s="462" t="e">
        <f>#REF!</f>
        <v>#REF!</v>
      </c>
      <c r="E148" s="462" t="str">
        <f>[5]CNKT!D145</f>
        <v>CNKT</v>
      </c>
      <c r="F148" s="463" t="e">
        <f>VLOOKUP(D148,#REF!,3,0)</f>
        <v>#REF!</v>
      </c>
      <c r="G148" s="252" t="e">
        <f>VLOOKUP(D148,[5]CNKT!C143:F230,4,0)</f>
        <v>#REF!</v>
      </c>
      <c r="H148" s="252"/>
      <c r="I148" s="252" t="s">
        <v>120</v>
      </c>
      <c r="J148" s="252"/>
      <c r="K148" s="252"/>
      <c r="L148" s="252" t="e">
        <f>VLOOKUP(D148,#REF!,8,0)</f>
        <v>#REF!</v>
      </c>
      <c r="M148" s="252" t="e">
        <f t="shared" si="3"/>
        <v>#REF!</v>
      </c>
      <c r="N148" s="252" t="e">
        <f>VLOOKUP(D148,#REF!,11,0)</f>
        <v>#REF!</v>
      </c>
      <c r="O148" s="252" t="e">
        <f>VLOOKUP(D148,#REF!,21,0)</f>
        <v>#REF!</v>
      </c>
      <c r="P148" s="252" t="e">
        <f>VLOOKUP(D148,#REF!,22,0)</f>
        <v>#REF!</v>
      </c>
      <c r="Q148" s="252"/>
      <c r="R148" s="252"/>
      <c r="S148" s="252" t="e">
        <f t="shared" si="1"/>
        <v>#REF!</v>
      </c>
      <c r="T148" s="252"/>
      <c r="U148" s="441" t="e">
        <f t="shared" si="4"/>
        <v>#REF!</v>
      </c>
      <c r="V148" s="440"/>
      <c r="W148" s="439" t="e">
        <f t="shared" si="2"/>
        <v>#REF!</v>
      </c>
      <c r="X148" s="183"/>
      <c r="Y148" s="182"/>
    </row>
    <row r="149" spans="1:25" s="180" customFormat="1" ht="16.5">
      <c r="A149" s="295">
        <v>50</v>
      </c>
      <c r="B149" s="461" t="s">
        <v>563</v>
      </c>
      <c r="C149" s="438"/>
      <c r="D149" s="462" t="e">
        <f>#REF!</f>
        <v>#REF!</v>
      </c>
      <c r="E149" s="462" t="str">
        <f>[5]CNKT!D146</f>
        <v>CNKT</v>
      </c>
      <c r="F149" s="463" t="e">
        <f>VLOOKUP(D149,#REF!,3,0)</f>
        <v>#REF!</v>
      </c>
      <c r="G149" s="252" t="e">
        <f>VLOOKUP(D149,[5]CNKT!C144:F231,4,0)</f>
        <v>#REF!</v>
      </c>
      <c r="H149" s="252"/>
      <c r="I149" s="252" t="s">
        <v>120</v>
      </c>
      <c r="J149" s="252"/>
      <c r="K149" s="252"/>
      <c r="L149" s="252" t="e">
        <f>VLOOKUP(D149,#REF!,8,0)</f>
        <v>#REF!</v>
      </c>
      <c r="M149" s="252" t="e">
        <f t="shared" si="3"/>
        <v>#REF!</v>
      </c>
      <c r="N149" s="252" t="e">
        <f>VLOOKUP(D149,#REF!,11,0)</f>
        <v>#REF!</v>
      </c>
      <c r="O149" s="252" t="e">
        <f>VLOOKUP(D149,#REF!,21,0)</f>
        <v>#REF!</v>
      </c>
      <c r="P149" s="252" t="e">
        <f>VLOOKUP(D149,#REF!,22,0)</f>
        <v>#REF!</v>
      </c>
      <c r="Q149" s="252"/>
      <c r="R149" s="252"/>
      <c r="S149" s="252" t="e">
        <f t="shared" si="1"/>
        <v>#REF!</v>
      </c>
      <c r="T149" s="252"/>
      <c r="U149" s="441" t="e">
        <f t="shared" si="4"/>
        <v>#REF!</v>
      </c>
      <c r="V149" s="440"/>
      <c r="W149" s="439" t="e">
        <f t="shared" si="2"/>
        <v>#REF!</v>
      </c>
      <c r="X149" s="183"/>
      <c r="Y149" s="182"/>
    </row>
    <row r="150" spans="1:25" s="180" customFormat="1" ht="16.5">
      <c r="A150" s="295">
        <v>51</v>
      </c>
      <c r="B150" s="461" t="s">
        <v>564</v>
      </c>
      <c r="C150" s="438"/>
      <c r="D150" s="462" t="e">
        <f>#REF!</f>
        <v>#REF!</v>
      </c>
      <c r="E150" s="462" t="str">
        <f>[5]CNKT!D147</f>
        <v>CNKT</v>
      </c>
      <c r="F150" s="463" t="e">
        <f>VLOOKUP(D150,#REF!,3,0)</f>
        <v>#REF!</v>
      </c>
      <c r="G150" s="252" t="e">
        <f>VLOOKUP(D150,[5]CNKT!C145:F232,4,0)</f>
        <v>#REF!</v>
      </c>
      <c r="H150" s="252"/>
      <c r="I150" s="252" t="s">
        <v>120</v>
      </c>
      <c r="J150" s="252"/>
      <c r="K150" s="252"/>
      <c r="L150" s="252" t="e">
        <f>VLOOKUP(D150,#REF!,8,0)</f>
        <v>#REF!</v>
      </c>
      <c r="M150" s="252" t="e">
        <f t="shared" si="3"/>
        <v>#REF!</v>
      </c>
      <c r="N150" s="252" t="e">
        <f>VLOOKUP(D150,#REF!,11,0)</f>
        <v>#REF!</v>
      </c>
      <c r="O150" s="252" t="e">
        <f>VLOOKUP(D150,#REF!,21,0)</f>
        <v>#REF!</v>
      </c>
      <c r="P150" s="252" t="e">
        <f>VLOOKUP(D150,#REF!,22,0)</f>
        <v>#REF!</v>
      </c>
      <c r="Q150" s="252"/>
      <c r="R150" s="252"/>
      <c r="S150" s="252" t="e">
        <f t="shared" si="1"/>
        <v>#REF!</v>
      </c>
      <c r="T150" s="252"/>
      <c r="U150" s="441" t="e">
        <f t="shared" si="4"/>
        <v>#REF!</v>
      </c>
      <c r="V150" s="440"/>
      <c r="W150" s="439" t="e">
        <f t="shared" si="2"/>
        <v>#REF!</v>
      </c>
      <c r="X150" s="183"/>
      <c r="Y150" s="182"/>
    </row>
    <row r="151" spans="1:25" s="180" customFormat="1" ht="16.5">
      <c r="A151" s="295">
        <v>43</v>
      </c>
      <c r="B151" s="461" t="s">
        <v>565</v>
      </c>
      <c r="C151" s="438"/>
      <c r="D151" s="462" t="e">
        <f>#REF!</f>
        <v>#REF!</v>
      </c>
      <c r="E151" s="462" t="str">
        <f>[5]CNKT!D148</f>
        <v>CNKT</v>
      </c>
      <c r="F151" s="463" t="e">
        <f>VLOOKUP(D151,#REF!,3,0)</f>
        <v>#REF!</v>
      </c>
      <c r="G151" s="252" t="e">
        <f>VLOOKUP(D151,[5]CNKT!C146:F233,4,0)</f>
        <v>#REF!</v>
      </c>
      <c r="H151" s="252"/>
      <c r="I151" s="252" t="s">
        <v>120</v>
      </c>
      <c r="J151" s="252"/>
      <c r="K151" s="252"/>
      <c r="L151" s="252" t="e">
        <f>VLOOKUP(D151,#REF!,8,0)</f>
        <v>#REF!</v>
      </c>
      <c r="M151" s="252" t="e">
        <f t="shared" si="3"/>
        <v>#REF!</v>
      </c>
      <c r="N151" s="252" t="e">
        <f>VLOOKUP(D151,#REF!,11,0)</f>
        <v>#REF!</v>
      </c>
      <c r="O151" s="252" t="e">
        <f>VLOOKUP(D151,#REF!,21,0)</f>
        <v>#REF!</v>
      </c>
      <c r="P151" s="252" t="e">
        <f>VLOOKUP(D151,#REF!,22,0)</f>
        <v>#REF!</v>
      </c>
      <c r="Q151" s="252"/>
      <c r="R151" s="252"/>
      <c r="S151" s="252" t="e">
        <f t="shared" si="1"/>
        <v>#REF!</v>
      </c>
      <c r="T151" s="252"/>
      <c r="U151" s="441" t="e">
        <f t="shared" si="4"/>
        <v>#REF!</v>
      </c>
      <c r="V151" s="440"/>
      <c r="W151" s="439" t="e">
        <f t="shared" si="2"/>
        <v>#REF!</v>
      </c>
      <c r="X151" s="183"/>
      <c r="Y151" s="182"/>
    </row>
    <row r="152" spans="1:25" s="180" customFormat="1" ht="16.5">
      <c r="A152" s="295">
        <v>44</v>
      </c>
      <c r="B152" s="461" t="s">
        <v>566</v>
      </c>
      <c r="C152" s="438"/>
      <c r="D152" s="462" t="e">
        <f>#REF!</f>
        <v>#REF!</v>
      </c>
      <c r="E152" s="462" t="str">
        <f>[5]CNKT!D149</f>
        <v>CNKT</v>
      </c>
      <c r="F152" s="463" t="e">
        <f>VLOOKUP(D152,#REF!,3,0)</f>
        <v>#REF!</v>
      </c>
      <c r="G152" s="252" t="e">
        <f>VLOOKUP(D152,[5]CNKT!C147:F234,4,0)</f>
        <v>#REF!</v>
      </c>
      <c r="H152" s="252"/>
      <c r="I152" s="252" t="s">
        <v>120</v>
      </c>
      <c r="J152" s="252"/>
      <c r="K152" s="252"/>
      <c r="L152" s="252" t="e">
        <f>VLOOKUP(D152,#REF!,8,0)</f>
        <v>#REF!</v>
      </c>
      <c r="M152" s="252" t="e">
        <f t="shared" si="3"/>
        <v>#REF!</v>
      </c>
      <c r="N152" s="252" t="e">
        <f>VLOOKUP(D152,#REF!,11,0)</f>
        <v>#REF!</v>
      </c>
      <c r="O152" s="252" t="e">
        <f>VLOOKUP(D152,#REF!,21,0)</f>
        <v>#REF!</v>
      </c>
      <c r="P152" s="252" t="e">
        <f>VLOOKUP(D152,#REF!,22,0)</f>
        <v>#REF!</v>
      </c>
      <c r="Q152" s="252"/>
      <c r="R152" s="252"/>
      <c r="S152" s="252" t="e">
        <f t="shared" si="1"/>
        <v>#REF!</v>
      </c>
      <c r="T152" s="252"/>
      <c r="U152" s="441" t="e">
        <f t="shared" si="4"/>
        <v>#REF!</v>
      </c>
      <c r="V152" s="440"/>
      <c r="W152" s="439" t="e">
        <f t="shared" si="2"/>
        <v>#REF!</v>
      </c>
      <c r="X152" s="183"/>
      <c r="Y152" s="182"/>
    </row>
    <row r="153" spans="1:25" s="180" customFormat="1" ht="16.5">
      <c r="A153" s="295">
        <v>45</v>
      </c>
      <c r="B153" s="461" t="s">
        <v>567</v>
      </c>
      <c r="C153" s="438"/>
      <c r="D153" s="462" t="e">
        <f>#REF!</f>
        <v>#REF!</v>
      </c>
      <c r="E153" s="462" t="str">
        <f>[5]CNKT!D150</f>
        <v>CNKT</v>
      </c>
      <c r="F153" s="463" t="e">
        <f>VLOOKUP(D153,#REF!,3,0)</f>
        <v>#REF!</v>
      </c>
      <c r="G153" s="252" t="e">
        <f>VLOOKUP(D153,[5]CNKT!C148:F235,4,0)</f>
        <v>#REF!</v>
      </c>
      <c r="H153" s="252"/>
      <c r="I153" s="252" t="s">
        <v>120</v>
      </c>
      <c r="J153" s="252"/>
      <c r="K153" s="252"/>
      <c r="L153" s="252" t="e">
        <f>VLOOKUP(D153,#REF!,8,0)</f>
        <v>#REF!</v>
      </c>
      <c r="M153" s="252" t="e">
        <f t="shared" si="3"/>
        <v>#REF!</v>
      </c>
      <c r="N153" s="252" t="e">
        <f>VLOOKUP(D153,#REF!,11,0)</f>
        <v>#REF!</v>
      </c>
      <c r="O153" s="252" t="e">
        <f>VLOOKUP(D153,#REF!,21,0)</f>
        <v>#REF!</v>
      </c>
      <c r="P153" s="252" t="e">
        <f>VLOOKUP(D153,#REF!,22,0)</f>
        <v>#REF!</v>
      </c>
      <c r="Q153" s="252"/>
      <c r="R153" s="252"/>
      <c r="S153" s="252" t="e">
        <f t="shared" si="1"/>
        <v>#REF!</v>
      </c>
      <c r="T153" s="252"/>
      <c r="U153" s="441" t="e">
        <f t="shared" si="4"/>
        <v>#REF!</v>
      </c>
      <c r="V153" s="440"/>
      <c r="W153" s="439" t="e">
        <f t="shared" si="2"/>
        <v>#REF!</v>
      </c>
      <c r="X153" s="183"/>
      <c r="Y153" s="182"/>
    </row>
    <row r="154" spans="1:25" s="180" customFormat="1" ht="16.5">
      <c r="A154" s="295">
        <v>46</v>
      </c>
      <c r="B154" s="461" t="s">
        <v>568</v>
      </c>
      <c r="C154" s="438"/>
      <c r="D154" s="462" t="e">
        <f>#REF!</f>
        <v>#REF!</v>
      </c>
      <c r="E154" s="462" t="str">
        <f>[5]CNKT!D151</f>
        <v>CNKT</v>
      </c>
      <c r="F154" s="463" t="e">
        <f>VLOOKUP(D154,#REF!,3,0)</f>
        <v>#REF!</v>
      </c>
      <c r="G154" s="252" t="e">
        <f>VLOOKUP(D154,[5]CNKT!C149:F236,4,0)</f>
        <v>#REF!</v>
      </c>
      <c r="H154" s="252"/>
      <c r="I154" s="252" t="s">
        <v>120</v>
      </c>
      <c r="J154" s="252"/>
      <c r="K154" s="252"/>
      <c r="L154" s="252" t="e">
        <f>VLOOKUP(D154,#REF!,8,0)</f>
        <v>#REF!</v>
      </c>
      <c r="M154" s="252" t="e">
        <f t="shared" si="3"/>
        <v>#REF!</v>
      </c>
      <c r="N154" s="252" t="e">
        <f>VLOOKUP(D154,#REF!,11,0)</f>
        <v>#REF!</v>
      </c>
      <c r="O154" s="252" t="e">
        <f>VLOOKUP(D154,#REF!,21,0)</f>
        <v>#REF!</v>
      </c>
      <c r="P154" s="252" t="e">
        <f>VLOOKUP(D154,#REF!,22,0)</f>
        <v>#REF!</v>
      </c>
      <c r="Q154" s="252"/>
      <c r="R154" s="252"/>
      <c r="S154" s="252" t="e">
        <f t="shared" si="1"/>
        <v>#REF!</v>
      </c>
      <c r="T154" s="252"/>
      <c r="U154" s="441" t="e">
        <f t="shared" si="4"/>
        <v>#REF!</v>
      </c>
      <c r="V154" s="440"/>
      <c r="W154" s="439" t="e">
        <f t="shared" si="2"/>
        <v>#REF!</v>
      </c>
      <c r="X154" s="183"/>
      <c r="Y154" s="182"/>
    </row>
    <row r="155" spans="1:25" s="180" customFormat="1" ht="16.5">
      <c r="A155" s="295">
        <v>47</v>
      </c>
      <c r="B155" s="461" t="s">
        <v>569</v>
      </c>
      <c r="C155" s="438"/>
      <c r="D155" s="462" t="e">
        <f>#REF!</f>
        <v>#REF!</v>
      </c>
      <c r="E155" s="462" t="str">
        <f>[5]CNKT!D152</f>
        <v>CNKT</v>
      </c>
      <c r="F155" s="463" t="e">
        <f>VLOOKUP(D155,#REF!,3,0)</f>
        <v>#REF!</v>
      </c>
      <c r="G155" s="252" t="e">
        <f>VLOOKUP(D155,[5]CNKT!C150:F237,4,0)</f>
        <v>#REF!</v>
      </c>
      <c r="H155" s="252"/>
      <c r="I155" s="252" t="s">
        <v>120</v>
      </c>
      <c r="J155" s="252"/>
      <c r="K155" s="252"/>
      <c r="L155" s="252" t="e">
        <f>VLOOKUP(D155,#REF!,8,0)</f>
        <v>#REF!</v>
      </c>
      <c r="M155" s="252" t="e">
        <f t="shared" si="3"/>
        <v>#REF!</v>
      </c>
      <c r="N155" s="252" t="e">
        <f>VLOOKUP(D155,#REF!,11,0)</f>
        <v>#REF!</v>
      </c>
      <c r="O155" s="252" t="e">
        <f>VLOOKUP(D155,#REF!,21,0)</f>
        <v>#REF!</v>
      </c>
      <c r="P155" s="252" t="e">
        <f>VLOOKUP(D155,#REF!,22,0)</f>
        <v>#REF!</v>
      </c>
      <c r="Q155" s="252"/>
      <c r="R155" s="252"/>
      <c r="S155" s="252" t="e">
        <f t="shared" si="1"/>
        <v>#REF!</v>
      </c>
      <c r="T155" s="252"/>
      <c r="U155" s="441" t="e">
        <f t="shared" si="4"/>
        <v>#REF!</v>
      </c>
      <c r="V155" s="440"/>
      <c r="W155" s="439" t="e">
        <f t="shared" si="2"/>
        <v>#REF!</v>
      </c>
      <c r="X155" s="183"/>
      <c r="Y155" s="182"/>
    </row>
    <row r="156" spans="1:25" s="180" customFormat="1" ht="16.5">
      <c r="A156" s="295">
        <v>57</v>
      </c>
      <c r="B156" s="461" t="s">
        <v>570</v>
      </c>
      <c r="C156" s="438"/>
      <c r="D156" s="462" t="e">
        <f>#REF!</f>
        <v>#REF!</v>
      </c>
      <c r="E156" s="462" t="str">
        <f>[5]CNKT!D153</f>
        <v>CNKT</v>
      </c>
      <c r="F156" s="463" t="e">
        <f>VLOOKUP(D156,#REF!,3,0)</f>
        <v>#REF!</v>
      </c>
      <c r="G156" s="252" t="e">
        <f>VLOOKUP(D156,[5]CNKT!C151:F238,4,0)</f>
        <v>#REF!</v>
      </c>
      <c r="H156" s="252"/>
      <c r="I156" s="252" t="s">
        <v>120</v>
      </c>
      <c r="J156" s="252"/>
      <c r="K156" s="252"/>
      <c r="L156" s="252" t="e">
        <f>VLOOKUP(D156,#REF!,8,0)</f>
        <v>#REF!</v>
      </c>
      <c r="M156" s="252" t="e">
        <f t="shared" si="3"/>
        <v>#REF!</v>
      </c>
      <c r="N156" s="252" t="e">
        <f>VLOOKUP(D156,#REF!,11,0)</f>
        <v>#REF!</v>
      </c>
      <c r="O156" s="252" t="e">
        <f>VLOOKUP(D156,#REF!,21,0)</f>
        <v>#REF!</v>
      </c>
      <c r="P156" s="252" t="e">
        <f>VLOOKUP(D156,#REF!,22,0)</f>
        <v>#REF!</v>
      </c>
      <c r="Q156" s="252"/>
      <c r="R156" s="252"/>
      <c r="S156" s="252" t="e">
        <f t="shared" si="1"/>
        <v>#REF!</v>
      </c>
      <c r="T156" s="252"/>
      <c r="U156" s="441" t="e">
        <f t="shared" si="4"/>
        <v>#REF!</v>
      </c>
      <c r="V156" s="440"/>
      <c r="W156" s="439" t="e">
        <f t="shared" si="2"/>
        <v>#REF!</v>
      </c>
      <c r="X156" s="183"/>
      <c r="Y156" s="182"/>
    </row>
    <row r="157" spans="1:25" s="180" customFormat="1" ht="16.5">
      <c r="A157" s="295">
        <v>58</v>
      </c>
      <c r="B157" s="461" t="s">
        <v>571</v>
      </c>
      <c r="C157" s="438"/>
      <c r="D157" s="462" t="e">
        <f>#REF!</f>
        <v>#REF!</v>
      </c>
      <c r="E157" s="462" t="str">
        <f>[5]CNKT!D154</f>
        <v>CNKT</v>
      </c>
      <c r="F157" s="463" t="e">
        <f>VLOOKUP(D157,#REF!,3,0)</f>
        <v>#REF!</v>
      </c>
      <c r="G157" s="252" t="e">
        <f>VLOOKUP(D157,[5]CNKT!C152:F239,4,0)</f>
        <v>#REF!</v>
      </c>
      <c r="H157" s="252"/>
      <c r="I157" s="252" t="s">
        <v>120</v>
      </c>
      <c r="J157" s="252"/>
      <c r="K157" s="252"/>
      <c r="L157" s="252" t="e">
        <f>VLOOKUP(D157,#REF!,8,0)</f>
        <v>#REF!</v>
      </c>
      <c r="M157" s="252" t="e">
        <f t="shared" si="3"/>
        <v>#REF!</v>
      </c>
      <c r="N157" s="252" t="e">
        <f>VLOOKUP(D157,#REF!,11,0)</f>
        <v>#REF!</v>
      </c>
      <c r="O157" s="252" t="e">
        <f>VLOOKUP(D157,#REF!,21,0)</f>
        <v>#REF!</v>
      </c>
      <c r="P157" s="252" t="e">
        <f>VLOOKUP(D157,#REF!,22,0)</f>
        <v>#REF!</v>
      </c>
      <c r="Q157" s="252"/>
      <c r="R157" s="252"/>
      <c r="S157" s="252" t="e">
        <f t="shared" si="1"/>
        <v>#REF!</v>
      </c>
      <c r="T157" s="252"/>
      <c r="U157" s="441" t="e">
        <f t="shared" si="4"/>
        <v>#REF!</v>
      </c>
      <c r="V157" s="440"/>
      <c r="W157" s="439" t="e">
        <f t="shared" si="2"/>
        <v>#REF!</v>
      </c>
      <c r="X157" s="183"/>
      <c r="Y157" s="182"/>
    </row>
    <row r="158" spans="1:25" s="180" customFormat="1" ht="16.5">
      <c r="A158" s="295">
        <v>59</v>
      </c>
      <c r="B158" s="461" t="s">
        <v>572</v>
      </c>
      <c r="C158" s="438"/>
      <c r="D158" s="462" t="e">
        <f>#REF!</f>
        <v>#REF!</v>
      </c>
      <c r="E158" s="462" t="str">
        <f>[5]CNKT!D155</f>
        <v>CNKT</v>
      </c>
      <c r="F158" s="463" t="e">
        <f>VLOOKUP(D158,#REF!,3,0)</f>
        <v>#REF!</v>
      </c>
      <c r="G158" s="252" t="e">
        <f>VLOOKUP(D158,[5]CNKT!C153:F240,4,0)</f>
        <v>#REF!</v>
      </c>
      <c r="H158" s="252"/>
      <c r="I158" s="252" t="s">
        <v>120</v>
      </c>
      <c r="J158" s="252"/>
      <c r="K158" s="252"/>
      <c r="L158" s="252" t="e">
        <f>VLOOKUP(D158,#REF!,8,0)</f>
        <v>#REF!</v>
      </c>
      <c r="M158" s="252" t="e">
        <f t="shared" si="3"/>
        <v>#REF!</v>
      </c>
      <c r="N158" s="252" t="e">
        <f>VLOOKUP(D158,#REF!,11,0)</f>
        <v>#REF!</v>
      </c>
      <c r="O158" s="252" t="e">
        <f>VLOOKUP(D158,#REF!,21,0)</f>
        <v>#REF!</v>
      </c>
      <c r="P158" s="252" t="e">
        <f>VLOOKUP(D158,#REF!,22,0)</f>
        <v>#REF!</v>
      </c>
      <c r="Q158" s="252"/>
      <c r="R158" s="252"/>
      <c r="S158" s="252" t="e">
        <f t="shared" si="1"/>
        <v>#REF!</v>
      </c>
      <c r="T158" s="252"/>
      <c r="U158" s="441" t="e">
        <f t="shared" si="4"/>
        <v>#REF!</v>
      </c>
      <c r="V158" s="440"/>
      <c r="W158" s="439" t="e">
        <f t="shared" si="2"/>
        <v>#REF!</v>
      </c>
      <c r="X158" s="183"/>
      <c r="Y158" s="182"/>
    </row>
    <row r="159" spans="1:25" s="180" customFormat="1" ht="16.5">
      <c r="A159" s="295">
        <v>60</v>
      </c>
      <c r="B159" s="461" t="s">
        <v>573</v>
      </c>
      <c r="C159" s="438"/>
      <c r="D159" s="462" t="e">
        <f>#REF!</f>
        <v>#REF!</v>
      </c>
      <c r="E159" s="462" t="str">
        <f>[5]CNKT!D156</f>
        <v>CNKT</v>
      </c>
      <c r="F159" s="463" t="e">
        <f>VLOOKUP(D159,#REF!,3,0)</f>
        <v>#REF!</v>
      </c>
      <c r="G159" s="252" t="e">
        <f>VLOOKUP(D159,[5]CNKT!C154:F241,4,0)</f>
        <v>#REF!</v>
      </c>
      <c r="H159" s="252"/>
      <c r="I159" s="252" t="s">
        <v>120</v>
      </c>
      <c r="J159" s="252"/>
      <c r="K159" s="252"/>
      <c r="L159" s="252" t="e">
        <f>VLOOKUP(D159,#REF!,8,0)</f>
        <v>#REF!</v>
      </c>
      <c r="M159" s="252" t="e">
        <f t="shared" si="3"/>
        <v>#REF!</v>
      </c>
      <c r="N159" s="252" t="e">
        <f>VLOOKUP(D159,#REF!,11,0)</f>
        <v>#REF!</v>
      </c>
      <c r="O159" s="252" t="e">
        <f>VLOOKUP(D159,#REF!,21,0)</f>
        <v>#REF!</v>
      </c>
      <c r="P159" s="252" t="e">
        <f>VLOOKUP(D159,#REF!,22,0)</f>
        <v>#REF!</v>
      </c>
      <c r="Q159" s="252"/>
      <c r="R159" s="252"/>
      <c r="S159" s="252" t="e">
        <f t="shared" si="1"/>
        <v>#REF!</v>
      </c>
      <c r="T159" s="252"/>
      <c r="U159" s="441" t="e">
        <f t="shared" si="4"/>
        <v>#REF!</v>
      </c>
      <c r="V159" s="440"/>
      <c r="W159" s="439" t="e">
        <f t="shared" si="2"/>
        <v>#REF!</v>
      </c>
      <c r="X159" s="183"/>
      <c r="Y159" s="182"/>
    </row>
    <row r="160" spans="1:25" s="180" customFormat="1" ht="16.5">
      <c r="A160" s="295">
        <v>48</v>
      </c>
      <c r="B160" s="461" t="s">
        <v>157</v>
      </c>
      <c r="C160" s="438"/>
      <c r="D160" s="462" t="e">
        <f>#REF!</f>
        <v>#REF!</v>
      </c>
      <c r="E160" s="462" t="str">
        <f>[5]CNKT!D157</f>
        <v>CNKT</v>
      </c>
      <c r="F160" s="463" t="e">
        <f>VLOOKUP(D160,#REF!,3,0)</f>
        <v>#REF!</v>
      </c>
      <c r="G160" s="252" t="e">
        <f>VLOOKUP(D160,[5]CNKT!C155:F242,4,0)</f>
        <v>#REF!</v>
      </c>
      <c r="H160" s="252"/>
      <c r="I160" s="252" t="s">
        <v>120</v>
      </c>
      <c r="J160" s="252"/>
      <c r="K160" s="252"/>
      <c r="L160" s="252" t="e">
        <f>VLOOKUP(D160,#REF!,8,0)</f>
        <v>#REF!</v>
      </c>
      <c r="M160" s="252" t="e">
        <f t="shared" si="3"/>
        <v>#REF!</v>
      </c>
      <c r="N160" s="252" t="e">
        <f>VLOOKUP(D160,#REF!,11,0)</f>
        <v>#REF!</v>
      </c>
      <c r="O160" s="252" t="e">
        <f>VLOOKUP(D160,#REF!,21,0)</f>
        <v>#REF!</v>
      </c>
      <c r="P160" s="252" t="e">
        <f>VLOOKUP(D160,#REF!,22,0)</f>
        <v>#REF!</v>
      </c>
      <c r="Q160" s="252"/>
      <c r="R160" s="252"/>
      <c r="S160" s="252" t="e">
        <f t="shared" si="1"/>
        <v>#REF!</v>
      </c>
      <c r="T160" s="252"/>
      <c r="U160" s="441" t="e">
        <f t="shared" si="4"/>
        <v>#REF!</v>
      </c>
      <c r="V160" s="440"/>
      <c r="W160" s="439" t="e">
        <f t="shared" si="2"/>
        <v>#REF!</v>
      </c>
      <c r="X160" s="183"/>
      <c r="Y160" s="182"/>
    </row>
    <row r="161" spans="1:25" s="180" customFormat="1" ht="16.5">
      <c r="A161" s="295">
        <v>62</v>
      </c>
      <c r="B161" s="461" t="s">
        <v>574</v>
      </c>
      <c r="C161" s="438"/>
      <c r="D161" s="462" t="e">
        <f>#REF!</f>
        <v>#REF!</v>
      </c>
      <c r="E161" s="462" t="str">
        <f>[5]CNKT!D158</f>
        <v>CNKT</v>
      </c>
      <c r="F161" s="463" t="e">
        <f>VLOOKUP(D161,#REF!,3,0)</f>
        <v>#REF!</v>
      </c>
      <c r="G161" s="252" t="e">
        <f>VLOOKUP(D161,[5]CNKT!C156:F243,4,0)</f>
        <v>#REF!</v>
      </c>
      <c r="H161" s="252"/>
      <c r="I161" s="252" t="s">
        <v>120</v>
      </c>
      <c r="J161" s="252"/>
      <c r="K161" s="252"/>
      <c r="L161" s="252" t="e">
        <f>VLOOKUP(D161,#REF!,8,0)</f>
        <v>#REF!</v>
      </c>
      <c r="M161" s="252" t="e">
        <f t="shared" si="3"/>
        <v>#REF!</v>
      </c>
      <c r="N161" s="252" t="e">
        <f>VLOOKUP(D161,#REF!,11,0)</f>
        <v>#REF!</v>
      </c>
      <c r="O161" s="252" t="e">
        <f>VLOOKUP(D161,#REF!,21,0)</f>
        <v>#REF!</v>
      </c>
      <c r="P161" s="252" t="e">
        <f>VLOOKUP(D161,#REF!,22,0)</f>
        <v>#REF!</v>
      </c>
      <c r="Q161" s="252"/>
      <c r="R161" s="252"/>
      <c r="S161" s="252" t="e">
        <f>ROUND(P161-Q161,0)</f>
        <v>#REF!</v>
      </c>
      <c r="T161" s="252"/>
      <c r="U161" s="441" t="e">
        <f>ROUND(S161-R161,0)</f>
        <v>#REF!</v>
      </c>
      <c r="V161" s="440"/>
      <c r="W161" s="439" t="e">
        <f t="shared" si="2"/>
        <v>#REF!</v>
      </c>
      <c r="X161" s="183"/>
      <c r="Y161" s="182"/>
    </row>
    <row r="162" spans="1:25" s="466" customFormat="1" ht="16.5">
      <c r="A162" s="295">
        <v>63</v>
      </c>
      <c r="B162" s="461" t="s">
        <v>575</v>
      </c>
      <c r="C162" s="438"/>
      <c r="D162" s="462" t="e">
        <f>#REF!</f>
        <v>#REF!</v>
      </c>
      <c r="E162" s="462" t="str">
        <f>[5]CNKT!D159</f>
        <v>CNKT</v>
      </c>
      <c r="F162" s="463" t="e">
        <f>VLOOKUP(D162,#REF!,3,0)</f>
        <v>#REF!</v>
      </c>
      <c r="G162" s="252" t="e">
        <f>VLOOKUP(D162,[5]CNKT!C157:F244,4,0)</f>
        <v>#REF!</v>
      </c>
      <c r="H162" s="252"/>
      <c r="I162" s="252" t="s">
        <v>120</v>
      </c>
      <c r="J162" s="252"/>
      <c r="K162" s="252"/>
      <c r="L162" s="252" t="e">
        <f>VLOOKUP(D162,#REF!,8,0)</f>
        <v>#REF!</v>
      </c>
      <c r="M162" s="252" t="e">
        <f t="shared" si="3"/>
        <v>#REF!</v>
      </c>
      <c r="N162" s="252" t="e">
        <f>VLOOKUP(D162,#REF!,11,0)</f>
        <v>#REF!</v>
      </c>
      <c r="O162" s="252" t="e">
        <f>VLOOKUP(D162,#REF!,21,0)</f>
        <v>#REF!</v>
      </c>
      <c r="P162" s="252" t="e">
        <f>VLOOKUP(D162,#REF!,22,0)</f>
        <v>#REF!</v>
      </c>
      <c r="Q162" s="252"/>
      <c r="R162" s="252"/>
      <c r="S162" s="252" t="e">
        <f t="shared" ref="S162:S173" si="5">ROUND(P162-Q162,0)</f>
        <v>#REF!</v>
      </c>
      <c r="T162" s="252"/>
      <c r="U162" s="441" t="e">
        <f t="shared" ref="U162:U173" si="6">ROUND(S162-R162,0)</f>
        <v>#REF!</v>
      </c>
      <c r="V162" s="440"/>
      <c r="W162" s="439" t="e">
        <f t="shared" si="2"/>
        <v>#REF!</v>
      </c>
      <c r="X162" s="464"/>
      <c r="Y162" s="465"/>
    </row>
    <row r="163" spans="1:25" s="466" customFormat="1" ht="16.5">
      <c r="A163" s="295">
        <v>64</v>
      </c>
      <c r="B163" s="461" t="s">
        <v>576</v>
      </c>
      <c r="C163" s="438"/>
      <c r="D163" s="462" t="e">
        <f>#REF!</f>
        <v>#REF!</v>
      </c>
      <c r="E163" s="462" t="str">
        <f>[5]CNKT!D160</f>
        <v>CNKT</v>
      </c>
      <c r="F163" s="463" t="e">
        <f>VLOOKUP(D163,#REF!,3,0)</f>
        <v>#REF!</v>
      </c>
      <c r="G163" s="252" t="e">
        <f>VLOOKUP(D163,[5]CNKT!C158:F245,4,0)</f>
        <v>#REF!</v>
      </c>
      <c r="H163" s="252"/>
      <c r="I163" s="252" t="s">
        <v>120</v>
      </c>
      <c r="J163" s="252"/>
      <c r="K163" s="252"/>
      <c r="L163" s="252" t="e">
        <f>VLOOKUP(D163,#REF!,8,0)</f>
        <v>#REF!</v>
      </c>
      <c r="M163" s="252" t="e">
        <f t="shared" si="3"/>
        <v>#REF!</v>
      </c>
      <c r="N163" s="252" t="e">
        <f>VLOOKUP(D163,#REF!,11,0)</f>
        <v>#REF!</v>
      </c>
      <c r="O163" s="252" t="e">
        <f>VLOOKUP(D163,#REF!,21,0)</f>
        <v>#REF!</v>
      </c>
      <c r="P163" s="252" t="e">
        <f>VLOOKUP(D163,#REF!,22,0)</f>
        <v>#REF!</v>
      </c>
      <c r="Q163" s="252"/>
      <c r="R163" s="252"/>
      <c r="S163" s="252" t="e">
        <f t="shared" si="5"/>
        <v>#REF!</v>
      </c>
      <c r="T163" s="252"/>
      <c r="U163" s="441" t="e">
        <f t="shared" si="6"/>
        <v>#REF!</v>
      </c>
      <c r="V163" s="440"/>
      <c r="W163" s="439" t="e">
        <f t="shared" si="2"/>
        <v>#REF!</v>
      </c>
      <c r="X163" s="464"/>
      <c r="Y163" s="465"/>
    </row>
    <row r="164" spans="1:25" s="466" customFormat="1" ht="16.5">
      <c r="A164" s="295">
        <v>49</v>
      </c>
      <c r="B164" s="461" t="s">
        <v>577</v>
      </c>
      <c r="C164" s="438"/>
      <c r="D164" s="462" t="e">
        <f>#REF!</f>
        <v>#REF!</v>
      </c>
      <c r="E164" s="462" t="str">
        <f>[5]CNKT!D161</f>
        <v>CNKT</v>
      </c>
      <c r="F164" s="463" t="e">
        <f>VLOOKUP(D164,#REF!,3,0)</f>
        <v>#REF!</v>
      </c>
      <c r="G164" s="252" t="e">
        <f>VLOOKUP(D164,[5]CNKT!C159:F246,4,0)</f>
        <v>#REF!</v>
      </c>
      <c r="H164" s="252"/>
      <c r="I164" s="252" t="s">
        <v>120</v>
      </c>
      <c r="J164" s="252"/>
      <c r="K164" s="252"/>
      <c r="L164" s="252" t="e">
        <f>VLOOKUP(D164,#REF!,8,0)</f>
        <v>#REF!</v>
      </c>
      <c r="M164" s="252" t="e">
        <f t="shared" si="3"/>
        <v>#REF!</v>
      </c>
      <c r="N164" s="252" t="e">
        <f>VLOOKUP(D164,#REF!,11,0)</f>
        <v>#REF!</v>
      </c>
      <c r="O164" s="252" t="e">
        <f>VLOOKUP(D164,#REF!,21,0)</f>
        <v>#REF!</v>
      </c>
      <c r="P164" s="252" t="e">
        <f>VLOOKUP(D164,#REF!,22,0)</f>
        <v>#REF!</v>
      </c>
      <c r="Q164" s="252"/>
      <c r="R164" s="252"/>
      <c r="S164" s="252" t="e">
        <f t="shared" si="5"/>
        <v>#REF!</v>
      </c>
      <c r="T164" s="252"/>
      <c r="U164" s="441" t="e">
        <f t="shared" si="6"/>
        <v>#REF!</v>
      </c>
      <c r="V164" s="440"/>
      <c r="W164" s="439" t="e">
        <f t="shared" si="2"/>
        <v>#REF!</v>
      </c>
      <c r="X164" s="464"/>
      <c r="Y164" s="465"/>
    </row>
    <row r="165" spans="1:25" s="466" customFormat="1" ht="16.5">
      <c r="A165" s="295">
        <v>50</v>
      </c>
      <c r="B165" s="461" t="s">
        <v>578</v>
      </c>
      <c r="C165" s="438"/>
      <c r="D165" s="462" t="e">
        <f>#REF!</f>
        <v>#REF!</v>
      </c>
      <c r="E165" s="462" t="str">
        <f>[5]CNKT!D162</f>
        <v>CNKT</v>
      </c>
      <c r="F165" s="463" t="e">
        <f>VLOOKUP(D165,#REF!,3,0)</f>
        <v>#REF!</v>
      </c>
      <c r="G165" s="252" t="e">
        <f>VLOOKUP(D165,[5]CNKT!C160:F247,4,0)</f>
        <v>#REF!</v>
      </c>
      <c r="H165" s="252"/>
      <c r="I165" s="252" t="s">
        <v>120</v>
      </c>
      <c r="J165" s="252"/>
      <c r="K165" s="252"/>
      <c r="L165" s="252" t="e">
        <f>VLOOKUP(D165,#REF!,8,0)</f>
        <v>#REF!</v>
      </c>
      <c r="M165" s="252" t="e">
        <f t="shared" si="3"/>
        <v>#REF!</v>
      </c>
      <c r="N165" s="252" t="e">
        <f>VLOOKUP(D165,#REF!,11,0)</f>
        <v>#REF!</v>
      </c>
      <c r="O165" s="252" t="e">
        <f>VLOOKUP(D165,#REF!,21,0)</f>
        <v>#REF!</v>
      </c>
      <c r="P165" s="252" t="e">
        <f>VLOOKUP(D165,#REF!,22,0)</f>
        <v>#REF!</v>
      </c>
      <c r="Q165" s="252"/>
      <c r="R165" s="252"/>
      <c r="S165" s="252" t="e">
        <f t="shared" si="5"/>
        <v>#REF!</v>
      </c>
      <c r="T165" s="252"/>
      <c r="U165" s="441" t="e">
        <f t="shared" si="6"/>
        <v>#REF!</v>
      </c>
      <c r="V165" s="440"/>
      <c r="W165" s="439" t="e">
        <f t="shared" ref="W165:W174" si="7">D165</f>
        <v>#REF!</v>
      </c>
      <c r="X165" s="464"/>
      <c r="Y165" s="465"/>
    </row>
    <row r="166" spans="1:25" s="466" customFormat="1" ht="16.5">
      <c r="A166" s="295">
        <v>51</v>
      </c>
      <c r="B166" s="461" t="s">
        <v>154</v>
      </c>
      <c r="C166" s="438"/>
      <c r="D166" s="462" t="e">
        <f>#REF!</f>
        <v>#REF!</v>
      </c>
      <c r="E166" s="462" t="str">
        <f>[5]CNKT!D163</f>
        <v>CNKT</v>
      </c>
      <c r="F166" s="463" t="e">
        <f>VLOOKUP(D166,#REF!,3,0)</f>
        <v>#REF!</v>
      </c>
      <c r="G166" s="252" t="e">
        <f>VLOOKUP(D166,[5]CNKT!C161:F248,4,0)</f>
        <v>#REF!</v>
      </c>
      <c r="H166" s="252"/>
      <c r="I166" s="252" t="s">
        <v>120</v>
      </c>
      <c r="J166" s="252"/>
      <c r="K166" s="252"/>
      <c r="L166" s="252" t="e">
        <f>VLOOKUP(D166,#REF!,8,0)</f>
        <v>#REF!</v>
      </c>
      <c r="M166" s="252" t="e">
        <f t="shared" ref="M166:M184" si="8">L166</f>
        <v>#REF!</v>
      </c>
      <c r="N166" s="252" t="e">
        <f>VLOOKUP(D166,#REF!,11,0)</f>
        <v>#REF!</v>
      </c>
      <c r="O166" s="252" t="e">
        <f>VLOOKUP(D166,#REF!,21,0)</f>
        <v>#REF!</v>
      </c>
      <c r="P166" s="252" t="e">
        <f>VLOOKUP(D166,#REF!,22,0)</f>
        <v>#REF!</v>
      </c>
      <c r="Q166" s="252"/>
      <c r="R166" s="252"/>
      <c r="S166" s="252" t="e">
        <f t="shared" si="5"/>
        <v>#REF!</v>
      </c>
      <c r="T166" s="252"/>
      <c r="U166" s="441" t="e">
        <f t="shared" si="6"/>
        <v>#REF!</v>
      </c>
      <c r="V166" s="440"/>
      <c r="W166" s="439" t="e">
        <f t="shared" si="7"/>
        <v>#REF!</v>
      </c>
      <c r="X166" s="464"/>
      <c r="Y166" s="465"/>
    </row>
    <row r="167" spans="1:25" s="466" customFormat="1" ht="16.5">
      <c r="A167" s="295">
        <v>52</v>
      </c>
      <c r="B167" s="461" t="s">
        <v>579</v>
      </c>
      <c r="C167" s="438"/>
      <c r="D167" s="462" t="e">
        <f>#REF!</f>
        <v>#REF!</v>
      </c>
      <c r="E167" s="462" t="str">
        <f>[5]CNKT!D164</f>
        <v>CNKT</v>
      </c>
      <c r="F167" s="463" t="e">
        <f>VLOOKUP(D167,#REF!,3,0)</f>
        <v>#REF!</v>
      </c>
      <c r="G167" s="252" t="e">
        <f>VLOOKUP(D167,[5]CNKT!C162:F249,4,0)</f>
        <v>#REF!</v>
      </c>
      <c r="H167" s="252"/>
      <c r="I167" s="252" t="s">
        <v>120</v>
      </c>
      <c r="J167" s="252"/>
      <c r="K167" s="252"/>
      <c r="L167" s="252" t="e">
        <f>VLOOKUP(D167,#REF!,8,0)</f>
        <v>#REF!</v>
      </c>
      <c r="M167" s="252" t="e">
        <f t="shared" si="8"/>
        <v>#REF!</v>
      </c>
      <c r="N167" s="252" t="e">
        <f>VLOOKUP(D167,#REF!,11,0)</f>
        <v>#REF!</v>
      </c>
      <c r="O167" s="252" t="e">
        <f>VLOOKUP(D167,#REF!,21,0)</f>
        <v>#REF!</v>
      </c>
      <c r="P167" s="252" t="e">
        <f>VLOOKUP(D167,#REF!,22,0)</f>
        <v>#REF!</v>
      </c>
      <c r="Q167" s="252"/>
      <c r="R167" s="252"/>
      <c r="S167" s="252" t="e">
        <f t="shared" si="5"/>
        <v>#REF!</v>
      </c>
      <c r="T167" s="252"/>
      <c r="U167" s="441" t="e">
        <f t="shared" si="6"/>
        <v>#REF!</v>
      </c>
      <c r="V167" s="440"/>
      <c r="W167" s="439" t="e">
        <f t="shared" si="7"/>
        <v>#REF!</v>
      </c>
      <c r="X167" s="464"/>
      <c r="Y167" s="465"/>
    </row>
    <row r="168" spans="1:25" s="466" customFormat="1" ht="16.5">
      <c r="A168" s="295">
        <v>53</v>
      </c>
      <c r="B168" s="461" t="s">
        <v>580</v>
      </c>
      <c r="C168" s="438"/>
      <c r="D168" s="462" t="e">
        <f>#REF!</f>
        <v>#REF!</v>
      </c>
      <c r="E168" s="462" t="str">
        <f>[5]CNKT!D165</f>
        <v>CNKT</v>
      </c>
      <c r="F168" s="463" t="e">
        <f>VLOOKUP(D168,#REF!,3,0)</f>
        <v>#REF!</v>
      </c>
      <c r="G168" s="252" t="e">
        <f>VLOOKUP(D168,[5]CNKT!C163:F250,4,0)</f>
        <v>#REF!</v>
      </c>
      <c r="H168" s="252"/>
      <c r="I168" s="252" t="s">
        <v>120</v>
      </c>
      <c r="J168" s="252"/>
      <c r="K168" s="252"/>
      <c r="L168" s="252" t="e">
        <f>VLOOKUP(D168,#REF!,8,0)</f>
        <v>#REF!</v>
      </c>
      <c r="M168" s="252" t="e">
        <f t="shared" si="8"/>
        <v>#REF!</v>
      </c>
      <c r="N168" s="252" t="e">
        <f>VLOOKUP(D168,#REF!,11,0)</f>
        <v>#REF!</v>
      </c>
      <c r="O168" s="252" t="e">
        <f>VLOOKUP(D168,#REF!,21,0)</f>
        <v>#REF!</v>
      </c>
      <c r="P168" s="252" t="e">
        <f>VLOOKUP(D168,#REF!,22,0)</f>
        <v>#REF!</v>
      </c>
      <c r="Q168" s="252"/>
      <c r="R168" s="252"/>
      <c r="S168" s="252" t="e">
        <f t="shared" si="5"/>
        <v>#REF!</v>
      </c>
      <c r="T168" s="252"/>
      <c r="U168" s="441" t="e">
        <f t="shared" si="6"/>
        <v>#REF!</v>
      </c>
      <c r="V168" s="440"/>
      <c r="W168" s="439" t="e">
        <f t="shared" si="7"/>
        <v>#REF!</v>
      </c>
      <c r="X168" s="464"/>
      <c r="Y168" s="465"/>
    </row>
    <row r="169" spans="1:25" s="466" customFormat="1" ht="16.5">
      <c r="A169" s="295">
        <v>70</v>
      </c>
      <c r="B169" s="461" t="s">
        <v>581</v>
      </c>
      <c r="C169" s="438"/>
      <c r="D169" s="462" t="e">
        <f>#REF!</f>
        <v>#REF!</v>
      </c>
      <c r="E169" s="462" t="str">
        <f>[5]CNKT!D166</f>
        <v>CNKT</v>
      </c>
      <c r="F169" s="463" t="e">
        <f>VLOOKUP(D169,#REF!,3,0)</f>
        <v>#REF!</v>
      </c>
      <c r="G169" s="252" t="e">
        <f>VLOOKUP(D169,[5]CNKT!C164:F251,4,0)</f>
        <v>#REF!</v>
      </c>
      <c r="H169" s="252"/>
      <c r="I169" s="252" t="s">
        <v>120</v>
      </c>
      <c r="J169" s="252"/>
      <c r="K169" s="252"/>
      <c r="L169" s="252" t="e">
        <f>VLOOKUP(D169,#REF!,8,0)</f>
        <v>#REF!</v>
      </c>
      <c r="M169" s="252" t="e">
        <f t="shared" si="8"/>
        <v>#REF!</v>
      </c>
      <c r="N169" s="252" t="e">
        <f>VLOOKUP(D169,#REF!,11,0)</f>
        <v>#REF!</v>
      </c>
      <c r="O169" s="252" t="e">
        <f>VLOOKUP(D169,#REF!,21,0)</f>
        <v>#REF!</v>
      </c>
      <c r="P169" s="252" t="e">
        <f>VLOOKUP(D169,#REF!,22,0)</f>
        <v>#REF!</v>
      </c>
      <c r="Q169" s="252"/>
      <c r="R169" s="252"/>
      <c r="S169" s="252" t="e">
        <f t="shared" si="5"/>
        <v>#REF!</v>
      </c>
      <c r="T169" s="252"/>
      <c r="U169" s="441" t="e">
        <f t="shared" si="6"/>
        <v>#REF!</v>
      </c>
      <c r="V169" s="440"/>
      <c r="W169" s="439" t="e">
        <f t="shared" si="7"/>
        <v>#REF!</v>
      </c>
      <c r="X169" s="464"/>
      <c r="Y169" s="465"/>
    </row>
    <row r="170" spans="1:25" s="466" customFormat="1" ht="16.5">
      <c r="A170" s="295">
        <v>71</v>
      </c>
      <c r="B170" s="461" t="s">
        <v>582</v>
      </c>
      <c r="C170" s="438"/>
      <c r="D170" s="462" t="e">
        <f>#REF!</f>
        <v>#REF!</v>
      </c>
      <c r="E170" s="462" t="str">
        <f>[5]CNKT!D167</f>
        <v>CNKT</v>
      </c>
      <c r="F170" s="463" t="e">
        <f>VLOOKUP(D170,#REF!,3,0)</f>
        <v>#REF!</v>
      </c>
      <c r="G170" s="252" t="e">
        <f>VLOOKUP(D170,[5]CNKT!C165:F252,4,0)</f>
        <v>#REF!</v>
      </c>
      <c r="H170" s="252"/>
      <c r="I170" s="252" t="s">
        <v>120</v>
      </c>
      <c r="J170" s="252"/>
      <c r="K170" s="252"/>
      <c r="L170" s="252" t="e">
        <f>VLOOKUP(D170,#REF!,8,0)</f>
        <v>#REF!</v>
      </c>
      <c r="M170" s="252" t="e">
        <f t="shared" si="8"/>
        <v>#REF!</v>
      </c>
      <c r="N170" s="252" t="e">
        <f>VLOOKUP(D170,#REF!,11,0)</f>
        <v>#REF!</v>
      </c>
      <c r="O170" s="252" t="e">
        <f>VLOOKUP(D170,#REF!,21,0)</f>
        <v>#REF!</v>
      </c>
      <c r="P170" s="252" t="e">
        <f>VLOOKUP(D170,#REF!,22,0)</f>
        <v>#REF!</v>
      </c>
      <c r="Q170" s="252"/>
      <c r="R170" s="252"/>
      <c r="S170" s="252" t="e">
        <f t="shared" si="5"/>
        <v>#REF!</v>
      </c>
      <c r="T170" s="252"/>
      <c r="U170" s="441" t="e">
        <f t="shared" si="6"/>
        <v>#REF!</v>
      </c>
      <c r="V170" s="440"/>
      <c r="W170" s="439" t="e">
        <f t="shared" si="7"/>
        <v>#REF!</v>
      </c>
      <c r="X170" s="464"/>
      <c r="Y170" s="465"/>
    </row>
    <row r="171" spans="1:25" s="466" customFormat="1" ht="16.5">
      <c r="A171" s="295">
        <v>54</v>
      </c>
      <c r="B171" s="461" t="s">
        <v>583</v>
      </c>
      <c r="C171" s="438"/>
      <c r="D171" s="462" t="e">
        <f>#REF!</f>
        <v>#REF!</v>
      </c>
      <c r="E171" s="462" t="str">
        <f>[5]CNKT!D168</f>
        <v>CNKT</v>
      </c>
      <c r="F171" s="463" t="e">
        <f>VLOOKUP(D171,#REF!,3,0)</f>
        <v>#REF!</v>
      </c>
      <c r="G171" s="252" t="e">
        <f>VLOOKUP(D171,[5]CNKT!C166:F253,4,0)</f>
        <v>#REF!</v>
      </c>
      <c r="H171" s="252"/>
      <c r="I171" s="252" t="s">
        <v>120</v>
      </c>
      <c r="J171" s="252"/>
      <c r="K171" s="252"/>
      <c r="L171" s="252" t="e">
        <f>VLOOKUP(D171,#REF!,8,0)</f>
        <v>#REF!</v>
      </c>
      <c r="M171" s="252" t="e">
        <f t="shared" si="8"/>
        <v>#REF!</v>
      </c>
      <c r="N171" s="252" t="e">
        <f>VLOOKUP(D171,#REF!,11,0)</f>
        <v>#REF!</v>
      </c>
      <c r="O171" s="252" t="e">
        <f>VLOOKUP(D171,#REF!,21,0)</f>
        <v>#REF!</v>
      </c>
      <c r="P171" s="252" t="e">
        <f>VLOOKUP(D171,#REF!,22,0)</f>
        <v>#REF!</v>
      </c>
      <c r="Q171" s="252"/>
      <c r="R171" s="252"/>
      <c r="S171" s="252" t="e">
        <f t="shared" si="5"/>
        <v>#REF!</v>
      </c>
      <c r="T171" s="252"/>
      <c r="U171" s="441" t="e">
        <f t="shared" si="6"/>
        <v>#REF!</v>
      </c>
      <c r="V171" s="440"/>
      <c r="W171" s="439" t="e">
        <f t="shared" si="7"/>
        <v>#REF!</v>
      </c>
      <c r="X171" s="464"/>
      <c r="Y171" s="465"/>
    </row>
    <row r="172" spans="1:25" s="466" customFormat="1" ht="16.5">
      <c r="A172" s="295">
        <v>55</v>
      </c>
      <c r="B172" s="461" t="s">
        <v>584</v>
      </c>
      <c r="C172" s="438"/>
      <c r="D172" s="462" t="e">
        <f>#REF!</f>
        <v>#REF!</v>
      </c>
      <c r="E172" s="462" t="str">
        <f>[5]CNKT!D169</f>
        <v>CNKT</v>
      </c>
      <c r="F172" s="463" t="e">
        <f>VLOOKUP(D172,#REF!,3,0)</f>
        <v>#REF!</v>
      </c>
      <c r="G172" s="252" t="e">
        <f>VLOOKUP(D172,[5]CNKT!C167:F254,4,0)</f>
        <v>#REF!</v>
      </c>
      <c r="H172" s="252"/>
      <c r="I172" s="252" t="s">
        <v>120</v>
      </c>
      <c r="J172" s="252"/>
      <c r="K172" s="252"/>
      <c r="L172" s="252" t="e">
        <f>VLOOKUP(D172,#REF!,8,0)</f>
        <v>#REF!</v>
      </c>
      <c r="M172" s="252" t="e">
        <f t="shared" si="8"/>
        <v>#REF!</v>
      </c>
      <c r="N172" s="252" t="e">
        <f>VLOOKUP(D172,#REF!,11,0)</f>
        <v>#REF!</v>
      </c>
      <c r="O172" s="252" t="e">
        <f>VLOOKUP(D172,#REF!,21,0)</f>
        <v>#REF!</v>
      </c>
      <c r="P172" s="252" t="e">
        <f>VLOOKUP(D172,#REF!,22,0)</f>
        <v>#REF!</v>
      </c>
      <c r="Q172" s="252"/>
      <c r="R172" s="252"/>
      <c r="S172" s="252" t="e">
        <f t="shared" si="5"/>
        <v>#REF!</v>
      </c>
      <c r="T172" s="252"/>
      <c r="U172" s="441" t="e">
        <f t="shared" si="6"/>
        <v>#REF!</v>
      </c>
      <c r="V172" s="440"/>
      <c r="W172" s="439" t="e">
        <f t="shared" si="7"/>
        <v>#REF!</v>
      </c>
      <c r="X172" s="464"/>
      <c r="Y172" s="465"/>
    </row>
    <row r="173" spans="1:25" s="466" customFormat="1" ht="16.5">
      <c r="A173" s="295">
        <v>56</v>
      </c>
      <c r="B173" s="461" t="s">
        <v>585</v>
      </c>
      <c r="C173" s="438"/>
      <c r="D173" s="462" t="e">
        <f>#REF!</f>
        <v>#REF!</v>
      </c>
      <c r="E173" s="462" t="str">
        <f>[5]CNKT!D170</f>
        <v>CNKT</v>
      </c>
      <c r="F173" s="463" t="e">
        <f>VLOOKUP(D173,#REF!,3,0)</f>
        <v>#REF!</v>
      </c>
      <c r="G173" s="252" t="e">
        <f>VLOOKUP(D173,[5]CNKT!C168:F255,4,0)</f>
        <v>#REF!</v>
      </c>
      <c r="H173" s="252"/>
      <c r="I173" s="252" t="s">
        <v>120</v>
      </c>
      <c r="J173" s="252"/>
      <c r="K173" s="252"/>
      <c r="L173" s="252" t="e">
        <f>VLOOKUP(D173,#REF!,8,0)</f>
        <v>#REF!</v>
      </c>
      <c r="M173" s="252" t="e">
        <f t="shared" si="8"/>
        <v>#REF!</v>
      </c>
      <c r="N173" s="252" t="e">
        <f>VLOOKUP(D173,#REF!,11,0)</f>
        <v>#REF!</v>
      </c>
      <c r="O173" s="252" t="e">
        <f>VLOOKUP(D173,#REF!,21,0)</f>
        <v>#REF!</v>
      </c>
      <c r="P173" s="252" t="e">
        <f>VLOOKUP(D173,#REF!,22,0)</f>
        <v>#REF!</v>
      </c>
      <c r="Q173" s="252"/>
      <c r="R173" s="252"/>
      <c r="S173" s="252" t="e">
        <f t="shared" si="5"/>
        <v>#REF!</v>
      </c>
      <c r="T173" s="252"/>
      <c r="U173" s="441" t="e">
        <f t="shared" si="6"/>
        <v>#REF!</v>
      </c>
      <c r="V173" s="440"/>
      <c r="W173" s="439" t="e">
        <f t="shared" si="7"/>
        <v>#REF!</v>
      </c>
      <c r="X173" s="464"/>
      <c r="Y173" s="465"/>
    </row>
    <row r="174" spans="1:25" s="466" customFormat="1" ht="16.5">
      <c r="A174" s="295">
        <v>57</v>
      </c>
      <c r="B174" s="461"/>
      <c r="C174" s="438"/>
      <c r="D174" s="462" t="e">
        <f>#REF!</f>
        <v>#REF!</v>
      </c>
      <c r="E174" s="462" t="str">
        <f>[5]CNKT!D171</f>
        <v>CNKT</v>
      </c>
      <c r="F174" s="463" t="e">
        <f>VLOOKUP(D174,#REF!,3,0)</f>
        <v>#REF!</v>
      </c>
      <c r="G174" s="252" t="e">
        <f>VLOOKUP(D174,[5]CNKT!C169:F256,4,0)</f>
        <v>#REF!</v>
      </c>
      <c r="H174" s="252"/>
      <c r="I174" s="252" t="s">
        <v>120</v>
      </c>
      <c r="J174" s="252"/>
      <c r="K174" s="252"/>
      <c r="L174" s="252" t="e">
        <f>VLOOKUP(D174,#REF!,8,0)</f>
        <v>#REF!</v>
      </c>
      <c r="M174" s="252" t="e">
        <f t="shared" si="8"/>
        <v>#REF!</v>
      </c>
      <c r="N174" s="252" t="e">
        <f>VLOOKUP(D174,#REF!,11,0)</f>
        <v>#REF!</v>
      </c>
      <c r="O174" s="252" t="e">
        <f>VLOOKUP(D174,#REF!,21,0)</f>
        <v>#REF!</v>
      </c>
      <c r="P174" s="252" t="e">
        <f>VLOOKUP(D174,#REF!,22,0)</f>
        <v>#REF!</v>
      </c>
      <c r="Q174" s="252"/>
      <c r="R174" s="252"/>
      <c r="S174" s="252" t="e">
        <f>ROUND(P174-Q174,0)</f>
        <v>#REF!</v>
      </c>
      <c r="T174" s="252"/>
      <c r="U174" s="441" t="e">
        <f>ROUND(S174-R174,0)</f>
        <v>#REF!</v>
      </c>
      <c r="V174" s="440"/>
      <c r="W174" s="439" t="e">
        <f t="shared" si="7"/>
        <v>#REF!</v>
      </c>
      <c r="X174" s="464"/>
      <c r="Y174" s="465"/>
    </row>
    <row r="175" spans="1:25" s="180" customFormat="1" ht="16.5">
      <c r="A175" s="295">
        <v>58</v>
      </c>
      <c r="B175" s="461"/>
      <c r="C175" s="438"/>
      <c r="D175" s="462" t="e">
        <f>#REF!</f>
        <v>#REF!</v>
      </c>
      <c r="E175" s="462" t="str">
        <f>[5]CNKT!D172</f>
        <v>CNKT</v>
      </c>
      <c r="F175" s="463" t="e">
        <f>VLOOKUP(D175,#REF!,3,0)</f>
        <v>#REF!</v>
      </c>
      <c r="G175" s="252" t="e">
        <f>VLOOKUP(D175,[5]CNKT!C170:F257,4,0)</f>
        <v>#REF!</v>
      </c>
      <c r="H175" s="252"/>
      <c r="I175" s="252" t="s">
        <v>120</v>
      </c>
      <c r="J175" s="252"/>
      <c r="K175" s="252"/>
      <c r="L175" s="252" t="e">
        <f>VLOOKUP(D175,#REF!,8,0)</f>
        <v>#REF!</v>
      </c>
      <c r="M175" s="252" t="e">
        <f t="shared" si="8"/>
        <v>#REF!</v>
      </c>
      <c r="N175" s="252" t="e">
        <f>VLOOKUP(D175,#REF!,11,0)</f>
        <v>#REF!</v>
      </c>
      <c r="O175" s="252" t="e">
        <f>VLOOKUP(D175,#REF!,21,0)</f>
        <v>#REF!</v>
      </c>
      <c r="P175" s="252" t="e">
        <f>VLOOKUP(D175,#REF!,22,0)</f>
        <v>#REF!</v>
      </c>
      <c r="Q175" s="252"/>
      <c r="R175" s="252"/>
      <c r="S175" s="252" t="e">
        <f>ROUND(P175-Q175,0)</f>
        <v>#REF!</v>
      </c>
      <c r="T175" s="252"/>
      <c r="U175" s="441" t="e">
        <f>ROUND(S175-R175,0)</f>
        <v>#REF!</v>
      </c>
      <c r="V175" s="440"/>
      <c r="W175" s="442" t="e">
        <f>D175</f>
        <v>#REF!</v>
      </c>
      <c r="X175" s="183"/>
      <c r="Y175" s="182"/>
    </row>
    <row r="176" spans="1:25" s="180" customFormat="1" ht="16.5">
      <c r="A176" s="295">
        <v>59</v>
      </c>
      <c r="B176" s="461"/>
      <c r="C176" s="438"/>
      <c r="D176" s="462" t="e">
        <f>#REF!</f>
        <v>#REF!</v>
      </c>
      <c r="E176" s="462" t="str">
        <f>[5]CNKT!D173</f>
        <v>CNKT</v>
      </c>
      <c r="F176" s="463" t="e">
        <f>VLOOKUP(D176,#REF!,3,0)</f>
        <v>#REF!</v>
      </c>
      <c r="G176" s="252" t="e">
        <f>VLOOKUP(D176,[5]CNKT!C171:F258,4,0)</f>
        <v>#REF!</v>
      </c>
      <c r="H176" s="252"/>
      <c r="I176" s="252" t="s">
        <v>120</v>
      </c>
      <c r="J176" s="252"/>
      <c r="K176" s="252"/>
      <c r="L176" s="252" t="e">
        <f>VLOOKUP(D176,#REF!,8,0)</f>
        <v>#REF!</v>
      </c>
      <c r="M176" s="252" t="e">
        <f t="shared" si="8"/>
        <v>#REF!</v>
      </c>
      <c r="N176" s="252" t="e">
        <f>VLOOKUP(D176,#REF!,11,0)</f>
        <v>#REF!</v>
      </c>
      <c r="O176" s="252" t="e">
        <f>VLOOKUP(D176,#REF!,21,0)</f>
        <v>#REF!</v>
      </c>
      <c r="P176" s="252" t="e">
        <f>VLOOKUP(D176,#REF!,22,0)</f>
        <v>#REF!</v>
      </c>
      <c r="Q176" s="252"/>
      <c r="R176" s="252"/>
      <c r="S176" s="252" t="e">
        <f>ROUND(P176-Q176,0)</f>
        <v>#REF!</v>
      </c>
      <c r="T176" s="252"/>
      <c r="U176" s="441" t="e">
        <f>ROUND(S176-R176,0)</f>
        <v>#REF!</v>
      </c>
      <c r="V176" s="440"/>
      <c r="W176" s="442" t="e">
        <f>D176</f>
        <v>#REF!</v>
      </c>
      <c r="X176" s="183"/>
      <c r="Y176" s="182"/>
    </row>
    <row r="177" spans="1:25" s="180" customFormat="1" ht="16.5">
      <c r="A177" s="295">
        <v>60</v>
      </c>
      <c r="B177" s="461"/>
      <c r="C177" s="438"/>
      <c r="D177" s="462" t="e">
        <f>#REF!</f>
        <v>#REF!</v>
      </c>
      <c r="E177" s="462" t="str">
        <f>[5]CNKT!D174</f>
        <v>CNKT</v>
      </c>
      <c r="F177" s="463" t="e">
        <f>VLOOKUP(D177,#REF!,3,0)</f>
        <v>#REF!</v>
      </c>
      <c r="G177" s="252" t="e">
        <f>VLOOKUP(D177,[5]CNKT!C172:F259,4,0)</f>
        <v>#REF!</v>
      </c>
      <c r="H177" s="252"/>
      <c r="I177" s="252" t="s">
        <v>120</v>
      </c>
      <c r="J177" s="252"/>
      <c r="K177" s="252"/>
      <c r="L177" s="252" t="e">
        <f>VLOOKUP(D177,#REF!,8,0)</f>
        <v>#REF!</v>
      </c>
      <c r="M177" s="252" t="e">
        <f t="shared" si="8"/>
        <v>#REF!</v>
      </c>
      <c r="N177" s="252" t="e">
        <f>VLOOKUP(D177,#REF!,11,0)</f>
        <v>#REF!</v>
      </c>
      <c r="O177" s="252" t="e">
        <f>VLOOKUP(D177,#REF!,21,0)</f>
        <v>#REF!</v>
      </c>
      <c r="P177" s="252" t="e">
        <f>VLOOKUP(D177,#REF!,22,0)</f>
        <v>#REF!</v>
      </c>
      <c r="Q177" s="252"/>
      <c r="R177" s="252"/>
      <c r="S177" s="252" t="e">
        <f>ROUND(P177-Q177,0)</f>
        <v>#REF!</v>
      </c>
      <c r="T177" s="252"/>
      <c r="U177" s="441" t="e">
        <f>ROUND(S177-R177,0)</f>
        <v>#REF!</v>
      </c>
      <c r="V177" s="440"/>
      <c r="W177" s="442" t="e">
        <f>D177</f>
        <v>#REF!</v>
      </c>
      <c r="X177" s="183"/>
      <c r="Y177" s="182"/>
    </row>
    <row r="178" spans="1:25" s="180" customFormat="1" ht="16.5">
      <c r="A178" s="295">
        <v>61</v>
      </c>
      <c r="B178" s="461"/>
      <c r="C178" s="438"/>
      <c r="D178" s="462" t="e">
        <f>#REF!</f>
        <v>#REF!</v>
      </c>
      <c r="E178" s="462" t="str">
        <f>[5]CNKT!D175</f>
        <v>CNKT</v>
      </c>
      <c r="F178" s="463" t="e">
        <f>VLOOKUP(D178,#REF!,3,0)</f>
        <v>#REF!</v>
      </c>
      <c r="G178" s="252" t="e">
        <f>VLOOKUP(D178,[5]CNKT!C173:F260,4,0)</f>
        <v>#REF!</v>
      </c>
      <c r="H178" s="252"/>
      <c r="I178" s="252" t="s">
        <v>120</v>
      </c>
      <c r="J178" s="252"/>
      <c r="K178" s="252"/>
      <c r="L178" s="252" t="e">
        <f>VLOOKUP(D178,#REF!,8,0)</f>
        <v>#REF!</v>
      </c>
      <c r="M178" s="252" t="e">
        <f t="shared" si="8"/>
        <v>#REF!</v>
      </c>
      <c r="N178" s="252" t="e">
        <f>VLOOKUP(D178,#REF!,11,0)</f>
        <v>#REF!</v>
      </c>
      <c r="O178" s="252" t="e">
        <f>VLOOKUP(D178,#REF!,21,0)</f>
        <v>#REF!</v>
      </c>
      <c r="P178" s="252" t="e">
        <f>VLOOKUP(D178,#REF!,22,0)</f>
        <v>#REF!</v>
      </c>
      <c r="Q178" s="252"/>
      <c r="R178" s="252"/>
      <c r="S178" s="252" t="e">
        <f t="shared" ref="S178:S184" si="9">ROUND(P178-Q178,0)</f>
        <v>#REF!</v>
      </c>
      <c r="T178" s="252"/>
      <c r="U178" s="441" t="e">
        <f t="shared" ref="U178:U184" si="10">ROUND(S178-R178,0)</f>
        <v>#REF!</v>
      </c>
      <c r="V178" s="440"/>
      <c r="W178" s="442" t="e">
        <f t="shared" ref="W178:W184" si="11">D178</f>
        <v>#REF!</v>
      </c>
      <c r="X178" s="183"/>
      <c r="Y178" s="182"/>
    </row>
    <row r="179" spans="1:25" s="180" customFormat="1" ht="16.5">
      <c r="A179" s="295">
        <v>62</v>
      </c>
      <c r="B179" s="461"/>
      <c r="C179" s="438"/>
      <c r="D179" s="462" t="e">
        <f>#REF!</f>
        <v>#REF!</v>
      </c>
      <c r="E179" s="462" t="str">
        <f>[5]CNKT!D176</f>
        <v>CNKT</v>
      </c>
      <c r="F179" s="463" t="e">
        <f>VLOOKUP(D179,#REF!,3,0)</f>
        <v>#REF!</v>
      </c>
      <c r="G179" s="252" t="e">
        <f>VLOOKUP(D179,[5]CNKT!C174:F261,4,0)</f>
        <v>#REF!</v>
      </c>
      <c r="H179" s="252"/>
      <c r="I179" s="252" t="s">
        <v>120</v>
      </c>
      <c r="J179" s="252"/>
      <c r="K179" s="252"/>
      <c r="L179" s="252" t="e">
        <f>VLOOKUP(D179,#REF!,8,0)</f>
        <v>#REF!</v>
      </c>
      <c r="M179" s="252" t="e">
        <f t="shared" si="8"/>
        <v>#REF!</v>
      </c>
      <c r="N179" s="252" t="e">
        <f>VLOOKUP(D179,#REF!,11,0)</f>
        <v>#REF!</v>
      </c>
      <c r="O179" s="252" t="e">
        <f>VLOOKUP(D179,#REF!,21,0)</f>
        <v>#REF!</v>
      </c>
      <c r="P179" s="252" t="e">
        <f>VLOOKUP(D179,#REF!,22,0)</f>
        <v>#REF!</v>
      </c>
      <c r="Q179" s="252"/>
      <c r="R179" s="252"/>
      <c r="S179" s="252" t="e">
        <f t="shared" si="9"/>
        <v>#REF!</v>
      </c>
      <c r="T179" s="252"/>
      <c r="U179" s="441" t="e">
        <f t="shared" si="10"/>
        <v>#REF!</v>
      </c>
      <c r="V179" s="440"/>
      <c r="W179" s="442" t="e">
        <f t="shared" si="11"/>
        <v>#REF!</v>
      </c>
      <c r="X179" s="183"/>
      <c r="Y179" s="182"/>
    </row>
    <row r="180" spans="1:25" s="448" customFormat="1" ht="16.5">
      <c r="A180" s="295">
        <v>63</v>
      </c>
      <c r="B180" s="467"/>
      <c r="C180" s="444"/>
      <c r="D180" s="462" t="e">
        <f>#REF!</f>
        <v>#REF!</v>
      </c>
      <c r="E180" s="468" t="str">
        <f>[5]CNKT!D177</f>
        <v>CNK</v>
      </c>
      <c r="F180" s="463" t="e">
        <f>VLOOKUP(D180,#REF!,3,0)</f>
        <v>#REF!</v>
      </c>
      <c r="G180" s="252" t="e">
        <f>VLOOKUP(D180,[5]CNKT!C175:F262,4,0)</f>
        <v>#REF!</v>
      </c>
      <c r="H180" s="252"/>
      <c r="I180" s="252" t="s">
        <v>120</v>
      </c>
      <c r="J180" s="252"/>
      <c r="K180" s="252"/>
      <c r="L180" s="252" t="e">
        <f>VLOOKUP(D180,#REF!,8,0)</f>
        <v>#REF!</v>
      </c>
      <c r="M180" s="252" t="e">
        <f t="shared" si="8"/>
        <v>#REF!</v>
      </c>
      <c r="N180" s="252" t="e">
        <f>VLOOKUP(D180,#REF!,11,0)</f>
        <v>#REF!</v>
      </c>
      <c r="O180" s="252" t="e">
        <f>VLOOKUP(D180,#REF!,21,0)</f>
        <v>#REF!</v>
      </c>
      <c r="P180" s="252" t="e">
        <f>VLOOKUP(D180,#REF!,22,0)</f>
        <v>#REF!</v>
      </c>
      <c r="Q180" s="446"/>
      <c r="R180" s="446"/>
      <c r="S180" s="446" t="e">
        <f t="shared" si="9"/>
        <v>#REF!</v>
      </c>
      <c r="T180" s="446"/>
      <c r="U180" s="447" t="e">
        <f t="shared" si="10"/>
        <v>#REF!</v>
      </c>
      <c r="V180" s="469"/>
      <c r="W180" s="445" t="e">
        <f t="shared" si="11"/>
        <v>#REF!</v>
      </c>
      <c r="X180" s="470"/>
      <c r="Y180" s="471"/>
    </row>
    <row r="181" spans="1:25" s="448" customFormat="1" ht="16.5">
      <c r="A181" s="295">
        <v>82</v>
      </c>
      <c r="B181" s="467"/>
      <c r="C181" s="444"/>
      <c r="D181" s="462" t="e">
        <f>#REF!</f>
        <v>#REF!</v>
      </c>
      <c r="E181" s="468" t="str">
        <f>[5]CNKT!D178</f>
        <v>CNK</v>
      </c>
      <c r="F181" s="440" t="e">
        <f>VLOOKUP(D181,#REF!,3,0)</f>
        <v>#REF!</v>
      </c>
      <c r="G181" s="252" t="e">
        <f>VLOOKUP(D181,[5]CNKT!C176:F263,4,0)</f>
        <v>#REF!</v>
      </c>
      <c r="H181" s="252"/>
      <c r="I181" s="252" t="s">
        <v>120</v>
      </c>
      <c r="J181" s="252"/>
      <c r="K181" s="252"/>
      <c r="L181" s="252" t="e">
        <f>VLOOKUP(D181,#REF!,8,0)</f>
        <v>#REF!</v>
      </c>
      <c r="M181" s="252" t="e">
        <f t="shared" si="8"/>
        <v>#REF!</v>
      </c>
      <c r="N181" s="252" t="e">
        <f>VLOOKUP(D181,#REF!,11,0)</f>
        <v>#REF!</v>
      </c>
      <c r="O181" s="252" t="e">
        <f>VLOOKUP(D181,#REF!,21,0)</f>
        <v>#REF!</v>
      </c>
      <c r="P181" s="252" t="e">
        <f>VLOOKUP(D181,#REF!,22,0)</f>
        <v>#REF!</v>
      </c>
      <c r="Q181" s="446"/>
      <c r="R181" s="446"/>
      <c r="S181" s="446" t="e">
        <f t="shared" si="9"/>
        <v>#REF!</v>
      </c>
      <c r="T181" s="446"/>
      <c r="U181" s="447" t="e">
        <f t="shared" si="10"/>
        <v>#REF!</v>
      </c>
      <c r="V181" s="469"/>
      <c r="W181" s="445" t="e">
        <f t="shared" si="11"/>
        <v>#REF!</v>
      </c>
      <c r="X181" s="470"/>
      <c r="Y181" s="471"/>
    </row>
    <row r="182" spans="1:25" s="448" customFormat="1" ht="16.5">
      <c r="A182" s="295">
        <v>83</v>
      </c>
      <c r="B182" s="467"/>
      <c r="C182" s="444"/>
      <c r="D182" s="462" t="e">
        <f>#REF!</f>
        <v>#REF!</v>
      </c>
      <c r="E182" s="468" t="str">
        <f>[5]CNKT!D179</f>
        <v>CNK</v>
      </c>
      <c r="F182" s="463" t="e">
        <f>VLOOKUP(D182,#REF!,3,0)</f>
        <v>#REF!</v>
      </c>
      <c r="G182" s="252" t="e">
        <f>VLOOKUP(D182,[5]CNKT!C177:F264,4,0)</f>
        <v>#REF!</v>
      </c>
      <c r="H182" s="252"/>
      <c r="I182" s="252" t="s">
        <v>120</v>
      </c>
      <c r="J182" s="252"/>
      <c r="K182" s="252"/>
      <c r="L182" s="252" t="e">
        <f>VLOOKUP(D182,#REF!,8,0)</f>
        <v>#REF!</v>
      </c>
      <c r="M182" s="252" t="e">
        <f t="shared" si="8"/>
        <v>#REF!</v>
      </c>
      <c r="N182" s="252" t="e">
        <f>VLOOKUP(D182,#REF!,11,0)</f>
        <v>#REF!</v>
      </c>
      <c r="O182" s="252" t="e">
        <f>VLOOKUP(D182,#REF!,21,0)</f>
        <v>#REF!</v>
      </c>
      <c r="P182" s="252" t="e">
        <f>VLOOKUP(D182,#REF!,22,0)</f>
        <v>#REF!</v>
      </c>
      <c r="Q182" s="446"/>
      <c r="R182" s="446"/>
      <c r="S182" s="446" t="e">
        <f t="shared" si="9"/>
        <v>#REF!</v>
      </c>
      <c r="T182" s="446"/>
      <c r="U182" s="447" t="e">
        <f t="shared" si="10"/>
        <v>#REF!</v>
      </c>
      <c r="V182" s="469"/>
      <c r="W182" s="445" t="e">
        <f t="shared" si="11"/>
        <v>#REF!</v>
      </c>
      <c r="X182" s="470"/>
      <c r="Y182" s="471"/>
    </row>
    <row r="183" spans="1:25" s="448" customFormat="1" ht="16.5">
      <c r="A183" s="295">
        <v>84</v>
      </c>
      <c r="B183" s="467"/>
      <c r="C183" s="444"/>
      <c r="D183" s="462" t="e">
        <f>#REF!</f>
        <v>#REF!</v>
      </c>
      <c r="E183" s="468" t="str">
        <f>[5]CNKT!D180</f>
        <v>CNK</v>
      </c>
      <c r="F183" s="463" t="e">
        <f>VLOOKUP(D183,#REF!,3,0)</f>
        <v>#REF!</v>
      </c>
      <c r="G183" s="252" t="e">
        <f>VLOOKUP(D183,[5]CNKT!C178:F265,4,0)</f>
        <v>#REF!</v>
      </c>
      <c r="H183" s="252"/>
      <c r="I183" s="252" t="s">
        <v>120</v>
      </c>
      <c r="J183" s="252"/>
      <c r="K183" s="252"/>
      <c r="L183" s="252" t="e">
        <f>VLOOKUP(D183,#REF!,8,0)</f>
        <v>#REF!</v>
      </c>
      <c r="M183" s="252" t="e">
        <f t="shared" si="8"/>
        <v>#REF!</v>
      </c>
      <c r="N183" s="252" t="e">
        <f>VLOOKUP(D183,#REF!,11,0)</f>
        <v>#REF!</v>
      </c>
      <c r="O183" s="252" t="e">
        <f>VLOOKUP(D183,#REF!,21,0)</f>
        <v>#REF!</v>
      </c>
      <c r="P183" s="252" t="e">
        <f>VLOOKUP(D183,#REF!,22,0)</f>
        <v>#REF!</v>
      </c>
      <c r="Q183" s="446"/>
      <c r="R183" s="446"/>
      <c r="S183" s="446" t="e">
        <f t="shared" si="9"/>
        <v>#REF!</v>
      </c>
      <c r="T183" s="446"/>
      <c r="U183" s="447" t="e">
        <f t="shared" si="10"/>
        <v>#REF!</v>
      </c>
      <c r="V183" s="469"/>
      <c r="W183" s="445" t="e">
        <f t="shared" si="11"/>
        <v>#REF!</v>
      </c>
      <c r="X183" s="470"/>
      <c r="Y183" s="471"/>
    </row>
    <row r="184" spans="1:25" s="448" customFormat="1" ht="16.5">
      <c r="A184" s="295">
        <v>85</v>
      </c>
      <c r="B184" s="472"/>
      <c r="C184" s="450"/>
      <c r="D184" s="462" t="e">
        <f>#REF!</f>
        <v>#REF!</v>
      </c>
      <c r="E184" s="473" t="str">
        <f>[5]CNKT!D181</f>
        <v>CNK</v>
      </c>
      <c r="F184" s="463" t="e">
        <f>VLOOKUP(D184,#REF!,3,0)</f>
        <v>#REF!</v>
      </c>
      <c r="G184" s="252" t="e">
        <f>VLOOKUP(D184,[5]CNKT!C179:F266,4,0)</f>
        <v>#REF!</v>
      </c>
      <c r="H184" s="252"/>
      <c r="I184" s="252" t="s">
        <v>120</v>
      </c>
      <c r="J184" s="252"/>
      <c r="K184" s="252"/>
      <c r="L184" s="252" t="e">
        <f>VLOOKUP(D184,#REF!,8,0)</f>
        <v>#REF!</v>
      </c>
      <c r="M184" s="252" t="e">
        <f t="shared" si="8"/>
        <v>#REF!</v>
      </c>
      <c r="N184" s="252" t="e">
        <f>VLOOKUP(D184,#REF!,11,0)</f>
        <v>#REF!</v>
      </c>
      <c r="O184" s="252" t="e">
        <f>VLOOKUP(D184,#REF!,21,0)</f>
        <v>#REF!</v>
      </c>
      <c r="P184" s="252" t="e">
        <f>VLOOKUP(D184,#REF!,22,0)</f>
        <v>#REF!</v>
      </c>
      <c r="Q184" s="452"/>
      <c r="R184" s="452"/>
      <c r="S184" s="452" t="e">
        <f t="shared" si="9"/>
        <v>#REF!</v>
      </c>
      <c r="T184" s="452"/>
      <c r="U184" s="453" t="e">
        <f t="shared" si="10"/>
        <v>#REF!</v>
      </c>
      <c r="V184" s="475"/>
      <c r="W184" s="451" t="e">
        <f t="shared" si="11"/>
        <v>#REF!</v>
      </c>
      <c r="X184" s="470"/>
      <c r="Y184" s="471"/>
    </row>
    <row r="185" spans="1:25" s="448" customFormat="1" ht="16.5">
      <c r="A185" s="151"/>
      <c r="B185" s="551"/>
      <c r="C185" s="552"/>
      <c r="D185" s="462" t="e">
        <f>#REF!</f>
        <v>#REF!</v>
      </c>
      <c r="E185" s="553"/>
      <c r="F185" s="554"/>
      <c r="G185" s="555"/>
      <c r="H185" s="555"/>
      <c r="I185" s="555"/>
      <c r="J185" s="555"/>
      <c r="K185" s="555"/>
      <c r="L185" s="556"/>
      <c r="M185" s="556"/>
      <c r="N185" s="550"/>
      <c r="O185" s="550"/>
      <c r="P185" s="550"/>
      <c r="Q185" s="555"/>
      <c r="R185" s="555"/>
      <c r="S185" s="555"/>
      <c r="T185" s="555"/>
      <c r="U185" s="557"/>
      <c r="V185" s="558"/>
      <c r="W185" s="559"/>
      <c r="X185" s="470"/>
      <c r="Y185" s="471"/>
    </row>
    <row r="186" spans="1:25" s="180" customFormat="1" ht="14.25">
      <c r="A186" s="1891" t="s">
        <v>586</v>
      </c>
      <c r="B186" s="1891"/>
      <c r="C186" s="1891"/>
      <c r="D186" s="1891"/>
      <c r="E186" s="1891"/>
      <c r="F186" s="186" t="e">
        <f>SUM(F100:F184)</f>
        <v>#REF!</v>
      </c>
      <c r="G186" s="186"/>
      <c r="H186" s="186"/>
      <c r="I186" s="186"/>
      <c r="J186" s="184">
        <f>SUM(J100:J177)</f>
        <v>0</v>
      </c>
      <c r="K186" s="184"/>
      <c r="L186" s="184" t="e">
        <f>SUM(L100:L184)</f>
        <v>#REF!</v>
      </c>
      <c r="M186" s="184" t="e">
        <f t="shared" ref="M186:U186" si="12">SUM(M100:M184)</f>
        <v>#REF!</v>
      </c>
      <c r="N186" s="184" t="e">
        <f>SUM(N100:N184)</f>
        <v>#REF!</v>
      </c>
      <c r="O186" s="184" t="e">
        <f t="shared" si="12"/>
        <v>#REF!</v>
      </c>
      <c r="P186" s="184" t="e">
        <f>SUM(P100:P184)</f>
        <v>#REF!</v>
      </c>
      <c r="Q186" s="184">
        <f t="shared" si="12"/>
        <v>0</v>
      </c>
      <c r="R186" s="184">
        <f t="shared" si="12"/>
        <v>0</v>
      </c>
      <c r="S186" s="184" t="e">
        <f t="shared" si="12"/>
        <v>#REF!</v>
      </c>
      <c r="T186" s="184">
        <f t="shared" si="12"/>
        <v>0</v>
      </c>
      <c r="U186" s="184" t="e">
        <f t="shared" si="12"/>
        <v>#REF!</v>
      </c>
      <c r="V186" s="185"/>
      <c r="W186" s="476"/>
      <c r="X186" s="179" t="e">
        <f>P186-Q186-#REF!-T186</f>
        <v>#REF!</v>
      </c>
      <c r="Y186" s="182" t="e">
        <f>#REF!-X186</f>
        <v>#REF!</v>
      </c>
    </row>
    <row r="187" spans="1:25" s="180" customFormat="1" ht="14.25">
      <c r="A187" s="294">
        <v>1</v>
      </c>
      <c r="B187" s="336"/>
      <c r="C187" s="336"/>
      <c r="D187" s="748" t="str">
        <f>[5]CNKT!C184</f>
        <v>Thảo Phôn Chay</v>
      </c>
      <c r="E187" s="294" t="s">
        <v>216</v>
      </c>
      <c r="F187" s="433" t="e">
        <f>#REF!</f>
        <v>#REF!</v>
      </c>
      <c r="G187" s="433" t="e">
        <f>#REF!</f>
        <v>#REF!</v>
      </c>
      <c r="H187" s="433"/>
      <c r="I187" s="433" t="s">
        <v>120</v>
      </c>
      <c r="J187" s="433" t="e">
        <f>#REF!</f>
        <v>#REF!</v>
      </c>
      <c r="K187" s="433" t="e">
        <f>#REF!</f>
        <v>#REF!</v>
      </c>
      <c r="L187" s="433" t="e">
        <f>J187+K187</f>
        <v>#REF!</v>
      </c>
      <c r="M187" s="433" t="e">
        <f>L187</f>
        <v>#REF!</v>
      </c>
      <c r="N187" s="477"/>
      <c r="O187" s="477"/>
      <c r="P187" s="477" t="e">
        <f>M187</f>
        <v>#REF!</v>
      </c>
      <c r="Q187" s="477"/>
      <c r="R187" s="478" t="e">
        <f>#REF!</f>
        <v>#REF!</v>
      </c>
      <c r="S187" s="477" t="e">
        <f>P187-R187</f>
        <v>#REF!</v>
      </c>
      <c r="T187" s="477"/>
      <c r="U187" s="479" t="e">
        <f>S187</f>
        <v>#REF!</v>
      </c>
      <c r="V187" s="480"/>
      <c r="W187" s="481" t="str">
        <f>D187</f>
        <v>Thảo Phôn Chay</v>
      </c>
      <c r="X187" s="179"/>
      <c r="Y187" s="182"/>
    </row>
    <row r="188" spans="1:25" s="181" customFormat="1" ht="16.5">
      <c r="A188" s="295">
        <v>2</v>
      </c>
      <c r="B188" s="461" t="s">
        <v>155</v>
      </c>
      <c r="C188" s="438" t="s">
        <v>236</v>
      </c>
      <c r="D188" s="482" t="str">
        <f>[5]CNKT!C186</f>
        <v>Đô La</v>
      </c>
      <c r="E188" s="483" t="str">
        <f>[5]CNKT!D186</f>
        <v>Bảo vệ</v>
      </c>
      <c r="F188" s="252" t="e">
        <f>#REF!</f>
        <v>#REF!</v>
      </c>
      <c r="G188" s="252" t="e">
        <f>#REF!</f>
        <v>#REF!</v>
      </c>
      <c r="H188" s="252"/>
      <c r="I188" s="252" t="s">
        <v>120</v>
      </c>
      <c r="J188" s="252"/>
      <c r="K188" s="252"/>
      <c r="L188" s="252" t="e">
        <f>F188*G188</f>
        <v>#REF!</v>
      </c>
      <c r="M188" s="252" t="e">
        <f>L188</f>
        <v>#REF!</v>
      </c>
      <c r="N188" s="252"/>
      <c r="O188" s="252"/>
      <c r="P188" s="252" t="e">
        <f>SUM(M188:O188)</f>
        <v>#REF!</v>
      </c>
      <c r="Q188" s="252"/>
      <c r="R188" s="252"/>
      <c r="S188" s="252" t="e">
        <f>ROUND(P188-Q188,0)</f>
        <v>#REF!</v>
      </c>
      <c r="T188" s="252"/>
      <c r="U188" s="441" t="e">
        <f>ROUND(S188-T188,0)</f>
        <v>#REF!</v>
      </c>
      <c r="V188" s="440"/>
      <c r="W188" s="484" t="str">
        <f t="shared" ref="W188:W246" si="13">D188</f>
        <v>Đô La</v>
      </c>
    </row>
    <row r="189" spans="1:25" s="181" customFormat="1" ht="16.5">
      <c r="A189" s="295">
        <v>3</v>
      </c>
      <c r="B189" s="437">
        <f>[5]CNKT!B188</f>
        <v>0</v>
      </c>
      <c r="C189" s="438"/>
      <c r="D189" s="462" t="e">
        <f>#REF!</f>
        <v>#REF!</v>
      </c>
      <c r="E189" s="462" t="str">
        <f>[5]CNKT!D188</f>
        <v>CNKT</v>
      </c>
      <c r="F189" s="463" t="e">
        <f>VLOOKUP(D189,#REF!,3,0)</f>
        <v>#REF!</v>
      </c>
      <c r="G189" s="252" t="e">
        <f>VLOOKUP(D189,[5]CNKT!C184:F271,4,0)</f>
        <v>#REF!</v>
      </c>
      <c r="H189" s="252"/>
      <c r="I189" s="252" t="s">
        <v>120</v>
      </c>
      <c r="J189" s="252"/>
      <c r="K189" s="252"/>
      <c r="L189" s="252" t="e">
        <f>VLOOKUP(D189,#REF!,8,0)</f>
        <v>#REF!</v>
      </c>
      <c r="M189" s="252" t="e">
        <f t="shared" ref="M189:M249" si="14">L189</f>
        <v>#REF!</v>
      </c>
      <c r="N189" s="252" t="e">
        <f>VLOOKUP(D189,#REF!,11,0)</f>
        <v>#REF!</v>
      </c>
      <c r="O189" s="252" t="e">
        <f>VLOOKUP(D189,#REF!,21,0)</f>
        <v>#REF!</v>
      </c>
      <c r="P189" s="252" t="e">
        <f>VLOOKUP(D189,#REF!,22,0)</f>
        <v>#REF!</v>
      </c>
      <c r="Q189" s="252"/>
      <c r="R189" s="252"/>
      <c r="S189" s="252" t="e">
        <f>ROUND(P189-Q189,0)</f>
        <v>#REF!</v>
      </c>
      <c r="T189" s="252"/>
      <c r="U189" s="441" t="e">
        <f>ROUND(S189-R189,0)</f>
        <v>#REF!</v>
      </c>
      <c r="V189" s="440"/>
      <c r="W189" s="484" t="e">
        <f t="shared" si="13"/>
        <v>#REF!</v>
      </c>
    </row>
    <row r="190" spans="1:25" s="181" customFormat="1" ht="16.5">
      <c r="A190" s="295">
        <v>4</v>
      </c>
      <c r="B190" s="437">
        <f>[5]CNKT!B189</f>
        <v>0</v>
      </c>
      <c r="C190" s="438"/>
      <c r="D190" s="462" t="e">
        <f>#REF!</f>
        <v>#REF!</v>
      </c>
      <c r="E190" s="462" t="str">
        <f>[5]CNKT!D189</f>
        <v>CNKT</v>
      </c>
      <c r="F190" s="463" t="e">
        <f>VLOOKUP(D190,#REF!,3,0)</f>
        <v>#REF!</v>
      </c>
      <c r="G190" s="252" t="e">
        <f>VLOOKUP(D190,[5]CNKT!C185:F272,4,0)</f>
        <v>#REF!</v>
      </c>
      <c r="H190" s="252"/>
      <c r="I190" s="252" t="s">
        <v>120</v>
      </c>
      <c r="J190" s="252"/>
      <c r="K190" s="252"/>
      <c r="L190" s="252" t="e">
        <f>VLOOKUP(D190,#REF!,8,0)</f>
        <v>#REF!</v>
      </c>
      <c r="M190" s="252" t="e">
        <f t="shared" si="14"/>
        <v>#REF!</v>
      </c>
      <c r="N190" s="252" t="e">
        <f>VLOOKUP(D190,#REF!,11,0)</f>
        <v>#REF!</v>
      </c>
      <c r="O190" s="252" t="e">
        <f>VLOOKUP(D190,#REF!,21,0)</f>
        <v>#REF!</v>
      </c>
      <c r="P190" s="252" t="e">
        <f>VLOOKUP(D190,#REF!,22,0)</f>
        <v>#REF!</v>
      </c>
      <c r="Q190" s="252"/>
      <c r="R190" s="252"/>
      <c r="S190" s="252" t="e">
        <f t="shared" ref="S190:S233" si="15">ROUND(P190-Q190,0)</f>
        <v>#REF!</v>
      </c>
      <c r="T190" s="252"/>
      <c r="U190" s="441" t="e">
        <f t="shared" ref="U190:U233" si="16">ROUND(S190-R190,0)</f>
        <v>#REF!</v>
      </c>
      <c r="V190" s="440"/>
      <c r="W190" s="484" t="e">
        <f t="shared" si="13"/>
        <v>#REF!</v>
      </c>
    </row>
    <row r="191" spans="1:25" s="181" customFormat="1" ht="16.5">
      <c r="A191" s="295">
        <v>5</v>
      </c>
      <c r="B191" s="437">
        <f>[5]CNKT!B190</f>
        <v>0</v>
      </c>
      <c r="C191" s="438"/>
      <c r="D191" s="462" t="e">
        <f>#REF!</f>
        <v>#REF!</v>
      </c>
      <c r="E191" s="462" t="str">
        <f>[5]CNKT!D190</f>
        <v>CNKT</v>
      </c>
      <c r="F191" s="463" t="e">
        <f>VLOOKUP(D191,#REF!,3,0)</f>
        <v>#REF!</v>
      </c>
      <c r="G191" s="252" t="e">
        <f>VLOOKUP(D191,[5]CNKT!C186:F273,4,0)</f>
        <v>#REF!</v>
      </c>
      <c r="H191" s="252"/>
      <c r="I191" s="252" t="s">
        <v>120</v>
      </c>
      <c r="J191" s="252"/>
      <c r="K191" s="252"/>
      <c r="L191" s="252" t="e">
        <f>VLOOKUP(D191,#REF!,8,0)</f>
        <v>#REF!</v>
      </c>
      <c r="M191" s="252" t="e">
        <f t="shared" si="14"/>
        <v>#REF!</v>
      </c>
      <c r="N191" s="252" t="e">
        <f>VLOOKUP(D191,#REF!,11,0)</f>
        <v>#REF!</v>
      </c>
      <c r="O191" s="252" t="e">
        <f>VLOOKUP(D191,#REF!,21,0)</f>
        <v>#REF!</v>
      </c>
      <c r="P191" s="252" t="e">
        <f>VLOOKUP(D191,#REF!,22,0)</f>
        <v>#REF!</v>
      </c>
      <c r="Q191" s="252"/>
      <c r="R191" s="252"/>
      <c r="S191" s="252" t="e">
        <f t="shared" si="15"/>
        <v>#REF!</v>
      </c>
      <c r="T191" s="252"/>
      <c r="U191" s="441" t="e">
        <f t="shared" si="16"/>
        <v>#REF!</v>
      </c>
      <c r="V191" s="440"/>
      <c r="W191" s="484" t="e">
        <f t="shared" si="13"/>
        <v>#REF!</v>
      </c>
    </row>
    <row r="192" spans="1:25" s="181" customFormat="1" ht="16.5">
      <c r="A192" s="295">
        <v>6</v>
      </c>
      <c r="B192" s="437">
        <f>[5]CNKT!B191</f>
        <v>0</v>
      </c>
      <c r="C192" s="438"/>
      <c r="D192" s="462" t="e">
        <f>#REF!</f>
        <v>#REF!</v>
      </c>
      <c r="E192" s="462" t="str">
        <f>[5]CNKT!D191</f>
        <v>CNKT</v>
      </c>
      <c r="F192" s="463" t="e">
        <f>VLOOKUP(D192,#REF!,3,0)</f>
        <v>#REF!</v>
      </c>
      <c r="G192" s="252" t="e">
        <f>VLOOKUP(D192,[5]CNKT!C187:F274,4,0)</f>
        <v>#REF!</v>
      </c>
      <c r="H192" s="252"/>
      <c r="I192" s="252" t="s">
        <v>120</v>
      </c>
      <c r="J192" s="252"/>
      <c r="K192" s="252"/>
      <c r="L192" s="252" t="e">
        <f>VLOOKUP(D192,#REF!,8,0)</f>
        <v>#REF!</v>
      </c>
      <c r="M192" s="252" t="e">
        <f t="shared" si="14"/>
        <v>#REF!</v>
      </c>
      <c r="N192" s="252" t="e">
        <f>VLOOKUP(D192,#REF!,11,0)</f>
        <v>#REF!</v>
      </c>
      <c r="O192" s="252" t="e">
        <f>VLOOKUP(D192,#REF!,21,0)</f>
        <v>#REF!</v>
      </c>
      <c r="P192" s="252" t="e">
        <f>VLOOKUP(D192,#REF!,22,0)</f>
        <v>#REF!</v>
      </c>
      <c r="Q192" s="252"/>
      <c r="R192" s="252"/>
      <c r="S192" s="252" t="e">
        <f t="shared" si="15"/>
        <v>#REF!</v>
      </c>
      <c r="T192" s="252"/>
      <c r="U192" s="441" t="e">
        <f t="shared" si="16"/>
        <v>#REF!</v>
      </c>
      <c r="V192" s="440"/>
      <c r="W192" s="484" t="e">
        <f t="shared" si="13"/>
        <v>#REF!</v>
      </c>
    </row>
    <row r="193" spans="1:23" s="181" customFormat="1" ht="16.5">
      <c r="A193" s="295">
        <v>7</v>
      </c>
      <c r="B193" s="437">
        <f>[5]CNKT!B192</f>
        <v>0</v>
      </c>
      <c r="C193" s="438"/>
      <c r="D193" s="462" t="e">
        <f>#REF!</f>
        <v>#REF!</v>
      </c>
      <c r="E193" s="462" t="str">
        <f>[5]CNKT!D192</f>
        <v>CNKT</v>
      </c>
      <c r="F193" s="463" t="e">
        <f>VLOOKUP(D193,#REF!,3,0)</f>
        <v>#REF!</v>
      </c>
      <c r="G193" s="252" t="e">
        <f>VLOOKUP(D193,[5]CNKT!C188:F275,4,0)</f>
        <v>#REF!</v>
      </c>
      <c r="H193" s="252"/>
      <c r="I193" s="252" t="s">
        <v>120</v>
      </c>
      <c r="J193" s="252"/>
      <c r="K193" s="252"/>
      <c r="L193" s="252" t="e">
        <f>VLOOKUP(D193,#REF!,8,0)</f>
        <v>#REF!</v>
      </c>
      <c r="M193" s="252" t="e">
        <f t="shared" si="14"/>
        <v>#REF!</v>
      </c>
      <c r="N193" s="252" t="e">
        <f>VLOOKUP(D193,#REF!,11,0)</f>
        <v>#REF!</v>
      </c>
      <c r="O193" s="252" t="e">
        <f>VLOOKUP(D193,#REF!,21,0)</f>
        <v>#REF!</v>
      </c>
      <c r="P193" s="252" t="e">
        <f>VLOOKUP(D193,#REF!,22,0)</f>
        <v>#REF!</v>
      </c>
      <c r="Q193" s="252"/>
      <c r="R193" s="252"/>
      <c r="S193" s="252" t="e">
        <f t="shared" si="15"/>
        <v>#REF!</v>
      </c>
      <c r="T193" s="252"/>
      <c r="U193" s="441" t="e">
        <f t="shared" si="16"/>
        <v>#REF!</v>
      </c>
      <c r="V193" s="440"/>
      <c r="W193" s="484" t="e">
        <f t="shared" si="13"/>
        <v>#REF!</v>
      </c>
    </row>
    <row r="194" spans="1:23" s="181" customFormat="1" ht="16.5">
      <c r="A194" s="295">
        <v>8</v>
      </c>
      <c r="B194" s="437">
        <f>[5]CNKT!B193</f>
        <v>0</v>
      </c>
      <c r="C194" s="438"/>
      <c r="D194" s="462" t="e">
        <f>#REF!</f>
        <v>#REF!</v>
      </c>
      <c r="E194" s="462" t="str">
        <f>[5]CNKT!D193</f>
        <v>CNKT</v>
      </c>
      <c r="F194" s="463" t="e">
        <f>VLOOKUP(D194,#REF!,3,0)</f>
        <v>#REF!</v>
      </c>
      <c r="G194" s="252" t="e">
        <f>VLOOKUP(D194,[5]CNKT!C189:F276,4,0)</f>
        <v>#REF!</v>
      </c>
      <c r="H194" s="252"/>
      <c r="I194" s="252" t="s">
        <v>120</v>
      </c>
      <c r="J194" s="252"/>
      <c r="K194" s="252"/>
      <c r="L194" s="252" t="e">
        <f>VLOOKUP(D194,#REF!,8,0)</f>
        <v>#REF!</v>
      </c>
      <c r="M194" s="252" t="e">
        <f t="shared" si="14"/>
        <v>#REF!</v>
      </c>
      <c r="N194" s="252" t="e">
        <f>VLOOKUP(D194,#REF!,11,0)</f>
        <v>#REF!</v>
      </c>
      <c r="O194" s="252" t="e">
        <f>VLOOKUP(D194,#REF!,21,0)</f>
        <v>#REF!</v>
      </c>
      <c r="P194" s="252" t="e">
        <f>VLOOKUP(D194,#REF!,22,0)</f>
        <v>#REF!</v>
      </c>
      <c r="Q194" s="252"/>
      <c r="R194" s="252"/>
      <c r="S194" s="252" t="e">
        <f t="shared" si="15"/>
        <v>#REF!</v>
      </c>
      <c r="T194" s="252"/>
      <c r="U194" s="441" t="e">
        <f t="shared" si="16"/>
        <v>#REF!</v>
      </c>
      <c r="V194" s="440"/>
      <c r="W194" s="484" t="e">
        <f t="shared" si="13"/>
        <v>#REF!</v>
      </c>
    </row>
    <row r="195" spans="1:23" s="181" customFormat="1" ht="16.5">
      <c r="A195" s="295">
        <v>9</v>
      </c>
      <c r="B195" s="437">
        <f>[5]CNKT!B194</f>
        <v>0</v>
      </c>
      <c r="C195" s="438"/>
      <c r="D195" s="462" t="e">
        <f>#REF!</f>
        <v>#REF!</v>
      </c>
      <c r="E195" s="462" t="str">
        <f>[5]CNKT!D194</f>
        <v>CNKT</v>
      </c>
      <c r="F195" s="463" t="e">
        <f>VLOOKUP(D195,#REF!,3,0)</f>
        <v>#REF!</v>
      </c>
      <c r="G195" s="252" t="e">
        <f>VLOOKUP(D195,[5]CNKT!C190:F277,4,0)</f>
        <v>#REF!</v>
      </c>
      <c r="H195" s="252"/>
      <c r="I195" s="252" t="s">
        <v>120</v>
      </c>
      <c r="J195" s="252"/>
      <c r="K195" s="252"/>
      <c r="L195" s="252" t="e">
        <f>VLOOKUP(D195,#REF!,8,0)</f>
        <v>#REF!</v>
      </c>
      <c r="M195" s="252" t="e">
        <f t="shared" si="14"/>
        <v>#REF!</v>
      </c>
      <c r="N195" s="252" t="e">
        <f>VLOOKUP(D195,#REF!,11,0)</f>
        <v>#REF!</v>
      </c>
      <c r="O195" s="252" t="e">
        <f>VLOOKUP(D195,#REF!,21,0)</f>
        <v>#REF!</v>
      </c>
      <c r="P195" s="252" t="e">
        <f>VLOOKUP(D195,#REF!,22,0)</f>
        <v>#REF!</v>
      </c>
      <c r="Q195" s="252"/>
      <c r="R195" s="252"/>
      <c r="S195" s="252" t="e">
        <f t="shared" si="15"/>
        <v>#REF!</v>
      </c>
      <c r="T195" s="252"/>
      <c r="U195" s="441" t="e">
        <f t="shared" si="16"/>
        <v>#REF!</v>
      </c>
      <c r="V195" s="440"/>
      <c r="W195" s="484" t="e">
        <f t="shared" si="13"/>
        <v>#REF!</v>
      </c>
    </row>
    <row r="196" spans="1:23" s="181" customFormat="1" ht="16.5">
      <c r="A196" s="295">
        <v>10</v>
      </c>
      <c r="B196" s="437">
        <f>[5]CNKT!B195</f>
        <v>0</v>
      </c>
      <c r="C196" s="438"/>
      <c r="D196" s="462" t="e">
        <f>#REF!</f>
        <v>#REF!</v>
      </c>
      <c r="E196" s="462" t="str">
        <f>[5]CNKT!D195</f>
        <v>CNKT</v>
      </c>
      <c r="F196" s="463" t="e">
        <f>VLOOKUP(D196,#REF!,3,0)</f>
        <v>#REF!</v>
      </c>
      <c r="G196" s="252" t="e">
        <f>VLOOKUP(D196,[5]CNKT!C191:F278,4,0)</f>
        <v>#REF!</v>
      </c>
      <c r="H196" s="252"/>
      <c r="I196" s="252" t="s">
        <v>120</v>
      </c>
      <c r="J196" s="252"/>
      <c r="K196" s="252"/>
      <c r="L196" s="252" t="e">
        <f>VLOOKUP(D196,#REF!,8,0)</f>
        <v>#REF!</v>
      </c>
      <c r="M196" s="252" t="e">
        <f t="shared" si="14"/>
        <v>#REF!</v>
      </c>
      <c r="N196" s="252" t="e">
        <f>VLOOKUP(D196,#REF!,11,0)</f>
        <v>#REF!</v>
      </c>
      <c r="O196" s="252" t="e">
        <f>VLOOKUP(D196,#REF!,21,0)</f>
        <v>#REF!</v>
      </c>
      <c r="P196" s="252" t="e">
        <f>VLOOKUP(D196,#REF!,22,0)</f>
        <v>#REF!</v>
      </c>
      <c r="Q196" s="252"/>
      <c r="R196" s="252"/>
      <c r="S196" s="252" t="e">
        <f t="shared" si="15"/>
        <v>#REF!</v>
      </c>
      <c r="T196" s="252"/>
      <c r="U196" s="441" t="e">
        <f t="shared" si="16"/>
        <v>#REF!</v>
      </c>
      <c r="V196" s="440"/>
      <c r="W196" s="484" t="e">
        <f t="shared" si="13"/>
        <v>#REF!</v>
      </c>
    </row>
    <row r="197" spans="1:23" s="181" customFormat="1" ht="16.5">
      <c r="A197" s="295">
        <v>11</v>
      </c>
      <c r="B197" s="437">
        <f>[5]CNKT!B196</f>
        <v>0</v>
      </c>
      <c r="C197" s="438"/>
      <c r="D197" s="462" t="e">
        <f>#REF!</f>
        <v>#REF!</v>
      </c>
      <c r="E197" s="462" t="str">
        <f>[5]CNKT!D196</f>
        <v>CNKT</v>
      </c>
      <c r="F197" s="463" t="e">
        <f>VLOOKUP(D197,#REF!,3,0)</f>
        <v>#REF!</v>
      </c>
      <c r="G197" s="252" t="e">
        <f>VLOOKUP(D197,[5]CNKT!C192:F279,4,0)</f>
        <v>#REF!</v>
      </c>
      <c r="H197" s="252"/>
      <c r="I197" s="252" t="s">
        <v>120</v>
      </c>
      <c r="J197" s="252"/>
      <c r="K197" s="252"/>
      <c r="L197" s="252" t="e">
        <f>VLOOKUP(D197,#REF!,8,0)</f>
        <v>#REF!</v>
      </c>
      <c r="M197" s="252" t="e">
        <f t="shared" si="14"/>
        <v>#REF!</v>
      </c>
      <c r="N197" s="252" t="e">
        <f>VLOOKUP(D197,#REF!,11,0)</f>
        <v>#REF!</v>
      </c>
      <c r="O197" s="252" t="e">
        <f>VLOOKUP(D197,#REF!,21,0)</f>
        <v>#REF!</v>
      </c>
      <c r="P197" s="252" t="e">
        <f>VLOOKUP(D197,#REF!,22,0)</f>
        <v>#REF!</v>
      </c>
      <c r="Q197" s="252"/>
      <c r="R197" s="252"/>
      <c r="S197" s="252" t="e">
        <f t="shared" si="15"/>
        <v>#REF!</v>
      </c>
      <c r="T197" s="252"/>
      <c r="U197" s="441" t="e">
        <f t="shared" si="16"/>
        <v>#REF!</v>
      </c>
      <c r="V197" s="440"/>
      <c r="W197" s="484" t="e">
        <f t="shared" si="13"/>
        <v>#REF!</v>
      </c>
    </row>
    <row r="198" spans="1:23" s="181" customFormat="1" ht="16.5">
      <c r="A198" s="295">
        <v>12</v>
      </c>
      <c r="B198" s="437">
        <f>[5]CNKT!B197</f>
        <v>0</v>
      </c>
      <c r="C198" s="438"/>
      <c r="D198" s="462" t="e">
        <f>#REF!</f>
        <v>#REF!</v>
      </c>
      <c r="E198" s="462" t="str">
        <f>[5]CNKT!D197</f>
        <v>CNKT</v>
      </c>
      <c r="F198" s="463" t="e">
        <f>VLOOKUP(D198,#REF!,3,0)</f>
        <v>#REF!</v>
      </c>
      <c r="G198" s="252" t="e">
        <f>VLOOKUP(D198,[5]CNKT!C193:F280,4,0)</f>
        <v>#REF!</v>
      </c>
      <c r="H198" s="252"/>
      <c r="I198" s="252" t="s">
        <v>120</v>
      </c>
      <c r="J198" s="252"/>
      <c r="K198" s="252"/>
      <c r="L198" s="252" t="e">
        <f>VLOOKUP(D198,#REF!,8,0)</f>
        <v>#REF!</v>
      </c>
      <c r="M198" s="252" t="e">
        <f t="shared" si="14"/>
        <v>#REF!</v>
      </c>
      <c r="N198" s="252" t="e">
        <f>VLOOKUP(D198,#REF!,11,0)</f>
        <v>#REF!</v>
      </c>
      <c r="O198" s="252" t="e">
        <f>VLOOKUP(D198,#REF!,21,0)</f>
        <v>#REF!</v>
      </c>
      <c r="P198" s="252" t="e">
        <f>VLOOKUP(D198,#REF!,22,0)</f>
        <v>#REF!</v>
      </c>
      <c r="Q198" s="252"/>
      <c r="R198" s="252"/>
      <c r="S198" s="252" t="e">
        <f t="shared" si="15"/>
        <v>#REF!</v>
      </c>
      <c r="T198" s="252"/>
      <c r="U198" s="441" t="e">
        <f t="shared" si="16"/>
        <v>#REF!</v>
      </c>
      <c r="V198" s="440"/>
      <c r="W198" s="484" t="e">
        <f t="shared" si="13"/>
        <v>#REF!</v>
      </c>
    </row>
    <row r="199" spans="1:23" s="181" customFormat="1" ht="16.5">
      <c r="A199" s="295">
        <v>13</v>
      </c>
      <c r="B199" s="437">
        <f>[5]CNKT!B198</f>
        <v>0</v>
      </c>
      <c r="C199" s="438"/>
      <c r="D199" s="462" t="e">
        <f>#REF!</f>
        <v>#REF!</v>
      </c>
      <c r="E199" s="462" t="str">
        <f>[5]CNKT!D198</f>
        <v>CNKT</v>
      </c>
      <c r="F199" s="463" t="e">
        <f>VLOOKUP(D199,#REF!,3,0)</f>
        <v>#REF!</v>
      </c>
      <c r="G199" s="252" t="e">
        <f>VLOOKUP(D199,[5]CNKT!C194:F281,4,0)</f>
        <v>#REF!</v>
      </c>
      <c r="H199" s="252"/>
      <c r="I199" s="252" t="s">
        <v>120</v>
      </c>
      <c r="J199" s="252"/>
      <c r="K199" s="252"/>
      <c r="L199" s="252" t="e">
        <f>VLOOKUP(D199,#REF!,8,0)</f>
        <v>#REF!</v>
      </c>
      <c r="M199" s="252" t="e">
        <f t="shared" si="14"/>
        <v>#REF!</v>
      </c>
      <c r="N199" s="252" t="e">
        <f>VLOOKUP(D199,#REF!,11,0)</f>
        <v>#REF!</v>
      </c>
      <c r="O199" s="252" t="e">
        <f>VLOOKUP(D199,#REF!,21,0)</f>
        <v>#REF!</v>
      </c>
      <c r="P199" s="252" t="e">
        <f>VLOOKUP(D199,#REF!,22,0)</f>
        <v>#REF!</v>
      </c>
      <c r="Q199" s="252"/>
      <c r="R199" s="252"/>
      <c r="S199" s="252" t="e">
        <f t="shared" si="15"/>
        <v>#REF!</v>
      </c>
      <c r="T199" s="252"/>
      <c r="U199" s="441" t="e">
        <f t="shared" si="16"/>
        <v>#REF!</v>
      </c>
      <c r="V199" s="440"/>
      <c r="W199" s="484" t="e">
        <f t="shared" si="13"/>
        <v>#REF!</v>
      </c>
    </row>
    <row r="200" spans="1:23" s="181" customFormat="1" ht="16.5">
      <c r="A200" s="295">
        <v>14</v>
      </c>
      <c r="B200" s="437">
        <f>[5]CNKT!B199</f>
        <v>0</v>
      </c>
      <c r="C200" s="438"/>
      <c r="D200" s="462" t="e">
        <f>#REF!</f>
        <v>#REF!</v>
      </c>
      <c r="E200" s="462" t="str">
        <f>[5]CNKT!D199</f>
        <v>CNKT</v>
      </c>
      <c r="F200" s="463" t="e">
        <f>VLOOKUP(D200,#REF!,3,0)</f>
        <v>#REF!</v>
      </c>
      <c r="G200" s="252" t="e">
        <f>VLOOKUP(D200,[5]CNKT!C195:F282,4,0)</f>
        <v>#REF!</v>
      </c>
      <c r="H200" s="252"/>
      <c r="I200" s="252" t="s">
        <v>120</v>
      </c>
      <c r="J200" s="252"/>
      <c r="K200" s="252"/>
      <c r="L200" s="252" t="e">
        <f>VLOOKUP(D200,#REF!,8,0)</f>
        <v>#REF!</v>
      </c>
      <c r="M200" s="252" t="e">
        <f t="shared" si="14"/>
        <v>#REF!</v>
      </c>
      <c r="N200" s="252" t="e">
        <f>VLOOKUP(D200,#REF!,11,0)</f>
        <v>#REF!</v>
      </c>
      <c r="O200" s="252" t="e">
        <f>VLOOKUP(D200,#REF!,21,0)</f>
        <v>#REF!</v>
      </c>
      <c r="P200" s="252" t="e">
        <f>VLOOKUP(D200,#REF!,22,0)</f>
        <v>#REF!</v>
      </c>
      <c r="Q200" s="252"/>
      <c r="R200" s="252"/>
      <c r="S200" s="252" t="e">
        <f t="shared" si="15"/>
        <v>#REF!</v>
      </c>
      <c r="T200" s="252"/>
      <c r="U200" s="441" t="e">
        <f t="shared" si="16"/>
        <v>#REF!</v>
      </c>
      <c r="V200" s="440"/>
      <c r="W200" s="484" t="e">
        <f t="shared" si="13"/>
        <v>#REF!</v>
      </c>
    </row>
    <row r="201" spans="1:23" s="181" customFormat="1" ht="16.5">
      <c r="A201" s="295">
        <v>15</v>
      </c>
      <c r="B201" s="437">
        <f>[5]CNKT!B200</f>
        <v>0</v>
      </c>
      <c r="C201" s="438"/>
      <c r="D201" s="462" t="e">
        <f>#REF!</f>
        <v>#REF!</v>
      </c>
      <c r="E201" s="462" t="str">
        <f>[5]CNKT!D200</f>
        <v>CNKT</v>
      </c>
      <c r="F201" s="463" t="e">
        <f>VLOOKUP(D201,#REF!,3,0)</f>
        <v>#REF!</v>
      </c>
      <c r="G201" s="252" t="e">
        <f>VLOOKUP(D201,[5]CNKT!C196:F283,4,0)</f>
        <v>#REF!</v>
      </c>
      <c r="H201" s="252"/>
      <c r="I201" s="252" t="s">
        <v>120</v>
      </c>
      <c r="J201" s="252"/>
      <c r="K201" s="252"/>
      <c r="L201" s="252" t="e">
        <f>VLOOKUP(D201,#REF!,8,0)</f>
        <v>#REF!</v>
      </c>
      <c r="M201" s="252" t="e">
        <f t="shared" si="14"/>
        <v>#REF!</v>
      </c>
      <c r="N201" s="252" t="e">
        <f>VLOOKUP(D201,#REF!,11,0)</f>
        <v>#REF!</v>
      </c>
      <c r="O201" s="252" t="e">
        <f>VLOOKUP(D201,#REF!,21,0)</f>
        <v>#REF!</v>
      </c>
      <c r="P201" s="252" t="e">
        <f>VLOOKUP(D201,#REF!,22,0)</f>
        <v>#REF!</v>
      </c>
      <c r="Q201" s="252"/>
      <c r="R201" s="252"/>
      <c r="S201" s="252" t="e">
        <f t="shared" si="15"/>
        <v>#REF!</v>
      </c>
      <c r="T201" s="252"/>
      <c r="U201" s="441" t="e">
        <f t="shared" si="16"/>
        <v>#REF!</v>
      </c>
      <c r="V201" s="440"/>
      <c r="W201" s="484" t="e">
        <f t="shared" si="13"/>
        <v>#REF!</v>
      </c>
    </row>
    <row r="202" spans="1:23" s="181" customFormat="1" ht="16.5">
      <c r="A202" s="295">
        <v>16</v>
      </c>
      <c r="B202" s="437">
        <f>[5]CNKT!B201</f>
        <v>0</v>
      </c>
      <c r="C202" s="438"/>
      <c r="D202" s="462" t="e">
        <f>#REF!</f>
        <v>#REF!</v>
      </c>
      <c r="E202" s="462" t="str">
        <f>[5]CNKT!D201</f>
        <v>CNKT</v>
      </c>
      <c r="F202" s="463" t="e">
        <f>VLOOKUP(D202,#REF!,3,0)</f>
        <v>#REF!</v>
      </c>
      <c r="G202" s="252" t="e">
        <f>VLOOKUP(D202,[5]CNKT!C197:F284,4,0)</f>
        <v>#REF!</v>
      </c>
      <c r="H202" s="252"/>
      <c r="I202" s="252" t="s">
        <v>120</v>
      </c>
      <c r="J202" s="252"/>
      <c r="K202" s="252"/>
      <c r="L202" s="252" t="e">
        <f>VLOOKUP(D202,#REF!,8,0)</f>
        <v>#REF!</v>
      </c>
      <c r="M202" s="252" t="e">
        <f t="shared" si="14"/>
        <v>#REF!</v>
      </c>
      <c r="N202" s="252" t="e">
        <f>VLOOKUP(D202,#REF!,11,0)</f>
        <v>#REF!</v>
      </c>
      <c r="O202" s="252" t="e">
        <f>VLOOKUP(D202,#REF!,21,0)</f>
        <v>#REF!</v>
      </c>
      <c r="P202" s="252" t="e">
        <f>VLOOKUP(D202,#REF!,22,0)</f>
        <v>#REF!</v>
      </c>
      <c r="Q202" s="252"/>
      <c r="R202" s="252"/>
      <c r="S202" s="252" t="e">
        <f t="shared" si="15"/>
        <v>#REF!</v>
      </c>
      <c r="T202" s="252"/>
      <c r="U202" s="441" t="e">
        <f t="shared" si="16"/>
        <v>#REF!</v>
      </c>
      <c r="V202" s="440"/>
      <c r="W202" s="484" t="e">
        <f t="shared" si="13"/>
        <v>#REF!</v>
      </c>
    </row>
    <row r="203" spans="1:23" s="181" customFormat="1" ht="16.5">
      <c r="A203" s="295">
        <v>17</v>
      </c>
      <c r="B203" s="437">
        <f>[5]CNKT!B202</f>
        <v>0</v>
      </c>
      <c r="C203" s="438"/>
      <c r="D203" s="462" t="e">
        <f>#REF!</f>
        <v>#REF!</v>
      </c>
      <c r="E203" s="462" t="str">
        <f>[5]CNKT!D202</f>
        <v>CNKT</v>
      </c>
      <c r="F203" s="463" t="e">
        <f>VLOOKUP(D203,#REF!,3,0)</f>
        <v>#REF!</v>
      </c>
      <c r="G203" s="252" t="e">
        <f>VLOOKUP(D203,[5]CNKT!C198:F285,4,0)</f>
        <v>#REF!</v>
      </c>
      <c r="H203" s="252"/>
      <c r="I203" s="252" t="s">
        <v>120</v>
      </c>
      <c r="J203" s="252"/>
      <c r="K203" s="252"/>
      <c r="L203" s="252" t="e">
        <f>VLOOKUP(D203,#REF!,8,0)</f>
        <v>#REF!</v>
      </c>
      <c r="M203" s="252" t="e">
        <f t="shared" si="14"/>
        <v>#REF!</v>
      </c>
      <c r="N203" s="252" t="e">
        <f>VLOOKUP(D203,#REF!,11,0)</f>
        <v>#REF!</v>
      </c>
      <c r="O203" s="252" t="e">
        <f>VLOOKUP(D203,#REF!,21,0)</f>
        <v>#REF!</v>
      </c>
      <c r="P203" s="252" t="e">
        <f>VLOOKUP(D203,#REF!,22,0)</f>
        <v>#REF!</v>
      </c>
      <c r="Q203" s="252"/>
      <c r="R203" s="252"/>
      <c r="S203" s="252" t="e">
        <f t="shared" si="15"/>
        <v>#REF!</v>
      </c>
      <c r="T203" s="252"/>
      <c r="U203" s="441" t="e">
        <f t="shared" si="16"/>
        <v>#REF!</v>
      </c>
      <c r="V203" s="440"/>
      <c r="W203" s="484" t="e">
        <f t="shared" si="13"/>
        <v>#REF!</v>
      </c>
    </row>
    <row r="204" spans="1:23" s="181" customFormat="1" ht="16.5">
      <c r="A204" s="295">
        <v>18</v>
      </c>
      <c r="B204" s="437">
        <f>[5]CNKT!B203</f>
        <v>0</v>
      </c>
      <c r="C204" s="438"/>
      <c r="D204" s="462" t="e">
        <f>#REF!</f>
        <v>#REF!</v>
      </c>
      <c r="E204" s="462" t="str">
        <f>[5]CNKT!D203</f>
        <v>CNKT</v>
      </c>
      <c r="F204" s="463" t="e">
        <f>VLOOKUP(D204,#REF!,3,0)</f>
        <v>#REF!</v>
      </c>
      <c r="G204" s="252" t="e">
        <f>VLOOKUP(D204,[5]CNKT!C199:F286,4,0)</f>
        <v>#REF!</v>
      </c>
      <c r="H204" s="252"/>
      <c r="I204" s="252" t="s">
        <v>120</v>
      </c>
      <c r="J204" s="252"/>
      <c r="K204" s="252"/>
      <c r="L204" s="252" t="e">
        <f>VLOOKUP(D204,#REF!,8,0)</f>
        <v>#REF!</v>
      </c>
      <c r="M204" s="252" t="e">
        <f t="shared" si="14"/>
        <v>#REF!</v>
      </c>
      <c r="N204" s="252" t="e">
        <f>VLOOKUP(D204,#REF!,11,0)</f>
        <v>#REF!</v>
      </c>
      <c r="O204" s="252" t="e">
        <f>VLOOKUP(D204,#REF!,21,0)</f>
        <v>#REF!</v>
      </c>
      <c r="P204" s="252" t="e">
        <f>VLOOKUP(D204,#REF!,22,0)</f>
        <v>#REF!</v>
      </c>
      <c r="Q204" s="252"/>
      <c r="R204" s="252"/>
      <c r="S204" s="252" t="e">
        <f t="shared" si="15"/>
        <v>#REF!</v>
      </c>
      <c r="T204" s="252"/>
      <c r="U204" s="441" t="e">
        <f t="shared" si="16"/>
        <v>#REF!</v>
      </c>
      <c r="V204" s="440"/>
      <c r="W204" s="484" t="e">
        <f t="shared" si="13"/>
        <v>#REF!</v>
      </c>
    </row>
    <row r="205" spans="1:23" s="181" customFormat="1" ht="16.5">
      <c r="A205" s="295">
        <v>19</v>
      </c>
      <c r="B205" s="437">
        <f>[5]CNKT!B204</f>
        <v>0</v>
      </c>
      <c r="C205" s="438"/>
      <c r="D205" s="462" t="e">
        <f>#REF!</f>
        <v>#REF!</v>
      </c>
      <c r="E205" s="462" t="str">
        <f>[5]CNKT!D204</f>
        <v>CNKT</v>
      </c>
      <c r="F205" s="463" t="e">
        <f>VLOOKUP(D205,#REF!,3,0)</f>
        <v>#REF!</v>
      </c>
      <c r="G205" s="252" t="e">
        <f>VLOOKUP(D205,[5]CNKT!C200:F287,4,0)</f>
        <v>#REF!</v>
      </c>
      <c r="H205" s="252"/>
      <c r="I205" s="252" t="s">
        <v>120</v>
      </c>
      <c r="J205" s="252"/>
      <c r="K205" s="252"/>
      <c r="L205" s="252" t="e">
        <f>VLOOKUP(D205,#REF!,8,0)</f>
        <v>#REF!</v>
      </c>
      <c r="M205" s="252" t="e">
        <f t="shared" si="14"/>
        <v>#REF!</v>
      </c>
      <c r="N205" s="252" t="e">
        <f>VLOOKUP(D205,#REF!,11,0)</f>
        <v>#REF!</v>
      </c>
      <c r="O205" s="252" t="e">
        <f>VLOOKUP(D205,#REF!,21,0)</f>
        <v>#REF!</v>
      </c>
      <c r="P205" s="252" t="e">
        <f>VLOOKUP(D205,#REF!,22,0)</f>
        <v>#REF!</v>
      </c>
      <c r="Q205" s="252"/>
      <c r="R205" s="252"/>
      <c r="S205" s="252" t="e">
        <f t="shared" si="15"/>
        <v>#REF!</v>
      </c>
      <c r="T205" s="252"/>
      <c r="U205" s="441" t="e">
        <f t="shared" si="16"/>
        <v>#REF!</v>
      </c>
      <c r="V205" s="440"/>
      <c r="W205" s="484" t="e">
        <f t="shared" si="13"/>
        <v>#REF!</v>
      </c>
    </row>
    <row r="206" spans="1:23" s="181" customFormat="1" ht="16.5">
      <c r="A206" s="295">
        <v>20</v>
      </c>
      <c r="B206" s="437">
        <f>[5]CNKT!B205</f>
        <v>0</v>
      </c>
      <c r="C206" s="438"/>
      <c r="D206" s="462" t="e">
        <f>#REF!</f>
        <v>#REF!</v>
      </c>
      <c r="E206" s="462" t="str">
        <f>[5]CNKT!D205</f>
        <v>CNKT</v>
      </c>
      <c r="F206" s="463" t="e">
        <f>VLOOKUP(D206,#REF!,3,0)</f>
        <v>#REF!</v>
      </c>
      <c r="G206" s="252" t="e">
        <f>VLOOKUP(D206,[5]CNKT!C201:F288,4,0)</f>
        <v>#REF!</v>
      </c>
      <c r="H206" s="252"/>
      <c r="I206" s="252" t="s">
        <v>120</v>
      </c>
      <c r="J206" s="252"/>
      <c r="K206" s="252"/>
      <c r="L206" s="252" t="e">
        <f>VLOOKUP(D206,#REF!,8,0)</f>
        <v>#REF!</v>
      </c>
      <c r="M206" s="252" t="e">
        <f t="shared" si="14"/>
        <v>#REF!</v>
      </c>
      <c r="N206" s="252" t="e">
        <f>VLOOKUP(D206,#REF!,11,0)</f>
        <v>#REF!</v>
      </c>
      <c r="O206" s="252" t="e">
        <f>VLOOKUP(D206,#REF!,21,0)</f>
        <v>#REF!</v>
      </c>
      <c r="P206" s="252" t="e">
        <f>VLOOKUP(D206,#REF!,22,0)</f>
        <v>#REF!</v>
      </c>
      <c r="Q206" s="252"/>
      <c r="R206" s="252"/>
      <c r="S206" s="252" t="e">
        <f t="shared" si="15"/>
        <v>#REF!</v>
      </c>
      <c r="T206" s="252"/>
      <c r="U206" s="441" t="e">
        <f t="shared" si="16"/>
        <v>#REF!</v>
      </c>
      <c r="V206" s="440"/>
      <c r="W206" s="484" t="e">
        <f t="shared" si="13"/>
        <v>#REF!</v>
      </c>
    </row>
    <row r="207" spans="1:23" s="181" customFormat="1" ht="16.5">
      <c r="A207" s="295">
        <v>21</v>
      </c>
      <c r="B207" s="437">
        <f>[5]CNKT!B206</f>
        <v>0</v>
      </c>
      <c r="C207" s="438"/>
      <c r="D207" s="462" t="e">
        <f>#REF!</f>
        <v>#REF!</v>
      </c>
      <c r="E207" s="462" t="str">
        <f>[5]CNKT!D206</f>
        <v>CNKT</v>
      </c>
      <c r="F207" s="463" t="e">
        <f>VLOOKUP(D207,#REF!,3,0)</f>
        <v>#REF!</v>
      </c>
      <c r="G207" s="252" t="e">
        <f>VLOOKUP(D207,[5]CNKT!C202:F289,4,0)</f>
        <v>#REF!</v>
      </c>
      <c r="H207" s="252"/>
      <c r="I207" s="252" t="s">
        <v>120</v>
      </c>
      <c r="J207" s="252"/>
      <c r="K207" s="252"/>
      <c r="L207" s="252" t="e">
        <f>VLOOKUP(D207,#REF!,8,0)</f>
        <v>#REF!</v>
      </c>
      <c r="M207" s="252" t="e">
        <f t="shared" si="14"/>
        <v>#REF!</v>
      </c>
      <c r="N207" s="252" t="e">
        <f>VLOOKUP(D207,#REF!,11,0)</f>
        <v>#REF!</v>
      </c>
      <c r="O207" s="252" t="e">
        <f>VLOOKUP(D207,#REF!,21,0)</f>
        <v>#REF!</v>
      </c>
      <c r="P207" s="252" t="e">
        <f>VLOOKUP(D207,#REF!,22,0)</f>
        <v>#REF!</v>
      </c>
      <c r="Q207" s="252"/>
      <c r="R207" s="252"/>
      <c r="S207" s="252" t="e">
        <f t="shared" si="15"/>
        <v>#REF!</v>
      </c>
      <c r="T207" s="252"/>
      <c r="U207" s="441" t="e">
        <f t="shared" si="16"/>
        <v>#REF!</v>
      </c>
      <c r="V207" s="440"/>
      <c r="W207" s="484" t="e">
        <f t="shared" si="13"/>
        <v>#REF!</v>
      </c>
    </row>
    <row r="208" spans="1:23" s="181" customFormat="1" ht="16.5">
      <c r="A208" s="295">
        <v>22</v>
      </c>
      <c r="B208" s="437">
        <f>[5]CNKT!B207</f>
        <v>0</v>
      </c>
      <c r="C208" s="438"/>
      <c r="D208" s="462" t="e">
        <f>#REF!</f>
        <v>#REF!</v>
      </c>
      <c r="E208" s="462" t="str">
        <f>[5]CNKT!D207</f>
        <v>CNKT</v>
      </c>
      <c r="F208" s="463" t="e">
        <f>VLOOKUP(D208,#REF!,3,0)</f>
        <v>#REF!</v>
      </c>
      <c r="G208" s="252" t="e">
        <f>VLOOKUP(D208,[5]CNKT!C203:F290,4,0)</f>
        <v>#REF!</v>
      </c>
      <c r="H208" s="252"/>
      <c r="I208" s="252" t="s">
        <v>120</v>
      </c>
      <c r="J208" s="252"/>
      <c r="K208" s="252"/>
      <c r="L208" s="252" t="e">
        <f>VLOOKUP(D208,#REF!,8,0)</f>
        <v>#REF!</v>
      </c>
      <c r="M208" s="252" t="e">
        <f t="shared" si="14"/>
        <v>#REF!</v>
      </c>
      <c r="N208" s="252" t="e">
        <f>VLOOKUP(D208,#REF!,11,0)</f>
        <v>#REF!</v>
      </c>
      <c r="O208" s="252" t="e">
        <f>VLOOKUP(D208,#REF!,21,0)</f>
        <v>#REF!</v>
      </c>
      <c r="P208" s="252" t="e">
        <f>VLOOKUP(D208,#REF!,22,0)</f>
        <v>#REF!</v>
      </c>
      <c r="Q208" s="252"/>
      <c r="R208" s="252"/>
      <c r="S208" s="252" t="e">
        <f t="shared" si="15"/>
        <v>#REF!</v>
      </c>
      <c r="T208" s="252"/>
      <c r="U208" s="441" t="e">
        <f t="shared" si="16"/>
        <v>#REF!</v>
      </c>
      <c r="V208" s="440"/>
      <c r="W208" s="484" t="e">
        <f t="shared" si="13"/>
        <v>#REF!</v>
      </c>
    </row>
    <row r="209" spans="1:23" s="181" customFormat="1" ht="16.5">
      <c r="A209" s="295">
        <v>23</v>
      </c>
      <c r="B209" s="437">
        <f>[5]CNKT!B208</f>
        <v>0</v>
      </c>
      <c r="C209" s="438"/>
      <c r="D209" s="462" t="e">
        <f>#REF!</f>
        <v>#REF!</v>
      </c>
      <c r="E209" s="462" t="str">
        <f>[5]CNKT!D208</f>
        <v>CNKT</v>
      </c>
      <c r="F209" s="463" t="e">
        <f>VLOOKUP(D209,#REF!,3,0)</f>
        <v>#REF!</v>
      </c>
      <c r="G209" s="252" t="e">
        <f>VLOOKUP(D209,[5]CNKT!C204:F291,4,0)</f>
        <v>#REF!</v>
      </c>
      <c r="H209" s="252"/>
      <c r="I209" s="252" t="s">
        <v>120</v>
      </c>
      <c r="J209" s="252"/>
      <c r="K209" s="252"/>
      <c r="L209" s="252" t="e">
        <f>VLOOKUP(D209,#REF!,8,0)</f>
        <v>#REF!</v>
      </c>
      <c r="M209" s="252" t="e">
        <f t="shared" si="14"/>
        <v>#REF!</v>
      </c>
      <c r="N209" s="252" t="e">
        <f>VLOOKUP(D209,#REF!,11,0)</f>
        <v>#REF!</v>
      </c>
      <c r="O209" s="252" t="e">
        <f>VLOOKUP(D209,#REF!,21,0)</f>
        <v>#REF!</v>
      </c>
      <c r="P209" s="252" t="e">
        <f>VLOOKUP(D209,#REF!,22,0)</f>
        <v>#REF!</v>
      </c>
      <c r="Q209" s="252"/>
      <c r="R209" s="252"/>
      <c r="S209" s="252" t="e">
        <f t="shared" si="15"/>
        <v>#REF!</v>
      </c>
      <c r="T209" s="252"/>
      <c r="U209" s="441" t="e">
        <f t="shared" si="16"/>
        <v>#REF!</v>
      </c>
      <c r="V209" s="440"/>
      <c r="W209" s="484" t="e">
        <f t="shared" si="13"/>
        <v>#REF!</v>
      </c>
    </row>
    <row r="210" spans="1:23" s="181" customFormat="1" ht="16.5">
      <c r="A210" s="295">
        <v>24</v>
      </c>
      <c r="B210" s="437">
        <f>[5]CNKT!B209</f>
        <v>0</v>
      </c>
      <c r="C210" s="438"/>
      <c r="D210" s="462" t="e">
        <f>#REF!</f>
        <v>#REF!</v>
      </c>
      <c r="E210" s="462" t="str">
        <f>[5]CNKT!D209</f>
        <v>CNKT</v>
      </c>
      <c r="F210" s="463" t="e">
        <f>VLOOKUP(D210,#REF!,3,0)</f>
        <v>#REF!</v>
      </c>
      <c r="G210" s="252" t="e">
        <f>VLOOKUP(D210,[5]CNKT!C205:F292,4,0)</f>
        <v>#REF!</v>
      </c>
      <c r="H210" s="252"/>
      <c r="I210" s="252" t="s">
        <v>120</v>
      </c>
      <c r="J210" s="252"/>
      <c r="K210" s="252"/>
      <c r="L210" s="252" t="e">
        <f>VLOOKUP(D210,#REF!,8,0)</f>
        <v>#REF!</v>
      </c>
      <c r="M210" s="252" t="e">
        <f t="shared" si="14"/>
        <v>#REF!</v>
      </c>
      <c r="N210" s="252" t="e">
        <f>VLOOKUP(D210,#REF!,11,0)</f>
        <v>#REF!</v>
      </c>
      <c r="O210" s="252" t="e">
        <f>VLOOKUP(D210,#REF!,21,0)</f>
        <v>#REF!</v>
      </c>
      <c r="P210" s="252" t="e">
        <f>VLOOKUP(D210,#REF!,22,0)</f>
        <v>#REF!</v>
      </c>
      <c r="Q210" s="252"/>
      <c r="R210" s="252"/>
      <c r="S210" s="252" t="e">
        <f t="shared" si="15"/>
        <v>#REF!</v>
      </c>
      <c r="T210" s="252"/>
      <c r="U210" s="441" t="e">
        <f t="shared" si="16"/>
        <v>#REF!</v>
      </c>
      <c r="V210" s="440"/>
      <c r="W210" s="484" t="e">
        <f t="shared" si="13"/>
        <v>#REF!</v>
      </c>
    </row>
    <row r="211" spans="1:23" s="181" customFormat="1" ht="16.5">
      <c r="A211" s="295">
        <v>25</v>
      </c>
      <c r="B211" s="437">
        <f>[5]CNKT!B210</f>
        <v>0</v>
      </c>
      <c r="C211" s="438"/>
      <c r="D211" s="462" t="e">
        <f>#REF!</f>
        <v>#REF!</v>
      </c>
      <c r="E211" s="462" t="str">
        <f>[5]CNKT!D210</f>
        <v>CNKT</v>
      </c>
      <c r="F211" s="463" t="e">
        <f>VLOOKUP(D211,#REF!,3,0)</f>
        <v>#REF!</v>
      </c>
      <c r="G211" s="252" t="e">
        <f>VLOOKUP(D211,[5]CNKT!C206:F293,4,0)</f>
        <v>#REF!</v>
      </c>
      <c r="H211" s="252"/>
      <c r="I211" s="252" t="s">
        <v>120</v>
      </c>
      <c r="J211" s="252"/>
      <c r="K211" s="252"/>
      <c r="L211" s="252" t="e">
        <f>VLOOKUP(D211,#REF!,8,0)</f>
        <v>#REF!</v>
      </c>
      <c r="M211" s="252" t="e">
        <f t="shared" si="14"/>
        <v>#REF!</v>
      </c>
      <c r="N211" s="252" t="e">
        <f>VLOOKUP(D211,#REF!,11,0)</f>
        <v>#REF!</v>
      </c>
      <c r="O211" s="252" t="e">
        <f>VLOOKUP(D211,#REF!,21,0)</f>
        <v>#REF!</v>
      </c>
      <c r="P211" s="252" t="e">
        <f>VLOOKUP(D211,#REF!,22,0)</f>
        <v>#REF!</v>
      </c>
      <c r="Q211" s="252"/>
      <c r="R211" s="252"/>
      <c r="S211" s="252" t="e">
        <f t="shared" si="15"/>
        <v>#REF!</v>
      </c>
      <c r="T211" s="252"/>
      <c r="U211" s="441" t="e">
        <f t="shared" si="16"/>
        <v>#REF!</v>
      </c>
      <c r="V211" s="440"/>
      <c r="W211" s="484" t="e">
        <f t="shared" si="13"/>
        <v>#REF!</v>
      </c>
    </row>
    <row r="212" spans="1:23" s="181" customFormat="1" ht="16.5">
      <c r="A212" s="295">
        <v>26</v>
      </c>
      <c r="B212" s="437">
        <f>[5]CNKT!B211</f>
        <v>0</v>
      </c>
      <c r="C212" s="438"/>
      <c r="D212" s="462" t="e">
        <f>#REF!</f>
        <v>#REF!</v>
      </c>
      <c r="E212" s="462" t="str">
        <f>[5]CNKT!D211</f>
        <v>CNKT</v>
      </c>
      <c r="F212" s="463" t="e">
        <f>VLOOKUP(D212,#REF!,3,0)</f>
        <v>#REF!</v>
      </c>
      <c r="G212" s="252" t="e">
        <f>VLOOKUP(D212,[5]CNKT!C207:F294,4,0)</f>
        <v>#REF!</v>
      </c>
      <c r="H212" s="252"/>
      <c r="I212" s="252" t="s">
        <v>120</v>
      </c>
      <c r="J212" s="252"/>
      <c r="K212" s="252"/>
      <c r="L212" s="252" t="e">
        <f>VLOOKUP(D212,#REF!,8,0)</f>
        <v>#REF!</v>
      </c>
      <c r="M212" s="252" t="e">
        <f t="shared" si="14"/>
        <v>#REF!</v>
      </c>
      <c r="N212" s="252" t="e">
        <f>VLOOKUP(D212,#REF!,11,0)</f>
        <v>#REF!</v>
      </c>
      <c r="O212" s="252" t="e">
        <f>VLOOKUP(D212,#REF!,21,0)</f>
        <v>#REF!</v>
      </c>
      <c r="P212" s="252" t="e">
        <f>VLOOKUP(D212,#REF!,22,0)</f>
        <v>#REF!</v>
      </c>
      <c r="Q212" s="252"/>
      <c r="R212" s="252"/>
      <c r="S212" s="252" t="e">
        <f t="shared" si="15"/>
        <v>#REF!</v>
      </c>
      <c r="T212" s="252"/>
      <c r="U212" s="441" t="e">
        <f t="shared" si="16"/>
        <v>#REF!</v>
      </c>
      <c r="V212" s="440"/>
      <c r="W212" s="484" t="e">
        <f t="shared" si="13"/>
        <v>#REF!</v>
      </c>
    </row>
    <row r="213" spans="1:23" s="181" customFormat="1" ht="16.5">
      <c r="A213" s="295">
        <v>27</v>
      </c>
      <c r="B213" s="437">
        <f>[5]CNKT!B212</f>
        <v>0</v>
      </c>
      <c r="C213" s="438"/>
      <c r="D213" s="462" t="e">
        <f>#REF!</f>
        <v>#REF!</v>
      </c>
      <c r="E213" s="462" t="str">
        <f>[5]CNKT!D212</f>
        <v>CNKT</v>
      </c>
      <c r="F213" s="463" t="e">
        <f>VLOOKUP(D213,#REF!,3,0)</f>
        <v>#REF!</v>
      </c>
      <c r="G213" s="252" t="e">
        <f>VLOOKUP(D213,[5]CNKT!C208:F295,4,0)</f>
        <v>#REF!</v>
      </c>
      <c r="H213" s="252"/>
      <c r="I213" s="252" t="s">
        <v>120</v>
      </c>
      <c r="J213" s="252"/>
      <c r="K213" s="252"/>
      <c r="L213" s="252" t="e">
        <f>VLOOKUP(D213,#REF!,8,0)</f>
        <v>#REF!</v>
      </c>
      <c r="M213" s="252" t="e">
        <f t="shared" si="14"/>
        <v>#REF!</v>
      </c>
      <c r="N213" s="252" t="e">
        <f>VLOOKUP(D213,#REF!,11,0)</f>
        <v>#REF!</v>
      </c>
      <c r="O213" s="252" t="e">
        <f>VLOOKUP(D213,#REF!,21,0)</f>
        <v>#REF!</v>
      </c>
      <c r="P213" s="252" t="e">
        <f>VLOOKUP(D213,#REF!,22,0)</f>
        <v>#REF!</v>
      </c>
      <c r="Q213" s="252"/>
      <c r="R213" s="252"/>
      <c r="S213" s="252" t="e">
        <f t="shared" si="15"/>
        <v>#REF!</v>
      </c>
      <c r="T213" s="252"/>
      <c r="U213" s="441" t="e">
        <f t="shared" si="16"/>
        <v>#REF!</v>
      </c>
      <c r="V213" s="440"/>
      <c r="W213" s="484" t="e">
        <f t="shared" si="13"/>
        <v>#REF!</v>
      </c>
    </row>
    <row r="214" spans="1:23" s="181" customFormat="1" ht="16.5">
      <c r="A214" s="295">
        <v>28</v>
      </c>
      <c r="B214" s="437">
        <f>[5]CNKT!B213</f>
        <v>0</v>
      </c>
      <c r="C214" s="438"/>
      <c r="D214" s="462" t="e">
        <f>#REF!</f>
        <v>#REF!</v>
      </c>
      <c r="E214" s="462" t="str">
        <f>[5]CNKT!D213</f>
        <v>CNKT</v>
      </c>
      <c r="F214" s="463" t="e">
        <f>VLOOKUP(D214,#REF!,3,0)</f>
        <v>#REF!</v>
      </c>
      <c r="G214" s="252" t="e">
        <f>VLOOKUP(D214,[5]CNKT!C209:F296,4,0)</f>
        <v>#REF!</v>
      </c>
      <c r="H214" s="252"/>
      <c r="I214" s="252" t="s">
        <v>120</v>
      </c>
      <c r="J214" s="252"/>
      <c r="K214" s="252"/>
      <c r="L214" s="252" t="e">
        <f>VLOOKUP(D214,#REF!,8,0)</f>
        <v>#REF!</v>
      </c>
      <c r="M214" s="252" t="e">
        <f t="shared" si="14"/>
        <v>#REF!</v>
      </c>
      <c r="N214" s="252" t="e">
        <f>VLOOKUP(D214,#REF!,11,0)</f>
        <v>#REF!</v>
      </c>
      <c r="O214" s="252" t="e">
        <f>VLOOKUP(D214,#REF!,21,0)</f>
        <v>#REF!</v>
      </c>
      <c r="P214" s="252" t="e">
        <f>VLOOKUP(D214,#REF!,22,0)</f>
        <v>#REF!</v>
      </c>
      <c r="Q214" s="252"/>
      <c r="R214" s="252"/>
      <c r="S214" s="252" t="e">
        <f t="shared" si="15"/>
        <v>#REF!</v>
      </c>
      <c r="T214" s="252"/>
      <c r="U214" s="441" t="e">
        <f t="shared" si="16"/>
        <v>#REF!</v>
      </c>
      <c r="V214" s="440"/>
      <c r="W214" s="484" t="e">
        <f t="shared" si="13"/>
        <v>#REF!</v>
      </c>
    </row>
    <row r="215" spans="1:23" s="181" customFormat="1" ht="16.5">
      <c r="A215" s="295">
        <v>29</v>
      </c>
      <c r="B215" s="437">
        <f>[5]CNKT!B214</f>
        <v>0</v>
      </c>
      <c r="C215" s="438"/>
      <c r="D215" s="462" t="e">
        <f>#REF!</f>
        <v>#REF!</v>
      </c>
      <c r="E215" s="462" t="str">
        <f>[5]CNKT!D214</f>
        <v>CNKT</v>
      </c>
      <c r="F215" s="463" t="e">
        <f>VLOOKUP(D215,#REF!,3,0)</f>
        <v>#REF!</v>
      </c>
      <c r="G215" s="252" t="e">
        <f>VLOOKUP(D215,[5]CNKT!C210:F297,4,0)</f>
        <v>#REF!</v>
      </c>
      <c r="H215" s="252"/>
      <c r="I215" s="252" t="s">
        <v>120</v>
      </c>
      <c r="J215" s="252"/>
      <c r="K215" s="252"/>
      <c r="L215" s="252" t="e">
        <f>VLOOKUP(D215,#REF!,8,0)</f>
        <v>#REF!</v>
      </c>
      <c r="M215" s="252" t="e">
        <f t="shared" si="14"/>
        <v>#REF!</v>
      </c>
      <c r="N215" s="252" t="e">
        <f>VLOOKUP(D215,#REF!,11,0)</f>
        <v>#REF!</v>
      </c>
      <c r="O215" s="252" t="e">
        <f>VLOOKUP(D215,#REF!,21,0)</f>
        <v>#REF!</v>
      </c>
      <c r="P215" s="252" t="e">
        <f>VLOOKUP(D215,#REF!,22,0)</f>
        <v>#REF!</v>
      </c>
      <c r="Q215" s="252"/>
      <c r="R215" s="252"/>
      <c r="S215" s="252" t="e">
        <f t="shared" si="15"/>
        <v>#REF!</v>
      </c>
      <c r="T215" s="252"/>
      <c r="U215" s="441" t="e">
        <f t="shared" si="16"/>
        <v>#REF!</v>
      </c>
      <c r="V215" s="440"/>
      <c r="W215" s="484" t="e">
        <f t="shared" si="13"/>
        <v>#REF!</v>
      </c>
    </row>
    <row r="216" spans="1:23" s="181" customFormat="1" ht="16.5">
      <c r="A216" s="295">
        <v>30</v>
      </c>
      <c r="B216" s="437">
        <f>[5]CNKT!B215</f>
        <v>0</v>
      </c>
      <c r="C216" s="438"/>
      <c r="D216" s="462" t="e">
        <f>#REF!</f>
        <v>#REF!</v>
      </c>
      <c r="E216" s="462" t="str">
        <f>[5]CNKT!D215</f>
        <v>CNKT</v>
      </c>
      <c r="F216" s="463" t="e">
        <f>VLOOKUP(D216,#REF!,3,0)</f>
        <v>#REF!</v>
      </c>
      <c r="G216" s="252" t="e">
        <f>VLOOKUP(D216,[5]CNKT!C211:F298,4,0)</f>
        <v>#REF!</v>
      </c>
      <c r="H216" s="252"/>
      <c r="I216" s="252" t="s">
        <v>120</v>
      </c>
      <c r="J216" s="252"/>
      <c r="K216" s="252"/>
      <c r="L216" s="252" t="e">
        <f>VLOOKUP(D216,#REF!,8,0)</f>
        <v>#REF!</v>
      </c>
      <c r="M216" s="252" t="e">
        <f t="shared" si="14"/>
        <v>#REF!</v>
      </c>
      <c r="N216" s="252" t="e">
        <f>VLOOKUP(D216,#REF!,11,0)</f>
        <v>#REF!</v>
      </c>
      <c r="O216" s="252" t="e">
        <f>VLOOKUP(D216,#REF!,21,0)</f>
        <v>#REF!</v>
      </c>
      <c r="P216" s="252" t="e">
        <f>VLOOKUP(D216,#REF!,22,0)</f>
        <v>#REF!</v>
      </c>
      <c r="Q216" s="252"/>
      <c r="R216" s="252"/>
      <c r="S216" s="252" t="e">
        <f t="shared" si="15"/>
        <v>#REF!</v>
      </c>
      <c r="T216" s="252"/>
      <c r="U216" s="441" t="e">
        <f t="shared" si="16"/>
        <v>#REF!</v>
      </c>
      <c r="V216" s="440"/>
      <c r="W216" s="484" t="e">
        <f t="shared" si="13"/>
        <v>#REF!</v>
      </c>
    </row>
    <row r="217" spans="1:23" s="181" customFormat="1" ht="16.5">
      <c r="A217" s="295">
        <v>31</v>
      </c>
      <c r="B217" s="437">
        <f>[5]CNKT!B216</f>
        <v>0</v>
      </c>
      <c r="C217" s="438"/>
      <c r="D217" s="462" t="e">
        <f>#REF!</f>
        <v>#REF!</v>
      </c>
      <c r="E217" s="462" t="str">
        <f>[5]CNKT!D216</f>
        <v>CNKT</v>
      </c>
      <c r="F217" s="463" t="e">
        <f>VLOOKUP(D217,#REF!,3,0)</f>
        <v>#REF!</v>
      </c>
      <c r="G217" s="252" t="e">
        <f>VLOOKUP(D217,[5]CNKT!C212:F299,4,0)</f>
        <v>#REF!</v>
      </c>
      <c r="H217" s="252"/>
      <c r="I217" s="252" t="s">
        <v>120</v>
      </c>
      <c r="J217" s="252"/>
      <c r="K217" s="252"/>
      <c r="L217" s="252" t="e">
        <f>VLOOKUP(D217,#REF!,8,0)</f>
        <v>#REF!</v>
      </c>
      <c r="M217" s="252" t="e">
        <f t="shared" si="14"/>
        <v>#REF!</v>
      </c>
      <c r="N217" s="252" t="e">
        <f>VLOOKUP(D217,#REF!,11,0)</f>
        <v>#REF!</v>
      </c>
      <c r="O217" s="252" t="e">
        <f>VLOOKUP(D217,#REF!,21,0)</f>
        <v>#REF!</v>
      </c>
      <c r="P217" s="252" t="e">
        <f>VLOOKUP(D217,#REF!,22,0)</f>
        <v>#REF!</v>
      </c>
      <c r="Q217" s="252"/>
      <c r="R217" s="252"/>
      <c r="S217" s="252" t="e">
        <f t="shared" si="15"/>
        <v>#REF!</v>
      </c>
      <c r="T217" s="252"/>
      <c r="U217" s="441" t="e">
        <f t="shared" si="16"/>
        <v>#REF!</v>
      </c>
      <c r="V217" s="440"/>
      <c r="W217" s="484" t="e">
        <f t="shared" si="13"/>
        <v>#REF!</v>
      </c>
    </row>
    <row r="218" spans="1:23" s="181" customFormat="1" ht="16.5">
      <c r="A218" s="295">
        <v>32</v>
      </c>
      <c r="B218" s="437">
        <f>[5]CNKT!B217</f>
        <v>0</v>
      </c>
      <c r="C218" s="438"/>
      <c r="D218" s="462" t="e">
        <f>#REF!</f>
        <v>#REF!</v>
      </c>
      <c r="E218" s="462" t="str">
        <f>[5]CNKT!D217</f>
        <v>CNKT</v>
      </c>
      <c r="F218" s="463" t="e">
        <f>VLOOKUP(D218,#REF!,3,0)</f>
        <v>#REF!</v>
      </c>
      <c r="G218" s="252" t="e">
        <f>VLOOKUP(D218,[5]CNKT!C213:F300,4,0)</f>
        <v>#REF!</v>
      </c>
      <c r="H218" s="252"/>
      <c r="I218" s="252" t="s">
        <v>120</v>
      </c>
      <c r="J218" s="252"/>
      <c r="K218" s="252"/>
      <c r="L218" s="252" t="e">
        <f>VLOOKUP(D218,#REF!,8,0)</f>
        <v>#REF!</v>
      </c>
      <c r="M218" s="252" t="e">
        <f t="shared" si="14"/>
        <v>#REF!</v>
      </c>
      <c r="N218" s="252" t="e">
        <f>VLOOKUP(D218,#REF!,11,0)</f>
        <v>#REF!</v>
      </c>
      <c r="O218" s="252" t="e">
        <f>VLOOKUP(D218,#REF!,21,0)</f>
        <v>#REF!</v>
      </c>
      <c r="P218" s="252" t="e">
        <f>VLOOKUP(D218,#REF!,22,0)</f>
        <v>#REF!</v>
      </c>
      <c r="Q218" s="252"/>
      <c r="R218" s="252"/>
      <c r="S218" s="252" t="e">
        <f t="shared" si="15"/>
        <v>#REF!</v>
      </c>
      <c r="T218" s="252"/>
      <c r="U218" s="441" t="e">
        <f t="shared" si="16"/>
        <v>#REF!</v>
      </c>
      <c r="V218" s="440"/>
      <c r="W218" s="484" t="e">
        <f t="shared" si="13"/>
        <v>#REF!</v>
      </c>
    </row>
    <row r="219" spans="1:23" s="181" customFormat="1" ht="16.5">
      <c r="A219" s="295">
        <v>33</v>
      </c>
      <c r="B219" s="437">
        <f>[5]CNKT!B218</f>
        <v>0</v>
      </c>
      <c r="C219" s="438"/>
      <c r="D219" s="462" t="e">
        <f>#REF!</f>
        <v>#REF!</v>
      </c>
      <c r="E219" s="462" t="str">
        <f>[5]CNKT!D218</f>
        <v>CNKT</v>
      </c>
      <c r="F219" s="463" t="e">
        <f>VLOOKUP(D219,#REF!,3,0)</f>
        <v>#REF!</v>
      </c>
      <c r="G219" s="252" t="e">
        <f>VLOOKUP(D219,[5]CNKT!C214:F301,4,0)</f>
        <v>#REF!</v>
      </c>
      <c r="H219" s="252"/>
      <c r="I219" s="252" t="s">
        <v>120</v>
      </c>
      <c r="J219" s="252"/>
      <c r="K219" s="252"/>
      <c r="L219" s="252" t="e">
        <f>VLOOKUP(D219,#REF!,8,0)</f>
        <v>#REF!</v>
      </c>
      <c r="M219" s="252" t="e">
        <f t="shared" si="14"/>
        <v>#REF!</v>
      </c>
      <c r="N219" s="252" t="e">
        <f>VLOOKUP(D219,#REF!,11,0)</f>
        <v>#REF!</v>
      </c>
      <c r="O219" s="252" t="e">
        <f>VLOOKUP(D219,#REF!,21,0)</f>
        <v>#REF!</v>
      </c>
      <c r="P219" s="252" t="e">
        <f>VLOOKUP(D219,#REF!,22,0)</f>
        <v>#REF!</v>
      </c>
      <c r="Q219" s="252"/>
      <c r="R219" s="252"/>
      <c r="S219" s="252" t="e">
        <f t="shared" si="15"/>
        <v>#REF!</v>
      </c>
      <c r="T219" s="252"/>
      <c r="U219" s="441" t="e">
        <f t="shared" si="16"/>
        <v>#REF!</v>
      </c>
      <c r="V219" s="440"/>
      <c r="W219" s="484" t="e">
        <f t="shared" si="13"/>
        <v>#REF!</v>
      </c>
    </row>
    <row r="220" spans="1:23" s="181" customFormat="1" ht="16.5">
      <c r="A220" s="295">
        <v>34</v>
      </c>
      <c r="B220" s="437">
        <f>[5]CNKT!B219</f>
        <v>0</v>
      </c>
      <c r="C220" s="438"/>
      <c r="D220" s="462" t="e">
        <f>#REF!</f>
        <v>#REF!</v>
      </c>
      <c r="E220" s="462" t="str">
        <f>[5]CNKT!D219</f>
        <v>CNKT</v>
      </c>
      <c r="F220" s="463" t="e">
        <f>VLOOKUP(D220,#REF!,3,0)</f>
        <v>#REF!</v>
      </c>
      <c r="G220" s="252" t="e">
        <f>VLOOKUP(D220,[5]CNKT!C215:F302,4,0)</f>
        <v>#REF!</v>
      </c>
      <c r="H220" s="252"/>
      <c r="I220" s="252" t="s">
        <v>120</v>
      </c>
      <c r="J220" s="252"/>
      <c r="K220" s="252"/>
      <c r="L220" s="252" t="e">
        <f>VLOOKUP(D220,#REF!,8,0)</f>
        <v>#REF!</v>
      </c>
      <c r="M220" s="252" t="e">
        <f t="shared" si="14"/>
        <v>#REF!</v>
      </c>
      <c r="N220" s="252" t="e">
        <f>VLOOKUP(D220,#REF!,11,0)</f>
        <v>#REF!</v>
      </c>
      <c r="O220" s="252" t="e">
        <f>VLOOKUP(D220,#REF!,21,0)</f>
        <v>#REF!</v>
      </c>
      <c r="P220" s="252" t="e">
        <f>VLOOKUP(D220,#REF!,22,0)</f>
        <v>#REF!</v>
      </c>
      <c r="Q220" s="252"/>
      <c r="R220" s="252"/>
      <c r="S220" s="252" t="e">
        <f t="shared" si="15"/>
        <v>#REF!</v>
      </c>
      <c r="T220" s="252"/>
      <c r="U220" s="441" t="e">
        <f t="shared" si="16"/>
        <v>#REF!</v>
      </c>
      <c r="V220" s="440"/>
      <c r="W220" s="484" t="e">
        <f t="shared" si="13"/>
        <v>#REF!</v>
      </c>
    </row>
    <row r="221" spans="1:23" s="181" customFormat="1" ht="16.5">
      <c r="A221" s="295">
        <v>35</v>
      </c>
      <c r="B221" s="437">
        <f>[5]CNKT!B220</f>
        <v>0</v>
      </c>
      <c r="C221" s="438"/>
      <c r="D221" s="462" t="e">
        <f>#REF!</f>
        <v>#REF!</v>
      </c>
      <c r="E221" s="462" t="str">
        <f>[5]CNKT!D220</f>
        <v>CNKT</v>
      </c>
      <c r="F221" s="463" t="e">
        <f>VLOOKUP(D221,#REF!,3,0)</f>
        <v>#REF!</v>
      </c>
      <c r="G221" s="252" t="e">
        <f>VLOOKUP(D221,[5]CNKT!C216:F303,4,0)</f>
        <v>#REF!</v>
      </c>
      <c r="H221" s="252"/>
      <c r="I221" s="252" t="s">
        <v>120</v>
      </c>
      <c r="J221" s="252"/>
      <c r="K221" s="252"/>
      <c r="L221" s="252" t="e">
        <f>VLOOKUP(D221,#REF!,8,0)</f>
        <v>#REF!</v>
      </c>
      <c r="M221" s="252" t="e">
        <f t="shared" si="14"/>
        <v>#REF!</v>
      </c>
      <c r="N221" s="252" t="e">
        <f>VLOOKUP(D221,#REF!,11,0)</f>
        <v>#REF!</v>
      </c>
      <c r="O221" s="252" t="e">
        <f>VLOOKUP(D221,#REF!,21,0)</f>
        <v>#REF!</v>
      </c>
      <c r="P221" s="252" t="e">
        <f>VLOOKUP(D221,#REF!,22,0)</f>
        <v>#REF!</v>
      </c>
      <c r="Q221" s="252"/>
      <c r="R221" s="252"/>
      <c r="S221" s="252" t="e">
        <f t="shared" si="15"/>
        <v>#REF!</v>
      </c>
      <c r="T221" s="252"/>
      <c r="U221" s="441" t="e">
        <f t="shared" si="16"/>
        <v>#REF!</v>
      </c>
      <c r="V221" s="440"/>
      <c r="W221" s="484" t="e">
        <f t="shared" si="13"/>
        <v>#REF!</v>
      </c>
    </row>
    <row r="222" spans="1:23" s="181" customFormat="1" ht="16.5">
      <c r="A222" s="295">
        <v>36</v>
      </c>
      <c r="B222" s="437">
        <f>[5]CNKT!B221</f>
        <v>0</v>
      </c>
      <c r="C222" s="438"/>
      <c r="D222" s="462" t="e">
        <f>#REF!</f>
        <v>#REF!</v>
      </c>
      <c r="E222" s="462" t="str">
        <f>[5]CNKT!D221</f>
        <v>CNKT</v>
      </c>
      <c r="F222" s="463" t="e">
        <f>VLOOKUP(D222,#REF!,3,0)</f>
        <v>#REF!</v>
      </c>
      <c r="G222" s="252" t="e">
        <f>VLOOKUP(D222,[5]CNKT!C217:F304,4,0)</f>
        <v>#REF!</v>
      </c>
      <c r="H222" s="252"/>
      <c r="I222" s="252" t="s">
        <v>120</v>
      </c>
      <c r="J222" s="252"/>
      <c r="K222" s="252"/>
      <c r="L222" s="252" t="e">
        <f>VLOOKUP(D222,#REF!,8,0)</f>
        <v>#REF!</v>
      </c>
      <c r="M222" s="252" t="e">
        <f t="shared" si="14"/>
        <v>#REF!</v>
      </c>
      <c r="N222" s="252" t="e">
        <f>VLOOKUP(D222,#REF!,11,0)</f>
        <v>#REF!</v>
      </c>
      <c r="O222" s="252" t="e">
        <f>VLOOKUP(D222,#REF!,21,0)</f>
        <v>#REF!</v>
      </c>
      <c r="P222" s="252" t="e">
        <f>VLOOKUP(D222,#REF!,22,0)</f>
        <v>#REF!</v>
      </c>
      <c r="Q222" s="252"/>
      <c r="R222" s="252"/>
      <c r="S222" s="252" t="e">
        <f t="shared" si="15"/>
        <v>#REF!</v>
      </c>
      <c r="T222" s="252"/>
      <c r="U222" s="441" t="e">
        <f t="shared" si="16"/>
        <v>#REF!</v>
      </c>
      <c r="V222" s="440"/>
      <c r="W222" s="484" t="e">
        <f t="shared" si="13"/>
        <v>#REF!</v>
      </c>
    </row>
    <row r="223" spans="1:23" s="181" customFormat="1" ht="16.5">
      <c r="A223" s="295">
        <v>37</v>
      </c>
      <c r="B223" s="437">
        <f>[5]CNKT!B222</f>
        <v>0</v>
      </c>
      <c r="C223" s="438"/>
      <c r="D223" s="462" t="e">
        <f>#REF!</f>
        <v>#REF!</v>
      </c>
      <c r="E223" s="462" t="str">
        <f>[5]CNKT!D222</f>
        <v>CNKT</v>
      </c>
      <c r="F223" s="463" t="e">
        <f>VLOOKUP(D223,#REF!,3,0)</f>
        <v>#REF!</v>
      </c>
      <c r="G223" s="252" t="e">
        <f>VLOOKUP(D223,[5]CNKT!C218:F305,4,0)</f>
        <v>#REF!</v>
      </c>
      <c r="H223" s="252"/>
      <c r="I223" s="252" t="s">
        <v>120</v>
      </c>
      <c r="J223" s="252"/>
      <c r="K223" s="252"/>
      <c r="L223" s="252" t="e">
        <f>VLOOKUP(D223,#REF!,8,0)</f>
        <v>#REF!</v>
      </c>
      <c r="M223" s="252" t="e">
        <f t="shared" si="14"/>
        <v>#REF!</v>
      </c>
      <c r="N223" s="252" t="e">
        <f>VLOOKUP(D223,#REF!,11,0)</f>
        <v>#REF!</v>
      </c>
      <c r="O223" s="252" t="e">
        <f>VLOOKUP(D223,#REF!,21,0)</f>
        <v>#REF!</v>
      </c>
      <c r="P223" s="252" t="e">
        <f>VLOOKUP(D223,#REF!,22,0)</f>
        <v>#REF!</v>
      </c>
      <c r="Q223" s="252"/>
      <c r="R223" s="252"/>
      <c r="S223" s="252" t="e">
        <f t="shared" si="15"/>
        <v>#REF!</v>
      </c>
      <c r="T223" s="252"/>
      <c r="U223" s="441" t="e">
        <f t="shared" si="16"/>
        <v>#REF!</v>
      </c>
      <c r="V223" s="440"/>
      <c r="W223" s="484" t="e">
        <f t="shared" si="13"/>
        <v>#REF!</v>
      </c>
    </row>
    <row r="224" spans="1:23" s="181" customFormat="1" ht="16.5">
      <c r="A224" s="295">
        <v>38</v>
      </c>
      <c r="B224" s="437">
        <f>[5]CNKT!B223</f>
        <v>0</v>
      </c>
      <c r="C224" s="438"/>
      <c r="D224" s="462" t="e">
        <f>#REF!</f>
        <v>#REF!</v>
      </c>
      <c r="E224" s="462" t="str">
        <f>[5]CNKT!D223</f>
        <v>CNKT</v>
      </c>
      <c r="F224" s="463" t="e">
        <f>VLOOKUP(D224,#REF!,3,0)</f>
        <v>#REF!</v>
      </c>
      <c r="G224" s="252" t="e">
        <f>VLOOKUP(D224,[5]CNKT!C219:F306,4,0)</f>
        <v>#REF!</v>
      </c>
      <c r="H224" s="252"/>
      <c r="I224" s="252" t="s">
        <v>120</v>
      </c>
      <c r="J224" s="252"/>
      <c r="K224" s="252"/>
      <c r="L224" s="252" t="e">
        <f>VLOOKUP(D224,#REF!,8,0)</f>
        <v>#REF!</v>
      </c>
      <c r="M224" s="252" t="e">
        <f t="shared" si="14"/>
        <v>#REF!</v>
      </c>
      <c r="N224" s="252" t="e">
        <f>VLOOKUP(D224,#REF!,11,0)</f>
        <v>#REF!</v>
      </c>
      <c r="O224" s="252" t="e">
        <f>VLOOKUP(D224,#REF!,21,0)</f>
        <v>#REF!</v>
      </c>
      <c r="P224" s="252" t="e">
        <f>VLOOKUP(D224,#REF!,22,0)</f>
        <v>#REF!</v>
      </c>
      <c r="Q224" s="252"/>
      <c r="R224" s="252"/>
      <c r="S224" s="252" t="e">
        <f t="shared" si="15"/>
        <v>#REF!</v>
      </c>
      <c r="T224" s="252"/>
      <c r="U224" s="441" t="e">
        <f t="shared" si="16"/>
        <v>#REF!</v>
      </c>
      <c r="V224" s="440"/>
      <c r="W224" s="484" t="e">
        <f t="shared" si="13"/>
        <v>#REF!</v>
      </c>
    </row>
    <row r="225" spans="1:23" s="181" customFormat="1" ht="16.5">
      <c r="A225" s="295">
        <v>39</v>
      </c>
      <c r="B225" s="437">
        <f>[5]CNKT!B224</f>
        <v>0</v>
      </c>
      <c r="C225" s="438"/>
      <c r="D225" s="462" t="e">
        <f>#REF!</f>
        <v>#REF!</v>
      </c>
      <c r="E225" s="462" t="str">
        <f>[5]CNKT!D224</f>
        <v>CNKT</v>
      </c>
      <c r="F225" s="463" t="e">
        <f>VLOOKUP(D225,#REF!,3,0)</f>
        <v>#REF!</v>
      </c>
      <c r="G225" s="252" t="e">
        <f>VLOOKUP(D225,[5]CNKT!C220:F307,4,0)</f>
        <v>#REF!</v>
      </c>
      <c r="H225" s="252"/>
      <c r="I225" s="252" t="s">
        <v>120</v>
      </c>
      <c r="J225" s="252"/>
      <c r="K225" s="252"/>
      <c r="L225" s="252" t="e">
        <f>VLOOKUP(D225,#REF!,8,0)</f>
        <v>#REF!</v>
      </c>
      <c r="M225" s="252" t="e">
        <f t="shared" si="14"/>
        <v>#REF!</v>
      </c>
      <c r="N225" s="252" t="e">
        <f>VLOOKUP(D225,#REF!,11,0)</f>
        <v>#REF!</v>
      </c>
      <c r="O225" s="252" t="e">
        <f>VLOOKUP(D225,#REF!,21,0)</f>
        <v>#REF!</v>
      </c>
      <c r="P225" s="252" t="e">
        <f>VLOOKUP(D225,#REF!,22,0)</f>
        <v>#REF!</v>
      </c>
      <c r="Q225" s="252"/>
      <c r="R225" s="252"/>
      <c r="S225" s="252" t="e">
        <f t="shared" si="15"/>
        <v>#REF!</v>
      </c>
      <c r="T225" s="252"/>
      <c r="U225" s="441" t="e">
        <f t="shared" si="16"/>
        <v>#REF!</v>
      </c>
      <c r="V225" s="440"/>
      <c r="W225" s="484" t="e">
        <f t="shared" si="13"/>
        <v>#REF!</v>
      </c>
    </row>
    <row r="226" spans="1:23" s="181" customFormat="1" ht="16.5">
      <c r="A226" s="295">
        <v>40</v>
      </c>
      <c r="B226" s="437">
        <f>[5]CNKT!B225</f>
        <v>0</v>
      </c>
      <c r="C226" s="438"/>
      <c r="D226" s="462" t="e">
        <f>#REF!</f>
        <v>#REF!</v>
      </c>
      <c r="E226" s="462" t="str">
        <f>[5]CNKT!D225</f>
        <v>CNKT</v>
      </c>
      <c r="F226" s="463" t="e">
        <f>VLOOKUP(D226,#REF!,3,0)</f>
        <v>#REF!</v>
      </c>
      <c r="G226" s="252" t="e">
        <f>VLOOKUP(D226,[5]CNKT!C221:F308,4,0)</f>
        <v>#REF!</v>
      </c>
      <c r="H226" s="252"/>
      <c r="I226" s="252" t="s">
        <v>120</v>
      </c>
      <c r="J226" s="252"/>
      <c r="K226" s="252"/>
      <c r="L226" s="252" t="e">
        <f>VLOOKUP(D226,#REF!,8,0)</f>
        <v>#REF!</v>
      </c>
      <c r="M226" s="252" t="e">
        <f t="shared" si="14"/>
        <v>#REF!</v>
      </c>
      <c r="N226" s="252" t="e">
        <f>VLOOKUP(D226,#REF!,11,0)</f>
        <v>#REF!</v>
      </c>
      <c r="O226" s="252" t="e">
        <f>VLOOKUP(D226,#REF!,21,0)</f>
        <v>#REF!</v>
      </c>
      <c r="P226" s="252" t="e">
        <f>VLOOKUP(D226,#REF!,22,0)</f>
        <v>#REF!</v>
      </c>
      <c r="Q226" s="252"/>
      <c r="R226" s="252"/>
      <c r="S226" s="252" t="e">
        <f t="shared" si="15"/>
        <v>#REF!</v>
      </c>
      <c r="T226" s="252"/>
      <c r="U226" s="441" t="e">
        <f t="shared" si="16"/>
        <v>#REF!</v>
      </c>
      <c r="V226" s="440"/>
      <c r="W226" s="484" t="e">
        <f t="shared" si="13"/>
        <v>#REF!</v>
      </c>
    </row>
    <row r="227" spans="1:23" s="181" customFormat="1" ht="16.5">
      <c r="A227" s="295">
        <v>41</v>
      </c>
      <c r="B227" s="437">
        <f>[5]CNKT!B226</f>
        <v>0</v>
      </c>
      <c r="C227" s="438"/>
      <c r="D227" s="462" t="e">
        <f>#REF!</f>
        <v>#REF!</v>
      </c>
      <c r="E227" s="462" t="str">
        <f>[5]CNKT!D226</f>
        <v>CNKT</v>
      </c>
      <c r="F227" s="463" t="e">
        <f>VLOOKUP(D227,#REF!,3,0)</f>
        <v>#REF!</v>
      </c>
      <c r="G227" s="252" t="e">
        <f>VLOOKUP(D227,[5]CNKT!C222:F309,4,0)</f>
        <v>#REF!</v>
      </c>
      <c r="H227" s="252"/>
      <c r="I227" s="252" t="s">
        <v>120</v>
      </c>
      <c r="J227" s="252"/>
      <c r="K227" s="252"/>
      <c r="L227" s="252" t="e">
        <f>VLOOKUP(D227,#REF!,8,0)</f>
        <v>#REF!</v>
      </c>
      <c r="M227" s="252" t="e">
        <f t="shared" si="14"/>
        <v>#REF!</v>
      </c>
      <c r="N227" s="252" t="e">
        <f>VLOOKUP(D227,#REF!,11,0)</f>
        <v>#REF!</v>
      </c>
      <c r="O227" s="252" t="e">
        <f>VLOOKUP(D227,#REF!,21,0)</f>
        <v>#REF!</v>
      </c>
      <c r="P227" s="252" t="e">
        <f>VLOOKUP(D227,#REF!,22,0)</f>
        <v>#REF!</v>
      </c>
      <c r="Q227" s="252"/>
      <c r="R227" s="252"/>
      <c r="S227" s="252" t="e">
        <f t="shared" si="15"/>
        <v>#REF!</v>
      </c>
      <c r="T227" s="252"/>
      <c r="U227" s="441" t="e">
        <f t="shared" si="16"/>
        <v>#REF!</v>
      </c>
      <c r="V227" s="440"/>
      <c r="W227" s="484" t="e">
        <f t="shared" si="13"/>
        <v>#REF!</v>
      </c>
    </row>
    <row r="228" spans="1:23" s="181" customFormat="1" ht="16.5">
      <c r="A228" s="295">
        <v>42</v>
      </c>
      <c r="B228" s="437">
        <f>[5]CNKT!B227</f>
        <v>0</v>
      </c>
      <c r="C228" s="438"/>
      <c r="D228" s="462" t="e">
        <f>#REF!</f>
        <v>#REF!</v>
      </c>
      <c r="E228" s="462" t="str">
        <f>[5]CNKT!D227</f>
        <v>CNKT</v>
      </c>
      <c r="F228" s="463" t="e">
        <f>VLOOKUP(D228,#REF!,3,0)</f>
        <v>#REF!</v>
      </c>
      <c r="G228" s="252" t="e">
        <f>VLOOKUP(D228,[5]CNKT!C223:F310,4,0)</f>
        <v>#REF!</v>
      </c>
      <c r="H228" s="252"/>
      <c r="I228" s="252" t="s">
        <v>120</v>
      </c>
      <c r="J228" s="252"/>
      <c r="K228" s="252"/>
      <c r="L228" s="252" t="e">
        <f>VLOOKUP(D228,#REF!,8,0)</f>
        <v>#REF!</v>
      </c>
      <c r="M228" s="252" t="e">
        <f t="shared" si="14"/>
        <v>#REF!</v>
      </c>
      <c r="N228" s="252" t="e">
        <f>VLOOKUP(D228,#REF!,11,0)</f>
        <v>#REF!</v>
      </c>
      <c r="O228" s="252" t="e">
        <f>VLOOKUP(D228,#REF!,21,0)</f>
        <v>#REF!</v>
      </c>
      <c r="P228" s="252" t="e">
        <f>VLOOKUP(D228,#REF!,22,0)</f>
        <v>#REF!</v>
      </c>
      <c r="Q228" s="252"/>
      <c r="R228" s="252"/>
      <c r="S228" s="252" t="e">
        <f t="shared" si="15"/>
        <v>#REF!</v>
      </c>
      <c r="T228" s="252"/>
      <c r="U228" s="441" t="e">
        <f t="shared" si="16"/>
        <v>#REF!</v>
      </c>
      <c r="V228" s="440"/>
      <c r="W228" s="484" t="e">
        <f t="shared" si="13"/>
        <v>#REF!</v>
      </c>
    </row>
    <row r="229" spans="1:23" s="181" customFormat="1" ht="16.5">
      <c r="A229" s="295">
        <v>43</v>
      </c>
      <c r="B229" s="437">
        <f>[5]CNKT!B228</f>
        <v>0</v>
      </c>
      <c r="C229" s="438"/>
      <c r="D229" s="462" t="e">
        <f>#REF!</f>
        <v>#REF!</v>
      </c>
      <c r="E229" s="462" t="str">
        <f>[5]CNKT!D228</f>
        <v>CNKT</v>
      </c>
      <c r="F229" s="463" t="e">
        <f>VLOOKUP(D229,#REF!,3,0)</f>
        <v>#REF!</v>
      </c>
      <c r="G229" s="252" t="e">
        <f>VLOOKUP(D229,[5]CNKT!C224:F311,4,0)</f>
        <v>#REF!</v>
      </c>
      <c r="H229" s="252"/>
      <c r="I229" s="252" t="s">
        <v>120</v>
      </c>
      <c r="J229" s="252"/>
      <c r="K229" s="252"/>
      <c r="L229" s="252" t="e">
        <f>VLOOKUP(D229,#REF!,8,0)</f>
        <v>#REF!</v>
      </c>
      <c r="M229" s="252" t="e">
        <f t="shared" si="14"/>
        <v>#REF!</v>
      </c>
      <c r="N229" s="252" t="e">
        <f>VLOOKUP(D229,#REF!,11,0)</f>
        <v>#REF!</v>
      </c>
      <c r="O229" s="252" t="e">
        <f>VLOOKUP(D229,#REF!,21,0)</f>
        <v>#REF!</v>
      </c>
      <c r="P229" s="252" t="e">
        <f>VLOOKUP(D229,#REF!,22,0)</f>
        <v>#REF!</v>
      </c>
      <c r="Q229" s="252"/>
      <c r="R229" s="252"/>
      <c r="S229" s="252" t="e">
        <f t="shared" si="15"/>
        <v>#REF!</v>
      </c>
      <c r="T229" s="252"/>
      <c r="U229" s="441" t="e">
        <f t="shared" si="16"/>
        <v>#REF!</v>
      </c>
      <c r="V229" s="440"/>
      <c r="W229" s="484" t="e">
        <f t="shared" si="13"/>
        <v>#REF!</v>
      </c>
    </row>
    <row r="230" spans="1:23" s="181" customFormat="1" ht="16.5">
      <c r="A230" s="295">
        <v>44</v>
      </c>
      <c r="B230" s="437">
        <f>[5]CNKT!B229</f>
        <v>0</v>
      </c>
      <c r="C230" s="438"/>
      <c r="D230" s="462" t="e">
        <f>#REF!</f>
        <v>#REF!</v>
      </c>
      <c r="E230" s="462" t="str">
        <f>[5]CNKT!D229</f>
        <v>CNKT</v>
      </c>
      <c r="F230" s="463" t="e">
        <f>VLOOKUP(D230,#REF!,3,0)</f>
        <v>#REF!</v>
      </c>
      <c r="G230" s="252" t="e">
        <f>VLOOKUP(D230,[5]CNKT!C225:F312,4,0)</f>
        <v>#REF!</v>
      </c>
      <c r="H230" s="252"/>
      <c r="I230" s="252" t="s">
        <v>120</v>
      </c>
      <c r="J230" s="252"/>
      <c r="K230" s="252"/>
      <c r="L230" s="252" t="e">
        <f>VLOOKUP(D230,#REF!,8,0)</f>
        <v>#REF!</v>
      </c>
      <c r="M230" s="252" t="e">
        <f t="shared" si="14"/>
        <v>#REF!</v>
      </c>
      <c r="N230" s="252" t="e">
        <f>VLOOKUP(D230,#REF!,11,0)</f>
        <v>#REF!</v>
      </c>
      <c r="O230" s="252" t="e">
        <f>VLOOKUP(D230,#REF!,21,0)</f>
        <v>#REF!</v>
      </c>
      <c r="P230" s="252" t="e">
        <f>VLOOKUP(D230,#REF!,22,0)</f>
        <v>#REF!</v>
      </c>
      <c r="Q230" s="252"/>
      <c r="R230" s="252"/>
      <c r="S230" s="252" t="e">
        <f t="shared" si="15"/>
        <v>#REF!</v>
      </c>
      <c r="T230" s="252"/>
      <c r="U230" s="441" t="e">
        <f t="shared" si="16"/>
        <v>#REF!</v>
      </c>
      <c r="V230" s="440"/>
      <c r="W230" s="484" t="e">
        <f t="shared" si="13"/>
        <v>#REF!</v>
      </c>
    </row>
    <row r="231" spans="1:23" s="181" customFormat="1" ht="16.5">
      <c r="A231" s="295">
        <v>45</v>
      </c>
      <c r="B231" s="437">
        <f>[5]CNKT!B230</f>
        <v>0</v>
      </c>
      <c r="C231" s="438"/>
      <c r="D231" s="462" t="e">
        <f>#REF!</f>
        <v>#REF!</v>
      </c>
      <c r="E231" s="462" t="str">
        <f>[5]CNKT!D230</f>
        <v>CNKT</v>
      </c>
      <c r="F231" s="463" t="e">
        <f>VLOOKUP(D231,#REF!,3,0)</f>
        <v>#REF!</v>
      </c>
      <c r="G231" s="252" t="e">
        <f>VLOOKUP(D231,[5]CNKT!C226:F313,4,0)</f>
        <v>#REF!</v>
      </c>
      <c r="H231" s="252"/>
      <c r="I231" s="252" t="s">
        <v>120</v>
      </c>
      <c r="J231" s="252"/>
      <c r="K231" s="252"/>
      <c r="L231" s="252" t="e">
        <f>VLOOKUP(D231,#REF!,8,0)</f>
        <v>#REF!</v>
      </c>
      <c r="M231" s="252" t="e">
        <f t="shared" si="14"/>
        <v>#REF!</v>
      </c>
      <c r="N231" s="252" t="e">
        <f>VLOOKUP(D231,#REF!,11,0)</f>
        <v>#REF!</v>
      </c>
      <c r="O231" s="252" t="e">
        <f>VLOOKUP(D231,#REF!,21,0)</f>
        <v>#REF!</v>
      </c>
      <c r="P231" s="252" t="e">
        <f>VLOOKUP(D231,#REF!,22,0)</f>
        <v>#REF!</v>
      </c>
      <c r="Q231" s="252"/>
      <c r="R231" s="252"/>
      <c r="S231" s="252" t="e">
        <f t="shared" si="15"/>
        <v>#REF!</v>
      </c>
      <c r="T231" s="252"/>
      <c r="U231" s="441" t="e">
        <f t="shared" si="16"/>
        <v>#REF!</v>
      </c>
      <c r="V231" s="440"/>
      <c r="W231" s="484" t="e">
        <f t="shared" si="13"/>
        <v>#REF!</v>
      </c>
    </row>
    <row r="232" spans="1:23" s="181" customFormat="1" ht="16.5">
      <c r="A232" s="295">
        <v>46</v>
      </c>
      <c r="B232" s="437">
        <f>[5]CNKT!B231</f>
        <v>0</v>
      </c>
      <c r="C232" s="438"/>
      <c r="D232" s="462" t="e">
        <f>#REF!</f>
        <v>#REF!</v>
      </c>
      <c r="E232" s="462" t="str">
        <f>[5]CNKT!D231</f>
        <v>CNKT</v>
      </c>
      <c r="F232" s="463" t="e">
        <f>VLOOKUP(D232,#REF!,3,0)</f>
        <v>#REF!</v>
      </c>
      <c r="G232" s="252" t="e">
        <f>VLOOKUP(D232,[5]CNKT!C227:F314,4,0)</f>
        <v>#REF!</v>
      </c>
      <c r="H232" s="252"/>
      <c r="I232" s="252" t="s">
        <v>120</v>
      </c>
      <c r="J232" s="252"/>
      <c r="K232" s="252"/>
      <c r="L232" s="252" t="e">
        <f>VLOOKUP(D232,#REF!,8,0)</f>
        <v>#REF!</v>
      </c>
      <c r="M232" s="252" t="e">
        <f t="shared" si="14"/>
        <v>#REF!</v>
      </c>
      <c r="N232" s="252" t="e">
        <f>VLOOKUP(D232,#REF!,11,0)</f>
        <v>#REF!</v>
      </c>
      <c r="O232" s="252" t="e">
        <f>VLOOKUP(D232,#REF!,21,0)</f>
        <v>#REF!</v>
      </c>
      <c r="P232" s="252" t="e">
        <f>VLOOKUP(D232,#REF!,22,0)</f>
        <v>#REF!</v>
      </c>
      <c r="Q232" s="252"/>
      <c r="R232" s="252"/>
      <c r="S232" s="252" t="e">
        <f t="shared" si="15"/>
        <v>#REF!</v>
      </c>
      <c r="T232" s="252"/>
      <c r="U232" s="441" t="e">
        <f t="shared" si="16"/>
        <v>#REF!</v>
      </c>
      <c r="V232" s="440"/>
      <c r="W232" s="484" t="e">
        <f t="shared" si="13"/>
        <v>#REF!</v>
      </c>
    </row>
    <row r="233" spans="1:23" s="181" customFormat="1" ht="16.5">
      <c r="A233" s="295">
        <v>48</v>
      </c>
      <c r="B233" s="437">
        <f>[5]CNKT!B233</f>
        <v>0</v>
      </c>
      <c r="C233" s="438"/>
      <c r="D233" s="462" t="e">
        <f>#REF!</f>
        <v>#REF!</v>
      </c>
      <c r="E233" s="462" t="str">
        <f>[5]CNKT!D233</f>
        <v>CNKT</v>
      </c>
      <c r="F233" s="463" t="e">
        <f>VLOOKUP(D233,#REF!,3,0)</f>
        <v>#REF!</v>
      </c>
      <c r="G233" s="252" t="e">
        <f>VLOOKUP(D233,[5]CNKT!C228:F315,4,0)</f>
        <v>#REF!</v>
      </c>
      <c r="H233" s="252"/>
      <c r="I233" s="252" t="s">
        <v>120</v>
      </c>
      <c r="J233" s="252"/>
      <c r="K233" s="252"/>
      <c r="L233" s="252" t="e">
        <f>VLOOKUP(D233,#REF!,8,0)</f>
        <v>#REF!</v>
      </c>
      <c r="M233" s="252" t="e">
        <f t="shared" si="14"/>
        <v>#REF!</v>
      </c>
      <c r="N233" s="252" t="e">
        <f>VLOOKUP(D233,#REF!,11,0)</f>
        <v>#REF!</v>
      </c>
      <c r="O233" s="252" t="e">
        <f>VLOOKUP(D233,#REF!,21,0)</f>
        <v>#REF!</v>
      </c>
      <c r="P233" s="252" t="e">
        <f>VLOOKUP(D233,#REF!,22,0)</f>
        <v>#REF!</v>
      </c>
      <c r="Q233" s="252"/>
      <c r="R233" s="252"/>
      <c r="S233" s="252" t="e">
        <f t="shared" si="15"/>
        <v>#REF!</v>
      </c>
      <c r="T233" s="252"/>
      <c r="U233" s="441" t="e">
        <f t="shared" si="16"/>
        <v>#REF!</v>
      </c>
      <c r="V233" s="440"/>
      <c r="W233" s="484" t="e">
        <f t="shared" si="13"/>
        <v>#REF!</v>
      </c>
    </row>
    <row r="234" spans="1:23" s="181" customFormat="1" ht="16.5">
      <c r="A234" s="295">
        <v>49</v>
      </c>
      <c r="B234" s="437">
        <f>[5]CNKT!B234</f>
        <v>0</v>
      </c>
      <c r="C234" s="438"/>
      <c r="D234" s="462" t="e">
        <f>#REF!</f>
        <v>#REF!</v>
      </c>
      <c r="E234" s="462" t="str">
        <f>[5]CNKT!D234</f>
        <v>CNKT</v>
      </c>
      <c r="F234" s="463" t="e">
        <f>VLOOKUP(D234,#REF!,3,0)</f>
        <v>#REF!</v>
      </c>
      <c r="G234" s="252" t="e">
        <f>VLOOKUP(D234,[5]CNKT!C229:F316,4,0)</f>
        <v>#REF!</v>
      </c>
      <c r="H234" s="252"/>
      <c r="I234" s="252" t="s">
        <v>120</v>
      </c>
      <c r="J234" s="252"/>
      <c r="K234" s="252"/>
      <c r="L234" s="252" t="e">
        <f>VLOOKUP(D234,#REF!,8,0)</f>
        <v>#REF!</v>
      </c>
      <c r="M234" s="252" t="e">
        <f t="shared" si="14"/>
        <v>#REF!</v>
      </c>
      <c r="N234" s="252" t="e">
        <f>VLOOKUP(D234,#REF!,11,0)</f>
        <v>#REF!</v>
      </c>
      <c r="O234" s="252" t="e">
        <f>VLOOKUP(D234,#REF!,21,0)</f>
        <v>#REF!</v>
      </c>
      <c r="P234" s="252" t="e">
        <f>VLOOKUP(D234,#REF!,22,0)</f>
        <v>#REF!</v>
      </c>
      <c r="Q234" s="252"/>
      <c r="R234" s="252"/>
      <c r="S234" s="252" t="e">
        <f>ROUND(P234-Q234,0)</f>
        <v>#REF!</v>
      </c>
      <c r="T234" s="252"/>
      <c r="U234" s="441" t="e">
        <f>ROUND(S234-R234,0)</f>
        <v>#REF!</v>
      </c>
      <c r="V234" s="440"/>
      <c r="W234" s="484" t="e">
        <f t="shared" si="13"/>
        <v>#REF!</v>
      </c>
    </row>
    <row r="235" spans="1:23" s="486" customFormat="1" ht="16.5">
      <c r="A235" s="295">
        <v>50</v>
      </c>
      <c r="B235" s="437">
        <f>[5]CNKT!B235</f>
        <v>0</v>
      </c>
      <c r="C235" s="485"/>
      <c r="D235" s="462" t="e">
        <f>#REF!</f>
        <v>#REF!</v>
      </c>
      <c r="E235" s="462" t="str">
        <f>[5]CNKT!D235</f>
        <v>CNKT</v>
      </c>
      <c r="F235" s="463" t="e">
        <f>VLOOKUP(D235,#REF!,3,0)</f>
        <v>#REF!</v>
      </c>
      <c r="G235" s="252" t="e">
        <f>VLOOKUP(D235,[5]CNKT!C230:F317,4,0)</f>
        <v>#REF!</v>
      </c>
      <c r="H235" s="252"/>
      <c r="I235" s="252" t="s">
        <v>120</v>
      </c>
      <c r="J235" s="252"/>
      <c r="K235" s="252"/>
      <c r="L235" s="252" t="e">
        <f>VLOOKUP(D235,#REF!,8,0)</f>
        <v>#REF!</v>
      </c>
      <c r="M235" s="252" t="e">
        <f t="shared" si="14"/>
        <v>#REF!</v>
      </c>
      <c r="N235" s="252" t="e">
        <f>VLOOKUP(D235,#REF!,11,0)</f>
        <v>#REF!</v>
      </c>
      <c r="O235" s="252" t="e">
        <f>VLOOKUP(D235,#REF!,21,0)</f>
        <v>#REF!</v>
      </c>
      <c r="P235" s="252" t="e">
        <f>VLOOKUP(D235,#REF!,22,0)</f>
        <v>#REF!</v>
      </c>
      <c r="Q235" s="252"/>
      <c r="R235" s="252"/>
      <c r="S235" s="252" t="e">
        <f>ROUND(P235-Q235,0)</f>
        <v>#REF!</v>
      </c>
      <c r="T235" s="252"/>
      <c r="U235" s="441" t="e">
        <f>ROUND(S235-R235,0)</f>
        <v>#REF!</v>
      </c>
      <c r="V235" s="440"/>
      <c r="W235" s="484" t="e">
        <f t="shared" si="13"/>
        <v>#REF!</v>
      </c>
    </row>
    <row r="236" spans="1:23" s="486" customFormat="1" ht="16.5">
      <c r="A236" s="295">
        <v>51</v>
      </c>
      <c r="B236" s="437"/>
      <c r="C236" s="485"/>
      <c r="D236" s="462" t="e">
        <f>#REF!</f>
        <v>#REF!</v>
      </c>
      <c r="E236" s="462" t="str">
        <f>[5]CNKT!D236</f>
        <v>CNKT</v>
      </c>
      <c r="F236" s="463" t="e">
        <f>VLOOKUP(D236,#REF!,3,0)</f>
        <v>#REF!</v>
      </c>
      <c r="G236" s="252" t="e">
        <f>VLOOKUP(D236,[5]CNKT!C231:F318,4,0)</f>
        <v>#REF!</v>
      </c>
      <c r="H236" s="252"/>
      <c r="I236" s="252" t="s">
        <v>120</v>
      </c>
      <c r="J236" s="252"/>
      <c r="K236" s="252"/>
      <c r="L236" s="252" t="e">
        <f>VLOOKUP(D236,#REF!,8,0)</f>
        <v>#REF!</v>
      </c>
      <c r="M236" s="252" t="e">
        <f t="shared" si="14"/>
        <v>#REF!</v>
      </c>
      <c r="N236" s="252" t="e">
        <f>VLOOKUP(D236,#REF!,11,0)</f>
        <v>#REF!</v>
      </c>
      <c r="O236" s="252" t="e">
        <f>VLOOKUP(D236,#REF!,21,0)</f>
        <v>#REF!</v>
      </c>
      <c r="P236" s="252" t="e">
        <f>VLOOKUP(D236,#REF!,22,0)</f>
        <v>#REF!</v>
      </c>
      <c r="Q236" s="252"/>
      <c r="R236" s="252"/>
      <c r="S236" s="252" t="e">
        <f t="shared" ref="S236:S244" si="17">ROUND(P236-Q236,0)</f>
        <v>#REF!</v>
      </c>
      <c r="T236" s="252"/>
      <c r="U236" s="441" t="e">
        <f t="shared" ref="U236:U244" si="18">ROUND(S236-R236,0)</f>
        <v>#REF!</v>
      </c>
      <c r="V236" s="440"/>
      <c r="W236" s="484" t="e">
        <f t="shared" si="13"/>
        <v>#REF!</v>
      </c>
    </row>
    <row r="237" spans="1:23" s="486" customFormat="1" ht="16.5">
      <c r="A237" s="295">
        <v>52</v>
      </c>
      <c r="B237" s="437"/>
      <c r="C237" s="485"/>
      <c r="D237" s="462" t="e">
        <f>#REF!</f>
        <v>#REF!</v>
      </c>
      <c r="E237" s="462" t="str">
        <f>[5]CNKT!D237</f>
        <v>CNKT</v>
      </c>
      <c r="F237" s="463" t="e">
        <f>VLOOKUP(D237,#REF!,3,0)</f>
        <v>#REF!</v>
      </c>
      <c r="G237" s="252" t="e">
        <f>VLOOKUP(D237,[5]CNKT!C232:F319,4,0)</f>
        <v>#REF!</v>
      </c>
      <c r="H237" s="252"/>
      <c r="I237" s="252" t="s">
        <v>120</v>
      </c>
      <c r="J237" s="252"/>
      <c r="K237" s="252"/>
      <c r="L237" s="252" t="e">
        <f>VLOOKUP(D237,#REF!,8,0)</f>
        <v>#REF!</v>
      </c>
      <c r="M237" s="252" t="e">
        <f t="shared" si="14"/>
        <v>#REF!</v>
      </c>
      <c r="N237" s="252" t="e">
        <f>VLOOKUP(D237,#REF!,11,0)</f>
        <v>#REF!</v>
      </c>
      <c r="O237" s="252" t="e">
        <f>VLOOKUP(D237,#REF!,21,0)</f>
        <v>#REF!</v>
      </c>
      <c r="P237" s="252" t="e">
        <f>VLOOKUP(D237,#REF!,22,0)</f>
        <v>#REF!</v>
      </c>
      <c r="Q237" s="252"/>
      <c r="R237" s="252"/>
      <c r="S237" s="252" t="e">
        <f t="shared" si="17"/>
        <v>#REF!</v>
      </c>
      <c r="T237" s="252"/>
      <c r="U237" s="441" t="e">
        <f t="shared" si="18"/>
        <v>#REF!</v>
      </c>
      <c r="V237" s="440"/>
      <c r="W237" s="484" t="e">
        <f t="shared" si="13"/>
        <v>#REF!</v>
      </c>
    </row>
    <row r="238" spans="1:23" s="486" customFormat="1" ht="16.5">
      <c r="A238" s="295">
        <v>53</v>
      </c>
      <c r="B238" s="437"/>
      <c r="C238" s="485"/>
      <c r="D238" s="462" t="e">
        <f>#REF!</f>
        <v>#REF!</v>
      </c>
      <c r="E238" s="462" t="str">
        <f>[5]CNKT!D238</f>
        <v>CNKT</v>
      </c>
      <c r="F238" s="463" t="e">
        <f>VLOOKUP(D238,#REF!,3,0)</f>
        <v>#REF!</v>
      </c>
      <c r="G238" s="252" t="e">
        <f>VLOOKUP(D238,[5]CNKT!C233:F320,4,0)</f>
        <v>#REF!</v>
      </c>
      <c r="H238" s="252"/>
      <c r="I238" s="252" t="s">
        <v>120</v>
      </c>
      <c r="J238" s="252"/>
      <c r="K238" s="252"/>
      <c r="L238" s="252" t="e">
        <f>VLOOKUP(D238,#REF!,8,0)</f>
        <v>#REF!</v>
      </c>
      <c r="M238" s="252" t="e">
        <f t="shared" si="14"/>
        <v>#REF!</v>
      </c>
      <c r="N238" s="252" t="e">
        <f>VLOOKUP(D238,#REF!,11,0)</f>
        <v>#REF!</v>
      </c>
      <c r="O238" s="252" t="e">
        <f>VLOOKUP(D238,#REF!,21,0)</f>
        <v>#REF!</v>
      </c>
      <c r="P238" s="252" t="e">
        <f>VLOOKUP(D238,#REF!,22,0)</f>
        <v>#REF!</v>
      </c>
      <c r="Q238" s="252"/>
      <c r="R238" s="252"/>
      <c r="S238" s="252" t="e">
        <f t="shared" si="17"/>
        <v>#REF!</v>
      </c>
      <c r="T238" s="252"/>
      <c r="U238" s="441" t="e">
        <f t="shared" si="18"/>
        <v>#REF!</v>
      </c>
      <c r="V238" s="440"/>
      <c r="W238" s="484" t="e">
        <f t="shared" si="13"/>
        <v>#REF!</v>
      </c>
    </row>
    <row r="239" spans="1:23" s="486" customFormat="1" ht="16.5">
      <c r="A239" s="295">
        <v>54</v>
      </c>
      <c r="B239" s="437"/>
      <c r="C239" s="485"/>
      <c r="D239" s="462" t="e">
        <f>#REF!</f>
        <v>#REF!</v>
      </c>
      <c r="E239" s="462" t="str">
        <f>[5]CNKT!D239</f>
        <v>CNKT</v>
      </c>
      <c r="F239" s="463" t="e">
        <f>VLOOKUP(D239,#REF!,3,0)</f>
        <v>#REF!</v>
      </c>
      <c r="G239" s="252" t="e">
        <f>VLOOKUP(D239,[5]CNKT!C234:F321,4,0)</f>
        <v>#REF!</v>
      </c>
      <c r="H239" s="252"/>
      <c r="I239" s="252" t="s">
        <v>120</v>
      </c>
      <c r="J239" s="252"/>
      <c r="K239" s="252"/>
      <c r="L239" s="252" t="e">
        <f>VLOOKUP(D239,#REF!,8,0)</f>
        <v>#REF!</v>
      </c>
      <c r="M239" s="252" t="e">
        <f t="shared" si="14"/>
        <v>#REF!</v>
      </c>
      <c r="N239" s="252" t="e">
        <f>VLOOKUP(D239,#REF!,11,0)</f>
        <v>#REF!</v>
      </c>
      <c r="O239" s="252" t="e">
        <f>VLOOKUP(D239,#REF!,21,0)</f>
        <v>#REF!</v>
      </c>
      <c r="P239" s="252" t="e">
        <f>VLOOKUP(D239,#REF!,22,0)</f>
        <v>#REF!</v>
      </c>
      <c r="Q239" s="252"/>
      <c r="R239" s="252"/>
      <c r="S239" s="252" t="e">
        <f t="shared" si="17"/>
        <v>#REF!</v>
      </c>
      <c r="T239" s="252"/>
      <c r="U239" s="441" t="e">
        <f t="shared" si="18"/>
        <v>#REF!</v>
      </c>
      <c r="V239" s="440"/>
      <c r="W239" s="484" t="e">
        <f t="shared" si="13"/>
        <v>#REF!</v>
      </c>
    </row>
    <row r="240" spans="1:23" s="486" customFormat="1" ht="16.5">
      <c r="A240" s="295">
        <v>55</v>
      </c>
      <c r="B240" s="437"/>
      <c r="C240" s="485"/>
      <c r="D240" s="462" t="e">
        <f>#REF!</f>
        <v>#REF!</v>
      </c>
      <c r="E240" s="462" t="str">
        <f>[5]CNKT!D240</f>
        <v>CNKT</v>
      </c>
      <c r="F240" s="463" t="e">
        <f>VLOOKUP(D240,#REF!,3,0)</f>
        <v>#REF!</v>
      </c>
      <c r="G240" s="252" t="e">
        <f>VLOOKUP(D240,[5]CNKT!C235:F322,4,0)</f>
        <v>#REF!</v>
      </c>
      <c r="H240" s="252"/>
      <c r="I240" s="252" t="s">
        <v>120</v>
      </c>
      <c r="J240" s="252"/>
      <c r="K240" s="252"/>
      <c r="L240" s="252" t="e">
        <f>VLOOKUP(D240,#REF!,8,0)</f>
        <v>#REF!</v>
      </c>
      <c r="M240" s="252" t="e">
        <f t="shared" si="14"/>
        <v>#REF!</v>
      </c>
      <c r="N240" s="252" t="e">
        <f>VLOOKUP(D240,#REF!,11,0)</f>
        <v>#REF!</v>
      </c>
      <c r="O240" s="252" t="e">
        <f>VLOOKUP(D240,#REF!,21,0)</f>
        <v>#REF!</v>
      </c>
      <c r="P240" s="252" t="e">
        <f>VLOOKUP(D240,#REF!,22,0)</f>
        <v>#REF!</v>
      </c>
      <c r="Q240" s="252"/>
      <c r="R240" s="252"/>
      <c r="S240" s="252" t="e">
        <f t="shared" si="17"/>
        <v>#REF!</v>
      </c>
      <c r="T240" s="252"/>
      <c r="U240" s="441" t="e">
        <f t="shared" si="18"/>
        <v>#REF!</v>
      </c>
      <c r="V240" s="440"/>
      <c r="W240" s="484" t="e">
        <f t="shared" si="13"/>
        <v>#REF!</v>
      </c>
    </row>
    <row r="241" spans="1:25" s="486" customFormat="1" ht="16.5">
      <c r="A241" s="295">
        <v>56</v>
      </c>
      <c r="B241" s="437"/>
      <c r="C241" s="485"/>
      <c r="D241" s="462" t="e">
        <f>#REF!</f>
        <v>#REF!</v>
      </c>
      <c r="E241" s="462" t="str">
        <f>[5]CNKT!D241</f>
        <v>CNKT</v>
      </c>
      <c r="F241" s="463" t="e">
        <f>VLOOKUP(D241,#REF!,3,0)</f>
        <v>#REF!</v>
      </c>
      <c r="G241" s="252" t="e">
        <f>VLOOKUP(D241,[5]CNKT!C236:F323,4,0)</f>
        <v>#REF!</v>
      </c>
      <c r="H241" s="252"/>
      <c r="I241" s="252" t="s">
        <v>120</v>
      </c>
      <c r="J241" s="252"/>
      <c r="K241" s="252"/>
      <c r="L241" s="252" t="e">
        <f>VLOOKUP(D241,#REF!,8,0)</f>
        <v>#REF!</v>
      </c>
      <c r="M241" s="252" t="e">
        <f t="shared" si="14"/>
        <v>#REF!</v>
      </c>
      <c r="N241" s="252" t="e">
        <f>VLOOKUP(D241,#REF!,11,0)</f>
        <v>#REF!</v>
      </c>
      <c r="O241" s="252" t="e">
        <f>VLOOKUP(D241,#REF!,21,0)</f>
        <v>#REF!</v>
      </c>
      <c r="P241" s="252" t="e">
        <f>VLOOKUP(D241,#REF!,22,0)</f>
        <v>#REF!</v>
      </c>
      <c r="Q241" s="252"/>
      <c r="R241" s="252"/>
      <c r="S241" s="252" t="e">
        <f t="shared" si="17"/>
        <v>#REF!</v>
      </c>
      <c r="T241" s="252"/>
      <c r="U241" s="441" t="e">
        <f t="shared" si="18"/>
        <v>#REF!</v>
      </c>
      <c r="V241" s="440"/>
      <c r="W241" s="484" t="e">
        <f t="shared" si="13"/>
        <v>#REF!</v>
      </c>
    </row>
    <row r="242" spans="1:25" s="486" customFormat="1" ht="16.5">
      <c r="A242" s="295">
        <v>57</v>
      </c>
      <c r="B242" s="437"/>
      <c r="C242" s="485"/>
      <c r="D242" s="462" t="e">
        <f>#REF!</f>
        <v>#REF!</v>
      </c>
      <c r="E242" s="462" t="str">
        <f>[5]CNKT!D242</f>
        <v>CNKT</v>
      </c>
      <c r="F242" s="463" t="e">
        <f>VLOOKUP(D242,#REF!,3,0)</f>
        <v>#REF!</v>
      </c>
      <c r="G242" s="252" t="e">
        <f>VLOOKUP(D242,[5]CNKT!C237:F324,4,0)</f>
        <v>#REF!</v>
      </c>
      <c r="H242" s="252"/>
      <c r="I242" s="252" t="s">
        <v>120</v>
      </c>
      <c r="J242" s="252"/>
      <c r="K242" s="252"/>
      <c r="L242" s="252" t="e">
        <f>VLOOKUP(D242,#REF!,8,0)</f>
        <v>#REF!</v>
      </c>
      <c r="M242" s="252" t="e">
        <f t="shared" si="14"/>
        <v>#REF!</v>
      </c>
      <c r="N242" s="252" t="e">
        <f>VLOOKUP(D242,#REF!,11,0)</f>
        <v>#REF!</v>
      </c>
      <c r="O242" s="252" t="e">
        <f>VLOOKUP(D242,#REF!,21,0)</f>
        <v>#REF!</v>
      </c>
      <c r="P242" s="252" t="e">
        <f>VLOOKUP(D242,#REF!,22,0)</f>
        <v>#REF!</v>
      </c>
      <c r="Q242" s="252"/>
      <c r="R242" s="252"/>
      <c r="S242" s="252" t="e">
        <f t="shared" si="17"/>
        <v>#REF!</v>
      </c>
      <c r="T242" s="252"/>
      <c r="U242" s="441" t="e">
        <f t="shared" si="18"/>
        <v>#REF!</v>
      </c>
      <c r="V242" s="440"/>
      <c r="W242" s="484" t="e">
        <f t="shared" si="13"/>
        <v>#REF!</v>
      </c>
    </row>
    <row r="243" spans="1:25" s="486" customFormat="1" ht="16.5">
      <c r="A243" s="295">
        <v>58</v>
      </c>
      <c r="B243" s="437"/>
      <c r="C243" s="485"/>
      <c r="D243" s="462" t="e">
        <f>#REF!</f>
        <v>#REF!</v>
      </c>
      <c r="E243" s="462" t="str">
        <f>[5]CNKT!D243</f>
        <v>CNKT</v>
      </c>
      <c r="F243" s="463" t="e">
        <f>VLOOKUP(D243,#REF!,3,0)</f>
        <v>#REF!</v>
      </c>
      <c r="G243" s="252" t="e">
        <f>VLOOKUP(D243,[5]CNKT!C238:F325,4,0)</f>
        <v>#REF!</v>
      </c>
      <c r="H243" s="252"/>
      <c r="I243" s="252" t="s">
        <v>120</v>
      </c>
      <c r="J243" s="252"/>
      <c r="K243" s="252"/>
      <c r="L243" s="252" t="e">
        <f>VLOOKUP(D243,#REF!,8,0)</f>
        <v>#REF!</v>
      </c>
      <c r="M243" s="252" t="e">
        <f t="shared" si="14"/>
        <v>#REF!</v>
      </c>
      <c r="N243" s="252" t="e">
        <f>VLOOKUP(D243,#REF!,11,0)</f>
        <v>#REF!</v>
      </c>
      <c r="O243" s="252" t="e">
        <f>VLOOKUP(D243,#REF!,21,0)</f>
        <v>#REF!</v>
      </c>
      <c r="P243" s="252" t="e">
        <f>VLOOKUP(D243,#REF!,22,0)</f>
        <v>#REF!</v>
      </c>
      <c r="Q243" s="252"/>
      <c r="R243" s="252"/>
      <c r="S243" s="252" t="e">
        <f t="shared" si="17"/>
        <v>#REF!</v>
      </c>
      <c r="T243" s="252"/>
      <c r="U243" s="441" t="e">
        <f t="shared" si="18"/>
        <v>#REF!</v>
      </c>
      <c r="V243" s="440"/>
      <c r="W243" s="484" t="e">
        <f t="shared" si="13"/>
        <v>#REF!</v>
      </c>
    </row>
    <row r="244" spans="1:25" s="486" customFormat="1" ht="16.5">
      <c r="A244" s="295">
        <v>59</v>
      </c>
      <c r="B244" s="437"/>
      <c r="C244" s="485"/>
      <c r="D244" s="462" t="e">
        <f>#REF!</f>
        <v>#REF!</v>
      </c>
      <c r="E244" s="462" t="str">
        <f>[5]CNKT!D244</f>
        <v>CNKT</v>
      </c>
      <c r="F244" s="463" t="e">
        <f>VLOOKUP(D244,#REF!,3,0)</f>
        <v>#REF!</v>
      </c>
      <c r="G244" s="252" t="e">
        <f>VLOOKUP(D244,[5]CNKT!C239:F326,4,0)</f>
        <v>#REF!</v>
      </c>
      <c r="H244" s="252"/>
      <c r="I244" s="252" t="s">
        <v>120</v>
      </c>
      <c r="J244" s="252"/>
      <c r="K244" s="252"/>
      <c r="L244" s="252" t="e">
        <f>VLOOKUP(D244,#REF!,8,0)</f>
        <v>#REF!</v>
      </c>
      <c r="M244" s="252" t="e">
        <f t="shared" si="14"/>
        <v>#REF!</v>
      </c>
      <c r="N244" s="252" t="e">
        <f>VLOOKUP(D244,#REF!,11,0)</f>
        <v>#REF!</v>
      </c>
      <c r="O244" s="252" t="e">
        <f>VLOOKUP(D244,#REF!,21,0)</f>
        <v>#REF!</v>
      </c>
      <c r="P244" s="252" t="e">
        <f>VLOOKUP(D244,#REF!,22,0)</f>
        <v>#REF!</v>
      </c>
      <c r="Q244" s="252"/>
      <c r="R244" s="252"/>
      <c r="S244" s="252" t="e">
        <f t="shared" si="17"/>
        <v>#REF!</v>
      </c>
      <c r="T244" s="252"/>
      <c r="U244" s="441" t="e">
        <f t="shared" si="18"/>
        <v>#REF!</v>
      </c>
      <c r="V244" s="440"/>
      <c r="W244" s="484" t="e">
        <f t="shared" si="13"/>
        <v>#REF!</v>
      </c>
    </row>
    <row r="245" spans="1:25" s="486" customFormat="1" ht="16.5">
      <c r="A245" s="295">
        <v>60</v>
      </c>
      <c r="B245" s="437"/>
      <c r="C245" s="485"/>
      <c r="D245" s="462" t="e">
        <f>#REF!</f>
        <v>#REF!</v>
      </c>
      <c r="E245" s="462" t="str">
        <f>[5]CNKT!D245</f>
        <v>CNKT</v>
      </c>
      <c r="F245" s="463" t="e">
        <f>VLOOKUP(D245,#REF!,3,0)</f>
        <v>#REF!</v>
      </c>
      <c r="G245" s="252" t="e">
        <f>VLOOKUP(D245,[5]CNKT!C240:F327,4,0)</f>
        <v>#REF!</v>
      </c>
      <c r="H245" s="252"/>
      <c r="I245" s="252" t="s">
        <v>120</v>
      </c>
      <c r="J245" s="252"/>
      <c r="K245" s="252"/>
      <c r="L245" s="252" t="e">
        <f>VLOOKUP(D245,#REF!,8,0)</f>
        <v>#REF!</v>
      </c>
      <c r="M245" s="252" t="e">
        <f t="shared" si="14"/>
        <v>#REF!</v>
      </c>
      <c r="N245" s="252" t="e">
        <f>VLOOKUP(D245,#REF!,11,0)</f>
        <v>#REF!</v>
      </c>
      <c r="O245" s="252" t="e">
        <f>VLOOKUP(D245,#REF!,21,0)</f>
        <v>#REF!</v>
      </c>
      <c r="P245" s="252" t="e">
        <f>VLOOKUP(D245,#REF!,22,0)</f>
        <v>#REF!</v>
      </c>
      <c r="Q245" s="252"/>
      <c r="R245" s="252"/>
      <c r="S245" s="252" t="e">
        <f>ROUND(P245-Q245,0)</f>
        <v>#REF!</v>
      </c>
      <c r="T245" s="252"/>
      <c r="U245" s="441" t="e">
        <f>ROUND(S245-R245,0)</f>
        <v>#REF!</v>
      </c>
      <c r="V245" s="440"/>
      <c r="W245" s="484" t="e">
        <f t="shared" si="13"/>
        <v>#REF!</v>
      </c>
    </row>
    <row r="246" spans="1:25" s="488" customFormat="1" ht="16.5">
      <c r="A246" s="295">
        <v>62</v>
      </c>
      <c r="B246" s="443"/>
      <c r="C246" s="444"/>
      <c r="D246" s="462" t="e">
        <f>#REF!</f>
        <v>#REF!</v>
      </c>
      <c r="E246" s="468" t="str">
        <f>[5]CNKT!D247</f>
        <v>CNK</v>
      </c>
      <c r="F246" s="463" t="e">
        <f>VLOOKUP(D246,#REF!,3,0)</f>
        <v>#REF!</v>
      </c>
      <c r="G246" s="252" t="e">
        <f>VLOOKUP(D246,[5]CNKT!C241:F328,4,0)</f>
        <v>#REF!</v>
      </c>
      <c r="H246" s="252"/>
      <c r="I246" s="252" t="s">
        <v>120</v>
      </c>
      <c r="J246" s="252"/>
      <c r="K246" s="252"/>
      <c r="L246" s="252" t="e">
        <f>VLOOKUP(D246,#REF!,8,0)</f>
        <v>#REF!</v>
      </c>
      <c r="M246" s="252" t="e">
        <f t="shared" si="14"/>
        <v>#REF!</v>
      </c>
      <c r="N246" s="252" t="e">
        <f>VLOOKUP(D246,#REF!,11,0)</f>
        <v>#REF!</v>
      </c>
      <c r="O246" s="252" t="e">
        <f>VLOOKUP(D246,#REF!,21,0)</f>
        <v>#REF!</v>
      </c>
      <c r="P246" s="252" t="e">
        <f>VLOOKUP(D246,#REF!,22,0)</f>
        <v>#REF!</v>
      </c>
      <c r="Q246" s="446"/>
      <c r="R246" s="446"/>
      <c r="S246" s="446" t="e">
        <f>ROUND(P246-Q246,0)</f>
        <v>#REF!</v>
      </c>
      <c r="T246" s="446"/>
      <c r="U246" s="447" t="e">
        <f>ROUND(S246-R246,0)</f>
        <v>#REF!</v>
      </c>
      <c r="V246" s="469"/>
      <c r="W246" s="487" t="e">
        <f t="shared" si="13"/>
        <v>#REF!</v>
      </c>
    </row>
    <row r="247" spans="1:25" s="488" customFormat="1" ht="16.5">
      <c r="A247" s="295">
        <v>63</v>
      </c>
      <c r="B247" s="449"/>
      <c r="C247" s="450"/>
      <c r="D247" s="462" t="e">
        <f>#REF!</f>
        <v>#REF!</v>
      </c>
      <c r="E247" s="473" t="str">
        <f>[5]CNKT!D248</f>
        <v>CNK</v>
      </c>
      <c r="F247" s="463" t="e">
        <f>VLOOKUP(D247,#REF!,3,0)</f>
        <v>#REF!</v>
      </c>
      <c r="G247" s="252"/>
      <c r="H247" s="252"/>
      <c r="I247" s="252" t="s">
        <v>120</v>
      </c>
      <c r="J247" s="252"/>
      <c r="K247" s="252"/>
      <c r="L247" s="252" t="e">
        <f>VLOOKUP(D247,#REF!,8,0)</f>
        <v>#REF!</v>
      </c>
      <c r="M247" s="252" t="e">
        <f t="shared" si="14"/>
        <v>#REF!</v>
      </c>
      <c r="N247" s="252" t="e">
        <f>VLOOKUP(D247,#REF!,11,0)</f>
        <v>#REF!</v>
      </c>
      <c r="O247" s="252" t="e">
        <f>VLOOKUP(D247,#REF!,21,0)</f>
        <v>#REF!</v>
      </c>
      <c r="P247" s="252" t="e">
        <f>VLOOKUP(D247,#REF!,22,0)</f>
        <v>#REF!</v>
      </c>
      <c r="Q247" s="452"/>
      <c r="R247" s="452"/>
      <c r="S247" s="452" t="e">
        <f>ROUND(P247-Q247,0)</f>
        <v>#REF!</v>
      </c>
      <c r="T247" s="452"/>
      <c r="U247" s="453" t="e">
        <f>ROUND(S247-R247,0)</f>
        <v>#REF!</v>
      </c>
      <c r="V247" s="475"/>
      <c r="W247" s="489" t="e">
        <f>D247</f>
        <v>#REF!</v>
      </c>
    </row>
    <row r="248" spans="1:25" s="488" customFormat="1" ht="16.5">
      <c r="A248" s="151"/>
      <c r="B248" s="560"/>
      <c r="C248" s="552"/>
      <c r="D248" s="462" t="e">
        <f>#REF!</f>
        <v>#REF!</v>
      </c>
      <c r="E248" s="553"/>
      <c r="F248" s="463" t="e">
        <f>VLOOKUP(D248,#REF!,3,0)</f>
        <v>#REF!</v>
      </c>
      <c r="G248" s="252" t="e">
        <f>VLOOKUP(D248,[5]CNKT!C243:F330,4,0)</f>
        <v>#REF!</v>
      </c>
      <c r="H248" s="252"/>
      <c r="I248" s="252" t="s">
        <v>120</v>
      </c>
      <c r="J248" s="252"/>
      <c r="K248" s="252"/>
      <c r="L248" s="252" t="e">
        <f>VLOOKUP(D248,#REF!,8,0)</f>
        <v>#REF!</v>
      </c>
      <c r="M248" s="252" t="e">
        <f t="shared" si="14"/>
        <v>#REF!</v>
      </c>
      <c r="N248" s="252" t="e">
        <f>VLOOKUP(D248,#REF!,11,0)</f>
        <v>#REF!</v>
      </c>
      <c r="O248" s="252" t="e">
        <f>VLOOKUP(D248,#REF!,21,0)</f>
        <v>#REF!</v>
      </c>
      <c r="P248" s="252" t="e">
        <f>VLOOKUP(D248,#REF!,22,0)</f>
        <v>#REF!</v>
      </c>
      <c r="Q248" s="555"/>
      <c r="R248" s="555"/>
      <c r="S248" s="452" t="e">
        <f t="shared" ref="S248:S249" si="19">ROUND(P248-Q248,0)</f>
        <v>#REF!</v>
      </c>
      <c r="T248" s="452"/>
      <c r="U248" s="453" t="e">
        <f t="shared" ref="U248:U249" si="20">ROUND(S248-R248,0)</f>
        <v>#REF!</v>
      </c>
      <c r="V248" s="558"/>
      <c r="W248" s="561"/>
    </row>
    <row r="249" spans="1:25" s="488" customFormat="1" ht="16.5">
      <c r="A249" s="151"/>
      <c r="B249" s="560"/>
      <c r="C249" s="552"/>
      <c r="D249" s="462" t="e">
        <f>#REF!</f>
        <v>#REF!</v>
      </c>
      <c r="E249" s="553"/>
      <c r="F249" s="463" t="e">
        <f>VLOOKUP(D249,#REF!,3,0)</f>
        <v>#REF!</v>
      </c>
      <c r="G249" s="252" t="e">
        <f>VLOOKUP(D249,[5]CNKT!C244:F331,4,0)</f>
        <v>#REF!</v>
      </c>
      <c r="H249" s="252"/>
      <c r="I249" s="252" t="s">
        <v>120</v>
      </c>
      <c r="J249" s="252"/>
      <c r="K249" s="252"/>
      <c r="L249" s="252" t="e">
        <f>VLOOKUP(D249,#REF!,8,0)</f>
        <v>#REF!</v>
      </c>
      <c r="M249" s="252" t="e">
        <f t="shared" si="14"/>
        <v>#REF!</v>
      </c>
      <c r="N249" s="252" t="e">
        <f>VLOOKUP(D249,#REF!,11,0)</f>
        <v>#REF!</v>
      </c>
      <c r="O249" s="252" t="e">
        <f>VLOOKUP(D249,#REF!,21,0)</f>
        <v>#REF!</v>
      </c>
      <c r="P249" s="252" t="e">
        <f>VLOOKUP(D249,#REF!,22,0)</f>
        <v>#REF!</v>
      </c>
      <c r="Q249" s="555"/>
      <c r="R249" s="555"/>
      <c r="S249" s="452" t="e">
        <f t="shared" si="19"/>
        <v>#REF!</v>
      </c>
      <c r="T249" s="452"/>
      <c r="U249" s="453" t="e">
        <f t="shared" si="20"/>
        <v>#REF!</v>
      </c>
      <c r="V249" s="558"/>
      <c r="W249" s="561"/>
    </row>
    <row r="250" spans="1:25" s="180" customFormat="1" ht="14.25">
      <c r="A250" s="1891" t="s">
        <v>587</v>
      </c>
      <c r="B250" s="1891"/>
      <c r="C250" s="1891"/>
      <c r="D250" s="1891"/>
      <c r="E250" s="1891"/>
      <c r="F250" s="184" t="e">
        <f t="shared" ref="F250:U250" si="21">SUM(F187:F249)</f>
        <v>#REF!</v>
      </c>
      <c r="G250" s="184" t="e">
        <f t="shared" si="21"/>
        <v>#REF!</v>
      </c>
      <c r="H250" s="184">
        <f t="shared" si="21"/>
        <v>0</v>
      </c>
      <c r="I250" s="184">
        <f t="shared" si="21"/>
        <v>0</v>
      </c>
      <c r="J250" s="184" t="e">
        <f t="shared" si="21"/>
        <v>#REF!</v>
      </c>
      <c r="K250" s="184" t="e">
        <f t="shared" si="21"/>
        <v>#REF!</v>
      </c>
      <c r="L250" s="184" t="e">
        <f t="shared" si="21"/>
        <v>#REF!</v>
      </c>
      <c r="M250" s="184" t="e">
        <f t="shared" si="21"/>
        <v>#REF!</v>
      </c>
      <c r="N250" s="184" t="e">
        <f t="shared" si="21"/>
        <v>#REF!</v>
      </c>
      <c r="O250" s="184" t="e">
        <f t="shared" si="21"/>
        <v>#REF!</v>
      </c>
      <c r="P250" s="184" t="e">
        <f t="shared" si="21"/>
        <v>#REF!</v>
      </c>
      <c r="Q250" s="184">
        <f t="shared" si="21"/>
        <v>0</v>
      </c>
      <c r="R250" s="184" t="e">
        <f t="shared" si="21"/>
        <v>#REF!</v>
      </c>
      <c r="S250" s="184" t="e">
        <f t="shared" si="21"/>
        <v>#REF!</v>
      </c>
      <c r="T250" s="184">
        <f t="shared" si="21"/>
        <v>0</v>
      </c>
      <c r="U250" s="184" t="e">
        <f t="shared" si="21"/>
        <v>#REF!</v>
      </c>
      <c r="V250" s="185"/>
      <c r="W250" s="490"/>
      <c r="X250" s="179" t="e">
        <f>P250-Q250-#REF!-T250</f>
        <v>#REF!</v>
      </c>
      <c r="Y250" s="187" t="e">
        <f>X250-#REF!</f>
        <v>#REF!</v>
      </c>
    </row>
    <row r="251" spans="1:25" s="181" customFormat="1">
      <c r="A251" s="294">
        <v>1</v>
      </c>
      <c r="B251" s="294"/>
      <c r="C251" s="294"/>
      <c r="D251" s="748" t="str">
        <f>[5]CNKT!C251</f>
        <v>Bun Khưn</v>
      </c>
      <c r="E251" s="294"/>
      <c r="F251" s="491" t="e">
        <f>#REF!</f>
        <v>#REF!</v>
      </c>
      <c r="G251" s="433">
        <f>[5]CNKT!F251</f>
        <v>0</v>
      </c>
      <c r="H251" s="433"/>
      <c r="I251" s="252" t="str">
        <f>[5]CNKT!G252</f>
        <v>Kíp</v>
      </c>
      <c r="J251" s="433" t="e">
        <f>#REF!</f>
        <v>#REF!</v>
      </c>
      <c r="K251" s="433" t="e">
        <f>#REF!</f>
        <v>#REF!</v>
      </c>
      <c r="L251" s="433" t="e">
        <f>J251+K251</f>
        <v>#REF!</v>
      </c>
      <c r="M251" s="433" t="e">
        <f>L251</f>
        <v>#REF!</v>
      </c>
      <c r="N251" s="433"/>
      <c r="O251" s="433"/>
      <c r="P251" s="433" t="e">
        <f>M251</f>
        <v>#REF!</v>
      </c>
      <c r="Q251" s="433"/>
      <c r="R251" s="478" t="e">
        <f>#REF!</f>
        <v>#REF!</v>
      </c>
      <c r="S251" s="433" t="e">
        <f>P251-R251</f>
        <v>#REF!</v>
      </c>
      <c r="T251" s="433"/>
      <c r="U251" s="433" t="e">
        <f>S251</f>
        <v>#REF!</v>
      </c>
      <c r="V251" s="432"/>
      <c r="W251" s="436" t="str">
        <f>D251</f>
        <v>Bun Khưn</v>
      </c>
      <c r="X251" s="220"/>
      <c r="Y251" s="221"/>
    </row>
    <row r="252" spans="1:25" s="181" customFormat="1" ht="18">
      <c r="A252" s="295">
        <v>2</v>
      </c>
      <c r="B252" s="437" t="s">
        <v>235</v>
      </c>
      <c r="C252" s="492" t="s">
        <v>237</v>
      </c>
      <c r="D252" s="462" t="str">
        <f>[5]CNKT!C253</f>
        <v>T . Vông</v>
      </c>
      <c r="E252" s="462" t="str">
        <f>[5]CNKT!D253</f>
        <v>Bảo vệ</v>
      </c>
      <c r="F252" s="463" t="e">
        <f>#REF!</f>
        <v>#REF!</v>
      </c>
      <c r="G252" s="252" t="e">
        <f>#REF!</f>
        <v>#REF!</v>
      </c>
      <c r="H252" s="252"/>
      <c r="I252" s="252" t="str">
        <f>[5]CNKT!G253</f>
        <v>Kíp</v>
      </c>
      <c r="J252" s="252"/>
      <c r="K252" s="252"/>
      <c r="L252" s="252" t="e">
        <f>F252*G252</f>
        <v>#REF!</v>
      </c>
      <c r="M252" s="252" t="e">
        <f>L252</f>
        <v>#REF!</v>
      </c>
      <c r="N252" s="252"/>
      <c r="O252" s="493"/>
      <c r="P252" s="342" t="e">
        <f>SUM(M252:O252)</f>
        <v>#REF!</v>
      </c>
      <c r="Q252" s="252"/>
      <c r="R252" s="252"/>
      <c r="S252" s="252" t="e">
        <f>ROUND(P252-Q252,0)</f>
        <v>#REF!</v>
      </c>
      <c r="T252" s="494"/>
      <c r="U252" s="441" t="e">
        <f>ROUND(S252-T252,0)</f>
        <v>#REF!</v>
      </c>
      <c r="V252" s="440"/>
      <c r="W252" s="442" t="str">
        <f t="shared" ref="W252:W309" si="22">D252</f>
        <v>T . Vông</v>
      </c>
      <c r="X252" s="188"/>
      <c r="Y252" s="95"/>
    </row>
    <row r="253" spans="1:25" s="181" customFormat="1" ht="18">
      <c r="A253" s="295">
        <v>3</v>
      </c>
      <c r="B253" s="437" t="str">
        <f>[5]CNKT!B256</f>
        <v>01569</v>
      </c>
      <c r="C253" s="492"/>
      <c r="D253" s="462" t="e">
        <f>#REF!</f>
        <v>#REF!</v>
      </c>
      <c r="E253" s="462" t="str">
        <f>[5]CNKT!D255</f>
        <v>CNKT</v>
      </c>
      <c r="F253" s="463" t="e">
        <f>VLOOKUP(D253,#REF!,3,0)</f>
        <v>#REF!</v>
      </c>
      <c r="G253" s="252" t="e">
        <f>VLOOKUP(D253,[5]CNKT!C248:F335,4,0)</f>
        <v>#REF!</v>
      </c>
      <c r="H253" s="252"/>
      <c r="I253" s="252" t="s">
        <v>120</v>
      </c>
      <c r="J253" s="252"/>
      <c r="K253" s="252"/>
      <c r="L253" s="252" t="e">
        <f>VLOOKUP(D253,#REF!,8,0)</f>
        <v>#REF!</v>
      </c>
      <c r="M253" s="252" t="e">
        <f t="shared" ref="M253:M313" si="23">L253</f>
        <v>#REF!</v>
      </c>
      <c r="N253" s="252" t="e">
        <f>VLOOKUP(D253,#REF!,11,0)</f>
        <v>#REF!</v>
      </c>
      <c r="O253" s="252" t="e">
        <f>VLOOKUP(D253,#REF!,21,0)</f>
        <v>#REF!</v>
      </c>
      <c r="P253" s="252" t="e">
        <f>VLOOKUP(D253,#REF!,22,0)</f>
        <v>#REF!</v>
      </c>
      <c r="Q253" s="252"/>
      <c r="R253" s="252"/>
      <c r="S253" s="252" t="e">
        <f t="shared" ref="S253:S297" si="24">ROUND(P253-Q253,0)</f>
        <v>#REF!</v>
      </c>
      <c r="T253" s="252"/>
      <c r="U253" s="441" t="e">
        <f t="shared" ref="U253:U297" si="25">ROUND(S253-R253,0)</f>
        <v>#REF!</v>
      </c>
      <c r="V253" s="440"/>
      <c r="W253" s="442" t="e">
        <f t="shared" si="22"/>
        <v>#REF!</v>
      </c>
      <c r="X253" s="188">
        <f>3500*3</f>
        <v>10500</v>
      </c>
      <c r="Y253" s="95"/>
    </row>
    <row r="254" spans="1:25" s="181" customFormat="1" ht="18">
      <c r="A254" s="295">
        <v>4</v>
      </c>
      <c r="B254" s="437">
        <f>[5]CNKT!B257</f>
        <v>0</v>
      </c>
      <c r="C254" s="492"/>
      <c r="D254" s="462" t="e">
        <f>#REF!</f>
        <v>#REF!</v>
      </c>
      <c r="E254" s="462" t="str">
        <f>[5]CNKT!D256</f>
        <v>CNKT</v>
      </c>
      <c r="F254" s="463" t="e">
        <f>VLOOKUP(D254,#REF!,3,0)</f>
        <v>#REF!</v>
      </c>
      <c r="G254" s="252" t="e">
        <f>VLOOKUP(D254,[5]CNKT!C249:F336,4,0)</f>
        <v>#REF!</v>
      </c>
      <c r="H254" s="252"/>
      <c r="I254" s="252" t="s">
        <v>120</v>
      </c>
      <c r="J254" s="252"/>
      <c r="K254" s="252"/>
      <c r="L254" s="252" t="e">
        <f>VLOOKUP(D254,#REF!,8,0)</f>
        <v>#REF!</v>
      </c>
      <c r="M254" s="252" t="e">
        <f t="shared" si="23"/>
        <v>#REF!</v>
      </c>
      <c r="N254" s="252" t="e">
        <f>VLOOKUP(D254,#REF!,11,0)</f>
        <v>#REF!</v>
      </c>
      <c r="O254" s="252" t="e">
        <f>VLOOKUP(D254,#REF!,21,0)</f>
        <v>#REF!</v>
      </c>
      <c r="P254" s="252" t="e">
        <f>VLOOKUP(D254,#REF!,22,0)</f>
        <v>#REF!</v>
      </c>
      <c r="Q254" s="252"/>
      <c r="R254" s="252"/>
      <c r="S254" s="252" t="e">
        <f t="shared" si="24"/>
        <v>#REF!</v>
      </c>
      <c r="T254" s="252"/>
      <c r="U254" s="441" t="e">
        <f t="shared" si="25"/>
        <v>#REF!</v>
      </c>
      <c r="V254" s="440"/>
      <c r="W254" s="442" t="e">
        <f t="shared" si="22"/>
        <v>#REF!</v>
      </c>
      <c r="X254" s="188">
        <f>X253-110*3</f>
        <v>10170</v>
      </c>
      <c r="Y254" s="95"/>
    </row>
    <row r="255" spans="1:25" s="181" customFormat="1" ht="18">
      <c r="A255" s="295">
        <v>5</v>
      </c>
      <c r="B255" s="437">
        <f>[5]CNKT!B258</f>
        <v>0</v>
      </c>
      <c r="C255" s="492"/>
      <c r="D255" s="462" t="e">
        <f>#REF!</f>
        <v>#REF!</v>
      </c>
      <c r="E255" s="462" t="str">
        <f>[5]CNKT!D257</f>
        <v>CNKT</v>
      </c>
      <c r="F255" s="463" t="e">
        <f>VLOOKUP(D255,#REF!,3,0)</f>
        <v>#REF!</v>
      </c>
      <c r="G255" s="252" t="e">
        <f>VLOOKUP(D255,[5]CNKT!C250:F337,4,0)</f>
        <v>#REF!</v>
      </c>
      <c r="H255" s="252"/>
      <c r="I255" s="252" t="s">
        <v>120</v>
      </c>
      <c r="J255" s="252"/>
      <c r="K255" s="252"/>
      <c r="L255" s="252" t="e">
        <f>VLOOKUP(D255,#REF!,8,0)</f>
        <v>#REF!</v>
      </c>
      <c r="M255" s="252" t="e">
        <f t="shared" si="23"/>
        <v>#REF!</v>
      </c>
      <c r="N255" s="252" t="e">
        <f>VLOOKUP(D255,#REF!,11,0)</f>
        <v>#REF!</v>
      </c>
      <c r="O255" s="252" t="e">
        <f>VLOOKUP(D255,#REF!,21,0)</f>
        <v>#REF!</v>
      </c>
      <c r="P255" s="252" t="e">
        <f>VLOOKUP(D255,#REF!,22,0)</f>
        <v>#REF!</v>
      </c>
      <c r="Q255" s="252"/>
      <c r="R255" s="252"/>
      <c r="S255" s="252" t="e">
        <f t="shared" si="24"/>
        <v>#REF!</v>
      </c>
      <c r="T255" s="252"/>
      <c r="U255" s="441" t="e">
        <f t="shared" si="25"/>
        <v>#REF!</v>
      </c>
      <c r="V255" s="440"/>
      <c r="W255" s="442" t="e">
        <f t="shared" si="22"/>
        <v>#REF!</v>
      </c>
      <c r="X255" s="188"/>
      <c r="Y255" s="95"/>
    </row>
    <row r="256" spans="1:25" s="181" customFormat="1" ht="18">
      <c r="A256" s="295">
        <v>6</v>
      </c>
      <c r="B256" s="437">
        <f>[5]CNKT!B259</f>
        <v>0</v>
      </c>
      <c r="C256" s="492"/>
      <c r="D256" s="462" t="e">
        <f>#REF!</f>
        <v>#REF!</v>
      </c>
      <c r="E256" s="462" t="str">
        <f>[5]CNKT!D258</f>
        <v>CNKT</v>
      </c>
      <c r="F256" s="463" t="e">
        <f>VLOOKUP(D256,#REF!,3,0)</f>
        <v>#REF!</v>
      </c>
      <c r="G256" s="252" t="e">
        <f>VLOOKUP(D256,[5]CNKT!C251:F338,4,0)</f>
        <v>#REF!</v>
      </c>
      <c r="H256" s="252"/>
      <c r="I256" s="252" t="s">
        <v>120</v>
      </c>
      <c r="J256" s="252"/>
      <c r="K256" s="252"/>
      <c r="L256" s="252" t="e">
        <f>VLOOKUP(D256,#REF!,8,0)</f>
        <v>#REF!</v>
      </c>
      <c r="M256" s="252" t="e">
        <f t="shared" si="23"/>
        <v>#REF!</v>
      </c>
      <c r="N256" s="252" t="e">
        <f>VLOOKUP(D256,#REF!,11,0)</f>
        <v>#REF!</v>
      </c>
      <c r="O256" s="252" t="e">
        <f>VLOOKUP(D256,#REF!,21,0)</f>
        <v>#REF!</v>
      </c>
      <c r="P256" s="252" t="e">
        <f>VLOOKUP(D256,#REF!,22,0)</f>
        <v>#REF!</v>
      </c>
      <c r="Q256" s="252"/>
      <c r="R256" s="252"/>
      <c r="S256" s="252" t="e">
        <f t="shared" si="24"/>
        <v>#REF!</v>
      </c>
      <c r="T256" s="252"/>
      <c r="U256" s="441" t="e">
        <f t="shared" si="25"/>
        <v>#REF!</v>
      </c>
      <c r="V256" s="440"/>
      <c r="W256" s="442" t="e">
        <f t="shared" si="22"/>
        <v>#REF!</v>
      </c>
      <c r="X256" s="188"/>
      <c r="Y256" s="95"/>
    </row>
    <row r="257" spans="1:25" s="181" customFormat="1" ht="18">
      <c r="A257" s="295">
        <v>7</v>
      </c>
      <c r="B257" s="437">
        <f>[5]CNKT!B260</f>
        <v>0</v>
      </c>
      <c r="C257" s="492"/>
      <c r="D257" s="462" t="e">
        <f>#REF!</f>
        <v>#REF!</v>
      </c>
      <c r="E257" s="462" t="str">
        <f>[5]CNKT!D259</f>
        <v>CNKT</v>
      </c>
      <c r="F257" s="463" t="e">
        <f>VLOOKUP(D257,#REF!,3,0)</f>
        <v>#REF!</v>
      </c>
      <c r="G257" s="252" t="e">
        <f>VLOOKUP(D257,[5]CNKT!C252:F339,4,0)</f>
        <v>#REF!</v>
      </c>
      <c r="H257" s="252"/>
      <c r="I257" s="252" t="s">
        <v>120</v>
      </c>
      <c r="J257" s="252"/>
      <c r="K257" s="252"/>
      <c r="L257" s="252" t="e">
        <f>VLOOKUP(D257,#REF!,8,0)</f>
        <v>#REF!</v>
      </c>
      <c r="M257" s="252" t="e">
        <f t="shared" si="23"/>
        <v>#REF!</v>
      </c>
      <c r="N257" s="252" t="e">
        <f>VLOOKUP(D257,#REF!,11,0)</f>
        <v>#REF!</v>
      </c>
      <c r="O257" s="252" t="e">
        <f>VLOOKUP(D257,#REF!,21,0)</f>
        <v>#REF!</v>
      </c>
      <c r="P257" s="252" t="e">
        <f>VLOOKUP(D257,#REF!,22,0)</f>
        <v>#REF!</v>
      </c>
      <c r="Q257" s="252"/>
      <c r="R257" s="252"/>
      <c r="S257" s="252" t="e">
        <f t="shared" si="24"/>
        <v>#REF!</v>
      </c>
      <c r="T257" s="252"/>
      <c r="U257" s="441" t="e">
        <f t="shared" si="25"/>
        <v>#REF!</v>
      </c>
      <c r="V257" s="440"/>
      <c r="W257" s="442" t="e">
        <f t="shared" si="22"/>
        <v>#REF!</v>
      </c>
      <c r="X257" s="188"/>
      <c r="Y257" s="95"/>
    </row>
    <row r="258" spans="1:25" s="181" customFormat="1" ht="18">
      <c r="A258" s="295">
        <v>8</v>
      </c>
      <c r="B258" s="437">
        <f>[5]CNKT!B261</f>
        <v>0</v>
      </c>
      <c r="C258" s="492"/>
      <c r="D258" s="462" t="e">
        <f>#REF!</f>
        <v>#REF!</v>
      </c>
      <c r="E258" s="462" t="str">
        <f>[5]CNKT!D260</f>
        <v>CNKT</v>
      </c>
      <c r="F258" s="463" t="e">
        <f>VLOOKUP(D258,#REF!,3,0)</f>
        <v>#REF!</v>
      </c>
      <c r="G258" s="252" t="e">
        <f>VLOOKUP(D258,[5]CNKT!C253:F340,4,0)</f>
        <v>#REF!</v>
      </c>
      <c r="H258" s="252"/>
      <c r="I258" s="252" t="s">
        <v>120</v>
      </c>
      <c r="J258" s="252"/>
      <c r="K258" s="252"/>
      <c r="L258" s="252" t="e">
        <f>VLOOKUP(D258,#REF!,8,0)</f>
        <v>#REF!</v>
      </c>
      <c r="M258" s="252" t="e">
        <f t="shared" si="23"/>
        <v>#REF!</v>
      </c>
      <c r="N258" s="252" t="e">
        <f>VLOOKUP(D258,#REF!,11,0)</f>
        <v>#REF!</v>
      </c>
      <c r="O258" s="252" t="e">
        <f>VLOOKUP(D258,#REF!,21,0)</f>
        <v>#REF!</v>
      </c>
      <c r="P258" s="252" t="e">
        <f>VLOOKUP(D258,#REF!,22,0)</f>
        <v>#REF!</v>
      </c>
      <c r="Q258" s="252"/>
      <c r="R258" s="252"/>
      <c r="S258" s="252" t="e">
        <f t="shared" si="24"/>
        <v>#REF!</v>
      </c>
      <c r="T258" s="252"/>
      <c r="U258" s="441" t="e">
        <f t="shared" si="25"/>
        <v>#REF!</v>
      </c>
      <c r="V258" s="440"/>
      <c r="W258" s="442" t="e">
        <f t="shared" si="22"/>
        <v>#REF!</v>
      </c>
      <c r="X258" s="188"/>
      <c r="Y258" s="95"/>
    </row>
    <row r="259" spans="1:25" s="181" customFormat="1" ht="18">
      <c r="A259" s="295">
        <v>9</v>
      </c>
      <c r="B259" s="437">
        <f>[5]CNKT!B262</f>
        <v>0</v>
      </c>
      <c r="C259" s="492"/>
      <c r="D259" s="462" t="e">
        <f>#REF!</f>
        <v>#REF!</v>
      </c>
      <c r="E259" s="462" t="str">
        <f>[5]CNKT!D261</f>
        <v>CNKT</v>
      </c>
      <c r="F259" s="463" t="e">
        <f>VLOOKUP(D259,#REF!,3,0)</f>
        <v>#REF!</v>
      </c>
      <c r="G259" s="252" t="e">
        <f>VLOOKUP(D259,[5]CNKT!C254:F341,4,0)</f>
        <v>#REF!</v>
      </c>
      <c r="H259" s="252"/>
      <c r="I259" s="252" t="s">
        <v>120</v>
      </c>
      <c r="J259" s="252"/>
      <c r="K259" s="252"/>
      <c r="L259" s="252" t="e">
        <f>VLOOKUP(D259,#REF!,8,0)</f>
        <v>#REF!</v>
      </c>
      <c r="M259" s="252" t="e">
        <f t="shared" si="23"/>
        <v>#REF!</v>
      </c>
      <c r="N259" s="252" t="e">
        <f>VLOOKUP(D259,#REF!,11,0)</f>
        <v>#REF!</v>
      </c>
      <c r="O259" s="252" t="e">
        <f>VLOOKUP(D259,#REF!,21,0)</f>
        <v>#REF!</v>
      </c>
      <c r="P259" s="252" t="e">
        <f>VLOOKUP(D259,#REF!,22,0)</f>
        <v>#REF!</v>
      </c>
      <c r="Q259" s="252"/>
      <c r="R259" s="252"/>
      <c r="S259" s="252" t="e">
        <f t="shared" si="24"/>
        <v>#REF!</v>
      </c>
      <c r="T259" s="252"/>
      <c r="U259" s="441" t="e">
        <f t="shared" si="25"/>
        <v>#REF!</v>
      </c>
      <c r="V259" s="440"/>
      <c r="W259" s="442" t="e">
        <f t="shared" si="22"/>
        <v>#REF!</v>
      </c>
      <c r="X259" s="188"/>
      <c r="Y259" s="95"/>
    </row>
    <row r="260" spans="1:25" s="181" customFormat="1" ht="18">
      <c r="A260" s="295">
        <v>10</v>
      </c>
      <c r="B260" s="437">
        <f>[5]CNKT!B263</f>
        <v>0</v>
      </c>
      <c r="C260" s="492"/>
      <c r="D260" s="462" t="e">
        <f>#REF!</f>
        <v>#REF!</v>
      </c>
      <c r="E260" s="462" t="str">
        <f>[5]CNKT!D262</f>
        <v>CNKT</v>
      </c>
      <c r="F260" s="463" t="e">
        <f>VLOOKUP(D260,#REF!,3,0)</f>
        <v>#REF!</v>
      </c>
      <c r="G260" s="252" t="e">
        <f>VLOOKUP(D260,[5]CNKT!C255:F342,4,0)</f>
        <v>#REF!</v>
      </c>
      <c r="H260" s="252"/>
      <c r="I260" s="252" t="s">
        <v>120</v>
      </c>
      <c r="J260" s="252"/>
      <c r="K260" s="252"/>
      <c r="L260" s="252" t="e">
        <f>VLOOKUP(D260,#REF!,8,0)</f>
        <v>#REF!</v>
      </c>
      <c r="M260" s="252" t="e">
        <f t="shared" si="23"/>
        <v>#REF!</v>
      </c>
      <c r="N260" s="252" t="e">
        <f>VLOOKUP(D260,#REF!,11,0)</f>
        <v>#REF!</v>
      </c>
      <c r="O260" s="252" t="e">
        <f>VLOOKUP(D260,#REF!,21,0)</f>
        <v>#REF!</v>
      </c>
      <c r="P260" s="252" t="e">
        <f>VLOOKUP(D260,#REF!,22,0)</f>
        <v>#REF!</v>
      </c>
      <c r="Q260" s="252"/>
      <c r="R260" s="252"/>
      <c r="S260" s="252" t="e">
        <f t="shared" si="24"/>
        <v>#REF!</v>
      </c>
      <c r="T260" s="252"/>
      <c r="U260" s="441" t="e">
        <f t="shared" si="25"/>
        <v>#REF!</v>
      </c>
      <c r="V260" s="440"/>
      <c r="W260" s="442" t="e">
        <f t="shared" si="22"/>
        <v>#REF!</v>
      </c>
      <c r="X260" s="188"/>
      <c r="Y260" s="95"/>
    </row>
    <row r="261" spans="1:25" s="181" customFormat="1" ht="18">
      <c r="A261" s="295">
        <v>11</v>
      </c>
      <c r="B261" s="437">
        <f>[5]CNKT!B264</f>
        <v>0</v>
      </c>
      <c r="C261" s="492"/>
      <c r="D261" s="462" t="e">
        <f>#REF!</f>
        <v>#REF!</v>
      </c>
      <c r="E261" s="462" t="str">
        <f>[5]CNKT!D263</f>
        <v>CNKT</v>
      </c>
      <c r="F261" s="463" t="e">
        <f>VLOOKUP(D261,#REF!,3,0)</f>
        <v>#REF!</v>
      </c>
      <c r="G261" s="252" t="e">
        <f>VLOOKUP(D261,[5]CNKT!C256:F343,4,0)</f>
        <v>#REF!</v>
      </c>
      <c r="H261" s="252"/>
      <c r="I261" s="252" t="s">
        <v>120</v>
      </c>
      <c r="J261" s="252"/>
      <c r="K261" s="252"/>
      <c r="L261" s="252" t="e">
        <f>VLOOKUP(D261,#REF!,8,0)</f>
        <v>#REF!</v>
      </c>
      <c r="M261" s="252" t="e">
        <f t="shared" si="23"/>
        <v>#REF!</v>
      </c>
      <c r="N261" s="252" t="e">
        <f>VLOOKUP(D261,#REF!,11,0)</f>
        <v>#REF!</v>
      </c>
      <c r="O261" s="252" t="e">
        <f>VLOOKUP(D261,#REF!,21,0)</f>
        <v>#REF!</v>
      </c>
      <c r="P261" s="252" t="e">
        <f>VLOOKUP(D261,#REF!,22,0)</f>
        <v>#REF!</v>
      </c>
      <c r="Q261" s="252"/>
      <c r="R261" s="252"/>
      <c r="S261" s="252" t="e">
        <f t="shared" si="24"/>
        <v>#REF!</v>
      </c>
      <c r="T261" s="252"/>
      <c r="U261" s="441" t="e">
        <f t="shared" si="25"/>
        <v>#REF!</v>
      </c>
      <c r="V261" s="440"/>
      <c r="W261" s="442" t="e">
        <f t="shared" si="22"/>
        <v>#REF!</v>
      </c>
      <c r="X261" s="188"/>
      <c r="Y261" s="95"/>
    </row>
    <row r="262" spans="1:25" s="181" customFormat="1" ht="18">
      <c r="A262" s="295">
        <v>12</v>
      </c>
      <c r="B262" s="437">
        <f>[5]CNKT!B265</f>
        <v>0</v>
      </c>
      <c r="C262" s="492"/>
      <c r="D262" s="462" t="e">
        <f>#REF!</f>
        <v>#REF!</v>
      </c>
      <c r="E262" s="462" t="str">
        <f>[5]CNKT!D264</f>
        <v>CNKT</v>
      </c>
      <c r="F262" s="463" t="e">
        <f>VLOOKUP(D262,#REF!,3,0)</f>
        <v>#REF!</v>
      </c>
      <c r="G262" s="252" t="e">
        <f>VLOOKUP(D262,[5]CNKT!C257:F344,4,0)</f>
        <v>#REF!</v>
      </c>
      <c r="H262" s="252"/>
      <c r="I262" s="252" t="s">
        <v>120</v>
      </c>
      <c r="J262" s="252"/>
      <c r="K262" s="252"/>
      <c r="L262" s="252" t="e">
        <f>VLOOKUP(D262,#REF!,8,0)</f>
        <v>#REF!</v>
      </c>
      <c r="M262" s="252" t="e">
        <f t="shared" si="23"/>
        <v>#REF!</v>
      </c>
      <c r="N262" s="252" t="e">
        <f>VLOOKUP(D262,#REF!,11,0)</f>
        <v>#REF!</v>
      </c>
      <c r="O262" s="252" t="e">
        <f>VLOOKUP(D262,#REF!,21,0)</f>
        <v>#REF!</v>
      </c>
      <c r="P262" s="252" t="e">
        <f>VLOOKUP(D262,#REF!,22,0)</f>
        <v>#REF!</v>
      </c>
      <c r="Q262" s="252"/>
      <c r="R262" s="252"/>
      <c r="S262" s="252" t="e">
        <f t="shared" si="24"/>
        <v>#REF!</v>
      </c>
      <c r="T262" s="252"/>
      <c r="U262" s="441" t="e">
        <f t="shared" si="25"/>
        <v>#REF!</v>
      </c>
      <c r="V262" s="440"/>
      <c r="W262" s="442" t="e">
        <f t="shared" si="22"/>
        <v>#REF!</v>
      </c>
      <c r="X262" s="188"/>
      <c r="Y262" s="95"/>
    </row>
    <row r="263" spans="1:25" s="181" customFormat="1" ht="18">
      <c r="A263" s="295">
        <v>13</v>
      </c>
      <c r="B263" s="437">
        <f>[5]CNKT!B266</f>
        <v>0</v>
      </c>
      <c r="C263" s="492"/>
      <c r="D263" s="462" t="e">
        <f>#REF!</f>
        <v>#REF!</v>
      </c>
      <c r="E263" s="462" t="str">
        <f>[5]CNKT!D265</f>
        <v>CNKT</v>
      </c>
      <c r="F263" s="463" t="e">
        <f>VLOOKUP(D263,#REF!,3,0)</f>
        <v>#REF!</v>
      </c>
      <c r="G263" s="252" t="e">
        <f>VLOOKUP(D263,[5]CNKT!C258:F345,4,0)</f>
        <v>#REF!</v>
      </c>
      <c r="H263" s="252"/>
      <c r="I263" s="252" t="s">
        <v>120</v>
      </c>
      <c r="J263" s="252"/>
      <c r="K263" s="252"/>
      <c r="L263" s="252" t="e">
        <f>VLOOKUP(D263,#REF!,8,0)</f>
        <v>#REF!</v>
      </c>
      <c r="M263" s="252" t="e">
        <f t="shared" si="23"/>
        <v>#REF!</v>
      </c>
      <c r="N263" s="252" t="e">
        <f>VLOOKUP(D263,#REF!,11,0)</f>
        <v>#REF!</v>
      </c>
      <c r="O263" s="252" t="e">
        <f>VLOOKUP(D263,#REF!,21,0)</f>
        <v>#REF!</v>
      </c>
      <c r="P263" s="252" t="e">
        <f>VLOOKUP(D263,#REF!,22,0)</f>
        <v>#REF!</v>
      </c>
      <c r="Q263" s="252"/>
      <c r="R263" s="252"/>
      <c r="S263" s="252" t="e">
        <f t="shared" si="24"/>
        <v>#REF!</v>
      </c>
      <c r="T263" s="252"/>
      <c r="U263" s="441" t="e">
        <f t="shared" si="25"/>
        <v>#REF!</v>
      </c>
      <c r="V263" s="440"/>
      <c r="W263" s="442" t="e">
        <f t="shared" si="22"/>
        <v>#REF!</v>
      </c>
      <c r="X263" s="188"/>
      <c r="Y263" s="95"/>
    </row>
    <row r="264" spans="1:25" s="181" customFormat="1" ht="18">
      <c r="A264" s="295">
        <v>14</v>
      </c>
      <c r="B264" s="437">
        <f>[5]CNKT!B267</f>
        <v>0</v>
      </c>
      <c r="C264" s="492"/>
      <c r="D264" s="462" t="e">
        <f>#REF!</f>
        <v>#REF!</v>
      </c>
      <c r="E264" s="462" t="str">
        <f>[5]CNKT!D266</f>
        <v>CNKT</v>
      </c>
      <c r="F264" s="463" t="e">
        <f>VLOOKUP(D264,#REF!,3,0)</f>
        <v>#REF!</v>
      </c>
      <c r="G264" s="252" t="e">
        <f>VLOOKUP(D264,[5]CNKT!C259:F346,4,0)</f>
        <v>#REF!</v>
      </c>
      <c r="H264" s="252"/>
      <c r="I264" s="252" t="s">
        <v>120</v>
      </c>
      <c r="J264" s="252"/>
      <c r="K264" s="252"/>
      <c r="L264" s="252" t="e">
        <f>VLOOKUP(D264,#REF!,8,0)</f>
        <v>#REF!</v>
      </c>
      <c r="M264" s="252" t="e">
        <f t="shared" si="23"/>
        <v>#REF!</v>
      </c>
      <c r="N264" s="252" t="e">
        <f>VLOOKUP(D264,#REF!,11,0)</f>
        <v>#REF!</v>
      </c>
      <c r="O264" s="252" t="e">
        <f>VLOOKUP(D264,#REF!,21,0)</f>
        <v>#REF!</v>
      </c>
      <c r="P264" s="252" t="e">
        <f>VLOOKUP(D264,#REF!,22,0)</f>
        <v>#REF!</v>
      </c>
      <c r="Q264" s="252"/>
      <c r="R264" s="252"/>
      <c r="S264" s="252" t="e">
        <f t="shared" si="24"/>
        <v>#REF!</v>
      </c>
      <c r="T264" s="252"/>
      <c r="U264" s="441" t="e">
        <f t="shared" si="25"/>
        <v>#REF!</v>
      </c>
      <c r="V264" s="440"/>
      <c r="W264" s="442" t="e">
        <f t="shared" si="22"/>
        <v>#REF!</v>
      </c>
      <c r="X264" s="188"/>
      <c r="Y264" s="95"/>
    </row>
    <row r="265" spans="1:25" s="181" customFormat="1" ht="18">
      <c r="A265" s="295">
        <v>15</v>
      </c>
      <c r="B265" s="437">
        <f>[5]CNKT!B268</f>
        <v>0</v>
      </c>
      <c r="C265" s="492"/>
      <c r="D265" s="462" t="e">
        <f>#REF!</f>
        <v>#REF!</v>
      </c>
      <c r="E265" s="462" t="str">
        <f>[5]CNKT!D267</f>
        <v>CNKT</v>
      </c>
      <c r="F265" s="463" t="e">
        <f>VLOOKUP(D265,#REF!,3,0)</f>
        <v>#REF!</v>
      </c>
      <c r="G265" s="252" t="e">
        <f>VLOOKUP(D265,[5]CNKT!C260:F347,4,0)</f>
        <v>#REF!</v>
      </c>
      <c r="H265" s="252"/>
      <c r="I265" s="252" t="s">
        <v>120</v>
      </c>
      <c r="J265" s="252"/>
      <c r="K265" s="252"/>
      <c r="L265" s="252" t="e">
        <f>VLOOKUP(D265,#REF!,8,0)</f>
        <v>#REF!</v>
      </c>
      <c r="M265" s="252" t="e">
        <f t="shared" si="23"/>
        <v>#REF!</v>
      </c>
      <c r="N265" s="252" t="e">
        <f>VLOOKUP(D265,#REF!,11,0)</f>
        <v>#REF!</v>
      </c>
      <c r="O265" s="252" t="e">
        <f>VLOOKUP(D265,#REF!,21,0)</f>
        <v>#REF!</v>
      </c>
      <c r="P265" s="252" t="e">
        <f>VLOOKUP(D265,#REF!,22,0)</f>
        <v>#REF!</v>
      </c>
      <c r="Q265" s="252"/>
      <c r="R265" s="252"/>
      <c r="S265" s="252" t="e">
        <f t="shared" si="24"/>
        <v>#REF!</v>
      </c>
      <c r="T265" s="252"/>
      <c r="U265" s="441" t="e">
        <f t="shared" si="25"/>
        <v>#REF!</v>
      </c>
      <c r="V265" s="440"/>
      <c r="W265" s="442" t="e">
        <f t="shared" si="22"/>
        <v>#REF!</v>
      </c>
      <c r="X265" s="188"/>
      <c r="Y265" s="95"/>
    </row>
    <row r="266" spans="1:25" s="181" customFormat="1" ht="18">
      <c r="A266" s="295">
        <v>16</v>
      </c>
      <c r="B266" s="437">
        <f>[5]CNKT!B269</f>
        <v>0</v>
      </c>
      <c r="C266" s="492"/>
      <c r="D266" s="462" t="e">
        <f>#REF!</f>
        <v>#REF!</v>
      </c>
      <c r="E266" s="462" t="str">
        <f>[5]CNKT!D268</f>
        <v>CNKT</v>
      </c>
      <c r="F266" s="463" t="e">
        <f>VLOOKUP(D266,#REF!,3,0)</f>
        <v>#REF!</v>
      </c>
      <c r="G266" s="252" t="e">
        <f>VLOOKUP(D266,[5]CNKT!C261:F348,4,0)</f>
        <v>#REF!</v>
      </c>
      <c r="H266" s="252"/>
      <c r="I266" s="252" t="s">
        <v>120</v>
      </c>
      <c r="J266" s="252"/>
      <c r="K266" s="252"/>
      <c r="L266" s="252" t="e">
        <f>VLOOKUP(D266,#REF!,8,0)</f>
        <v>#REF!</v>
      </c>
      <c r="M266" s="252" t="e">
        <f t="shared" si="23"/>
        <v>#REF!</v>
      </c>
      <c r="N266" s="252" t="e">
        <f>VLOOKUP(D266,#REF!,11,0)</f>
        <v>#REF!</v>
      </c>
      <c r="O266" s="252" t="e">
        <f>VLOOKUP(D266,#REF!,21,0)</f>
        <v>#REF!</v>
      </c>
      <c r="P266" s="252" t="e">
        <f>VLOOKUP(D266,#REF!,22,0)</f>
        <v>#REF!</v>
      </c>
      <c r="Q266" s="252"/>
      <c r="R266" s="252"/>
      <c r="S266" s="252" t="e">
        <f t="shared" si="24"/>
        <v>#REF!</v>
      </c>
      <c r="T266" s="252"/>
      <c r="U266" s="441" t="e">
        <f t="shared" si="25"/>
        <v>#REF!</v>
      </c>
      <c r="V266" s="440"/>
      <c r="W266" s="442" t="e">
        <f t="shared" si="22"/>
        <v>#REF!</v>
      </c>
      <c r="X266" s="188"/>
      <c r="Y266" s="95"/>
    </row>
    <row r="267" spans="1:25" s="181" customFormat="1" ht="18">
      <c r="A267" s="295">
        <v>17</v>
      </c>
      <c r="B267" s="437">
        <f>[5]CNKT!B270</f>
        <v>0</v>
      </c>
      <c r="C267" s="492"/>
      <c r="D267" s="462" t="e">
        <f>#REF!</f>
        <v>#REF!</v>
      </c>
      <c r="E267" s="462" t="str">
        <f>[5]CNKT!D269</f>
        <v>CNKT</v>
      </c>
      <c r="F267" s="463" t="e">
        <f>VLOOKUP(D267,#REF!,3,0)</f>
        <v>#REF!</v>
      </c>
      <c r="G267" s="252" t="e">
        <f>VLOOKUP(D267,[5]CNKT!C262:F349,4,0)</f>
        <v>#REF!</v>
      </c>
      <c r="H267" s="252"/>
      <c r="I267" s="252" t="s">
        <v>120</v>
      </c>
      <c r="J267" s="252"/>
      <c r="K267" s="252"/>
      <c r="L267" s="252" t="e">
        <f>VLOOKUP(D267,#REF!,8,0)</f>
        <v>#REF!</v>
      </c>
      <c r="M267" s="252" t="e">
        <f t="shared" si="23"/>
        <v>#REF!</v>
      </c>
      <c r="N267" s="252" t="e">
        <f>VLOOKUP(D267,#REF!,11,0)</f>
        <v>#REF!</v>
      </c>
      <c r="O267" s="252" t="e">
        <f>VLOOKUP(D267,#REF!,21,0)</f>
        <v>#REF!</v>
      </c>
      <c r="P267" s="252" t="e">
        <f>VLOOKUP(D267,#REF!,22,0)</f>
        <v>#REF!</v>
      </c>
      <c r="Q267" s="252"/>
      <c r="R267" s="252"/>
      <c r="S267" s="252" t="e">
        <f t="shared" si="24"/>
        <v>#REF!</v>
      </c>
      <c r="T267" s="252"/>
      <c r="U267" s="441" t="e">
        <f t="shared" si="25"/>
        <v>#REF!</v>
      </c>
      <c r="V267" s="440"/>
      <c r="W267" s="442" t="e">
        <f t="shared" si="22"/>
        <v>#REF!</v>
      </c>
      <c r="X267" s="188"/>
      <c r="Y267" s="95"/>
    </row>
    <row r="268" spans="1:25" s="181" customFormat="1" ht="18">
      <c r="A268" s="295">
        <v>18</v>
      </c>
      <c r="B268" s="437">
        <f>[5]CNKT!B271</f>
        <v>0</v>
      </c>
      <c r="C268" s="492"/>
      <c r="D268" s="462" t="e">
        <f>#REF!</f>
        <v>#REF!</v>
      </c>
      <c r="E268" s="462" t="str">
        <f>[5]CNKT!D270</f>
        <v>CNKT</v>
      </c>
      <c r="F268" s="463" t="e">
        <f>VLOOKUP(D268,#REF!,3,0)</f>
        <v>#REF!</v>
      </c>
      <c r="G268" s="252" t="e">
        <f>VLOOKUP(D268,[5]CNKT!C263:F350,4,0)</f>
        <v>#REF!</v>
      </c>
      <c r="H268" s="252"/>
      <c r="I268" s="252" t="s">
        <v>120</v>
      </c>
      <c r="J268" s="252"/>
      <c r="K268" s="252"/>
      <c r="L268" s="252" t="e">
        <f>VLOOKUP(D268,#REF!,8,0)</f>
        <v>#REF!</v>
      </c>
      <c r="M268" s="252" t="e">
        <f t="shared" si="23"/>
        <v>#REF!</v>
      </c>
      <c r="N268" s="252" t="e">
        <f>VLOOKUP(D268,#REF!,11,0)</f>
        <v>#REF!</v>
      </c>
      <c r="O268" s="252" t="e">
        <f>VLOOKUP(D268,#REF!,21,0)</f>
        <v>#REF!</v>
      </c>
      <c r="P268" s="252" t="e">
        <f>VLOOKUP(D268,#REF!,22,0)</f>
        <v>#REF!</v>
      </c>
      <c r="Q268" s="252"/>
      <c r="R268" s="252"/>
      <c r="S268" s="252" t="e">
        <f t="shared" si="24"/>
        <v>#REF!</v>
      </c>
      <c r="T268" s="252"/>
      <c r="U268" s="441" t="e">
        <f t="shared" si="25"/>
        <v>#REF!</v>
      </c>
      <c r="V268" s="440"/>
      <c r="W268" s="442" t="e">
        <f t="shared" si="22"/>
        <v>#REF!</v>
      </c>
      <c r="X268" s="188"/>
      <c r="Y268" s="95"/>
    </row>
    <row r="269" spans="1:25" s="181" customFormat="1" ht="18">
      <c r="A269" s="295">
        <v>19</v>
      </c>
      <c r="B269" s="437">
        <f>[5]CNKT!B272</f>
        <v>0</v>
      </c>
      <c r="C269" s="492"/>
      <c r="D269" s="462" t="e">
        <f>#REF!</f>
        <v>#REF!</v>
      </c>
      <c r="E269" s="462" t="str">
        <f>[5]CNKT!D271</f>
        <v>CNKT</v>
      </c>
      <c r="F269" s="463" t="e">
        <f>VLOOKUP(D269,#REF!,3,0)</f>
        <v>#REF!</v>
      </c>
      <c r="G269" s="252" t="e">
        <f>VLOOKUP(D269,[5]CNKT!C264:F351,4,0)</f>
        <v>#REF!</v>
      </c>
      <c r="H269" s="252"/>
      <c r="I269" s="252" t="s">
        <v>120</v>
      </c>
      <c r="J269" s="252"/>
      <c r="K269" s="252"/>
      <c r="L269" s="252" t="e">
        <f>VLOOKUP(D269,#REF!,8,0)</f>
        <v>#REF!</v>
      </c>
      <c r="M269" s="252" t="e">
        <f t="shared" si="23"/>
        <v>#REF!</v>
      </c>
      <c r="N269" s="252" t="e">
        <f>VLOOKUP(D269,#REF!,11,0)</f>
        <v>#REF!</v>
      </c>
      <c r="O269" s="252" t="e">
        <f>VLOOKUP(D269,#REF!,21,0)</f>
        <v>#REF!</v>
      </c>
      <c r="P269" s="252" t="e">
        <f>VLOOKUP(D269,#REF!,22,0)</f>
        <v>#REF!</v>
      </c>
      <c r="Q269" s="252"/>
      <c r="R269" s="252"/>
      <c r="S269" s="252" t="e">
        <f t="shared" si="24"/>
        <v>#REF!</v>
      </c>
      <c r="T269" s="252"/>
      <c r="U269" s="441" t="e">
        <f t="shared" si="25"/>
        <v>#REF!</v>
      </c>
      <c r="V269" s="440"/>
      <c r="W269" s="442" t="e">
        <f t="shared" si="22"/>
        <v>#REF!</v>
      </c>
      <c r="X269" s="188"/>
      <c r="Y269" s="95"/>
    </row>
    <row r="270" spans="1:25" s="181" customFormat="1" ht="18">
      <c r="A270" s="295">
        <v>20</v>
      </c>
      <c r="B270" s="437">
        <f>[5]CNKT!B273</f>
        <v>0</v>
      </c>
      <c r="C270" s="492"/>
      <c r="D270" s="462" t="e">
        <f>#REF!</f>
        <v>#REF!</v>
      </c>
      <c r="E270" s="462" t="str">
        <f>[5]CNKT!D272</f>
        <v>CNKT</v>
      </c>
      <c r="F270" s="463" t="e">
        <f>VLOOKUP(D270,#REF!,3,0)</f>
        <v>#REF!</v>
      </c>
      <c r="G270" s="252" t="e">
        <f>VLOOKUP(D270,[5]CNKT!C265:F352,4,0)</f>
        <v>#REF!</v>
      </c>
      <c r="H270" s="252"/>
      <c r="I270" s="252" t="s">
        <v>120</v>
      </c>
      <c r="J270" s="252"/>
      <c r="K270" s="252"/>
      <c r="L270" s="252" t="e">
        <f>VLOOKUP(D270,#REF!,8,0)</f>
        <v>#REF!</v>
      </c>
      <c r="M270" s="252" t="e">
        <f t="shared" si="23"/>
        <v>#REF!</v>
      </c>
      <c r="N270" s="252" t="e">
        <f>VLOOKUP(D270,#REF!,11,0)</f>
        <v>#REF!</v>
      </c>
      <c r="O270" s="252" t="e">
        <f>VLOOKUP(D270,#REF!,21,0)</f>
        <v>#REF!</v>
      </c>
      <c r="P270" s="252" t="e">
        <f>VLOOKUP(D270,#REF!,22,0)</f>
        <v>#REF!</v>
      </c>
      <c r="Q270" s="252"/>
      <c r="R270" s="252"/>
      <c r="S270" s="252" t="e">
        <f t="shared" si="24"/>
        <v>#REF!</v>
      </c>
      <c r="T270" s="252"/>
      <c r="U270" s="441" t="e">
        <f t="shared" si="25"/>
        <v>#REF!</v>
      </c>
      <c r="V270" s="440"/>
      <c r="W270" s="442" t="e">
        <f t="shared" si="22"/>
        <v>#REF!</v>
      </c>
      <c r="X270" s="188"/>
      <c r="Y270" s="95"/>
    </row>
    <row r="271" spans="1:25" s="181" customFormat="1" ht="18">
      <c r="A271" s="295">
        <v>21</v>
      </c>
      <c r="B271" s="437">
        <f>[5]CNKT!B274</f>
        <v>0</v>
      </c>
      <c r="C271" s="492"/>
      <c r="D271" s="462" t="e">
        <f>#REF!</f>
        <v>#REF!</v>
      </c>
      <c r="E271" s="462" t="str">
        <f>[5]CNKT!D273</f>
        <v>CNKT</v>
      </c>
      <c r="F271" s="463" t="e">
        <f>VLOOKUP(D271,#REF!,3,0)</f>
        <v>#REF!</v>
      </c>
      <c r="G271" s="252" t="e">
        <f>VLOOKUP(D271,[5]CNKT!C266:F353,4,0)</f>
        <v>#REF!</v>
      </c>
      <c r="H271" s="252"/>
      <c r="I271" s="252" t="s">
        <v>120</v>
      </c>
      <c r="J271" s="252"/>
      <c r="K271" s="252"/>
      <c r="L271" s="252" t="e">
        <f>VLOOKUP(D271,#REF!,8,0)</f>
        <v>#REF!</v>
      </c>
      <c r="M271" s="252" t="e">
        <f t="shared" si="23"/>
        <v>#REF!</v>
      </c>
      <c r="N271" s="252" t="e">
        <f>VLOOKUP(D271,#REF!,11,0)</f>
        <v>#REF!</v>
      </c>
      <c r="O271" s="252" t="e">
        <f>VLOOKUP(D271,#REF!,21,0)</f>
        <v>#REF!</v>
      </c>
      <c r="P271" s="252" t="e">
        <f>VLOOKUP(D271,#REF!,22,0)</f>
        <v>#REF!</v>
      </c>
      <c r="Q271" s="252"/>
      <c r="R271" s="252"/>
      <c r="S271" s="252" t="e">
        <f t="shared" si="24"/>
        <v>#REF!</v>
      </c>
      <c r="T271" s="252"/>
      <c r="U271" s="441" t="e">
        <f t="shared" si="25"/>
        <v>#REF!</v>
      </c>
      <c r="V271" s="440"/>
      <c r="W271" s="442" t="e">
        <f t="shared" si="22"/>
        <v>#REF!</v>
      </c>
      <c r="X271" s="188"/>
      <c r="Y271" s="95"/>
    </row>
    <row r="272" spans="1:25" s="181" customFormat="1" ht="18">
      <c r="A272" s="295">
        <v>22</v>
      </c>
      <c r="B272" s="437">
        <f>[5]CNKT!B275</f>
        <v>0</v>
      </c>
      <c r="C272" s="492"/>
      <c r="D272" s="462" t="e">
        <f>#REF!</f>
        <v>#REF!</v>
      </c>
      <c r="E272" s="462" t="str">
        <f>[5]CNKT!D274</f>
        <v>CNKT</v>
      </c>
      <c r="F272" s="463" t="e">
        <f>VLOOKUP(D272,#REF!,3,0)</f>
        <v>#REF!</v>
      </c>
      <c r="G272" s="252" t="e">
        <f>VLOOKUP(D272,[5]CNKT!C267:F354,4,0)</f>
        <v>#REF!</v>
      </c>
      <c r="H272" s="252"/>
      <c r="I272" s="252" t="s">
        <v>120</v>
      </c>
      <c r="J272" s="252"/>
      <c r="K272" s="252"/>
      <c r="L272" s="252" t="e">
        <f>VLOOKUP(D272,#REF!,8,0)</f>
        <v>#REF!</v>
      </c>
      <c r="M272" s="252" t="e">
        <f t="shared" si="23"/>
        <v>#REF!</v>
      </c>
      <c r="N272" s="252" t="e">
        <f>VLOOKUP(D272,#REF!,11,0)</f>
        <v>#REF!</v>
      </c>
      <c r="O272" s="252" t="e">
        <f>VLOOKUP(D272,#REF!,21,0)</f>
        <v>#REF!</v>
      </c>
      <c r="P272" s="252" t="e">
        <f>VLOOKUP(D272,#REF!,22,0)</f>
        <v>#REF!</v>
      </c>
      <c r="Q272" s="252"/>
      <c r="R272" s="252"/>
      <c r="S272" s="252" t="e">
        <f t="shared" si="24"/>
        <v>#REF!</v>
      </c>
      <c r="T272" s="252"/>
      <c r="U272" s="441" t="e">
        <f t="shared" si="25"/>
        <v>#REF!</v>
      </c>
      <c r="V272" s="440"/>
      <c r="W272" s="442" t="e">
        <f t="shared" si="22"/>
        <v>#REF!</v>
      </c>
      <c r="X272" s="188"/>
      <c r="Y272" s="95"/>
    </row>
    <row r="273" spans="1:25" s="181" customFormat="1" ht="18">
      <c r="A273" s="295">
        <v>23</v>
      </c>
      <c r="B273" s="437">
        <f>[5]CNKT!B276</f>
        <v>0</v>
      </c>
      <c r="C273" s="492"/>
      <c r="D273" s="462" t="e">
        <f>#REF!</f>
        <v>#REF!</v>
      </c>
      <c r="E273" s="462" t="str">
        <f>[5]CNKT!D275</f>
        <v>CNKT</v>
      </c>
      <c r="F273" s="463" t="e">
        <f>VLOOKUP(D273,#REF!,3,0)</f>
        <v>#REF!</v>
      </c>
      <c r="G273" s="252" t="e">
        <f>VLOOKUP(D273,[5]CNKT!C268:F355,4,0)</f>
        <v>#REF!</v>
      </c>
      <c r="H273" s="252"/>
      <c r="I273" s="252" t="s">
        <v>120</v>
      </c>
      <c r="J273" s="252"/>
      <c r="K273" s="252"/>
      <c r="L273" s="252" t="e">
        <f>VLOOKUP(D273,#REF!,8,0)</f>
        <v>#REF!</v>
      </c>
      <c r="M273" s="252" t="e">
        <f t="shared" si="23"/>
        <v>#REF!</v>
      </c>
      <c r="N273" s="252" t="e">
        <f>VLOOKUP(D273,#REF!,11,0)</f>
        <v>#REF!</v>
      </c>
      <c r="O273" s="252" t="e">
        <f>VLOOKUP(D273,#REF!,21,0)</f>
        <v>#REF!</v>
      </c>
      <c r="P273" s="252" t="e">
        <f>VLOOKUP(D273,#REF!,22,0)</f>
        <v>#REF!</v>
      </c>
      <c r="Q273" s="252"/>
      <c r="R273" s="252"/>
      <c r="S273" s="252" t="e">
        <f t="shared" si="24"/>
        <v>#REF!</v>
      </c>
      <c r="T273" s="252"/>
      <c r="U273" s="441" t="e">
        <f t="shared" si="25"/>
        <v>#REF!</v>
      </c>
      <c r="V273" s="440"/>
      <c r="W273" s="442" t="e">
        <f t="shared" si="22"/>
        <v>#REF!</v>
      </c>
      <c r="X273" s="188"/>
      <c r="Y273" s="95"/>
    </row>
    <row r="274" spans="1:25" s="181" customFormat="1" ht="18">
      <c r="A274" s="295">
        <v>24</v>
      </c>
      <c r="B274" s="437">
        <f>[5]CNKT!B277</f>
        <v>0</v>
      </c>
      <c r="C274" s="492"/>
      <c r="D274" s="462" t="e">
        <f>#REF!</f>
        <v>#REF!</v>
      </c>
      <c r="E274" s="462" t="str">
        <f>[5]CNKT!D276</f>
        <v>CNKT</v>
      </c>
      <c r="F274" s="463" t="e">
        <f>VLOOKUP(D274,#REF!,3,0)</f>
        <v>#REF!</v>
      </c>
      <c r="G274" s="252" t="e">
        <f>VLOOKUP(D274,[5]CNKT!C269:F356,4,0)</f>
        <v>#REF!</v>
      </c>
      <c r="H274" s="252"/>
      <c r="I274" s="252" t="s">
        <v>120</v>
      </c>
      <c r="J274" s="252"/>
      <c r="K274" s="252"/>
      <c r="L274" s="252" t="e">
        <f>VLOOKUP(D274,#REF!,8,0)</f>
        <v>#REF!</v>
      </c>
      <c r="M274" s="252" t="e">
        <f t="shared" si="23"/>
        <v>#REF!</v>
      </c>
      <c r="N274" s="252" t="e">
        <f>VLOOKUP(D274,#REF!,11,0)</f>
        <v>#REF!</v>
      </c>
      <c r="O274" s="252" t="e">
        <f>VLOOKUP(D274,#REF!,21,0)</f>
        <v>#REF!</v>
      </c>
      <c r="P274" s="252" t="e">
        <f>VLOOKUP(D274,#REF!,22,0)</f>
        <v>#REF!</v>
      </c>
      <c r="Q274" s="252"/>
      <c r="R274" s="252"/>
      <c r="S274" s="252" t="e">
        <f t="shared" si="24"/>
        <v>#REF!</v>
      </c>
      <c r="T274" s="252"/>
      <c r="U274" s="441" t="e">
        <f t="shared" si="25"/>
        <v>#REF!</v>
      </c>
      <c r="V274" s="440"/>
      <c r="W274" s="442" t="e">
        <f t="shared" si="22"/>
        <v>#REF!</v>
      </c>
      <c r="X274" s="188"/>
      <c r="Y274" s="95"/>
    </row>
    <row r="275" spans="1:25" s="181" customFormat="1" ht="18">
      <c r="A275" s="295">
        <v>25</v>
      </c>
      <c r="B275" s="437">
        <f>[5]CNKT!B278</f>
        <v>0</v>
      </c>
      <c r="C275" s="492"/>
      <c r="D275" s="462" t="e">
        <f>#REF!</f>
        <v>#REF!</v>
      </c>
      <c r="E275" s="462" t="str">
        <f>[5]CNKT!D277</f>
        <v>CNKT</v>
      </c>
      <c r="F275" s="463" t="e">
        <f>VLOOKUP(D275,#REF!,3,0)</f>
        <v>#REF!</v>
      </c>
      <c r="G275" s="252" t="e">
        <f>VLOOKUP(D275,[5]CNKT!C270:F357,4,0)</f>
        <v>#REF!</v>
      </c>
      <c r="H275" s="252"/>
      <c r="I275" s="252" t="s">
        <v>120</v>
      </c>
      <c r="J275" s="252"/>
      <c r="K275" s="252"/>
      <c r="L275" s="252" t="e">
        <f>VLOOKUP(D275,#REF!,8,0)</f>
        <v>#REF!</v>
      </c>
      <c r="M275" s="252" t="e">
        <f t="shared" si="23"/>
        <v>#REF!</v>
      </c>
      <c r="N275" s="252" t="e">
        <f>VLOOKUP(D275,#REF!,11,0)</f>
        <v>#REF!</v>
      </c>
      <c r="O275" s="252" t="e">
        <f>VLOOKUP(D275,#REF!,21,0)</f>
        <v>#REF!</v>
      </c>
      <c r="P275" s="252" t="e">
        <f>VLOOKUP(D275,#REF!,22,0)</f>
        <v>#REF!</v>
      </c>
      <c r="Q275" s="252"/>
      <c r="R275" s="252"/>
      <c r="S275" s="252" t="e">
        <f t="shared" si="24"/>
        <v>#REF!</v>
      </c>
      <c r="T275" s="252"/>
      <c r="U275" s="441" t="e">
        <f t="shared" si="25"/>
        <v>#REF!</v>
      </c>
      <c r="V275" s="440"/>
      <c r="W275" s="442" t="e">
        <f t="shared" si="22"/>
        <v>#REF!</v>
      </c>
      <c r="X275" s="188"/>
      <c r="Y275" s="95"/>
    </row>
    <row r="276" spans="1:25" s="181" customFormat="1" ht="18">
      <c r="A276" s="295">
        <v>26</v>
      </c>
      <c r="B276" s="437">
        <f>[5]CNKT!B279</f>
        <v>0</v>
      </c>
      <c r="C276" s="492"/>
      <c r="D276" s="462" t="e">
        <f>#REF!</f>
        <v>#REF!</v>
      </c>
      <c r="E276" s="462" t="str">
        <f>[5]CNKT!D278</f>
        <v>CNKT</v>
      </c>
      <c r="F276" s="463" t="e">
        <f>VLOOKUP(D276,#REF!,3,0)</f>
        <v>#REF!</v>
      </c>
      <c r="G276" s="252" t="e">
        <f>VLOOKUP(D276,[5]CNKT!C271:F358,4,0)</f>
        <v>#REF!</v>
      </c>
      <c r="H276" s="252"/>
      <c r="I276" s="252" t="s">
        <v>120</v>
      </c>
      <c r="J276" s="252"/>
      <c r="K276" s="252"/>
      <c r="L276" s="252" t="e">
        <f>VLOOKUP(D276,#REF!,8,0)</f>
        <v>#REF!</v>
      </c>
      <c r="M276" s="252" t="e">
        <f t="shared" si="23"/>
        <v>#REF!</v>
      </c>
      <c r="N276" s="252" t="e">
        <f>VLOOKUP(D276,#REF!,11,0)</f>
        <v>#REF!</v>
      </c>
      <c r="O276" s="252" t="e">
        <f>VLOOKUP(D276,#REF!,21,0)</f>
        <v>#REF!</v>
      </c>
      <c r="P276" s="252" t="e">
        <f>VLOOKUP(D276,#REF!,22,0)</f>
        <v>#REF!</v>
      </c>
      <c r="Q276" s="252"/>
      <c r="R276" s="252"/>
      <c r="S276" s="252" t="e">
        <f t="shared" si="24"/>
        <v>#REF!</v>
      </c>
      <c r="T276" s="252"/>
      <c r="U276" s="441" t="e">
        <f t="shared" si="25"/>
        <v>#REF!</v>
      </c>
      <c r="V276" s="440"/>
      <c r="W276" s="442" t="e">
        <f t="shared" si="22"/>
        <v>#REF!</v>
      </c>
      <c r="X276" s="188"/>
      <c r="Y276" s="95"/>
    </row>
    <row r="277" spans="1:25" s="181" customFormat="1" ht="18">
      <c r="A277" s="295">
        <v>27</v>
      </c>
      <c r="B277" s="437">
        <f>[5]CNKT!B280</f>
        <v>0</v>
      </c>
      <c r="C277" s="492"/>
      <c r="D277" s="462" t="e">
        <f>#REF!</f>
        <v>#REF!</v>
      </c>
      <c r="E277" s="462" t="str">
        <f>[5]CNKT!D279</f>
        <v>CNKT</v>
      </c>
      <c r="F277" s="463" t="e">
        <f>VLOOKUP(D277,#REF!,3,0)</f>
        <v>#REF!</v>
      </c>
      <c r="G277" s="252" t="e">
        <f>VLOOKUP(D277,[5]CNKT!C272:F359,4,0)</f>
        <v>#REF!</v>
      </c>
      <c r="H277" s="252"/>
      <c r="I277" s="252" t="s">
        <v>120</v>
      </c>
      <c r="J277" s="252"/>
      <c r="K277" s="252"/>
      <c r="L277" s="252" t="e">
        <f>VLOOKUP(D277,#REF!,8,0)</f>
        <v>#REF!</v>
      </c>
      <c r="M277" s="252" t="e">
        <f t="shared" si="23"/>
        <v>#REF!</v>
      </c>
      <c r="N277" s="252" t="e">
        <f>VLOOKUP(D277,#REF!,11,0)</f>
        <v>#REF!</v>
      </c>
      <c r="O277" s="252" t="e">
        <f>VLOOKUP(D277,#REF!,21,0)</f>
        <v>#REF!</v>
      </c>
      <c r="P277" s="252" t="e">
        <f>VLOOKUP(D277,#REF!,22,0)</f>
        <v>#REF!</v>
      </c>
      <c r="Q277" s="252"/>
      <c r="R277" s="252"/>
      <c r="S277" s="252" t="e">
        <f t="shared" si="24"/>
        <v>#REF!</v>
      </c>
      <c r="T277" s="252"/>
      <c r="U277" s="441" t="e">
        <f t="shared" si="25"/>
        <v>#REF!</v>
      </c>
      <c r="V277" s="440"/>
      <c r="W277" s="442" t="e">
        <f t="shared" si="22"/>
        <v>#REF!</v>
      </c>
      <c r="X277" s="188"/>
      <c r="Y277" s="95"/>
    </row>
    <row r="278" spans="1:25" s="181" customFormat="1" ht="18">
      <c r="A278" s="295">
        <v>28</v>
      </c>
      <c r="B278" s="437">
        <f>[5]CNKT!B281</f>
        <v>0</v>
      </c>
      <c r="C278" s="492"/>
      <c r="D278" s="462" t="e">
        <f>#REF!</f>
        <v>#REF!</v>
      </c>
      <c r="E278" s="462" t="str">
        <f>[5]CNKT!D280</f>
        <v>CNKT</v>
      </c>
      <c r="F278" s="463" t="e">
        <f>VLOOKUP(D278,#REF!,3,0)</f>
        <v>#REF!</v>
      </c>
      <c r="G278" s="252" t="e">
        <f>VLOOKUP(D278,[5]CNKT!C273:F360,4,0)</f>
        <v>#REF!</v>
      </c>
      <c r="H278" s="252"/>
      <c r="I278" s="252" t="s">
        <v>120</v>
      </c>
      <c r="J278" s="252"/>
      <c r="K278" s="252"/>
      <c r="L278" s="252" t="e">
        <f>VLOOKUP(D278,#REF!,8,0)</f>
        <v>#REF!</v>
      </c>
      <c r="M278" s="252" t="e">
        <f t="shared" si="23"/>
        <v>#REF!</v>
      </c>
      <c r="N278" s="252" t="e">
        <f>VLOOKUP(D278,#REF!,11,0)</f>
        <v>#REF!</v>
      </c>
      <c r="O278" s="252" t="e">
        <f>VLOOKUP(D278,#REF!,21,0)</f>
        <v>#REF!</v>
      </c>
      <c r="P278" s="252" t="e">
        <f>VLOOKUP(D278,#REF!,22,0)</f>
        <v>#REF!</v>
      </c>
      <c r="Q278" s="252"/>
      <c r="R278" s="252"/>
      <c r="S278" s="252" t="e">
        <f t="shared" si="24"/>
        <v>#REF!</v>
      </c>
      <c r="T278" s="252"/>
      <c r="U278" s="441" t="e">
        <f t="shared" si="25"/>
        <v>#REF!</v>
      </c>
      <c r="V278" s="440"/>
      <c r="W278" s="442" t="e">
        <f t="shared" si="22"/>
        <v>#REF!</v>
      </c>
      <c r="X278" s="188"/>
      <c r="Y278" s="95"/>
    </row>
    <row r="279" spans="1:25" s="181" customFormat="1" ht="18">
      <c r="A279" s="295">
        <v>29</v>
      </c>
      <c r="B279" s="437">
        <f>[5]CNKT!B282</f>
        <v>0</v>
      </c>
      <c r="C279" s="492"/>
      <c r="D279" s="462" t="e">
        <f>#REF!</f>
        <v>#REF!</v>
      </c>
      <c r="E279" s="462" t="str">
        <f>[5]CNKT!D281</f>
        <v>CNKT</v>
      </c>
      <c r="F279" s="463" t="e">
        <f>VLOOKUP(D279,#REF!,3,0)</f>
        <v>#REF!</v>
      </c>
      <c r="G279" s="252" t="e">
        <f>VLOOKUP(D279,[5]CNKT!C274:F361,4,0)</f>
        <v>#REF!</v>
      </c>
      <c r="H279" s="252"/>
      <c r="I279" s="252" t="s">
        <v>120</v>
      </c>
      <c r="J279" s="252"/>
      <c r="K279" s="252"/>
      <c r="L279" s="252" t="e">
        <f>VLOOKUP(D279,#REF!,8,0)</f>
        <v>#REF!</v>
      </c>
      <c r="M279" s="252" t="e">
        <f t="shared" si="23"/>
        <v>#REF!</v>
      </c>
      <c r="N279" s="252" t="e">
        <f>VLOOKUP(D279,#REF!,11,0)</f>
        <v>#REF!</v>
      </c>
      <c r="O279" s="252" t="e">
        <f>VLOOKUP(D279,#REF!,21,0)</f>
        <v>#REF!</v>
      </c>
      <c r="P279" s="252" t="e">
        <f>VLOOKUP(D279,#REF!,22,0)</f>
        <v>#REF!</v>
      </c>
      <c r="Q279" s="252"/>
      <c r="R279" s="252"/>
      <c r="S279" s="252" t="e">
        <f t="shared" si="24"/>
        <v>#REF!</v>
      </c>
      <c r="T279" s="252"/>
      <c r="U279" s="441" t="e">
        <f t="shared" si="25"/>
        <v>#REF!</v>
      </c>
      <c r="V279" s="440"/>
      <c r="W279" s="442" t="e">
        <f t="shared" si="22"/>
        <v>#REF!</v>
      </c>
      <c r="X279" s="188"/>
      <c r="Y279" s="95"/>
    </row>
    <row r="280" spans="1:25" s="181" customFormat="1" ht="18">
      <c r="A280" s="295">
        <v>30</v>
      </c>
      <c r="B280" s="437">
        <f>[5]CNKT!B283</f>
        <v>0</v>
      </c>
      <c r="C280" s="492"/>
      <c r="D280" s="462" t="e">
        <f>#REF!</f>
        <v>#REF!</v>
      </c>
      <c r="E280" s="462" t="str">
        <f>[5]CNKT!D282</f>
        <v>CNKT</v>
      </c>
      <c r="F280" s="463" t="e">
        <f>VLOOKUP(D280,#REF!,3,0)</f>
        <v>#REF!</v>
      </c>
      <c r="G280" s="252" t="e">
        <f>VLOOKUP(D280,[5]CNKT!C275:F362,4,0)</f>
        <v>#REF!</v>
      </c>
      <c r="H280" s="252"/>
      <c r="I280" s="252" t="s">
        <v>120</v>
      </c>
      <c r="J280" s="252"/>
      <c r="K280" s="252"/>
      <c r="L280" s="252" t="e">
        <f>VLOOKUP(D280,#REF!,8,0)</f>
        <v>#REF!</v>
      </c>
      <c r="M280" s="252" t="e">
        <f t="shared" si="23"/>
        <v>#REF!</v>
      </c>
      <c r="N280" s="252" t="e">
        <f>VLOOKUP(D280,#REF!,11,0)</f>
        <v>#REF!</v>
      </c>
      <c r="O280" s="252" t="e">
        <f>VLOOKUP(D280,#REF!,21,0)</f>
        <v>#REF!</v>
      </c>
      <c r="P280" s="252" t="e">
        <f>VLOOKUP(D280,#REF!,22,0)</f>
        <v>#REF!</v>
      </c>
      <c r="Q280" s="252"/>
      <c r="R280" s="252"/>
      <c r="S280" s="252" t="e">
        <f t="shared" si="24"/>
        <v>#REF!</v>
      </c>
      <c r="T280" s="252"/>
      <c r="U280" s="441" t="e">
        <f t="shared" si="25"/>
        <v>#REF!</v>
      </c>
      <c r="V280" s="440"/>
      <c r="W280" s="442" t="e">
        <f t="shared" si="22"/>
        <v>#REF!</v>
      </c>
      <c r="X280" s="188"/>
      <c r="Y280" s="95"/>
    </row>
    <row r="281" spans="1:25" s="181" customFormat="1" ht="18">
      <c r="A281" s="295">
        <v>31</v>
      </c>
      <c r="B281" s="437">
        <f>[5]CNKT!B284</f>
        <v>0</v>
      </c>
      <c r="C281" s="492"/>
      <c r="D281" s="462" t="e">
        <f>#REF!</f>
        <v>#REF!</v>
      </c>
      <c r="E281" s="462" t="str">
        <f>[5]CNKT!D283</f>
        <v>CNKT</v>
      </c>
      <c r="F281" s="463" t="e">
        <f>VLOOKUP(D281,#REF!,3,0)</f>
        <v>#REF!</v>
      </c>
      <c r="G281" s="252" t="e">
        <f>VLOOKUP(D281,[5]CNKT!C276:F363,4,0)</f>
        <v>#REF!</v>
      </c>
      <c r="H281" s="252"/>
      <c r="I281" s="252" t="s">
        <v>120</v>
      </c>
      <c r="J281" s="252"/>
      <c r="K281" s="252"/>
      <c r="L281" s="252" t="e">
        <f>VLOOKUP(D281,#REF!,8,0)</f>
        <v>#REF!</v>
      </c>
      <c r="M281" s="252" t="e">
        <f t="shared" si="23"/>
        <v>#REF!</v>
      </c>
      <c r="N281" s="252" t="e">
        <f>VLOOKUP(D281,#REF!,11,0)</f>
        <v>#REF!</v>
      </c>
      <c r="O281" s="252" t="e">
        <f>VLOOKUP(D281,#REF!,21,0)</f>
        <v>#REF!</v>
      </c>
      <c r="P281" s="252" t="e">
        <f>VLOOKUP(D281,#REF!,22,0)</f>
        <v>#REF!</v>
      </c>
      <c r="Q281" s="252"/>
      <c r="R281" s="252"/>
      <c r="S281" s="252" t="e">
        <f t="shared" si="24"/>
        <v>#REF!</v>
      </c>
      <c r="T281" s="252"/>
      <c r="U281" s="441" t="e">
        <f t="shared" si="25"/>
        <v>#REF!</v>
      </c>
      <c r="V281" s="440"/>
      <c r="W281" s="442" t="e">
        <f t="shared" si="22"/>
        <v>#REF!</v>
      </c>
      <c r="X281" s="188"/>
      <c r="Y281" s="95"/>
    </row>
    <row r="282" spans="1:25" s="181" customFormat="1" ht="18">
      <c r="A282" s="295">
        <v>32</v>
      </c>
      <c r="B282" s="437">
        <f>[5]CNKT!B285</f>
        <v>0</v>
      </c>
      <c r="C282" s="492"/>
      <c r="D282" s="462" t="e">
        <f>#REF!</f>
        <v>#REF!</v>
      </c>
      <c r="E282" s="462" t="str">
        <f>[5]CNKT!D284</f>
        <v>CNKT</v>
      </c>
      <c r="F282" s="463" t="e">
        <f>VLOOKUP(D282,#REF!,3,0)</f>
        <v>#REF!</v>
      </c>
      <c r="G282" s="252" t="e">
        <f>VLOOKUP(D282,[5]CNKT!C277:F364,4,0)</f>
        <v>#REF!</v>
      </c>
      <c r="H282" s="252"/>
      <c r="I282" s="252" t="s">
        <v>120</v>
      </c>
      <c r="J282" s="252"/>
      <c r="K282" s="252"/>
      <c r="L282" s="252" t="e">
        <f>VLOOKUP(D282,#REF!,8,0)</f>
        <v>#REF!</v>
      </c>
      <c r="M282" s="252" t="e">
        <f t="shared" si="23"/>
        <v>#REF!</v>
      </c>
      <c r="N282" s="252" t="e">
        <f>VLOOKUP(D282,#REF!,11,0)</f>
        <v>#REF!</v>
      </c>
      <c r="O282" s="252" t="e">
        <f>VLOOKUP(D282,#REF!,21,0)</f>
        <v>#REF!</v>
      </c>
      <c r="P282" s="252" t="e">
        <f>VLOOKUP(D282,#REF!,22,0)</f>
        <v>#REF!</v>
      </c>
      <c r="Q282" s="252"/>
      <c r="R282" s="252"/>
      <c r="S282" s="252" t="e">
        <f t="shared" si="24"/>
        <v>#REF!</v>
      </c>
      <c r="T282" s="252"/>
      <c r="U282" s="441" t="e">
        <f t="shared" si="25"/>
        <v>#REF!</v>
      </c>
      <c r="V282" s="440"/>
      <c r="W282" s="442" t="e">
        <f t="shared" si="22"/>
        <v>#REF!</v>
      </c>
      <c r="X282" s="188"/>
      <c r="Y282" s="95"/>
    </row>
    <row r="283" spans="1:25" s="181" customFormat="1" ht="18">
      <c r="A283" s="295">
        <v>33</v>
      </c>
      <c r="B283" s="437">
        <f>[5]CNKT!B286</f>
        <v>0</v>
      </c>
      <c r="C283" s="492"/>
      <c r="D283" s="462" t="e">
        <f>#REF!</f>
        <v>#REF!</v>
      </c>
      <c r="E283" s="462" t="str">
        <f>[5]CNKT!D285</f>
        <v>CNKT</v>
      </c>
      <c r="F283" s="463" t="e">
        <f>VLOOKUP(D283,#REF!,3,0)</f>
        <v>#REF!</v>
      </c>
      <c r="G283" s="252" t="e">
        <f>VLOOKUP(D283,[5]CNKT!C278:F365,4,0)</f>
        <v>#REF!</v>
      </c>
      <c r="H283" s="252"/>
      <c r="I283" s="252" t="s">
        <v>120</v>
      </c>
      <c r="J283" s="252"/>
      <c r="K283" s="252"/>
      <c r="L283" s="252" t="e">
        <f>VLOOKUP(D283,#REF!,8,0)</f>
        <v>#REF!</v>
      </c>
      <c r="M283" s="252" t="e">
        <f t="shared" si="23"/>
        <v>#REF!</v>
      </c>
      <c r="N283" s="252" t="e">
        <f>VLOOKUP(D283,#REF!,11,0)</f>
        <v>#REF!</v>
      </c>
      <c r="O283" s="252" t="e">
        <f>VLOOKUP(D283,#REF!,21,0)</f>
        <v>#REF!</v>
      </c>
      <c r="P283" s="252" t="e">
        <f>VLOOKUP(D283,#REF!,22,0)</f>
        <v>#REF!</v>
      </c>
      <c r="Q283" s="252"/>
      <c r="R283" s="252"/>
      <c r="S283" s="252" t="e">
        <f t="shared" si="24"/>
        <v>#REF!</v>
      </c>
      <c r="T283" s="252"/>
      <c r="U283" s="441" t="e">
        <f t="shared" si="25"/>
        <v>#REF!</v>
      </c>
      <c r="V283" s="440"/>
      <c r="W283" s="442" t="e">
        <f t="shared" si="22"/>
        <v>#REF!</v>
      </c>
      <c r="X283" s="188"/>
      <c r="Y283" s="95"/>
    </row>
    <row r="284" spans="1:25" s="181" customFormat="1" ht="18">
      <c r="A284" s="295">
        <v>34</v>
      </c>
      <c r="B284" s="437">
        <f>[5]CNKT!B287</f>
        <v>0</v>
      </c>
      <c r="C284" s="492"/>
      <c r="D284" s="462" t="e">
        <f>#REF!</f>
        <v>#REF!</v>
      </c>
      <c r="E284" s="462" t="str">
        <f>[5]CNKT!D286</f>
        <v>CNKT</v>
      </c>
      <c r="F284" s="463" t="e">
        <f>VLOOKUP(D284,#REF!,3,0)</f>
        <v>#REF!</v>
      </c>
      <c r="G284" s="252" t="e">
        <f>VLOOKUP(D284,[5]CNKT!C279:F366,4,0)</f>
        <v>#REF!</v>
      </c>
      <c r="H284" s="252"/>
      <c r="I284" s="252" t="s">
        <v>120</v>
      </c>
      <c r="J284" s="252"/>
      <c r="K284" s="252"/>
      <c r="L284" s="252" t="e">
        <f>VLOOKUP(D284,#REF!,8,0)</f>
        <v>#REF!</v>
      </c>
      <c r="M284" s="252" t="e">
        <f t="shared" si="23"/>
        <v>#REF!</v>
      </c>
      <c r="N284" s="252" t="e">
        <f>VLOOKUP(D284,#REF!,11,0)</f>
        <v>#REF!</v>
      </c>
      <c r="O284" s="252" t="e">
        <f>VLOOKUP(D284,#REF!,21,0)</f>
        <v>#REF!</v>
      </c>
      <c r="P284" s="252" t="e">
        <f>VLOOKUP(D284,#REF!,22,0)</f>
        <v>#REF!</v>
      </c>
      <c r="Q284" s="252"/>
      <c r="R284" s="252"/>
      <c r="S284" s="252" t="e">
        <f t="shared" si="24"/>
        <v>#REF!</v>
      </c>
      <c r="T284" s="252"/>
      <c r="U284" s="441" t="e">
        <f t="shared" si="25"/>
        <v>#REF!</v>
      </c>
      <c r="V284" s="440"/>
      <c r="W284" s="442" t="e">
        <f t="shared" si="22"/>
        <v>#REF!</v>
      </c>
      <c r="X284" s="188"/>
      <c r="Y284" s="95"/>
    </row>
    <row r="285" spans="1:25" s="181" customFormat="1" ht="18">
      <c r="A285" s="295">
        <v>35</v>
      </c>
      <c r="B285" s="437">
        <f>[5]CNKT!B288</f>
        <v>0</v>
      </c>
      <c r="C285" s="492"/>
      <c r="D285" s="462" t="e">
        <f>#REF!</f>
        <v>#REF!</v>
      </c>
      <c r="E285" s="462" t="str">
        <f>[5]CNKT!D287</f>
        <v>CNKT</v>
      </c>
      <c r="F285" s="463" t="e">
        <f>VLOOKUP(D285,#REF!,3,0)</f>
        <v>#REF!</v>
      </c>
      <c r="G285" s="252" t="e">
        <f>VLOOKUP(D285,[5]CNKT!C280:F367,4,0)</f>
        <v>#REF!</v>
      </c>
      <c r="H285" s="252"/>
      <c r="I285" s="252" t="s">
        <v>120</v>
      </c>
      <c r="J285" s="252"/>
      <c r="K285" s="252"/>
      <c r="L285" s="252" t="e">
        <f>VLOOKUP(D285,#REF!,8,0)</f>
        <v>#REF!</v>
      </c>
      <c r="M285" s="252" t="e">
        <f t="shared" si="23"/>
        <v>#REF!</v>
      </c>
      <c r="N285" s="252" t="e">
        <f>VLOOKUP(D285,#REF!,11,0)</f>
        <v>#REF!</v>
      </c>
      <c r="O285" s="252" t="e">
        <f>VLOOKUP(D285,#REF!,21,0)</f>
        <v>#REF!</v>
      </c>
      <c r="P285" s="252" t="e">
        <f>VLOOKUP(D285,#REF!,22,0)</f>
        <v>#REF!</v>
      </c>
      <c r="Q285" s="252"/>
      <c r="R285" s="252"/>
      <c r="S285" s="252" t="e">
        <f t="shared" si="24"/>
        <v>#REF!</v>
      </c>
      <c r="T285" s="252"/>
      <c r="U285" s="441" t="e">
        <f t="shared" si="25"/>
        <v>#REF!</v>
      </c>
      <c r="V285" s="440"/>
      <c r="W285" s="442" t="e">
        <f t="shared" si="22"/>
        <v>#REF!</v>
      </c>
      <c r="X285" s="188"/>
      <c r="Y285" s="95"/>
    </row>
    <row r="286" spans="1:25" s="181" customFormat="1" ht="18">
      <c r="A286" s="295">
        <v>36</v>
      </c>
      <c r="B286" s="437">
        <f>[5]CNKT!B289</f>
        <v>0</v>
      </c>
      <c r="C286" s="492"/>
      <c r="D286" s="462" t="e">
        <f>#REF!</f>
        <v>#REF!</v>
      </c>
      <c r="E286" s="462" t="str">
        <f>[5]CNKT!D288</f>
        <v>CNKT</v>
      </c>
      <c r="F286" s="463" t="e">
        <f>VLOOKUP(D286,#REF!,3,0)</f>
        <v>#REF!</v>
      </c>
      <c r="G286" s="252" t="e">
        <f>VLOOKUP(D286,[5]CNKT!C281:F368,4,0)</f>
        <v>#REF!</v>
      </c>
      <c r="H286" s="252"/>
      <c r="I286" s="252" t="s">
        <v>120</v>
      </c>
      <c r="J286" s="252"/>
      <c r="K286" s="252"/>
      <c r="L286" s="252" t="e">
        <f>VLOOKUP(D286,#REF!,8,0)</f>
        <v>#REF!</v>
      </c>
      <c r="M286" s="252" t="e">
        <f t="shared" si="23"/>
        <v>#REF!</v>
      </c>
      <c r="N286" s="252" t="e">
        <f>VLOOKUP(D286,#REF!,11,0)</f>
        <v>#REF!</v>
      </c>
      <c r="O286" s="252" t="e">
        <f>VLOOKUP(D286,#REF!,21,0)</f>
        <v>#REF!</v>
      </c>
      <c r="P286" s="252" t="e">
        <f>VLOOKUP(D286,#REF!,22,0)</f>
        <v>#REF!</v>
      </c>
      <c r="Q286" s="252"/>
      <c r="R286" s="252"/>
      <c r="S286" s="252" t="e">
        <f t="shared" si="24"/>
        <v>#REF!</v>
      </c>
      <c r="T286" s="252"/>
      <c r="U286" s="441" t="e">
        <f t="shared" si="25"/>
        <v>#REF!</v>
      </c>
      <c r="V286" s="440"/>
      <c r="W286" s="442" t="e">
        <f t="shared" si="22"/>
        <v>#REF!</v>
      </c>
      <c r="X286" s="188"/>
      <c r="Y286" s="95"/>
    </row>
    <row r="287" spans="1:25" s="181" customFormat="1" ht="18">
      <c r="A287" s="295">
        <v>37</v>
      </c>
      <c r="B287" s="437">
        <f>[5]CNKT!B290</f>
        <v>0</v>
      </c>
      <c r="C287" s="492"/>
      <c r="D287" s="462" t="e">
        <f>#REF!</f>
        <v>#REF!</v>
      </c>
      <c r="E287" s="462" t="str">
        <f>[5]CNKT!D289</f>
        <v>CNKT</v>
      </c>
      <c r="F287" s="463" t="e">
        <f>VLOOKUP(D287,#REF!,3,0)</f>
        <v>#REF!</v>
      </c>
      <c r="G287" s="252" t="e">
        <f>VLOOKUP(D287,[5]CNKT!C282:F369,4,0)</f>
        <v>#REF!</v>
      </c>
      <c r="H287" s="252"/>
      <c r="I287" s="252" t="s">
        <v>120</v>
      </c>
      <c r="J287" s="252"/>
      <c r="K287" s="252"/>
      <c r="L287" s="252" t="e">
        <f>VLOOKUP(D287,#REF!,8,0)</f>
        <v>#REF!</v>
      </c>
      <c r="M287" s="252" t="e">
        <f t="shared" si="23"/>
        <v>#REF!</v>
      </c>
      <c r="N287" s="252" t="e">
        <f>VLOOKUP(D287,#REF!,11,0)</f>
        <v>#REF!</v>
      </c>
      <c r="O287" s="252" t="e">
        <f>VLOOKUP(D287,#REF!,21,0)</f>
        <v>#REF!</v>
      </c>
      <c r="P287" s="252" t="e">
        <f>VLOOKUP(D287,#REF!,22,0)</f>
        <v>#REF!</v>
      </c>
      <c r="Q287" s="252"/>
      <c r="R287" s="252"/>
      <c r="S287" s="252" t="e">
        <f t="shared" si="24"/>
        <v>#REF!</v>
      </c>
      <c r="T287" s="252"/>
      <c r="U287" s="441" t="e">
        <f t="shared" si="25"/>
        <v>#REF!</v>
      </c>
      <c r="V287" s="440"/>
      <c r="W287" s="442" t="e">
        <f t="shared" si="22"/>
        <v>#REF!</v>
      </c>
      <c r="X287" s="188"/>
      <c r="Y287" s="95"/>
    </row>
    <row r="288" spans="1:25" s="181" customFormat="1" ht="18">
      <c r="A288" s="295">
        <v>38</v>
      </c>
      <c r="B288" s="437">
        <f>[5]CNKT!B291</f>
        <v>0</v>
      </c>
      <c r="C288" s="492"/>
      <c r="D288" s="462" t="e">
        <f>#REF!</f>
        <v>#REF!</v>
      </c>
      <c r="E288" s="462" t="str">
        <f>[5]CNKT!D290</f>
        <v>CNKT</v>
      </c>
      <c r="F288" s="463" t="e">
        <f>VLOOKUP(D288,#REF!,3,0)</f>
        <v>#REF!</v>
      </c>
      <c r="G288" s="252" t="e">
        <f>VLOOKUP(D288,[5]CNKT!C283:F370,4,0)</f>
        <v>#REF!</v>
      </c>
      <c r="H288" s="252"/>
      <c r="I288" s="252" t="s">
        <v>120</v>
      </c>
      <c r="J288" s="252"/>
      <c r="K288" s="252"/>
      <c r="L288" s="252" t="e">
        <f>VLOOKUP(D288,#REF!,8,0)</f>
        <v>#REF!</v>
      </c>
      <c r="M288" s="252" t="e">
        <f t="shared" si="23"/>
        <v>#REF!</v>
      </c>
      <c r="N288" s="252" t="e">
        <f>VLOOKUP(D288,#REF!,11,0)</f>
        <v>#REF!</v>
      </c>
      <c r="O288" s="252" t="e">
        <f>VLOOKUP(D288,#REF!,21,0)</f>
        <v>#REF!</v>
      </c>
      <c r="P288" s="252" t="e">
        <f>VLOOKUP(D288,#REF!,22,0)</f>
        <v>#REF!</v>
      </c>
      <c r="Q288" s="252"/>
      <c r="R288" s="252"/>
      <c r="S288" s="252" t="e">
        <f t="shared" si="24"/>
        <v>#REF!</v>
      </c>
      <c r="T288" s="252"/>
      <c r="U288" s="441" t="e">
        <f t="shared" si="25"/>
        <v>#REF!</v>
      </c>
      <c r="V288" s="440"/>
      <c r="W288" s="442" t="e">
        <f t="shared" si="22"/>
        <v>#REF!</v>
      </c>
      <c r="X288" s="188"/>
      <c r="Y288" s="95"/>
    </row>
    <row r="289" spans="1:25" s="181" customFormat="1" ht="18">
      <c r="A289" s="295">
        <v>39</v>
      </c>
      <c r="B289" s="437">
        <f>[5]CNKT!B292</f>
        <v>0</v>
      </c>
      <c r="C289" s="492"/>
      <c r="D289" s="462" t="e">
        <f>#REF!</f>
        <v>#REF!</v>
      </c>
      <c r="E289" s="462" t="str">
        <f>[5]CNKT!D291</f>
        <v>CNKT</v>
      </c>
      <c r="F289" s="463" t="e">
        <f>VLOOKUP(D289,#REF!,3,0)</f>
        <v>#REF!</v>
      </c>
      <c r="G289" s="252" t="e">
        <f>VLOOKUP(D289,[5]CNKT!C284:F371,4,0)</f>
        <v>#REF!</v>
      </c>
      <c r="H289" s="252"/>
      <c r="I289" s="252" t="s">
        <v>120</v>
      </c>
      <c r="J289" s="252"/>
      <c r="K289" s="252"/>
      <c r="L289" s="252" t="e">
        <f>VLOOKUP(D289,#REF!,8,0)</f>
        <v>#REF!</v>
      </c>
      <c r="M289" s="252" t="e">
        <f t="shared" si="23"/>
        <v>#REF!</v>
      </c>
      <c r="N289" s="252" t="e">
        <f>VLOOKUP(D289,#REF!,11,0)</f>
        <v>#REF!</v>
      </c>
      <c r="O289" s="252" t="e">
        <f>VLOOKUP(D289,#REF!,21,0)</f>
        <v>#REF!</v>
      </c>
      <c r="P289" s="252" t="e">
        <f>VLOOKUP(D289,#REF!,22,0)</f>
        <v>#REF!</v>
      </c>
      <c r="Q289" s="252"/>
      <c r="R289" s="252"/>
      <c r="S289" s="252" t="e">
        <f t="shared" si="24"/>
        <v>#REF!</v>
      </c>
      <c r="T289" s="252"/>
      <c r="U289" s="441" t="e">
        <f t="shared" si="25"/>
        <v>#REF!</v>
      </c>
      <c r="V289" s="440"/>
      <c r="W289" s="442" t="e">
        <f t="shared" si="22"/>
        <v>#REF!</v>
      </c>
      <c r="X289" s="188"/>
      <c r="Y289" s="95"/>
    </row>
    <row r="290" spans="1:25" s="181" customFormat="1" ht="18">
      <c r="A290" s="295">
        <v>40</v>
      </c>
      <c r="B290" s="437">
        <f>[5]CNKT!B293</f>
        <v>0</v>
      </c>
      <c r="C290" s="492"/>
      <c r="D290" s="462" t="e">
        <f>#REF!</f>
        <v>#REF!</v>
      </c>
      <c r="E290" s="462" t="str">
        <f>[5]CNKT!D292</f>
        <v>CNKT</v>
      </c>
      <c r="F290" s="463" t="e">
        <f>VLOOKUP(D290,#REF!,3,0)</f>
        <v>#REF!</v>
      </c>
      <c r="G290" s="252" t="e">
        <f>VLOOKUP(D290,[5]CNKT!C285:F372,4,0)</f>
        <v>#REF!</v>
      </c>
      <c r="H290" s="252"/>
      <c r="I290" s="252" t="s">
        <v>120</v>
      </c>
      <c r="J290" s="252"/>
      <c r="K290" s="252"/>
      <c r="L290" s="252" t="e">
        <f>VLOOKUP(D290,#REF!,8,0)</f>
        <v>#REF!</v>
      </c>
      <c r="M290" s="252" t="e">
        <f t="shared" si="23"/>
        <v>#REF!</v>
      </c>
      <c r="N290" s="252" t="e">
        <f>VLOOKUP(D290,#REF!,11,0)</f>
        <v>#REF!</v>
      </c>
      <c r="O290" s="252" t="e">
        <f>VLOOKUP(D290,#REF!,21,0)</f>
        <v>#REF!</v>
      </c>
      <c r="P290" s="252" t="e">
        <f>VLOOKUP(D290,#REF!,22,0)</f>
        <v>#REF!</v>
      </c>
      <c r="Q290" s="252"/>
      <c r="R290" s="252"/>
      <c r="S290" s="252" t="e">
        <f t="shared" si="24"/>
        <v>#REF!</v>
      </c>
      <c r="T290" s="252"/>
      <c r="U290" s="441" t="e">
        <f t="shared" si="25"/>
        <v>#REF!</v>
      </c>
      <c r="V290" s="440"/>
      <c r="W290" s="442" t="e">
        <f t="shared" si="22"/>
        <v>#REF!</v>
      </c>
      <c r="X290" s="188"/>
      <c r="Y290" s="95"/>
    </row>
    <row r="291" spans="1:25" s="181" customFormat="1" ht="18">
      <c r="A291" s="295">
        <v>41</v>
      </c>
      <c r="B291" s="437">
        <f>[5]CNKT!B294</f>
        <v>0</v>
      </c>
      <c r="C291" s="492"/>
      <c r="D291" s="462" t="e">
        <f>#REF!</f>
        <v>#REF!</v>
      </c>
      <c r="E291" s="462" t="str">
        <f>[5]CNKT!D293</f>
        <v>CNKT</v>
      </c>
      <c r="F291" s="463" t="e">
        <f>VLOOKUP(D291,#REF!,3,0)</f>
        <v>#REF!</v>
      </c>
      <c r="G291" s="252" t="e">
        <f>VLOOKUP(D291,[5]CNKT!C286:F373,4,0)</f>
        <v>#REF!</v>
      </c>
      <c r="H291" s="252"/>
      <c r="I291" s="252" t="s">
        <v>120</v>
      </c>
      <c r="J291" s="252"/>
      <c r="K291" s="252"/>
      <c r="L291" s="252" t="e">
        <f>VLOOKUP(D291,#REF!,8,0)</f>
        <v>#REF!</v>
      </c>
      <c r="M291" s="252" t="e">
        <f t="shared" si="23"/>
        <v>#REF!</v>
      </c>
      <c r="N291" s="252" t="e">
        <f>VLOOKUP(D291,#REF!,11,0)</f>
        <v>#REF!</v>
      </c>
      <c r="O291" s="252" t="e">
        <f>VLOOKUP(D291,#REF!,21,0)</f>
        <v>#REF!</v>
      </c>
      <c r="P291" s="252" t="e">
        <f>VLOOKUP(D291,#REF!,22,0)</f>
        <v>#REF!</v>
      </c>
      <c r="Q291" s="252"/>
      <c r="R291" s="252"/>
      <c r="S291" s="252" t="e">
        <f t="shared" si="24"/>
        <v>#REF!</v>
      </c>
      <c r="T291" s="252"/>
      <c r="U291" s="441" t="e">
        <f t="shared" si="25"/>
        <v>#REF!</v>
      </c>
      <c r="V291" s="440"/>
      <c r="W291" s="442" t="e">
        <f t="shared" si="22"/>
        <v>#REF!</v>
      </c>
      <c r="X291" s="188"/>
      <c r="Y291" s="95"/>
    </row>
    <row r="292" spans="1:25" s="181" customFormat="1" ht="18">
      <c r="A292" s="295">
        <v>42</v>
      </c>
      <c r="B292" s="437">
        <f>[5]CNKT!B295</f>
        <v>0</v>
      </c>
      <c r="C292" s="492"/>
      <c r="D292" s="462" t="e">
        <f>#REF!</f>
        <v>#REF!</v>
      </c>
      <c r="E292" s="462" t="str">
        <f>[5]CNKT!D294</f>
        <v>CNKT</v>
      </c>
      <c r="F292" s="463" t="e">
        <f>VLOOKUP(D292,#REF!,3,0)</f>
        <v>#REF!</v>
      </c>
      <c r="G292" s="252" t="e">
        <f>VLOOKUP(D292,[5]CNKT!C287:F374,4,0)</f>
        <v>#REF!</v>
      </c>
      <c r="H292" s="252"/>
      <c r="I292" s="252" t="s">
        <v>120</v>
      </c>
      <c r="J292" s="252"/>
      <c r="K292" s="252"/>
      <c r="L292" s="252" t="e">
        <f>VLOOKUP(D292,#REF!,8,0)</f>
        <v>#REF!</v>
      </c>
      <c r="M292" s="252" t="e">
        <f t="shared" si="23"/>
        <v>#REF!</v>
      </c>
      <c r="N292" s="252" t="e">
        <f>VLOOKUP(D292,#REF!,11,0)</f>
        <v>#REF!</v>
      </c>
      <c r="O292" s="252" t="e">
        <f>VLOOKUP(D292,#REF!,21,0)</f>
        <v>#REF!</v>
      </c>
      <c r="P292" s="252" t="e">
        <f>VLOOKUP(D292,#REF!,22,0)</f>
        <v>#REF!</v>
      </c>
      <c r="Q292" s="252"/>
      <c r="R292" s="252"/>
      <c r="S292" s="252" t="e">
        <f t="shared" si="24"/>
        <v>#REF!</v>
      </c>
      <c r="T292" s="252"/>
      <c r="U292" s="441" t="e">
        <f t="shared" si="25"/>
        <v>#REF!</v>
      </c>
      <c r="V292" s="440"/>
      <c r="W292" s="442" t="e">
        <f t="shared" si="22"/>
        <v>#REF!</v>
      </c>
      <c r="X292" s="188"/>
      <c r="Y292" s="95"/>
    </row>
    <row r="293" spans="1:25" s="181" customFormat="1" ht="18">
      <c r="A293" s="295">
        <v>43</v>
      </c>
      <c r="B293" s="437">
        <f>[5]CNKT!B296</f>
        <v>0</v>
      </c>
      <c r="C293" s="492"/>
      <c r="D293" s="462" t="e">
        <f>#REF!</f>
        <v>#REF!</v>
      </c>
      <c r="E293" s="462" t="str">
        <f>[5]CNKT!D295</f>
        <v>CNKT</v>
      </c>
      <c r="F293" s="463" t="e">
        <f>VLOOKUP(D293,#REF!,3,0)</f>
        <v>#REF!</v>
      </c>
      <c r="G293" s="252" t="e">
        <f>VLOOKUP(D293,[5]CNKT!C288:F375,4,0)</f>
        <v>#REF!</v>
      </c>
      <c r="H293" s="252"/>
      <c r="I293" s="252" t="s">
        <v>120</v>
      </c>
      <c r="J293" s="252"/>
      <c r="K293" s="252"/>
      <c r="L293" s="252" t="e">
        <f>VLOOKUP(D293,#REF!,8,0)</f>
        <v>#REF!</v>
      </c>
      <c r="M293" s="252" t="e">
        <f t="shared" si="23"/>
        <v>#REF!</v>
      </c>
      <c r="N293" s="252" t="e">
        <f>VLOOKUP(D293,#REF!,11,0)</f>
        <v>#REF!</v>
      </c>
      <c r="O293" s="252" t="e">
        <f>VLOOKUP(D293,#REF!,21,0)</f>
        <v>#REF!</v>
      </c>
      <c r="P293" s="252" t="e">
        <f>VLOOKUP(D293,#REF!,22,0)</f>
        <v>#REF!</v>
      </c>
      <c r="Q293" s="252"/>
      <c r="R293" s="252"/>
      <c r="S293" s="252" t="e">
        <f t="shared" si="24"/>
        <v>#REF!</v>
      </c>
      <c r="T293" s="252"/>
      <c r="U293" s="441" t="e">
        <f t="shared" si="25"/>
        <v>#REF!</v>
      </c>
      <c r="V293" s="440"/>
      <c r="W293" s="442" t="e">
        <f t="shared" si="22"/>
        <v>#REF!</v>
      </c>
      <c r="X293" s="188"/>
      <c r="Y293" s="95"/>
    </row>
    <row r="294" spans="1:25" s="181" customFormat="1" ht="18">
      <c r="A294" s="295">
        <v>44</v>
      </c>
      <c r="B294" s="437">
        <f>[5]CNKT!B297</f>
        <v>0</v>
      </c>
      <c r="C294" s="492"/>
      <c r="D294" s="462" t="e">
        <f>#REF!</f>
        <v>#REF!</v>
      </c>
      <c r="E294" s="462" t="str">
        <f>[5]CNKT!D296</f>
        <v>CNKT</v>
      </c>
      <c r="F294" s="463" t="e">
        <f>VLOOKUP(D294,#REF!,3,0)</f>
        <v>#REF!</v>
      </c>
      <c r="G294" s="252" t="e">
        <f>VLOOKUP(D294,[5]CNKT!C289:F376,4,0)</f>
        <v>#REF!</v>
      </c>
      <c r="H294" s="252"/>
      <c r="I294" s="252" t="s">
        <v>120</v>
      </c>
      <c r="J294" s="252"/>
      <c r="K294" s="252"/>
      <c r="L294" s="252" t="e">
        <f>VLOOKUP(D294,#REF!,8,0)</f>
        <v>#REF!</v>
      </c>
      <c r="M294" s="252" t="e">
        <f t="shared" si="23"/>
        <v>#REF!</v>
      </c>
      <c r="N294" s="252" t="e">
        <f>VLOOKUP(D294,#REF!,11,0)</f>
        <v>#REF!</v>
      </c>
      <c r="O294" s="252" t="e">
        <f>VLOOKUP(D294,#REF!,21,0)</f>
        <v>#REF!</v>
      </c>
      <c r="P294" s="252" t="e">
        <f>VLOOKUP(D294,#REF!,22,0)</f>
        <v>#REF!</v>
      </c>
      <c r="Q294" s="252"/>
      <c r="R294" s="252"/>
      <c r="S294" s="252" t="e">
        <f t="shared" si="24"/>
        <v>#REF!</v>
      </c>
      <c r="T294" s="252"/>
      <c r="U294" s="441" t="e">
        <f t="shared" si="25"/>
        <v>#REF!</v>
      </c>
      <c r="V294" s="440"/>
      <c r="W294" s="442" t="e">
        <f t="shared" si="22"/>
        <v>#REF!</v>
      </c>
      <c r="X294" s="188"/>
      <c r="Y294" s="95"/>
    </row>
    <row r="295" spans="1:25" s="181" customFormat="1" ht="18">
      <c r="A295" s="295">
        <v>45</v>
      </c>
      <c r="B295" s="437">
        <f>[5]CNKT!B298</f>
        <v>0</v>
      </c>
      <c r="C295" s="492"/>
      <c r="D295" s="462" t="e">
        <f>#REF!</f>
        <v>#REF!</v>
      </c>
      <c r="E295" s="462" t="str">
        <f>[5]CNKT!D297</f>
        <v>CNKT</v>
      </c>
      <c r="F295" s="463" t="e">
        <f>VLOOKUP(D295,#REF!,3,0)</f>
        <v>#REF!</v>
      </c>
      <c r="G295" s="252" t="e">
        <f>VLOOKUP(D295,[5]CNKT!C290:F377,4,0)</f>
        <v>#REF!</v>
      </c>
      <c r="H295" s="252"/>
      <c r="I295" s="252" t="s">
        <v>120</v>
      </c>
      <c r="J295" s="252"/>
      <c r="K295" s="252"/>
      <c r="L295" s="252" t="e">
        <f>VLOOKUP(D295,#REF!,8,0)</f>
        <v>#REF!</v>
      </c>
      <c r="M295" s="252" t="e">
        <f t="shared" si="23"/>
        <v>#REF!</v>
      </c>
      <c r="N295" s="252" t="e">
        <f>VLOOKUP(D295,#REF!,11,0)</f>
        <v>#REF!</v>
      </c>
      <c r="O295" s="252" t="e">
        <f>VLOOKUP(D295,#REF!,21,0)</f>
        <v>#REF!</v>
      </c>
      <c r="P295" s="252" t="e">
        <f>VLOOKUP(D295,#REF!,22,0)</f>
        <v>#REF!</v>
      </c>
      <c r="Q295" s="252"/>
      <c r="R295" s="252"/>
      <c r="S295" s="252" t="e">
        <f t="shared" si="24"/>
        <v>#REF!</v>
      </c>
      <c r="T295" s="252"/>
      <c r="U295" s="441" t="e">
        <f t="shared" si="25"/>
        <v>#REF!</v>
      </c>
      <c r="V295" s="440"/>
      <c r="W295" s="442" t="e">
        <f t="shared" si="22"/>
        <v>#REF!</v>
      </c>
      <c r="X295" s="188"/>
      <c r="Y295" s="95"/>
    </row>
    <row r="296" spans="1:25" s="181" customFormat="1" ht="18">
      <c r="A296" s="295">
        <v>46</v>
      </c>
      <c r="B296" s="437">
        <f>[5]CNKT!B299</f>
        <v>0</v>
      </c>
      <c r="C296" s="492"/>
      <c r="D296" s="462" t="e">
        <f>#REF!</f>
        <v>#REF!</v>
      </c>
      <c r="E296" s="462" t="str">
        <f>[5]CNKT!D298</f>
        <v>CNKT</v>
      </c>
      <c r="F296" s="463" t="e">
        <f>VLOOKUP(D296,#REF!,3,0)</f>
        <v>#REF!</v>
      </c>
      <c r="G296" s="252" t="e">
        <f>VLOOKUP(D296,[5]CNKT!C291:F378,4,0)</f>
        <v>#REF!</v>
      </c>
      <c r="H296" s="252"/>
      <c r="I296" s="252" t="s">
        <v>120</v>
      </c>
      <c r="J296" s="252"/>
      <c r="K296" s="252"/>
      <c r="L296" s="252" t="e">
        <f>VLOOKUP(D296,#REF!,8,0)</f>
        <v>#REF!</v>
      </c>
      <c r="M296" s="252" t="e">
        <f t="shared" si="23"/>
        <v>#REF!</v>
      </c>
      <c r="N296" s="252" t="e">
        <f>VLOOKUP(D296,#REF!,11,0)</f>
        <v>#REF!</v>
      </c>
      <c r="O296" s="252" t="e">
        <f>VLOOKUP(D296,#REF!,21,0)</f>
        <v>#REF!</v>
      </c>
      <c r="P296" s="252" t="e">
        <f>VLOOKUP(D296,#REF!,22,0)</f>
        <v>#REF!</v>
      </c>
      <c r="Q296" s="252"/>
      <c r="R296" s="252"/>
      <c r="S296" s="252" t="e">
        <f t="shared" si="24"/>
        <v>#REF!</v>
      </c>
      <c r="T296" s="252"/>
      <c r="U296" s="441" t="e">
        <f t="shared" si="25"/>
        <v>#REF!</v>
      </c>
      <c r="V296" s="440"/>
      <c r="W296" s="442" t="e">
        <f t="shared" si="22"/>
        <v>#REF!</v>
      </c>
      <c r="X296" s="188"/>
      <c r="Y296" s="95"/>
    </row>
    <row r="297" spans="1:25" s="181" customFormat="1" ht="18">
      <c r="A297" s="295">
        <v>47</v>
      </c>
      <c r="B297" s="437"/>
      <c r="C297" s="492"/>
      <c r="D297" s="462" t="e">
        <f>#REF!</f>
        <v>#REF!</v>
      </c>
      <c r="E297" s="462" t="str">
        <f>[5]CNKT!D299</f>
        <v>CNKT</v>
      </c>
      <c r="F297" s="463" t="e">
        <f>VLOOKUP(D297,#REF!,3,0)</f>
        <v>#REF!</v>
      </c>
      <c r="G297" s="252" t="e">
        <f>VLOOKUP(D297,[5]CNKT!C292:F379,4,0)</f>
        <v>#REF!</v>
      </c>
      <c r="H297" s="252"/>
      <c r="I297" s="252" t="s">
        <v>120</v>
      </c>
      <c r="J297" s="252"/>
      <c r="K297" s="252"/>
      <c r="L297" s="252" t="e">
        <f>VLOOKUP(D297,#REF!,8,0)</f>
        <v>#REF!</v>
      </c>
      <c r="M297" s="252" t="e">
        <f t="shared" si="23"/>
        <v>#REF!</v>
      </c>
      <c r="N297" s="252" t="e">
        <f>VLOOKUP(D297,#REF!,11,0)</f>
        <v>#REF!</v>
      </c>
      <c r="O297" s="252" t="e">
        <f>VLOOKUP(D297,#REF!,21,0)</f>
        <v>#REF!</v>
      </c>
      <c r="P297" s="252" t="e">
        <f>VLOOKUP(D297,#REF!,22,0)</f>
        <v>#REF!</v>
      </c>
      <c r="Q297" s="252"/>
      <c r="R297" s="252"/>
      <c r="S297" s="252" t="e">
        <f t="shared" si="24"/>
        <v>#REF!</v>
      </c>
      <c r="T297" s="252"/>
      <c r="U297" s="441" t="e">
        <f t="shared" si="25"/>
        <v>#REF!</v>
      </c>
      <c r="V297" s="440"/>
      <c r="W297" s="442" t="e">
        <f t="shared" si="22"/>
        <v>#REF!</v>
      </c>
      <c r="X297" s="188"/>
      <c r="Y297" s="95"/>
    </row>
    <row r="298" spans="1:25" s="181" customFormat="1" ht="18">
      <c r="A298" s="295">
        <v>48</v>
      </c>
      <c r="B298" s="437">
        <f>[5]CNKT!B316</f>
        <v>0</v>
      </c>
      <c r="C298" s="492"/>
      <c r="D298" s="462" t="e">
        <f>#REF!</f>
        <v>#REF!</v>
      </c>
      <c r="E298" s="462" t="str">
        <f>[5]CNKT!D300</f>
        <v>CNKT</v>
      </c>
      <c r="F298" s="463" t="e">
        <f>VLOOKUP(D298,#REF!,3,0)</f>
        <v>#REF!</v>
      </c>
      <c r="G298" s="252" t="e">
        <f>VLOOKUP(D298,[5]CNKT!C293:F380,4,0)</f>
        <v>#REF!</v>
      </c>
      <c r="H298" s="252"/>
      <c r="I298" s="252" t="s">
        <v>120</v>
      </c>
      <c r="J298" s="252"/>
      <c r="K298" s="252"/>
      <c r="L298" s="252" t="e">
        <f>VLOOKUP(D298,#REF!,8,0)</f>
        <v>#REF!</v>
      </c>
      <c r="M298" s="252" t="e">
        <f t="shared" si="23"/>
        <v>#REF!</v>
      </c>
      <c r="N298" s="252" t="e">
        <f>VLOOKUP(D298,#REF!,11,0)</f>
        <v>#REF!</v>
      </c>
      <c r="O298" s="252" t="e">
        <f>VLOOKUP(D298,#REF!,21,0)</f>
        <v>#REF!</v>
      </c>
      <c r="P298" s="252" t="e">
        <f>VLOOKUP(D298,#REF!,22,0)</f>
        <v>#REF!</v>
      </c>
      <c r="Q298" s="252"/>
      <c r="R298" s="252"/>
      <c r="S298" s="252" t="e">
        <f>ROUND(P298-Q298,0)</f>
        <v>#REF!</v>
      </c>
      <c r="T298" s="252"/>
      <c r="U298" s="441" t="e">
        <f>ROUND(S298-R298,0)</f>
        <v>#REF!</v>
      </c>
      <c r="V298" s="440"/>
      <c r="W298" s="442" t="e">
        <f t="shared" si="22"/>
        <v>#REF!</v>
      </c>
      <c r="X298" s="188"/>
      <c r="Y298" s="95"/>
    </row>
    <row r="299" spans="1:25" s="486" customFormat="1" ht="18">
      <c r="A299" s="295">
        <v>49</v>
      </c>
      <c r="B299" s="437">
        <f>[5]CNKT!B317</f>
        <v>0</v>
      </c>
      <c r="C299" s="495"/>
      <c r="D299" s="462" t="e">
        <f>#REF!</f>
        <v>#REF!</v>
      </c>
      <c r="E299" s="462" t="str">
        <f>[5]CNKT!D301</f>
        <v>CNKT</v>
      </c>
      <c r="F299" s="463" t="e">
        <f>VLOOKUP(D299,#REF!,3,0)</f>
        <v>#REF!</v>
      </c>
      <c r="G299" s="252" t="e">
        <f>VLOOKUP(D299,[5]CNKT!C294:F381,4,0)</f>
        <v>#REF!</v>
      </c>
      <c r="H299" s="252"/>
      <c r="I299" s="252" t="s">
        <v>120</v>
      </c>
      <c r="J299" s="252"/>
      <c r="K299" s="252"/>
      <c r="L299" s="252" t="e">
        <f>VLOOKUP(D299,#REF!,8,0)</f>
        <v>#REF!</v>
      </c>
      <c r="M299" s="252" t="e">
        <f t="shared" si="23"/>
        <v>#REF!</v>
      </c>
      <c r="N299" s="252" t="e">
        <f>VLOOKUP(D299,#REF!,11,0)</f>
        <v>#REF!</v>
      </c>
      <c r="O299" s="252" t="e">
        <f>VLOOKUP(D299,#REF!,21,0)</f>
        <v>#REF!</v>
      </c>
      <c r="P299" s="252" t="e">
        <f>VLOOKUP(D299,#REF!,22,0)</f>
        <v>#REF!</v>
      </c>
      <c r="Q299" s="252"/>
      <c r="R299" s="252"/>
      <c r="S299" s="252" t="e">
        <f>ROUND(P299-Q299,0)</f>
        <v>#REF!</v>
      </c>
      <c r="T299" s="252"/>
      <c r="U299" s="441" t="e">
        <f>ROUND(S299-R299,0)</f>
        <v>#REF!</v>
      </c>
      <c r="V299" s="440"/>
      <c r="W299" s="442" t="e">
        <f t="shared" si="22"/>
        <v>#REF!</v>
      </c>
      <c r="X299" s="496"/>
      <c r="Y299" s="497"/>
    </row>
    <row r="300" spans="1:25" s="486" customFormat="1" ht="18">
      <c r="A300" s="295">
        <v>50</v>
      </c>
      <c r="B300" s="437">
        <f>[5]CNKT!B318</f>
        <v>0</v>
      </c>
      <c r="C300" s="495"/>
      <c r="D300" s="462" t="e">
        <f>#REF!</f>
        <v>#REF!</v>
      </c>
      <c r="E300" s="462" t="str">
        <f>[5]CNKT!D302</f>
        <v>CNKT</v>
      </c>
      <c r="F300" s="463" t="e">
        <f>VLOOKUP(D300,#REF!,3,0)</f>
        <v>#REF!</v>
      </c>
      <c r="G300" s="252" t="e">
        <f>VLOOKUP(D300,[5]CNKT!C295:F382,4,0)</f>
        <v>#REF!</v>
      </c>
      <c r="H300" s="252"/>
      <c r="I300" s="252" t="s">
        <v>120</v>
      </c>
      <c r="J300" s="252"/>
      <c r="K300" s="252"/>
      <c r="L300" s="252" t="e">
        <f>VLOOKUP(D300,#REF!,8,0)</f>
        <v>#REF!</v>
      </c>
      <c r="M300" s="252" t="e">
        <f t="shared" si="23"/>
        <v>#REF!</v>
      </c>
      <c r="N300" s="252" t="e">
        <f>VLOOKUP(D300,#REF!,11,0)</f>
        <v>#REF!</v>
      </c>
      <c r="O300" s="252" t="e">
        <f>VLOOKUP(D300,#REF!,21,0)</f>
        <v>#REF!</v>
      </c>
      <c r="P300" s="252" t="e">
        <f>VLOOKUP(D300,#REF!,22,0)</f>
        <v>#REF!</v>
      </c>
      <c r="Q300" s="252"/>
      <c r="R300" s="252"/>
      <c r="S300" s="252" t="e">
        <f>ROUND(P300-Q300,0)</f>
        <v>#REF!</v>
      </c>
      <c r="T300" s="252"/>
      <c r="U300" s="441" t="e">
        <f>ROUND(S300-R300,0)</f>
        <v>#REF!</v>
      </c>
      <c r="V300" s="440"/>
      <c r="W300" s="442" t="e">
        <f t="shared" si="22"/>
        <v>#REF!</v>
      </c>
      <c r="X300" s="496"/>
      <c r="Y300" s="497"/>
    </row>
    <row r="301" spans="1:25" s="181" customFormat="1" ht="18">
      <c r="A301" s="295">
        <v>51</v>
      </c>
      <c r="B301" s="437">
        <f>[5]CNKT!B319</f>
        <v>0</v>
      </c>
      <c r="C301" s="492"/>
      <c r="D301" s="462" t="e">
        <f>#REF!</f>
        <v>#REF!</v>
      </c>
      <c r="E301" s="462" t="str">
        <f>[5]CNKT!D303</f>
        <v>CNKT</v>
      </c>
      <c r="F301" s="463" t="e">
        <f>VLOOKUP(D301,#REF!,3,0)</f>
        <v>#REF!</v>
      </c>
      <c r="G301" s="252" t="e">
        <f>VLOOKUP(D301,[5]CNKT!C296:F383,4,0)</f>
        <v>#REF!</v>
      </c>
      <c r="H301" s="252"/>
      <c r="I301" s="252" t="s">
        <v>120</v>
      </c>
      <c r="J301" s="252"/>
      <c r="K301" s="252"/>
      <c r="L301" s="252" t="e">
        <f>VLOOKUP(D301,#REF!,8,0)</f>
        <v>#REF!</v>
      </c>
      <c r="M301" s="252" t="e">
        <f t="shared" si="23"/>
        <v>#REF!</v>
      </c>
      <c r="N301" s="252" t="e">
        <f>VLOOKUP(D301,#REF!,11,0)</f>
        <v>#REF!</v>
      </c>
      <c r="O301" s="252" t="e">
        <f>VLOOKUP(D301,#REF!,21,0)</f>
        <v>#REF!</v>
      </c>
      <c r="P301" s="252" t="e">
        <f>VLOOKUP(D301,#REF!,22,0)</f>
        <v>#REF!</v>
      </c>
      <c r="Q301" s="252"/>
      <c r="R301" s="252"/>
      <c r="S301" s="252" t="e">
        <f>ROUND(P301-Q301,0)</f>
        <v>#REF!</v>
      </c>
      <c r="T301" s="252"/>
      <c r="U301" s="441" t="e">
        <f>ROUND(S301-R301,0)</f>
        <v>#REF!</v>
      </c>
      <c r="V301" s="440"/>
      <c r="W301" s="442" t="e">
        <f t="shared" si="22"/>
        <v>#REF!</v>
      </c>
      <c r="X301" s="188"/>
      <c r="Y301" s="95"/>
    </row>
    <row r="302" spans="1:25" s="181" customFormat="1" ht="18">
      <c r="A302" s="295">
        <v>52</v>
      </c>
      <c r="B302" s="437">
        <f>[5]CNKT!B320</f>
        <v>0</v>
      </c>
      <c r="C302" s="492"/>
      <c r="D302" s="462" t="e">
        <f>#REF!</f>
        <v>#REF!</v>
      </c>
      <c r="E302" s="462" t="str">
        <f>[5]CNKT!D304</f>
        <v>CNKT</v>
      </c>
      <c r="F302" s="463" t="e">
        <f>VLOOKUP(D302,#REF!,3,0)</f>
        <v>#REF!</v>
      </c>
      <c r="G302" s="252" t="e">
        <f>VLOOKUP(D302,[5]CNKT!C297:F384,4,0)</f>
        <v>#REF!</v>
      </c>
      <c r="H302" s="252"/>
      <c r="I302" s="252" t="s">
        <v>120</v>
      </c>
      <c r="J302" s="252"/>
      <c r="K302" s="252"/>
      <c r="L302" s="252" t="e">
        <f>VLOOKUP(D302,#REF!,8,0)</f>
        <v>#REF!</v>
      </c>
      <c r="M302" s="252" t="e">
        <f t="shared" si="23"/>
        <v>#REF!</v>
      </c>
      <c r="N302" s="252" t="e">
        <f>VLOOKUP(D302,#REF!,11,0)</f>
        <v>#REF!</v>
      </c>
      <c r="O302" s="252" t="e">
        <f>VLOOKUP(D302,#REF!,21,0)</f>
        <v>#REF!</v>
      </c>
      <c r="P302" s="252" t="e">
        <f>VLOOKUP(D302,#REF!,22,0)</f>
        <v>#REF!</v>
      </c>
      <c r="Q302" s="252"/>
      <c r="R302" s="252"/>
      <c r="S302" s="252" t="e">
        <f>ROUND(P302-Q302,0)</f>
        <v>#REF!</v>
      </c>
      <c r="T302" s="252"/>
      <c r="U302" s="441" t="e">
        <f>ROUND(S302-R302,0)</f>
        <v>#REF!</v>
      </c>
      <c r="V302" s="440"/>
      <c r="W302" s="442" t="e">
        <f t="shared" si="22"/>
        <v>#REF!</v>
      </c>
      <c r="X302" s="188"/>
      <c r="Y302" s="95"/>
    </row>
    <row r="303" spans="1:25" s="181" customFormat="1" ht="18">
      <c r="A303" s="295">
        <v>53</v>
      </c>
      <c r="B303" s="437"/>
      <c r="C303" s="492"/>
      <c r="D303" s="462" t="e">
        <f>#REF!</f>
        <v>#REF!</v>
      </c>
      <c r="E303" s="462" t="str">
        <f>[5]CNKT!D305</f>
        <v>CNKT</v>
      </c>
      <c r="F303" s="463" t="e">
        <f>VLOOKUP(D303,#REF!,3,0)</f>
        <v>#REF!</v>
      </c>
      <c r="G303" s="252" t="e">
        <f>VLOOKUP(D303,[5]CNKT!C298:F385,4,0)</f>
        <v>#REF!</v>
      </c>
      <c r="H303" s="252"/>
      <c r="I303" s="252" t="s">
        <v>120</v>
      </c>
      <c r="J303" s="252"/>
      <c r="K303" s="252"/>
      <c r="L303" s="252" t="e">
        <f>VLOOKUP(D303,#REF!,8,0)</f>
        <v>#REF!</v>
      </c>
      <c r="M303" s="252" t="e">
        <f t="shared" si="23"/>
        <v>#REF!</v>
      </c>
      <c r="N303" s="252" t="e">
        <f>VLOOKUP(D303,#REF!,11,0)</f>
        <v>#REF!</v>
      </c>
      <c r="O303" s="252" t="e">
        <f>VLOOKUP(D303,#REF!,21,0)</f>
        <v>#REF!</v>
      </c>
      <c r="P303" s="252" t="e">
        <f>VLOOKUP(D303,#REF!,22,0)</f>
        <v>#REF!</v>
      </c>
      <c r="Q303" s="252"/>
      <c r="R303" s="252"/>
      <c r="S303" s="252" t="e">
        <f t="shared" ref="S303:S308" si="26">ROUND(P303-Q303,0)</f>
        <v>#REF!</v>
      </c>
      <c r="T303" s="252"/>
      <c r="U303" s="441" t="e">
        <f t="shared" ref="U303:U308" si="27">ROUND(S303-R303,0)</f>
        <v>#REF!</v>
      </c>
      <c r="V303" s="440"/>
      <c r="W303" s="442" t="e">
        <f t="shared" si="22"/>
        <v>#REF!</v>
      </c>
      <c r="X303" s="188"/>
      <c r="Y303" s="95"/>
    </row>
    <row r="304" spans="1:25" s="181" customFormat="1" ht="18">
      <c r="A304" s="295">
        <v>54</v>
      </c>
      <c r="B304" s="437"/>
      <c r="C304" s="492"/>
      <c r="D304" s="462" t="e">
        <f>#REF!</f>
        <v>#REF!</v>
      </c>
      <c r="E304" s="462" t="str">
        <f>[5]CNKT!D306</f>
        <v>CNKT</v>
      </c>
      <c r="F304" s="463" t="e">
        <f>VLOOKUP(D304,#REF!,3,0)</f>
        <v>#REF!</v>
      </c>
      <c r="G304" s="252" t="e">
        <f>VLOOKUP(D304,[5]CNKT!C299:F386,4,0)</f>
        <v>#REF!</v>
      </c>
      <c r="H304" s="252"/>
      <c r="I304" s="252" t="s">
        <v>120</v>
      </c>
      <c r="J304" s="252"/>
      <c r="K304" s="252"/>
      <c r="L304" s="252" t="e">
        <f>VLOOKUP(D304,#REF!,8,0)</f>
        <v>#REF!</v>
      </c>
      <c r="M304" s="252" t="e">
        <f t="shared" si="23"/>
        <v>#REF!</v>
      </c>
      <c r="N304" s="252" t="e">
        <f>VLOOKUP(D304,#REF!,11,0)</f>
        <v>#REF!</v>
      </c>
      <c r="O304" s="252" t="e">
        <f>VLOOKUP(D304,#REF!,21,0)</f>
        <v>#REF!</v>
      </c>
      <c r="P304" s="252" t="e">
        <f>VLOOKUP(D304,#REF!,22,0)</f>
        <v>#REF!</v>
      </c>
      <c r="Q304" s="252"/>
      <c r="R304" s="252"/>
      <c r="S304" s="252" t="e">
        <f t="shared" si="26"/>
        <v>#REF!</v>
      </c>
      <c r="T304" s="252"/>
      <c r="U304" s="441" t="e">
        <f t="shared" si="27"/>
        <v>#REF!</v>
      </c>
      <c r="V304" s="440"/>
      <c r="W304" s="442" t="e">
        <f t="shared" si="22"/>
        <v>#REF!</v>
      </c>
      <c r="X304" s="188"/>
      <c r="Y304" s="95"/>
    </row>
    <row r="305" spans="1:25" s="181" customFormat="1" ht="18">
      <c r="A305" s="295">
        <v>55</v>
      </c>
      <c r="B305" s="437"/>
      <c r="C305" s="492"/>
      <c r="D305" s="462" t="e">
        <f>#REF!</f>
        <v>#REF!</v>
      </c>
      <c r="E305" s="462" t="str">
        <f>[5]CNKT!D307</f>
        <v>CNKT</v>
      </c>
      <c r="F305" s="463" t="e">
        <f>VLOOKUP(D305,#REF!,3,0)</f>
        <v>#REF!</v>
      </c>
      <c r="G305" s="252" t="e">
        <f>VLOOKUP(D305,[5]CNKT!C300:F387,4,0)</f>
        <v>#REF!</v>
      </c>
      <c r="H305" s="252"/>
      <c r="I305" s="252" t="s">
        <v>120</v>
      </c>
      <c r="J305" s="252"/>
      <c r="K305" s="252"/>
      <c r="L305" s="252" t="e">
        <f>VLOOKUP(D305,#REF!,8,0)</f>
        <v>#REF!</v>
      </c>
      <c r="M305" s="252" t="e">
        <f t="shared" si="23"/>
        <v>#REF!</v>
      </c>
      <c r="N305" s="252" t="e">
        <f>VLOOKUP(D305,#REF!,11,0)</f>
        <v>#REF!</v>
      </c>
      <c r="O305" s="252" t="e">
        <f>VLOOKUP(D305,#REF!,21,0)</f>
        <v>#REF!</v>
      </c>
      <c r="P305" s="252" t="e">
        <f>VLOOKUP(D305,#REF!,22,0)</f>
        <v>#REF!</v>
      </c>
      <c r="Q305" s="252"/>
      <c r="R305" s="252"/>
      <c r="S305" s="252" t="e">
        <f t="shared" si="26"/>
        <v>#REF!</v>
      </c>
      <c r="T305" s="252"/>
      <c r="U305" s="441" t="e">
        <f t="shared" si="27"/>
        <v>#REF!</v>
      </c>
      <c r="V305" s="440"/>
      <c r="W305" s="442" t="e">
        <f t="shared" si="22"/>
        <v>#REF!</v>
      </c>
      <c r="X305" s="188"/>
      <c r="Y305" s="95"/>
    </row>
    <row r="306" spans="1:25" s="181" customFormat="1" ht="18">
      <c r="A306" s="295">
        <v>56</v>
      </c>
      <c r="B306" s="437"/>
      <c r="C306" s="492"/>
      <c r="D306" s="462" t="e">
        <f>#REF!</f>
        <v>#REF!</v>
      </c>
      <c r="E306" s="462" t="str">
        <f>[5]CNKT!D308</f>
        <v>CNKT</v>
      </c>
      <c r="F306" s="463" t="e">
        <f>VLOOKUP(D306,#REF!,3,0)</f>
        <v>#REF!</v>
      </c>
      <c r="G306" s="252" t="e">
        <f>VLOOKUP(D306,[5]CNKT!C301:F388,4,0)</f>
        <v>#REF!</v>
      </c>
      <c r="H306" s="252"/>
      <c r="I306" s="252" t="s">
        <v>120</v>
      </c>
      <c r="J306" s="252"/>
      <c r="K306" s="252"/>
      <c r="L306" s="252" t="e">
        <f>VLOOKUP(D306,#REF!,8,0)</f>
        <v>#REF!</v>
      </c>
      <c r="M306" s="252" t="e">
        <f t="shared" si="23"/>
        <v>#REF!</v>
      </c>
      <c r="N306" s="252" t="e">
        <f>VLOOKUP(D306,#REF!,11,0)</f>
        <v>#REF!</v>
      </c>
      <c r="O306" s="252" t="e">
        <f>VLOOKUP(D306,#REF!,21,0)</f>
        <v>#REF!</v>
      </c>
      <c r="P306" s="252" t="e">
        <f>VLOOKUP(D306,#REF!,22,0)</f>
        <v>#REF!</v>
      </c>
      <c r="Q306" s="252"/>
      <c r="R306" s="252"/>
      <c r="S306" s="252" t="e">
        <f t="shared" si="26"/>
        <v>#REF!</v>
      </c>
      <c r="T306" s="252"/>
      <c r="U306" s="441" t="e">
        <f t="shared" si="27"/>
        <v>#REF!</v>
      </c>
      <c r="V306" s="440"/>
      <c r="W306" s="442" t="e">
        <f t="shared" si="22"/>
        <v>#REF!</v>
      </c>
      <c r="X306" s="188"/>
      <c r="Y306" s="95"/>
    </row>
    <row r="307" spans="1:25" s="181" customFormat="1" ht="18">
      <c r="A307" s="295">
        <v>57</v>
      </c>
      <c r="B307" s="437"/>
      <c r="C307" s="492"/>
      <c r="D307" s="462" t="e">
        <f>#REF!</f>
        <v>#REF!</v>
      </c>
      <c r="E307" s="462" t="str">
        <f>[5]CNKT!D309</f>
        <v>CNKT</v>
      </c>
      <c r="F307" s="463" t="e">
        <f>VLOOKUP(D307,#REF!,3,0)</f>
        <v>#REF!</v>
      </c>
      <c r="G307" s="252" t="e">
        <f>VLOOKUP(D307,[5]CNKT!C302:F389,4,0)</f>
        <v>#REF!</v>
      </c>
      <c r="H307" s="252"/>
      <c r="I307" s="252" t="s">
        <v>120</v>
      </c>
      <c r="J307" s="252"/>
      <c r="K307" s="252"/>
      <c r="L307" s="252" t="e">
        <f>VLOOKUP(D307,#REF!,8,0)</f>
        <v>#REF!</v>
      </c>
      <c r="M307" s="252" t="e">
        <f t="shared" si="23"/>
        <v>#REF!</v>
      </c>
      <c r="N307" s="252" t="e">
        <f>VLOOKUP(D307,#REF!,11,0)</f>
        <v>#REF!</v>
      </c>
      <c r="O307" s="252" t="e">
        <f>VLOOKUP(D307,#REF!,21,0)</f>
        <v>#REF!</v>
      </c>
      <c r="P307" s="252" t="e">
        <f>VLOOKUP(D307,#REF!,22,0)</f>
        <v>#REF!</v>
      </c>
      <c r="Q307" s="252"/>
      <c r="R307" s="252"/>
      <c r="S307" s="252" t="e">
        <f t="shared" si="26"/>
        <v>#REF!</v>
      </c>
      <c r="T307" s="252"/>
      <c r="U307" s="441" t="e">
        <f t="shared" si="27"/>
        <v>#REF!</v>
      </c>
      <c r="V307" s="440"/>
      <c r="W307" s="442" t="e">
        <f t="shared" si="22"/>
        <v>#REF!</v>
      </c>
      <c r="X307" s="188"/>
      <c r="Y307" s="95"/>
    </row>
    <row r="308" spans="1:25" s="181" customFormat="1" ht="18">
      <c r="A308" s="295">
        <v>58</v>
      </c>
      <c r="B308" s="437"/>
      <c r="C308" s="492"/>
      <c r="D308" s="462" t="e">
        <f>#REF!</f>
        <v>#REF!</v>
      </c>
      <c r="E308" s="462" t="str">
        <f>[5]CNKT!D310</f>
        <v>CNKT</v>
      </c>
      <c r="F308" s="463" t="e">
        <f>VLOOKUP(D308,#REF!,3,0)</f>
        <v>#REF!</v>
      </c>
      <c r="G308" s="252" t="e">
        <f>VLOOKUP(D308,[5]CNKT!C303:F390,4,0)</f>
        <v>#REF!</v>
      </c>
      <c r="H308" s="252"/>
      <c r="I308" s="252" t="s">
        <v>120</v>
      </c>
      <c r="J308" s="252"/>
      <c r="K308" s="252"/>
      <c r="L308" s="252" t="e">
        <f>VLOOKUP(D308,#REF!,8,0)</f>
        <v>#REF!</v>
      </c>
      <c r="M308" s="252" t="e">
        <f t="shared" si="23"/>
        <v>#REF!</v>
      </c>
      <c r="N308" s="252" t="e">
        <f>VLOOKUP(D308,#REF!,11,0)</f>
        <v>#REF!</v>
      </c>
      <c r="O308" s="252" t="e">
        <f>VLOOKUP(D308,#REF!,21,0)</f>
        <v>#REF!</v>
      </c>
      <c r="P308" s="252" t="e">
        <f>VLOOKUP(D308,#REF!,22,0)</f>
        <v>#REF!</v>
      </c>
      <c r="Q308" s="252"/>
      <c r="R308" s="252"/>
      <c r="S308" s="252" t="e">
        <f t="shared" si="26"/>
        <v>#REF!</v>
      </c>
      <c r="T308" s="252"/>
      <c r="U308" s="441" t="e">
        <f t="shared" si="27"/>
        <v>#REF!</v>
      </c>
      <c r="V308" s="440"/>
      <c r="W308" s="442" t="e">
        <f t="shared" si="22"/>
        <v>#REF!</v>
      </c>
      <c r="X308" s="188"/>
      <c r="Y308" s="95"/>
    </row>
    <row r="309" spans="1:25" s="181" customFormat="1" ht="18">
      <c r="A309" s="295">
        <v>59</v>
      </c>
      <c r="B309" s="437"/>
      <c r="C309" s="492"/>
      <c r="D309" s="462" t="e">
        <f>#REF!</f>
        <v>#REF!</v>
      </c>
      <c r="E309" s="462" t="str">
        <f>[5]CNKT!D311</f>
        <v>CNKT</v>
      </c>
      <c r="F309" s="463" t="e">
        <f>VLOOKUP(D309,#REF!,3,0)</f>
        <v>#REF!</v>
      </c>
      <c r="G309" s="252" t="e">
        <f>VLOOKUP(D309,[5]CNKT!C304:F391,4,0)</f>
        <v>#REF!</v>
      </c>
      <c r="H309" s="252"/>
      <c r="I309" s="252" t="s">
        <v>120</v>
      </c>
      <c r="J309" s="252"/>
      <c r="K309" s="252"/>
      <c r="L309" s="252" t="e">
        <f>VLOOKUP(D309,#REF!,8,0)</f>
        <v>#REF!</v>
      </c>
      <c r="M309" s="252" t="e">
        <f t="shared" si="23"/>
        <v>#REF!</v>
      </c>
      <c r="N309" s="252" t="e">
        <f>VLOOKUP(D309,#REF!,11,0)</f>
        <v>#REF!</v>
      </c>
      <c r="O309" s="252" t="e">
        <f>VLOOKUP(D309,#REF!,21,0)</f>
        <v>#REF!</v>
      </c>
      <c r="P309" s="252" t="e">
        <f>VLOOKUP(D309,#REF!,22,0)</f>
        <v>#REF!</v>
      </c>
      <c r="Q309" s="252"/>
      <c r="R309" s="252"/>
      <c r="S309" s="252" t="e">
        <f>ROUND(P309-Q309,0)</f>
        <v>#REF!</v>
      </c>
      <c r="T309" s="252"/>
      <c r="U309" s="441" t="e">
        <f>ROUND(S309-R309,0)</f>
        <v>#REF!</v>
      </c>
      <c r="V309" s="440"/>
      <c r="W309" s="442" t="e">
        <f t="shared" si="22"/>
        <v>#REF!</v>
      </c>
      <c r="X309" s="188"/>
      <c r="Y309" s="95"/>
    </row>
    <row r="310" spans="1:25" s="181" customFormat="1" ht="18">
      <c r="A310" s="295">
        <v>60</v>
      </c>
      <c r="B310" s="437"/>
      <c r="C310" s="492"/>
      <c r="D310" s="462" t="e">
        <f>#REF!</f>
        <v>#REF!</v>
      </c>
      <c r="E310" s="462" t="str">
        <f>[5]CNKT!D312</f>
        <v>CNKT</v>
      </c>
      <c r="F310" s="463" t="e">
        <f>VLOOKUP(D310,#REF!,3,0)</f>
        <v>#REF!</v>
      </c>
      <c r="G310" s="252" t="e">
        <f>VLOOKUP(D310,[5]CNKT!C305:F392,4,0)</f>
        <v>#REF!</v>
      </c>
      <c r="H310" s="252"/>
      <c r="I310" s="252" t="s">
        <v>120</v>
      </c>
      <c r="J310" s="252"/>
      <c r="K310" s="252"/>
      <c r="L310" s="252" t="e">
        <f>VLOOKUP(D310,#REF!,8,0)</f>
        <v>#REF!</v>
      </c>
      <c r="M310" s="252" t="e">
        <f t="shared" si="23"/>
        <v>#REF!</v>
      </c>
      <c r="N310" s="252" t="e">
        <f>VLOOKUP(D310,#REF!,11,0)</f>
        <v>#REF!</v>
      </c>
      <c r="O310" s="252" t="e">
        <f>VLOOKUP(D310,#REF!,21,0)</f>
        <v>#REF!</v>
      </c>
      <c r="P310" s="252" t="e">
        <f>VLOOKUP(D310,#REF!,22,0)</f>
        <v>#REF!</v>
      </c>
      <c r="Q310" s="252"/>
      <c r="R310" s="252"/>
      <c r="S310" s="252" t="e">
        <f>ROUND(P310-Q310,0)</f>
        <v>#REF!</v>
      </c>
      <c r="T310" s="252"/>
      <c r="U310" s="441" t="e">
        <f>ROUND(S310-R310,0)</f>
        <v>#REF!</v>
      </c>
      <c r="V310" s="440"/>
      <c r="W310" s="442" t="e">
        <f>D310</f>
        <v>#REF!</v>
      </c>
      <c r="X310" s="188"/>
      <c r="Y310" s="95"/>
    </row>
    <row r="311" spans="1:25" s="181" customFormat="1" ht="18">
      <c r="A311" s="295">
        <v>61</v>
      </c>
      <c r="B311" s="437"/>
      <c r="C311" s="492"/>
      <c r="D311" s="462" t="e">
        <f>#REF!</f>
        <v>#REF!</v>
      </c>
      <c r="E311" s="462" t="str">
        <f>[5]CNKT!D313</f>
        <v>CNKT</v>
      </c>
      <c r="F311" s="463" t="e">
        <f>VLOOKUP(D311,#REF!,3,0)</f>
        <v>#REF!</v>
      </c>
      <c r="G311" s="252" t="e">
        <f>VLOOKUP(D311,[5]CNKT!C306:F393,4,0)</f>
        <v>#REF!</v>
      </c>
      <c r="H311" s="252"/>
      <c r="I311" s="252" t="s">
        <v>120</v>
      </c>
      <c r="J311" s="252"/>
      <c r="K311" s="252"/>
      <c r="L311" s="252" t="e">
        <f>VLOOKUP(D311,#REF!,8,0)</f>
        <v>#REF!</v>
      </c>
      <c r="M311" s="252" t="e">
        <f t="shared" si="23"/>
        <v>#REF!</v>
      </c>
      <c r="N311" s="252" t="e">
        <f>VLOOKUP(D311,#REF!,11,0)</f>
        <v>#REF!</v>
      </c>
      <c r="O311" s="252" t="e">
        <f>VLOOKUP(D311,#REF!,21,0)</f>
        <v>#REF!</v>
      </c>
      <c r="P311" s="252" t="e">
        <f>VLOOKUP(D311,#REF!,22,0)</f>
        <v>#REF!</v>
      </c>
      <c r="Q311" s="252"/>
      <c r="R311" s="252"/>
      <c r="S311" s="252" t="e">
        <f>ROUND(P311-Q311,0)</f>
        <v>#REF!</v>
      </c>
      <c r="T311" s="252"/>
      <c r="U311" s="441" t="e">
        <f>ROUND(S311-R311,0)</f>
        <v>#REF!</v>
      </c>
      <c r="V311" s="440"/>
      <c r="W311" s="442" t="e">
        <f>D311</f>
        <v>#REF!</v>
      </c>
      <c r="X311" s="188"/>
      <c r="Y311" s="95"/>
    </row>
    <row r="312" spans="1:25" s="488" customFormat="1" ht="18">
      <c r="A312" s="295">
        <v>62</v>
      </c>
      <c r="B312" s="443"/>
      <c r="C312" s="498"/>
      <c r="D312" s="462" t="e">
        <f>#REF!</f>
        <v>#REF!</v>
      </c>
      <c r="E312" s="462" t="str">
        <f>[5]CNKT!D314</f>
        <v xml:space="preserve">CNK </v>
      </c>
      <c r="F312" s="463" t="e">
        <f>VLOOKUP(D312,#REF!,3,0)</f>
        <v>#REF!</v>
      </c>
      <c r="G312" s="252" t="e">
        <f>VLOOKUP(D312,[5]CNKT!C307:F394,4,0)</f>
        <v>#REF!</v>
      </c>
      <c r="H312" s="252"/>
      <c r="I312" s="252" t="s">
        <v>120</v>
      </c>
      <c r="J312" s="252"/>
      <c r="K312" s="252"/>
      <c r="L312" s="252" t="e">
        <f>VLOOKUP(D312,#REF!,8,0)</f>
        <v>#REF!</v>
      </c>
      <c r="M312" s="252" t="e">
        <f t="shared" si="23"/>
        <v>#REF!</v>
      </c>
      <c r="N312" s="252" t="e">
        <f>VLOOKUP(D312,#REF!,11,0)</f>
        <v>#REF!</v>
      </c>
      <c r="O312" s="252" t="e">
        <f>VLOOKUP(D312,#REF!,21,0)</f>
        <v>#REF!</v>
      </c>
      <c r="P312" s="252" t="e">
        <f>VLOOKUP(D312,#REF!,22,0)</f>
        <v>#REF!</v>
      </c>
      <c r="Q312" s="446"/>
      <c r="R312" s="446"/>
      <c r="S312" s="446" t="e">
        <f>ROUND(P312-Q312,0)</f>
        <v>#REF!</v>
      </c>
      <c r="T312" s="446"/>
      <c r="U312" s="447" t="e">
        <f>ROUND(S312-R312,0)</f>
        <v>#REF!</v>
      </c>
      <c r="V312" s="469"/>
      <c r="W312" s="445" t="e">
        <f>D312</f>
        <v>#REF!</v>
      </c>
      <c r="X312" s="499"/>
      <c r="Y312" s="500"/>
    </row>
    <row r="313" spans="1:25" s="488" customFormat="1" ht="18">
      <c r="A313" s="295">
        <v>62</v>
      </c>
      <c r="B313" s="449"/>
      <c r="C313" s="501"/>
      <c r="D313" s="462" t="e">
        <f>#REF!</f>
        <v>#REF!</v>
      </c>
      <c r="E313" s="462" t="str">
        <f>[5]CNKT!D315</f>
        <v xml:space="preserve">CNK </v>
      </c>
      <c r="F313" s="463" t="e">
        <f>VLOOKUP(D313,#REF!,3,0)</f>
        <v>#REF!</v>
      </c>
      <c r="G313" s="252" t="e">
        <f>VLOOKUP(D313,[5]CNKT!C308:F395,4,0)</f>
        <v>#REF!</v>
      </c>
      <c r="H313" s="252"/>
      <c r="I313" s="252" t="s">
        <v>120</v>
      </c>
      <c r="J313" s="252"/>
      <c r="K313" s="252"/>
      <c r="L313" s="252" t="e">
        <f>VLOOKUP(D313,#REF!,8,0)</f>
        <v>#REF!</v>
      </c>
      <c r="M313" s="252" t="e">
        <f t="shared" si="23"/>
        <v>#REF!</v>
      </c>
      <c r="N313" s="252" t="e">
        <f>VLOOKUP(D313,#REF!,11,0)</f>
        <v>#REF!</v>
      </c>
      <c r="O313" s="252" t="e">
        <f>VLOOKUP(D313,#REF!,21,0)</f>
        <v>#REF!</v>
      </c>
      <c r="P313" s="252" t="e">
        <f>VLOOKUP(D313,#REF!,22,0)</f>
        <v>#REF!</v>
      </c>
      <c r="Q313" s="452"/>
      <c r="R313" s="452"/>
      <c r="S313" s="452" t="e">
        <f>ROUND(P313-Q313,0)</f>
        <v>#REF!</v>
      </c>
      <c r="T313" s="452"/>
      <c r="U313" s="453" t="e">
        <f>ROUND(S313-R313,0)</f>
        <v>#REF!</v>
      </c>
      <c r="V313" s="475"/>
      <c r="W313" s="451" t="e">
        <f>D313</f>
        <v>#REF!</v>
      </c>
      <c r="X313" s="499"/>
      <c r="Y313" s="500"/>
    </row>
    <row r="314" spans="1:25" s="180" customFormat="1" ht="14.25">
      <c r="A314" s="1891" t="s">
        <v>588</v>
      </c>
      <c r="B314" s="1891"/>
      <c r="C314" s="1891"/>
      <c r="D314" s="1891"/>
      <c r="E314" s="1891"/>
      <c r="F314" s="186" t="e">
        <f>SUM(F251:F313)</f>
        <v>#REF!</v>
      </c>
      <c r="G314" s="186"/>
      <c r="H314" s="186"/>
      <c r="I314" s="186"/>
      <c r="J314" s="184" t="e">
        <f>SUM(J251:J313)</f>
        <v>#REF!</v>
      </c>
      <c r="K314" s="184"/>
      <c r="L314" s="184" t="e">
        <f>SUM(L251:L313)</f>
        <v>#REF!</v>
      </c>
      <c r="M314" s="184" t="e">
        <f t="shared" ref="M314:U314" si="28">SUM(M251:M313)</f>
        <v>#REF!</v>
      </c>
      <c r="N314" s="184" t="e">
        <f t="shared" si="28"/>
        <v>#REF!</v>
      </c>
      <c r="O314" s="184" t="e">
        <f t="shared" si="28"/>
        <v>#REF!</v>
      </c>
      <c r="P314" s="184" t="e">
        <f t="shared" si="28"/>
        <v>#REF!</v>
      </c>
      <c r="Q314" s="184">
        <f t="shared" si="28"/>
        <v>0</v>
      </c>
      <c r="R314" s="184" t="e">
        <f t="shared" si="28"/>
        <v>#REF!</v>
      </c>
      <c r="S314" s="184" t="e">
        <f t="shared" si="28"/>
        <v>#REF!</v>
      </c>
      <c r="T314" s="184">
        <f t="shared" si="28"/>
        <v>0</v>
      </c>
      <c r="U314" s="184" t="e">
        <f t="shared" si="28"/>
        <v>#REF!</v>
      </c>
      <c r="V314" s="185"/>
      <c r="W314" s="476"/>
      <c r="X314" s="179"/>
      <c r="Y314" s="187"/>
    </row>
    <row r="315" spans="1:25" s="180" customFormat="1" ht="16.5">
      <c r="A315" s="502">
        <v>1</v>
      </c>
      <c r="B315" s="503" t="s">
        <v>233</v>
      </c>
      <c r="C315" s="430" t="s">
        <v>238</v>
      </c>
      <c r="D315" s="431" t="str">
        <f>'[5]Trạm cán'!E12</f>
        <v>Tẩn</v>
      </c>
      <c r="E315" s="431" t="s">
        <v>204</v>
      </c>
      <c r="F315" s="504">
        <f>'[5]Bảng CC VP,BV'!AI25</f>
        <v>26</v>
      </c>
      <c r="G315" s="504">
        <f>'[5]Trạm cán'!H12</f>
        <v>350</v>
      </c>
      <c r="H315" s="505"/>
      <c r="I315" s="506" t="s">
        <v>27</v>
      </c>
      <c r="J315" s="507">
        <f>G315</f>
        <v>350</v>
      </c>
      <c r="K315" s="549"/>
      <c r="L315" s="494" t="e">
        <f>VLOOKUP(D315,#REF!,8,0)</f>
        <v>#REF!</v>
      </c>
      <c r="M315" s="435" t="e">
        <f>L315</f>
        <v>#REF!</v>
      </c>
      <c r="N315" s="508"/>
      <c r="O315" s="508"/>
      <c r="P315" s="339" t="e">
        <f>SUM(M315:O315)</f>
        <v>#REF!</v>
      </c>
      <c r="Q315" s="508"/>
      <c r="R315" s="478" t="e">
        <f>#REF!</f>
        <v>#REF!</v>
      </c>
      <c r="S315" s="339" t="e">
        <f>P315-R315</f>
        <v>#REF!</v>
      </c>
      <c r="T315" s="509"/>
      <c r="U315" s="435" t="e">
        <f>S315-T315</f>
        <v>#REF!</v>
      </c>
      <c r="V315" s="510"/>
      <c r="W315" s="511" t="s">
        <v>589</v>
      </c>
      <c r="X315" s="179"/>
      <c r="Y315" s="187"/>
    </row>
    <row r="316" spans="1:25" s="180" customFormat="1" ht="16.5">
      <c r="A316" s="512">
        <v>2</v>
      </c>
      <c r="B316" s="513" t="s">
        <v>234</v>
      </c>
      <c r="C316" s="438" t="s">
        <v>239</v>
      </c>
      <c r="D316" s="439" t="str">
        <f>'[5]Trạm cán'!E13</f>
        <v>Ca Tăn</v>
      </c>
      <c r="E316" s="439" t="s">
        <v>204</v>
      </c>
      <c r="F316" s="514">
        <f>'[5]Bảng CC VP,BV'!AI26</f>
        <v>26</v>
      </c>
      <c r="G316" s="514">
        <f>350/X7*$F$316</f>
        <v>350</v>
      </c>
      <c r="H316" s="514">
        <v>50</v>
      </c>
      <c r="I316" s="515" t="s">
        <v>27</v>
      </c>
      <c r="J316" s="494">
        <f>G316+H316</f>
        <v>400</v>
      </c>
      <c r="K316" s="494"/>
      <c r="L316" s="494" t="e">
        <f>VLOOKUP(D316,#REF!,8,0)</f>
        <v>#REF!</v>
      </c>
      <c r="M316" s="441" t="e">
        <f>L316</f>
        <v>#REF!</v>
      </c>
      <c r="N316" s="516"/>
      <c r="O316" s="516"/>
      <c r="P316" s="342" t="e">
        <f>SUM(M316:O316)</f>
        <v>#REF!</v>
      </c>
      <c r="Q316" s="516"/>
      <c r="R316" s="478" t="e">
        <f>#REF!</f>
        <v>#REF!</v>
      </c>
      <c r="S316" s="342" t="e">
        <f>P316-R316</f>
        <v>#REF!</v>
      </c>
      <c r="T316" s="517"/>
      <c r="U316" s="441" t="e">
        <f>S316-T316</f>
        <v>#REF!</v>
      </c>
      <c r="V316" s="518"/>
      <c r="W316" s="519" t="s">
        <v>590</v>
      </c>
      <c r="X316" s="179"/>
      <c r="Y316" s="187"/>
    </row>
    <row r="317" spans="1:25" s="180" customFormat="1" ht="16.5">
      <c r="A317" s="512">
        <v>3</v>
      </c>
      <c r="B317" s="513" t="s">
        <v>591</v>
      </c>
      <c r="C317" s="438" t="s">
        <v>592</v>
      </c>
      <c r="D317" s="439" t="str">
        <f>'[5]Trạm cán'!E14</f>
        <v>Đao Tha La</v>
      </c>
      <c r="E317" s="439" t="s">
        <v>204</v>
      </c>
      <c r="F317" s="514">
        <f>'[5]Bảng CC VP,BV'!AI27</f>
        <v>26</v>
      </c>
      <c r="G317" s="514">
        <f>'[5]Trạm cán'!H14</f>
        <v>350</v>
      </c>
      <c r="H317" s="514"/>
      <c r="I317" s="515" t="s">
        <v>27</v>
      </c>
      <c r="J317" s="494">
        <f>G317</f>
        <v>350</v>
      </c>
      <c r="K317" s="494"/>
      <c r="L317" s="494" t="e">
        <f>VLOOKUP(D317,#REF!,8,0)</f>
        <v>#REF!</v>
      </c>
      <c r="M317" s="441" t="e">
        <f>L317</f>
        <v>#REF!</v>
      </c>
      <c r="N317" s="516"/>
      <c r="O317" s="516"/>
      <c r="P317" s="342" t="e">
        <f>SUM(M317:O317)</f>
        <v>#REF!</v>
      </c>
      <c r="Q317" s="516"/>
      <c r="R317" s="478" t="e">
        <f>#REF!</f>
        <v>#REF!</v>
      </c>
      <c r="S317" s="342" t="e">
        <f>P317-R317</f>
        <v>#REF!</v>
      </c>
      <c r="T317" s="517"/>
      <c r="U317" s="441" t="e">
        <f>S317-T317</f>
        <v>#REF!</v>
      </c>
      <c r="V317" s="518"/>
      <c r="W317" s="519" t="s">
        <v>139</v>
      </c>
      <c r="X317" s="179"/>
      <c r="Y317" s="187"/>
    </row>
    <row r="318" spans="1:25" s="180" customFormat="1" ht="16.5">
      <c r="A318" s="512">
        <v>4</v>
      </c>
      <c r="B318" s="513" t="str">
        <f>'[5]Trạm cán'!D15</f>
        <v>02358</v>
      </c>
      <c r="C318" s="438"/>
      <c r="D318" s="439" t="str">
        <f>'[5]Trạm cán'!E15</f>
        <v>Sum Mai</v>
      </c>
      <c r="E318" s="439" t="s">
        <v>204</v>
      </c>
      <c r="F318" s="514">
        <f>'[5]Bảng CC VP,BV'!AI28</f>
        <v>26</v>
      </c>
      <c r="G318" s="514">
        <f>'[5]Trạm cán'!H15</f>
        <v>310</v>
      </c>
      <c r="H318" s="514"/>
      <c r="I318" s="515" t="s">
        <v>27</v>
      </c>
      <c r="J318" s="494">
        <f>G318</f>
        <v>310</v>
      </c>
      <c r="K318" s="494"/>
      <c r="L318" s="494" t="e">
        <f>VLOOKUP(D318,#REF!,8,0)</f>
        <v>#REF!</v>
      </c>
      <c r="M318" s="441" t="e">
        <f>L318</f>
        <v>#REF!</v>
      </c>
      <c r="N318" s="516"/>
      <c r="O318" s="516"/>
      <c r="P318" s="342" t="e">
        <f>SUM(M318:O318)</f>
        <v>#REF!</v>
      </c>
      <c r="Q318" s="516"/>
      <c r="R318" s="478" t="e">
        <f>#REF!</f>
        <v>#REF!</v>
      </c>
      <c r="S318" s="342" t="e">
        <f>P318-R318</f>
        <v>#REF!</v>
      </c>
      <c r="T318" s="517"/>
      <c r="U318" s="441" t="e">
        <f>S318-T318</f>
        <v>#REF!</v>
      </c>
      <c r="V318" s="518"/>
      <c r="W318" s="519" t="str">
        <f>D318</f>
        <v>Sum Mai</v>
      </c>
      <c r="X318" s="179"/>
      <c r="Y318" s="187"/>
    </row>
    <row r="319" spans="1:25" s="180" customFormat="1" ht="16.5">
      <c r="A319" s="512">
        <v>5</v>
      </c>
      <c r="B319" s="513"/>
      <c r="C319" s="438"/>
      <c r="D319" s="439" t="str">
        <f>'[5]Bảng CC VP,BV'!B34</f>
        <v>Sa Mút</v>
      </c>
      <c r="E319" s="439" t="s">
        <v>3</v>
      </c>
      <c r="F319" s="514" t="e">
        <f>#REF!</f>
        <v>#REF!</v>
      </c>
      <c r="G319" s="252">
        <f>1700000/31</f>
        <v>54838.709677419356</v>
      </c>
      <c r="H319" s="252"/>
      <c r="I319" s="252" t="s">
        <v>168</v>
      </c>
      <c r="J319" s="252"/>
      <c r="K319" s="252"/>
      <c r="L319" s="278" t="e">
        <f>ROUND(F319*G319,0)</f>
        <v>#REF!</v>
      </c>
      <c r="M319" s="252" t="e">
        <f>L319</f>
        <v>#REF!</v>
      </c>
      <c r="N319" s="252"/>
      <c r="O319" s="252"/>
      <c r="P319" s="342" t="e">
        <f>SUM(M319:O319)</f>
        <v>#REF!</v>
      </c>
      <c r="Q319" s="252"/>
      <c r="R319" s="252"/>
      <c r="S319" s="342" t="e">
        <f>P319-R319</f>
        <v>#REF!</v>
      </c>
      <c r="T319" s="494"/>
      <c r="U319" s="441" t="e">
        <f>S319-T319</f>
        <v>#REF!</v>
      </c>
      <c r="V319" s="518"/>
      <c r="W319" s="519" t="s">
        <v>593</v>
      </c>
      <c r="X319" s="179"/>
      <c r="Y319" s="187"/>
    </row>
    <row r="320" spans="1:25" s="180" customFormat="1" ht="16.5">
      <c r="A320" s="512">
        <v>6</v>
      </c>
      <c r="B320" s="513" t="str">
        <f>'[5]Trạm cán'!D17</f>
        <v>01925</v>
      </c>
      <c r="C320" s="438"/>
      <c r="D320" s="439" t="str">
        <f>'[5]Trạm cán'!E17</f>
        <v>Cưng</v>
      </c>
      <c r="E320" s="439" t="s">
        <v>594</v>
      </c>
      <c r="F320" s="514"/>
      <c r="G320" s="252">
        <v>60000</v>
      </c>
      <c r="H320" s="252"/>
      <c r="I320" s="252" t="s">
        <v>168</v>
      </c>
      <c r="J320" s="252"/>
      <c r="K320" s="252"/>
      <c r="L320" s="278"/>
      <c r="M320" s="252" t="e">
        <f>#REF!</f>
        <v>#REF!</v>
      </c>
      <c r="N320" s="520"/>
      <c r="O320" s="252"/>
      <c r="P320" s="342" t="e">
        <f>M320</f>
        <v>#REF!</v>
      </c>
      <c r="Q320" s="252"/>
      <c r="R320" s="252"/>
      <c r="S320" s="342" t="e">
        <f t="shared" ref="S320:S331" si="29">P320-R320</f>
        <v>#REF!</v>
      </c>
      <c r="T320" s="494"/>
      <c r="U320" s="441" t="e">
        <f t="shared" ref="U320:U331" si="30">S320-T320</f>
        <v>#REF!</v>
      </c>
      <c r="V320" s="518"/>
      <c r="W320" s="519" t="str">
        <f>D320</f>
        <v>Cưng</v>
      </c>
      <c r="X320" s="179"/>
      <c r="Y320" s="187"/>
    </row>
    <row r="321" spans="1:25" s="180" customFormat="1" ht="16.5">
      <c r="A321" s="512">
        <v>7</v>
      </c>
      <c r="B321" s="513" t="str">
        <f>'[5]Trạm cán'!D18</f>
        <v>01926</v>
      </c>
      <c r="C321" s="438"/>
      <c r="D321" s="439" t="str">
        <f>'[5]Trạm cán'!E18</f>
        <v>A Viêng</v>
      </c>
      <c r="E321" s="439" t="s">
        <v>594</v>
      </c>
      <c r="F321" s="514"/>
      <c r="G321" s="252">
        <v>60000</v>
      </c>
      <c r="H321" s="252"/>
      <c r="I321" s="252" t="s">
        <v>168</v>
      </c>
      <c r="J321" s="252"/>
      <c r="K321" s="252"/>
      <c r="L321" s="278"/>
      <c r="M321" s="252" t="e">
        <f>#REF!</f>
        <v>#REF!</v>
      </c>
      <c r="N321" s="252"/>
      <c r="O321" s="252"/>
      <c r="P321" s="342" t="e">
        <f t="shared" ref="P321:P331" si="31">M321</f>
        <v>#REF!</v>
      </c>
      <c r="Q321" s="252"/>
      <c r="R321" s="252"/>
      <c r="S321" s="342" t="e">
        <f t="shared" si="29"/>
        <v>#REF!</v>
      </c>
      <c r="T321" s="494"/>
      <c r="U321" s="441" t="e">
        <f t="shared" si="30"/>
        <v>#REF!</v>
      </c>
      <c r="V321" s="518"/>
      <c r="W321" s="519" t="str">
        <f t="shared" ref="W321:W331" si="32">D321</f>
        <v>A Viêng</v>
      </c>
      <c r="X321" s="179"/>
      <c r="Y321" s="187"/>
    </row>
    <row r="322" spans="1:25" s="180" customFormat="1" ht="16.5">
      <c r="A322" s="512">
        <v>8</v>
      </c>
      <c r="B322" s="513" t="str">
        <f>'[5]Trạm cán'!D19</f>
        <v>01927</v>
      </c>
      <c r="C322" s="438"/>
      <c r="D322" s="439" t="str">
        <f>'[5]Trạm cán'!E19</f>
        <v>Keo</v>
      </c>
      <c r="E322" s="439" t="s">
        <v>594</v>
      </c>
      <c r="F322" s="514"/>
      <c r="G322" s="252">
        <v>60000</v>
      </c>
      <c r="H322" s="252"/>
      <c r="I322" s="252" t="s">
        <v>168</v>
      </c>
      <c r="J322" s="252"/>
      <c r="K322" s="252"/>
      <c r="L322" s="278"/>
      <c r="M322" s="252" t="e">
        <f>#REF!</f>
        <v>#REF!</v>
      </c>
      <c r="N322" s="252"/>
      <c r="O322" s="252"/>
      <c r="P322" s="342" t="e">
        <f t="shared" si="31"/>
        <v>#REF!</v>
      </c>
      <c r="Q322" s="252"/>
      <c r="R322" s="252"/>
      <c r="S322" s="342" t="e">
        <f t="shared" si="29"/>
        <v>#REF!</v>
      </c>
      <c r="T322" s="494"/>
      <c r="U322" s="441" t="e">
        <f t="shared" si="30"/>
        <v>#REF!</v>
      </c>
      <c r="V322" s="518"/>
      <c r="W322" s="519" t="str">
        <f t="shared" si="32"/>
        <v>Keo</v>
      </c>
      <c r="X322" s="179"/>
      <c r="Y322" s="187"/>
    </row>
    <row r="323" spans="1:25" s="180" customFormat="1" ht="16.5">
      <c r="A323" s="512">
        <v>9</v>
      </c>
      <c r="B323" s="513" t="str">
        <f>'[5]Trạm cán'!D20</f>
        <v>01928</v>
      </c>
      <c r="C323" s="438"/>
      <c r="D323" s="439" t="str">
        <f>'[5]Trạm cán'!E20</f>
        <v>Vay</v>
      </c>
      <c r="E323" s="439" t="s">
        <v>594</v>
      </c>
      <c r="F323" s="514"/>
      <c r="G323" s="252">
        <v>60000</v>
      </c>
      <c r="H323" s="252"/>
      <c r="I323" s="252" t="s">
        <v>168</v>
      </c>
      <c r="J323" s="252"/>
      <c r="K323" s="252"/>
      <c r="L323" s="278"/>
      <c r="M323" s="252" t="e">
        <f>#REF!</f>
        <v>#REF!</v>
      </c>
      <c r="N323" s="252"/>
      <c r="O323" s="252"/>
      <c r="P323" s="342" t="e">
        <f t="shared" si="31"/>
        <v>#REF!</v>
      </c>
      <c r="Q323" s="252"/>
      <c r="R323" s="252"/>
      <c r="S323" s="342" t="e">
        <f t="shared" si="29"/>
        <v>#REF!</v>
      </c>
      <c r="T323" s="494"/>
      <c r="U323" s="441" t="e">
        <f t="shared" si="30"/>
        <v>#REF!</v>
      </c>
      <c r="V323" s="518"/>
      <c r="W323" s="519" t="str">
        <f t="shared" si="32"/>
        <v>Vay</v>
      </c>
      <c r="X323" s="179"/>
      <c r="Y323" s="187"/>
    </row>
    <row r="324" spans="1:25" s="180" customFormat="1" ht="16.5">
      <c r="A324" s="512">
        <v>10</v>
      </c>
      <c r="B324" s="513" t="str">
        <f>'[5]Trạm cán'!D21</f>
        <v>01929</v>
      </c>
      <c r="C324" s="438"/>
      <c r="D324" s="439" t="str">
        <f>'[5]Trạm cán'!E21</f>
        <v>Vi Khăm</v>
      </c>
      <c r="E324" s="439" t="s">
        <v>594</v>
      </c>
      <c r="F324" s="514"/>
      <c r="G324" s="252">
        <v>60000</v>
      </c>
      <c r="H324" s="252"/>
      <c r="I324" s="252" t="s">
        <v>168</v>
      </c>
      <c r="J324" s="252"/>
      <c r="K324" s="252"/>
      <c r="L324" s="278"/>
      <c r="M324" s="252" t="e">
        <f>#REF!</f>
        <v>#REF!</v>
      </c>
      <c r="N324" s="252"/>
      <c r="O324" s="252"/>
      <c r="P324" s="342" t="e">
        <f t="shared" si="31"/>
        <v>#REF!</v>
      </c>
      <c r="Q324" s="252"/>
      <c r="R324" s="252"/>
      <c r="S324" s="342" t="e">
        <f t="shared" si="29"/>
        <v>#REF!</v>
      </c>
      <c r="T324" s="494"/>
      <c r="U324" s="441" t="e">
        <f t="shared" si="30"/>
        <v>#REF!</v>
      </c>
      <c r="V324" s="518"/>
      <c r="W324" s="519" t="str">
        <f t="shared" si="32"/>
        <v>Vi Khăm</v>
      </c>
      <c r="X324" s="179"/>
      <c r="Y324" s="187"/>
    </row>
    <row r="325" spans="1:25" s="180" customFormat="1" ht="16.5">
      <c r="A325" s="512">
        <v>11</v>
      </c>
      <c r="B325" s="513" t="str">
        <f>'[5]Trạm cán'!D22</f>
        <v>01930</v>
      </c>
      <c r="C325" s="438"/>
      <c r="D325" s="439" t="str">
        <f>'[5]Trạm cán'!E22</f>
        <v>T. Pu</v>
      </c>
      <c r="E325" s="439" t="s">
        <v>594</v>
      </c>
      <c r="F325" s="514"/>
      <c r="G325" s="252">
        <v>60000</v>
      </c>
      <c r="H325" s="252"/>
      <c r="I325" s="252" t="s">
        <v>168</v>
      </c>
      <c r="J325" s="252"/>
      <c r="K325" s="252"/>
      <c r="L325" s="278"/>
      <c r="M325" s="252" t="e">
        <f>#REF!</f>
        <v>#REF!</v>
      </c>
      <c r="N325" s="252"/>
      <c r="O325" s="252"/>
      <c r="P325" s="342" t="e">
        <f t="shared" si="31"/>
        <v>#REF!</v>
      </c>
      <c r="Q325" s="252"/>
      <c r="R325" s="252"/>
      <c r="S325" s="342" t="e">
        <f t="shared" si="29"/>
        <v>#REF!</v>
      </c>
      <c r="T325" s="494"/>
      <c r="U325" s="441" t="e">
        <f t="shared" si="30"/>
        <v>#REF!</v>
      </c>
      <c r="V325" s="518"/>
      <c r="W325" s="519" t="str">
        <f t="shared" si="32"/>
        <v>T. Pu</v>
      </c>
      <c r="X325" s="179"/>
      <c r="Y325" s="187"/>
    </row>
    <row r="326" spans="1:25" s="180" customFormat="1" ht="16.5">
      <c r="A326" s="512">
        <v>12</v>
      </c>
      <c r="B326" s="513" t="str">
        <f>'[5]Trạm cán'!D23</f>
        <v>01945</v>
      </c>
      <c r="C326" s="438"/>
      <c r="D326" s="439" t="str">
        <f>'[5]Trạm cán'!E23</f>
        <v>Tôn Ma</v>
      </c>
      <c r="E326" s="439" t="s">
        <v>594</v>
      </c>
      <c r="F326" s="514"/>
      <c r="G326" s="252">
        <v>60000</v>
      </c>
      <c r="H326" s="252"/>
      <c r="I326" s="252" t="s">
        <v>168</v>
      </c>
      <c r="J326" s="252"/>
      <c r="K326" s="252"/>
      <c r="L326" s="278"/>
      <c r="M326" s="252" t="e">
        <f>#REF!</f>
        <v>#REF!</v>
      </c>
      <c r="N326" s="252"/>
      <c r="O326" s="252"/>
      <c r="P326" s="342" t="e">
        <f t="shared" si="31"/>
        <v>#REF!</v>
      </c>
      <c r="Q326" s="252"/>
      <c r="R326" s="252"/>
      <c r="S326" s="342" t="e">
        <f t="shared" si="29"/>
        <v>#REF!</v>
      </c>
      <c r="T326" s="494"/>
      <c r="U326" s="441" t="e">
        <f t="shared" si="30"/>
        <v>#REF!</v>
      </c>
      <c r="V326" s="518"/>
      <c r="W326" s="519" t="str">
        <f t="shared" si="32"/>
        <v>Tôn Ma</v>
      </c>
      <c r="X326" s="179"/>
      <c r="Y326" s="187"/>
    </row>
    <row r="327" spans="1:25" s="180" customFormat="1" ht="16.5">
      <c r="A327" s="512">
        <v>13</v>
      </c>
      <c r="B327" s="513" t="str">
        <f>'[5]Trạm cán'!D24</f>
        <v>01956</v>
      </c>
      <c r="C327" s="438"/>
      <c r="D327" s="439" t="str">
        <f>'[5]Trạm cán'!E24</f>
        <v>Leo</v>
      </c>
      <c r="E327" s="439" t="s">
        <v>594</v>
      </c>
      <c r="F327" s="514"/>
      <c r="G327" s="252">
        <v>60000</v>
      </c>
      <c r="H327" s="252"/>
      <c r="I327" s="252" t="s">
        <v>168</v>
      </c>
      <c r="J327" s="252"/>
      <c r="K327" s="252"/>
      <c r="L327" s="278"/>
      <c r="M327" s="252" t="e">
        <f>#REF!</f>
        <v>#REF!</v>
      </c>
      <c r="N327" s="252"/>
      <c r="O327" s="252"/>
      <c r="P327" s="342" t="e">
        <f t="shared" si="31"/>
        <v>#REF!</v>
      </c>
      <c r="Q327" s="252"/>
      <c r="R327" s="252"/>
      <c r="S327" s="342" t="e">
        <f t="shared" si="29"/>
        <v>#REF!</v>
      </c>
      <c r="T327" s="494"/>
      <c r="U327" s="441" t="e">
        <f t="shared" si="30"/>
        <v>#REF!</v>
      </c>
      <c r="V327" s="518"/>
      <c r="W327" s="519" t="str">
        <f t="shared" si="32"/>
        <v>Leo</v>
      </c>
      <c r="X327" s="179"/>
      <c r="Y327" s="187"/>
    </row>
    <row r="328" spans="1:25" s="180" customFormat="1" ht="16.5">
      <c r="A328" s="512">
        <v>14</v>
      </c>
      <c r="B328" s="513" t="str">
        <f>'[5]Trạm cán'!D25</f>
        <v>01957</v>
      </c>
      <c r="C328" s="438"/>
      <c r="D328" s="439" t="str">
        <f>'[5]Trạm cán'!E25</f>
        <v>Phi</v>
      </c>
      <c r="E328" s="439" t="s">
        <v>594</v>
      </c>
      <c r="F328" s="514"/>
      <c r="G328" s="252">
        <v>60000</v>
      </c>
      <c r="H328" s="252"/>
      <c r="I328" s="252" t="s">
        <v>168</v>
      </c>
      <c r="J328" s="252"/>
      <c r="K328" s="252"/>
      <c r="L328" s="278"/>
      <c r="M328" s="252" t="e">
        <f>#REF!</f>
        <v>#REF!</v>
      </c>
      <c r="N328" s="252"/>
      <c r="O328" s="252"/>
      <c r="P328" s="342" t="e">
        <f t="shared" si="31"/>
        <v>#REF!</v>
      </c>
      <c r="Q328" s="252"/>
      <c r="R328" s="252"/>
      <c r="S328" s="342" t="e">
        <f t="shared" si="29"/>
        <v>#REF!</v>
      </c>
      <c r="T328" s="494"/>
      <c r="U328" s="441" t="e">
        <f t="shared" si="30"/>
        <v>#REF!</v>
      </c>
      <c r="V328" s="518"/>
      <c r="W328" s="519" t="str">
        <f t="shared" si="32"/>
        <v>Phi</v>
      </c>
      <c r="X328" s="179"/>
      <c r="Y328" s="187"/>
    </row>
    <row r="329" spans="1:25" s="180" customFormat="1" ht="16.5">
      <c r="A329" s="512">
        <v>15</v>
      </c>
      <c r="B329" s="513" t="str">
        <f>'[5]Trạm cán'!D26</f>
        <v>01963</v>
      </c>
      <c r="C329" s="438"/>
      <c r="D329" s="439" t="str">
        <f>'[5]Trạm cán'!E26</f>
        <v>Đăm</v>
      </c>
      <c r="E329" s="439" t="s">
        <v>594</v>
      </c>
      <c r="F329" s="514"/>
      <c r="G329" s="252">
        <v>60000</v>
      </c>
      <c r="H329" s="252"/>
      <c r="I329" s="252" t="s">
        <v>168</v>
      </c>
      <c r="J329" s="252"/>
      <c r="K329" s="252"/>
      <c r="L329" s="278"/>
      <c r="M329" s="252" t="e">
        <f>#REF!</f>
        <v>#REF!</v>
      </c>
      <c r="N329" s="252"/>
      <c r="O329" s="252"/>
      <c r="P329" s="342" t="e">
        <f t="shared" si="31"/>
        <v>#REF!</v>
      </c>
      <c r="Q329" s="252"/>
      <c r="R329" s="252"/>
      <c r="S329" s="342" t="e">
        <f>P329-R329</f>
        <v>#REF!</v>
      </c>
      <c r="T329" s="494"/>
      <c r="U329" s="441" t="e">
        <f t="shared" si="30"/>
        <v>#REF!</v>
      </c>
      <c r="V329" s="518"/>
      <c r="W329" s="519" t="str">
        <f t="shared" si="32"/>
        <v>Đăm</v>
      </c>
      <c r="X329" s="179"/>
      <c r="Y329" s="187"/>
    </row>
    <row r="330" spans="1:25" s="180" customFormat="1" ht="16.5">
      <c r="A330" s="512">
        <v>16</v>
      </c>
      <c r="B330" s="513">
        <f>'[5]Trạm cán'!D27</f>
        <v>0</v>
      </c>
      <c r="C330" s="438"/>
      <c r="D330" s="439" t="str">
        <f>'[5]Trạm cán'!E27</f>
        <v xml:space="preserve"> Pợt</v>
      </c>
      <c r="E330" s="439" t="s">
        <v>594</v>
      </c>
      <c r="F330" s="514"/>
      <c r="G330" s="252">
        <v>60000</v>
      </c>
      <c r="H330" s="252"/>
      <c r="I330" s="252" t="s">
        <v>168</v>
      </c>
      <c r="J330" s="252"/>
      <c r="K330" s="252"/>
      <c r="L330" s="278"/>
      <c r="M330" s="252" t="e">
        <f>#REF!</f>
        <v>#REF!</v>
      </c>
      <c r="N330" s="252"/>
      <c r="O330" s="252"/>
      <c r="P330" s="342" t="e">
        <f t="shared" si="31"/>
        <v>#REF!</v>
      </c>
      <c r="Q330" s="252"/>
      <c r="R330" s="252"/>
      <c r="S330" s="342" t="e">
        <f t="shared" si="29"/>
        <v>#REF!</v>
      </c>
      <c r="T330" s="494"/>
      <c r="U330" s="441" t="e">
        <f t="shared" si="30"/>
        <v>#REF!</v>
      </c>
      <c r="V330" s="518"/>
      <c r="W330" s="519" t="str">
        <f t="shared" si="32"/>
        <v xml:space="preserve"> Pợt</v>
      </c>
      <c r="X330" s="179"/>
      <c r="Y330" s="187"/>
    </row>
    <row r="331" spans="1:25" s="180" customFormat="1" ht="16.5">
      <c r="A331" s="521">
        <v>17</v>
      </c>
      <c r="B331" s="522">
        <f>'[5]Trạm cán'!D28</f>
        <v>0</v>
      </c>
      <c r="C331" s="523"/>
      <c r="D331" s="524" t="str">
        <f>'[5]Trạm cán'!E28</f>
        <v>May</v>
      </c>
      <c r="E331" s="524" t="s">
        <v>594</v>
      </c>
      <c r="F331" s="525"/>
      <c r="G331" s="474">
        <v>60000</v>
      </c>
      <c r="H331" s="474"/>
      <c r="I331" s="474" t="s">
        <v>168</v>
      </c>
      <c r="J331" s="474"/>
      <c r="K331" s="474"/>
      <c r="L331" s="348"/>
      <c r="M331" s="252" t="e">
        <f>#REF!</f>
        <v>#REF!</v>
      </c>
      <c r="N331" s="474"/>
      <c r="O331" s="474"/>
      <c r="P331" s="526" t="e">
        <f t="shared" si="31"/>
        <v>#REF!</v>
      </c>
      <c r="Q331" s="474"/>
      <c r="R331" s="474"/>
      <c r="S331" s="526" t="e">
        <f t="shared" si="29"/>
        <v>#REF!</v>
      </c>
      <c r="T331" s="527"/>
      <c r="U331" s="528" t="e">
        <f t="shared" si="30"/>
        <v>#REF!</v>
      </c>
      <c r="V331" s="529"/>
      <c r="W331" s="530" t="str">
        <f t="shared" si="32"/>
        <v>May</v>
      </c>
      <c r="X331" s="179"/>
      <c r="Y331" s="187"/>
    </row>
    <row r="332" spans="1:25" s="180" customFormat="1" ht="14.25">
      <c r="A332" s="2283" t="s">
        <v>209</v>
      </c>
      <c r="B332" s="2283"/>
      <c r="C332" s="2283"/>
      <c r="D332" s="2283"/>
      <c r="E332" s="2283"/>
      <c r="F332" s="531" t="e">
        <f>SUM(F315:F319)</f>
        <v>#REF!</v>
      </c>
      <c r="G332" s="531"/>
      <c r="H332" s="531"/>
      <c r="I332" s="531"/>
      <c r="J332" s="531"/>
      <c r="K332" s="531"/>
      <c r="L332" s="531" t="e">
        <f>SUM(L315:L331)</f>
        <v>#REF!</v>
      </c>
      <c r="M332" s="531" t="e">
        <f>SUM(M315:M331)</f>
        <v>#REF!</v>
      </c>
      <c r="N332" s="531"/>
      <c r="O332" s="531"/>
      <c r="P332" s="531" t="e">
        <f t="shared" ref="P332:U332" si="33">SUM(P315:P331)</f>
        <v>#REF!</v>
      </c>
      <c r="Q332" s="531">
        <f t="shared" si="33"/>
        <v>0</v>
      </c>
      <c r="R332" s="531" t="e">
        <f t="shared" si="33"/>
        <v>#REF!</v>
      </c>
      <c r="S332" s="531" t="e">
        <f t="shared" si="33"/>
        <v>#REF!</v>
      </c>
      <c r="T332" s="531">
        <f t="shared" si="33"/>
        <v>0</v>
      </c>
      <c r="U332" s="531" t="e">
        <f t="shared" si="33"/>
        <v>#REF!</v>
      </c>
      <c r="V332" s="531"/>
      <c r="W332" s="532"/>
      <c r="X332" s="179"/>
      <c r="Y332" s="187"/>
    </row>
    <row r="333" spans="1:25" s="180" customFormat="1">
      <c r="A333" s="294">
        <v>1</v>
      </c>
      <c r="B333" s="2278" t="s">
        <v>595</v>
      </c>
      <c r="C333" s="2278"/>
      <c r="D333" s="2278"/>
      <c r="E333" s="294" t="s">
        <v>289</v>
      </c>
      <c r="F333" s="433">
        <f>'[5]Bảng CC VP,BV'!AI36</f>
        <v>30</v>
      </c>
      <c r="G333" s="433">
        <f>1200000/30</f>
        <v>40000</v>
      </c>
      <c r="H333" s="433"/>
      <c r="I333" s="433" t="s">
        <v>168</v>
      </c>
      <c r="J333" s="277"/>
      <c r="K333" s="277"/>
      <c r="L333" s="277">
        <f>ROUND(F333*G333,0)</f>
        <v>1200000</v>
      </c>
      <c r="M333" s="433">
        <f>L333</f>
        <v>1200000</v>
      </c>
      <c r="N333" s="433"/>
      <c r="O333" s="433"/>
      <c r="P333" s="339">
        <f>M333</f>
        <v>1200000</v>
      </c>
      <c r="Q333" s="433"/>
      <c r="R333" s="433"/>
      <c r="S333" s="433">
        <f>ROUND(P333-Q333,0)</f>
        <v>1200000</v>
      </c>
      <c r="T333" s="433"/>
      <c r="U333" s="435">
        <f>ROUND(S333-T333,0)</f>
        <v>1200000</v>
      </c>
      <c r="V333" s="432"/>
      <c r="W333" s="533" t="str">
        <f>B333</f>
        <v>Nàng Nhung</v>
      </c>
      <c r="X333" s="179"/>
      <c r="Y333" s="187"/>
    </row>
    <row r="334" spans="1:25" s="180" customFormat="1" ht="14.25">
      <c r="A334" s="2286" t="s">
        <v>596</v>
      </c>
      <c r="B334" s="2286"/>
      <c r="C334" s="2286"/>
      <c r="D334" s="2286"/>
      <c r="E334" s="2286"/>
      <c r="F334" s="184">
        <f>F333</f>
        <v>30</v>
      </c>
      <c r="G334" s="184"/>
      <c r="H334" s="184"/>
      <c r="I334" s="184"/>
      <c r="J334" s="184"/>
      <c r="K334" s="184"/>
      <c r="L334" s="184">
        <f>L333</f>
        <v>1200000</v>
      </c>
      <c r="M334" s="184">
        <f t="shared" ref="M334:U334" si="34">M333</f>
        <v>1200000</v>
      </c>
      <c r="N334" s="184">
        <f t="shared" si="34"/>
        <v>0</v>
      </c>
      <c r="O334" s="184">
        <f t="shared" si="34"/>
        <v>0</v>
      </c>
      <c r="P334" s="184">
        <f t="shared" si="34"/>
        <v>1200000</v>
      </c>
      <c r="Q334" s="184">
        <f t="shared" si="34"/>
        <v>0</v>
      </c>
      <c r="R334" s="184">
        <f t="shared" si="34"/>
        <v>0</v>
      </c>
      <c r="S334" s="184">
        <f t="shared" si="34"/>
        <v>1200000</v>
      </c>
      <c r="T334" s="184">
        <f t="shared" si="34"/>
        <v>0</v>
      </c>
      <c r="U334" s="184">
        <f t="shared" si="34"/>
        <v>1200000</v>
      </c>
      <c r="V334" s="185"/>
      <c r="W334" s="189"/>
      <c r="X334" s="179"/>
      <c r="Y334" s="187"/>
    </row>
    <row r="335" spans="1:25" s="180" customFormat="1" ht="15.75">
      <c r="A335" s="2287" t="s">
        <v>597</v>
      </c>
      <c r="B335" s="2287"/>
      <c r="C335" s="2287"/>
      <c r="D335" s="2287"/>
      <c r="E335" s="2287"/>
      <c r="F335" s="186" t="e">
        <f>F250+F186+F99+F314</f>
        <v>#REF!</v>
      </c>
      <c r="G335" s="184"/>
      <c r="H335" s="184"/>
      <c r="I335" s="184"/>
      <c r="J335" s="184"/>
      <c r="K335" s="184"/>
      <c r="L335" s="184"/>
      <c r="M335" s="184" t="e">
        <f t="shared" ref="M335:U335" si="35">M250+M186+M99+M314</f>
        <v>#REF!</v>
      </c>
      <c r="N335" s="184" t="e">
        <f t="shared" si="35"/>
        <v>#REF!</v>
      </c>
      <c r="O335" s="184" t="e">
        <f t="shared" si="35"/>
        <v>#REF!</v>
      </c>
      <c r="P335" s="184" t="e">
        <f t="shared" si="35"/>
        <v>#REF!</v>
      </c>
      <c r="Q335" s="184">
        <f t="shared" si="35"/>
        <v>0</v>
      </c>
      <c r="R335" s="184" t="e">
        <f t="shared" si="35"/>
        <v>#REF!</v>
      </c>
      <c r="S335" s="184" t="e">
        <f t="shared" si="35"/>
        <v>#REF!</v>
      </c>
      <c r="T335" s="184">
        <f t="shared" si="35"/>
        <v>0</v>
      </c>
      <c r="U335" s="184" t="e">
        <f t="shared" si="35"/>
        <v>#REF!</v>
      </c>
      <c r="V335" s="185"/>
      <c r="W335" s="189"/>
      <c r="X335" s="190"/>
      <c r="Y335" s="534"/>
    </row>
    <row r="336" spans="1:25" s="180" customFormat="1" ht="15.75">
      <c r="A336" s="2288" t="s">
        <v>598</v>
      </c>
      <c r="B336" s="2288"/>
      <c r="C336" s="2288"/>
      <c r="D336" s="2288"/>
      <c r="E336" s="2288"/>
      <c r="F336" s="186" t="e">
        <f>F332</f>
        <v>#REF!</v>
      </c>
      <c r="G336" s="184"/>
      <c r="H336" s="184"/>
      <c r="I336" s="184"/>
      <c r="J336" s="184"/>
      <c r="K336" s="184"/>
      <c r="L336" s="184"/>
      <c r="M336" s="184" t="e">
        <f>M332</f>
        <v>#REF!</v>
      </c>
      <c r="N336" s="184"/>
      <c r="O336" s="184"/>
      <c r="P336" s="184" t="e">
        <f t="shared" ref="P336:U336" si="36">P332</f>
        <v>#REF!</v>
      </c>
      <c r="Q336" s="184">
        <f t="shared" si="36"/>
        <v>0</v>
      </c>
      <c r="R336" s="184" t="e">
        <f t="shared" si="36"/>
        <v>#REF!</v>
      </c>
      <c r="S336" s="184" t="e">
        <f t="shared" si="36"/>
        <v>#REF!</v>
      </c>
      <c r="T336" s="184">
        <f t="shared" si="36"/>
        <v>0</v>
      </c>
      <c r="U336" s="184" t="e">
        <f t="shared" si="36"/>
        <v>#REF!</v>
      </c>
      <c r="V336" s="185"/>
      <c r="W336" s="189"/>
      <c r="X336" s="190"/>
      <c r="Y336" s="534"/>
    </row>
    <row r="337" spans="1:26" s="180" customFormat="1" ht="15.75">
      <c r="A337" s="2288" t="s">
        <v>599</v>
      </c>
      <c r="B337" s="2288"/>
      <c r="C337" s="2288"/>
      <c r="D337" s="2288"/>
      <c r="E337" s="2288"/>
      <c r="F337" s="186">
        <f>F334</f>
        <v>30</v>
      </c>
      <c r="G337" s="184"/>
      <c r="H337" s="184"/>
      <c r="I337" s="184"/>
      <c r="J337" s="184"/>
      <c r="K337" s="184"/>
      <c r="L337" s="184">
        <f>L334</f>
        <v>1200000</v>
      </c>
      <c r="M337" s="184">
        <f>M334</f>
        <v>1200000</v>
      </c>
      <c r="N337" s="184"/>
      <c r="O337" s="184"/>
      <c r="P337" s="184">
        <f>P334</f>
        <v>1200000</v>
      </c>
      <c r="Q337" s="184"/>
      <c r="R337" s="184"/>
      <c r="S337" s="184">
        <f>S334</f>
        <v>1200000</v>
      </c>
      <c r="T337" s="184"/>
      <c r="U337" s="184">
        <f>U334</f>
        <v>1200000</v>
      </c>
      <c r="V337" s="185"/>
      <c r="W337" s="189"/>
      <c r="X337" s="190"/>
      <c r="Y337" s="534"/>
    </row>
    <row r="338" spans="1:26" s="180" customFormat="1" ht="14.25">
      <c r="A338" s="2288" t="s">
        <v>600</v>
      </c>
      <c r="B338" s="2288"/>
      <c r="C338" s="2288"/>
      <c r="D338" s="2288"/>
      <c r="E338" s="2288"/>
      <c r="F338" s="186" t="e">
        <f>SUM(F335:F337)</f>
        <v>#REF!</v>
      </c>
      <c r="G338" s="184"/>
      <c r="H338" s="184"/>
      <c r="I338" s="184" t="s">
        <v>120</v>
      </c>
      <c r="J338" s="184"/>
      <c r="K338" s="184"/>
      <c r="L338" s="184"/>
      <c r="M338" s="184" t="e">
        <f t="shared" ref="M338:T338" si="37">SUM(M335:M337)</f>
        <v>#REF!</v>
      </c>
      <c r="N338" s="184" t="e">
        <f>SUM(N335:N337)</f>
        <v>#REF!</v>
      </c>
      <c r="O338" s="184" t="e">
        <f t="shared" si="37"/>
        <v>#REF!</v>
      </c>
      <c r="P338" s="184" t="e">
        <f t="shared" si="37"/>
        <v>#REF!</v>
      </c>
      <c r="Q338" s="184">
        <f t="shared" si="37"/>
        <v>0</v>
      </c>
      <c r="R338" s="184" t="e">
        <f t="shared" si="37"/>
        <v>#REF!</v>
      </c>
      <c r="S338" s="184" t="e">
        <f t="shared" si="37"/>
        <v>#REF!</v>
      </c>
      <c r="T338" s="535">
        <f t="shared" si="37"/>
        <v>0</v>
      </c>
      <c r="U338" s="535" t="e">
        <f>SUM(U335:U337)</f>
        <v>#REF!</v>
      </c>
      <c r="V338" s="536"/>
      <c r="W338" s="537"/>
      <c r="X338" s="179">
        <v>1252044477</v>
      </c>
      <c r="Y338" s="182" t="e">
        <f>+U338-#REF!</f>
        <v>#REF!</v>
      </c>
    </row>
    <row r="339" spans="1:26" s="180" customFormat="1" ht="15.75">
      <c r="A339" s="191"/>
      <c r="B339" s="192"/>
      <c r="C339" s="193"/>
      <c r="D339" s="191"/>
      <c r="E339" s="191"/>
      <c r="F339" s="194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6"/>
      <c r="W339" s="197"/>
      <c r="X339" s="190"/>
      <c r="Y339" s="182"/>
    </row>
    <row r="340" spans="1:26" s="180" customFormat="1" ht="14.25">
      <c r="A340" s="2289" t="s">
        <v>601</v>
      </c>
      <c r="B340" s="2289"/>
      <c r="C340" s="2289"/>
      <c r="D340" s="2289"/>
      <c r="E340" s="2289"/>
      <c r="F340" s="2289"/>
      <c r="G340" s="2289"/>
      <c r="H340" s="2289"/>
      <c r="I340" s="2289"/>
      <c r="J340" s="2289"/>
      <c r="K340" s="2289"/>
      <c r="L340" s="2289"/>
      <c r="M340" s="2289"/>
      <c r="N340" s="2289"/>
      <c r="O340" s="2289"/>
      <c r="P340" s="2289"/>
      <c r="Q340" s="2289"/>
      <c r="R340" s="2289"/>
      <c r="S340" s="2289"/>
      <c r="T340" s="2289"/>
      <c r="U340" s="2289"/>
      <c r="V340" s="2289"/>
      <c r="W340" s="2289"/>
      <c r="X340" s="179" t="e">
        <f>X338-U338</f>
        <v>#REF!</v>
      </c>
      <c r="Y340" s="182"/>
    </row>
    <row r="341" spans="1:26" ht="15.75">
      <c r="A341" s="740"/>
      <c r="B341" s="198"/>
      <c r="D341" s="4"/>
      <c r="E341" s="4"/>
      <c r="F341" s="199"/>
      <c r="G341" s="4"/>
      <c r="H341" s="4"/>
      <c r="I341" s="4"/>
      <c r="J341" s="4"/>
      <c r="K341" s="4"/>
      <c r="L341" s="200"/>
      <c r="M341" s="4"/>
      <c r="N341" s="4"/>
      <c r="O341" s="4"/>
      <c r="P341" s="4"/>
      <c r="Q341" s="4"/>
      <c r="R341" s="4"/>
      <c r="S341" s="2290" t="s">
        <v>602</v>
      </c>
      <c r="T341" s="2290"/>
      <c r="U341" s="2290"/>
      <c r="V341" s="2290"/>
      <c r="W341" s="2290"/>
      <c r="X341" s="56"/>
      <c r="Y341" s="2">
        <v>166185000</v>
      </c>
      <c r="Z341" s="58" t="e">
        <f>+P338-R338</f>
        <v>#REF!</v>
      </c>
    </row>
    <row r="342" spans="1:26" s="47" customFormat="1" ht="15.75">
      <c r="A342" s="739"/>
      <c r="B342" s="3"/>
      <c r="C342" s="3"/>
      <c r="D342" s="1978" t="s">
        <v>46</v>
      </c>
      <c r="E342" s="1978"/>
      <c r="F342" s="739"/>
      <c r="I342" s="3"/>
      <c r="J342" s="3"/>
      <c r="K342" s="3"/>
      <c r="L342" s="3" t="s">
        <v>45</v>
      </c>
      <c r="M342" s="538"/>
      <c r="O342" s="3"/>
      <c r="P342" s="47" t="s">
        <v>44</v>
      </c>
      <c r="Q342" s="3" t="s">
        <v>186</v>
      </c>
      <c r="R342" s="3"/>
      <c r="T342" s="3"/>
      <c r="U342" s="1978" t="s">
        <v>178</v>
      </c>
      <c r="V342" s="1978"/>
      <c r="W342" s="3"/>
      <c r="X342" s="58"/>
      <c r="Y342" s="201" t="e">
        <f>P335+P336+3200000</f>
        <v>#REF!</v>
      </c>
    </row>
    <row r="343" spans="1:26" s="47" customFormat="1" ht="15.75">
      <c r="A343" s="739"/>
      <c r="B343" s="202"/>
      <c r="C343" s="203"/>
      <c r="D343" s="739"/>
      <c r="E343" s="739"/>
      <c r="F343" s="739"/>
      <c r="G343" s="5"/>
      <c r="H343" s="5"/>
      <c r="I343" s="204"/>
      <c r="J343" s="204"/>
      <c r="K343" s="204"/>
      <c r="L343" s="204"/>
      <c r="M343" s="204"/>
      <c r="N343" s="539"/>
      <c r="O343" s="539"/>
      <c r="P343" s="205"/>
      <c r="Q343" s="739"/>
      <c r="R343" s="739"/>
      <c r="S343" s="739"/>
      <c r="T343" s="739"/>
      <c r="V343" s="739"/>
      <c r="W343" s="744"/>
      <c r="X343" s="57"/>
      <c r="Y343" s="201" t="e">
        <f>Y342-Y341</f>
        <v>#REF!</v>
      </c>
    </row>
    <row r="344" spans="1:26" s="47" customFormat="1" ht="15.75">
      <c r="A344" s="739"/>
      <c r="B344" s="202"/>
      <c r="C344" s="203"/>
      <c r="D344" s="739"/>
      <c r="E344" s="739"/>
      <c r="F344" s="739"/>
      <c r="G344" s="5"/>
      <c r="H344" s="5"/>
      <c r="I344" s="204"/>
      <c r="J344" s="204"/>
      <c r="K344" s="204"/>
      <c r="L344" s="204"/>
      <c r="M344" s="204"/>
      <c r="N344" s="539"/>
      <c r="O344" s="539"/>
      <c r="P344" s="205"/>
      <c r="Q344" s="739"/>
      <c r="R344" s="739"/>
      <c r="S344" s="739"/>
      <c r="T344" s="739"/>
      <c r="U344" s="206"/>
      <c r="V344" s="207"/>
      <c r="W344" s="744"/>
      <c r="X344" s="2"/>
    </row>
    <row r="345" spans="1:26" ht="15.75">
      <c r="A345" s="740"/>
      <c r="B345" s="198"/>
      <c r="D345" s="4"/>
      <c r="E345" s="4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4"/>
      <c r="W345" s="750"/>
      <c r="X345" s="58"/>
    </row>
    <row r="346" spans="1:26" ht="15.75">
      <c r="A346" s="740"/>
      <c r="B346" s="198"/>
      <c r="D346" s="4"/>
      <c r="E346" s="4"/>
      <c r="F346" s="208"/>
      <c r="G346" s="540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4"/>
      <c r="W346" s="750"/>
      <c r="X346" s="58"/>
    </row>
    <row r="347" spans="1:26" ht="20.25">
      <c r="A347" s="740"/>
      <c r="B347" s="198"/>
      <c r="D347" s="4"/>
      <c r="E347" s="4"/>
      <c r="F347" s="208"/>
      <c r="G347" s="541">
        <f>840+840+210</f>
        <v>1890</v>
      </c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4"/>
      <c r="W347" s="750"/>
      <c r="X347" s="58"/>
    </row>
    <row r="348" spans="1:26" ht="15.75">
      <c r="A348" s="740"/>
      <c r="B348" s="198"/>
      <c r="D348" s="4"/>
      <c r="E348" s="4"/>
      <c r="F348" s="209"/>
      <c r="G348" s="542"/>
      <c r="H348" s="209"/>
      <c r="I348" s="209"/>
      <c r="J348" s="209"/>
      <c r="K348" s="209"/>
      <c r="L348" s="209"/>
      <c r="M348" s="209"/>
      <c r="N348" s="209"/>
      <c r="O348" s="543"/>
      <c r="P348" s="543"/>
      <c r="Q348" s="209"/>
      <c r="R348" s="209"/>
      <c r="S348" s="209"/>
      <c r="T348" s="209"/>
      <c r="U348" s="209"/>
      <c r="V348" s="4"/>
    </row>
    <row r="349" spans="1:26" ht="15.75">
      <c r="A349" s="740"/>
      <c r="B349" s="198"/>
      <c r="D349" s="4"/>
      <c r="E349" s="4"/>
      <c r="F349" s="209"/>
      <c r="G349" s="542">
        <f>1890-1889.9</f>
        <v>9.9999999999909051E-2</v>
      </c>
      <c r="H349" s="209"/>
      <c r="I349" s="209"/>
      <c r="J349" s="209"/>
      <c r="K349" s="209"/>
      <c r="L349" s="209"/>
      <c r="M349" s="209"/>
      <c r="N349" s="544"/>
      <c r="O349" s="543"/>
      <c r="P349" s="543"/>
      <c r="Q349" s="209"/>
      <c r="R349" s="209"/>
      <c r="S349" s="209"/>
      <c r="T349" s="209"/>
      <c r="U349" s="209"/>
      <c r="V349" s="4"/>
    </row>
    <row r="350" spans="1:26" ht="15.75">
      <c r="A350" s="740"/>
      <c r="B350" s="198"/>
      <c r="D350" s="4"/>
      <c r="E350" s="4"/>
      <c r="F350" s="740"/>
      <c r="G350" s="545"/>
      <c r="H350" s="4"/>
      <c r="I350" s="4"/>
      <c r="J350" s="4"/>
      <c r="K350" s="4"/>
      <c r="L350" s="200"/>
      <c r="M350" s="200"/>
      <c r="N350" s="546"/>
      <c r="O350" s="547"/>
      <c r="P350" s="54" t="s">
        <v>419</v>
      </c>
      <c r="Q350" s="210"/>
      <c r="R350" s="210"/>
      <c r="T350" s="54"/>
      <c r="U350" s="1978" t="s">
        <v>76</v>
      </c>
      <c r="V350" s="1978"/>
      <c r="W350" s="3"/>
      <c r="X350" s="57"/>
    </row>
    <row r="351" spans="1:26">
      <c r="M351" s="55"/>
      <c r="N351" s="58"/>
      <c r="O351" s="548"/>
      <c r="P351" s="142"/>
      <c r="Q351" s="55"/>
      <c r="R351" s="55"/>
    </row>
    <row r="352" spans="1:26">
      <c r="I352" s="2284"/>
      <c r="J352" s="2284"/>
      <c r="K352" s="2284"/>
      <c r="L352" s="2284"/>
      <c r="M352" s="2284"/>
      <c r="N352" s="289"/>
      <c r="O352" s="289"/>
      <c r="P352" s="56"/>
      <c r="Q352" s="2285"/>
      <c r="R352" s="2285"/>
      <c r="S352" s="2285"/>
      <c r="U352" s="57"/>
      <c r="V352" s="58"/>
    </row>
    <row r="353" spans="6:25">
      <c r="I353" s="2284"/>
      <c r="J353" s="2284"/>
      <c r="K353" s="2284"/>
      <c r="L353" s="2284"/>
      <c r="M353" s="2284"/>
      <c r="N353" s="1968"/>
      <c r="O353" s="1968"/>
      <c r="P353" s="56"/>
      <c r="S353" s="57"/>
      <c r="X353" s="58" t="e">
        <f>+P338-#REF!</f>
        <v>#REF!</v>
      </c>
      <c r="Y353" s="58" t="e">
        <f>+P338-R338</f>
        <v>#REF!</v>
      </c>
    </row>
    <row r="354" spans="6:25">
      <c r="I354" s="2284"/>
      <c r="J354" s="2284"/>
      <c r="K354" s="2284"/>
      <c r="L354" s="2284"/>
      <c r="M354" s="2284"/>
      <c r="N354" s="2130"/>
      <c r="O354" s="2128"/>
      <c r="P354" s="2293"/>
      <c r="Q354" s="2293"/>
      <c r="R354" s="746"/>
    </row>
    <row r="355" spans="6:25" ht="18.75">
      <c r="I355" s="2294"/>
      <c r="J355" s="2294"/>
      <c r="K355" s="2294"/>
      <c r="L355" s="2294"/>
      <c r="M355" s="2294"/>
      <c r="N355" s="2295"/>
      <c r="O355" s="2294"/>
      <c r="P355" s="115"/>
      <c r="R355" s="56">
        <v>91937528.846153855</v>
      </c>
      <c r="S355" s="50"/>
    </row>
    <row r="356" spans="6:25">
      <c r="N356" s="2127"/>
      <c r="O356" s="2128"/>
      <c r="P356" s="58"/>
      <c r="S356" s="56"/>
    </row>
    <row r="357" spans="6:25">
      <c r="O357" s="57"/>
      <c r="P357" s="115"/>
      <c r="S357" s="114"/>
    </row>
    <row r="358" spans="6:25">
      <c r="O358" s="58"/>
      <c r="P358" s="58"/>
      <c r="R358" s="56" t="e">
        <f>R355+P338</f>
        <v>#REF!</v>
      </c>
      <c r="S358" s="56"/>
      <c r="U358" s="2284"/>
      <c r="V358" s="2284"/>
    </row>
    <row r="359" spans="6:25">
      <c r="O359" s="115"/>
      <c r="P359" s="57"/>
      <c r="U359" s="55">
        <v>292355</v>
      </c>
      <c r="V359" s="58"/>
    </row>
    <row r="360" spans="6:25">
      <c r="L360" s="2284"/>
      <c r="M360" s="2284"/>
      <c r="S360" s="58"/>
      <c r="U360" s="57"/>
      <c r="V360" s="58"/>
    </row>
    <row r="361" spans="6:25">
      <c r="F361" s="2284"/>
      <c r="G361" s="2284"/>
      <c r="H361" s="745"/>
      <c r="L361" s="2284"/>
      <c r="M361" s="2284"/>
      <c r="N361" s="57"/>
      <c r="S361" s="58"/>
      <c r="U361" s="57"/>
    </row>
    <row r="362" spans="6:25">
      <c r="F362" s="2127"/>
      <c r="G362" s="2128"/>
      <c r="H362" s="742"/>
      <c r="L362" s="2284"/>
      <c r="M362" s="2284"/>
      <c r="O362" s="56"/>
      <c r="T362" s="57"/>
    </row>
    <row r="363" spans="6:25">
      <c r="F363" s="2127"/>
      <c r="G363" s="2128"/>
      <c r="H363" s="742"/>
      <c r="U363" s="305" t="e">
        <f>U359+R338</f>
        <v>#REF!</v>
      </c>
    </row>
    <row r="370" spans="12:12">
      <c r="L370" s="55" t="s">
        <v>276</v>
      </c>
    </row>
  </sheetData>
  <mergeCells count="57">
    <mergeCell ref="F363:G363"/>
    <mergeCell ref="K10:K11"/>
    <mergeCell ref="N356:O356"/>
    <mergeCell ref="U358:V358"/>
    <mergeCell ref="L360:M360"/>
    <mergeCell ref="F361:G361"/>
    <mergeCell ref="L361:M361"/>
    <mergeCell ref="F362:G362"/>
    <mergeCell ref="L362:M362"/>
    <mergeCell ref="I353:M353"/>
    <mergeCell ref="N353:O353"/>
    <mergeCell ref="I354:M354"/>
    <mergeCell ref="N354:O354"/>
    <mergeCell ref="P354:Q354"/>
    <mergeCell ref="I355:M355"/>
    <mergeCell ref="N355:O355"/>
    <mergeCell ref="I352:M352"/>
    <mergeCell ref="Q352:S352"/>
    <mergeCell ref="A334:E334"/>
    <mergeCell ref="A335:E335"/>
    <mergeCell ref="A336:E336"/>
    <mergeCell ref="A337:E337"/>
    <mergeCell ref="A338:E338"/>
    <mergeCell ref="A340:W340"/>
    <mergeCell ref="S341:W341"/>
    <mergeCell ref="D342:E342"/>
    <mergeCell ref="U342:V342"/>
    <mergeCell ref="U350:V350"/>
    <mergeCell ref="A99:D99"/>
    <mergeCell ref="A186:E186"/>
    <mergeCell ref="A250:E250"/>
    <mergeCell ref="A314:E314"/>
    <mergeCell ref="A332:E332"/>
    <mergeCell ref="B333:D333"/>
    <mergeCell ref="M1:W1"/>
    <mergeCell ref="M2:W2"/>
    <mergeCell ref="I6:L6"/>
    <mergeCell ref="I7:L7"/>
    <mergeCell ref="F9:O9"/>
    <mergeCell ref="P9:P10"/>
    <mergeCell ref="W9:W10"/>
    <mergeCell ref="C9:D9"/>
    <mergeCell ref="E9:E10"/>
    <mergeCell ref="Q9:Q10"/>
    <mergeCell ref="R9:R10"/>
    <mergeCell ref="S9:S10"/>
    <mergeCell ref="T9:T10"/>
    <mergeCell ref="U9:U10"/>
    <mergeCell ref="V9:V10"/>
    <mergeCell ref="D6:E6"/>
    <mergeCell ref="D7:E7"/>
    <mergeCell ref="A9:A10"/>
    <mergeCell ref="B9:B10"/>
    <mergeCell ref="A1:I1"/>
    <mergeCell ref="A2:I2"/>
    <mergeCell ref="A4:W4"/>
    <mergeCell ref="A5:W5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8" fitToHeight="0" orientation="landscape" r:id="rId1"/>
  <headerFooter>
    <oddFooter>&amp;R&amp;P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7"/>
  <sheetViews>
    <sheetView workbookViewId="0">
      <pane ySplit="1" topLeftCell="A11" activePane="bottomLeft" state="frozen"/>
      <selection activeCell="K303" sqref="K303:O303"/>
      <selection pane="bottomLeft" activeCell="L25" sqref="L25"/>
    </sheetView>
  </sheetViews>
  <sheetFormatPr defaultColWidth="9.140625" defaultRowHeight="16.5"/>
  <cols>
    <col min="1" max="1" width="4.42578125" style="358" customWidth="1"/>
    <col min="2" max="3" width="17.85546875" style="358" customWidth="1"/>
    <col min="4" max="4" width="11.140625" style="358" customWidth="1"/>
    <col min="5" max="5" width="21.28515625" style="358" customWidth="1"/>
    <col min="6" max="6" width="20" style="358" customWidth="1"/>
    <col min="7" max="7" width="20.42578125" style="358" customWidth="1"/>
    <col min="8" max="8" width="9.7109375" style="358" hidden="1" customWidth="1"/>
    <col min="9" max="9" width="25.42578125" style="358" customWidth="1"/>
    <col min="10" max="10" width="8.42578125" style="358" customWidth="1"/>
    <col min="11" max="11" width="12.85546875" style="358" customWidth="1"/>
    <col min="12" max="12" width="13.42578125" style="358" customWidth="1"/>
    <col min="13" max="14" width="7.85546875" style="358" customWidth="1"/>
    <col min="15" max="15" width="7.28515625" style="358" customWidth="1"/>
    <col min="16" max="16" width="7.42578125" style="358" customWidth="1"/>
    <col min="17" max="17" width="6.28515625" style="358" customWidth="1"/>
    <col min="18" max="18" width="5.7109375" style="358" customWidth="1"/>
    <col min="19" max="19" width="6" style="358" customWidth="1"/>
    <col min="20" max="20" width="4.85546875" style="358" customWidth="1"/>
    <col min="21" max="21" width="6" style="358" customWidth="1"/>
    <col min="22" max="22" width="6.5703125" style="358" customWidth="1"/>
    <col min="23" max="23" width="8.140625" style="358" customWidth="1"/>
    <col min="24" max="24" width="6" style="358" customWidth="1"/>
    <col min="25" max="25" width="8.140625" style="358" customWidth="1"/>
    <col min="26" max="26" width="15" style="358" bestFit="1" customWidth="1"/>
    <col min="27" max="27" width="17.85546875" style="358" bestFit="1" customWidth="1"/>
    <col min="28" max="28" width="12.85546875" style="358" bestFit="1" customWidth="1"/>
    <col min="29" max="16384" width="9.140625" style="358"/>
  </cols>
  <sheetData>
    <row r="1" spans="1:28">
      <c r="A1" s="169"/>
      <c r="B1" s="169"/>
      <c r="C1" s="169"/>
      <c r="D1" s="169"/>
      <c r="E1" s="169"/>
      <c r="F1" s="169"/>
      <c r="G1" s="169"/>
      <c r="H1" s="169"/>
      <c r="I1" s="169"/>
    </row>
    <row r="2" spans="1:28">
      <c r="A2" s="2062" t="s">
        <v>90</v>
      </c>
      <c r="B2" s="2062"/>
      <c r="C2" s="2062"/>
      <c r="D2" s="2062"/>
      <c r="E2" s="2062"/>
      <c r="F2" s="2062"/>
      <c r="G2" s="2062"/>
      <c r="H2" s="2062"/>
      <c r="I2" s="2062"/>
      <c r="J2" s="15"/>
      <c r="K2" s="15"/>
      <c r="L2" s="15"/>
      <c r="M2" s="623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2062" t="s">
        <v>56</v>
      </c>
      <c r="B3" s="2062"/>
      <c r="C3" s="2062"/>
      <c r="D3" s="2062"/>
      <c r="E3" s="2062"/>
      <c r="F3" s="2062"/>
      <c r="G3" s="2062"/>
      <c r="H3" s="2062"/>
      <c r="I3" s="2062"/>
      <c r="J3" s="16"/>
      <c r="K3" s="16"/>
      <c r="L3" s="16"/>
      <c r="M3" s="16"/>
      <c r="N3" s="624"/>
      <c r="P3" s="16"/>
      <c r="Q3" s="16"/>
      <c r="R3" s="16"/>
      <c r="S3" s="16"/>
      <c r="T3" s="16"/>
      <c r="U3" s="16"/>
      <c r="V3" s="16"/>
      <c r="W3" s="16"/>
      <c r="X3" s="16"/>
      <c r="Y3" s="624"/>
    </row>
    <row r="4" spans="1:28">
      <c r="A4" s="2063" t="s">
        <v>605</v>
      </c>
      <c r="B4" s="2062"/>
      <c r="C4" s="2062"/>
      <c r="D4" s="2062"/>
      <c r="E4" s="2062"/>
      <c r="F4" s="2062"/>
      <c r="G4" s="2062"/>
      <c r="H4" s="2062"/>
      <c r="I4" s="2062"/>
      <c r="J4" s="16"/>
      <c r="K4" s="16"/>
      <c r="L4" s="16"/>
      <c r="M4" s="16"/>
      <c r="N4" s="624"/>
      <c r="P4" s="16"/>
      <c r="Q4" s="16"/>
      <c r="R4" s="16"/>
      <c r="S4" s="16"/>
      <c r="T4" s="16"/>
      <c r="U4" s="16"/>
      <c r="V4" s="16"/>
      <c r="W4" s="16"/>
      <c r="X4" s="16"/>
      <c r="Y4" s="624"/>
    </row>
    <row r="5" spans="1:28">
      <c r="A5" s="169"/>
      <c r="B5" s="169"/>
      <c r="C5" s="169"/>
      <c r="D5" s="169"/>
      <c r="E5" s="169"/>
      <c r="F5" s="169"/>
      <c r="G5" s="169"/>
      <c r="H5" s="169"/>
      <c r="I5" s="169"/>
      <c r="J5" s="626"/>
      <c r="K5" s="626"/>
      <c r="L5" s="626"/>
      <c r="M5" s="627"/>
      <c r="N5" s="628"/>
      <c r="O5" s="629"/>
      <c r="P5" s="630"/>
      <c r="Q5" s="630"/>
      <c r="R5" s="630"/>
      <c r="S5" s="630"/>
      <c r="T5" s="630"/>
      <c r="U5" s="630"/>
      <c r="V5" s="630"/>
      <c r="W5" s="630"/>
      <c r="X5" s="630"/>
      <c r="Y5" s="624"/>
      <c r="Z5" s="631">
        <f>1372+388</f>
        <v>1760</v>
      </c>
      <c r="AA5" s="358">
        <f>Z5*30000</f>
        <v>52800000</v>
      </c>
      <c r="AB5" s="358" t="e">
        <f>AA5+#REF!+#REF!</f>
        <v>#REF!</v>
      </c>
    </row>
    <row r="6" spans="1:28">
      <c r="A6" s="1892" t="s">
        <v>5</v>
      </c>
      <c r="B6" s="1892"/>
      <c r="C6" s="1892"/>
      <c r="D6" s="1892"/>
      <c r="E6" s="1892"/>
      <c r="F6" s="1123"/>
      <c r="G6" s="237"/>
      <c r="H6" s="237"/>
      <c r="I6" s="237"/>
      <c r="J6" s="626"/>
      <c r="K6" s="626"/>
      <c r="L6" s="626"/>
      <c r="M6" s="627"/>
      <c r="N6" s="628"/>
      <c r="O6" s="629"/>
      <c r="P6" s="630"/>
      <c r="Q6" s="630"/>
      <c r="R6" s="630"/>
      <c r="S6" s="630"/>
      <c r="T6" s="630"/>
      <c r="U6" s="630"/>
      <c r="V6" s="630"/>
      <c r="W6" s="630"/>
      <c r="X6" s="630"/>
      <c r="Y6" s="624"/>
      <c r="Z6" s="631"/>
    </row>
    <row r="7" spans="1:28">
      <c r="A7" s="2111" t="s">
        <v>101</v>
      </c>
      <c r="B7" s="2111"/>
      <c r="C7" s="2111"/>
      <c r="D7" s="2111"/>
      <c r="E7" s="2111"/>
      <c r="F7" s="1124"/>
      <c r="G7" s="625"/>
      <c r="H7" s="625"/>
      <c r="I7" s="625"/>
      <c r="J7" s="626"/>
      <c r="K7" s="626"/>
      <c r="L7" s="626"/>
      <c r="M7" s="627"/>
      <c r="N7" s="628"/>
      <c r="O7" s="629"/>
      <c r="P7" s="630"/>
      <c r="Q7" s="630"/>
      <c r="R7" s="630"/>
      <c r="S7" s="630"/>
      <c r="T7" s="630"/>
      <c r="U7" s="630"/>
      <c r="V7" s="630"/>
      <c r="W7" s="630"/>
      <c r="X7" s="630"/>
      <c r="Y7" s="624"/>
      <c r="Z7" s="631"/>
    </row>
    <row r="8" spans="1:28">
      <c r="A8" s="1120"/>
      <c r="B8" s="1120"/>
      <c r="C8" s="1120"/>
      <c r="D8" s="1120"/>
      <c r="E8" s="1120"/>
      <c r="F8" s="1124"/>
      <c r="G8" s="625"/>
      <c r="H8" s="625"/>
      <c r="I8" s="625"/>
      <c r="J8" s="626"/>
      <c r="K8" s="626"/>
      <c r="L8" s="626"/>
      <c r="M8" s="627"/>
      <c r="N8" s="628"/>
      <c r="O8" s="629"/>
      <c r="P8" s="630"/>
      <c r="Q8" s="630"/>
      <c r="R8" s="630"/>
      <c r="S8" s="630"/>
      <c r="T8" s="630"/>
      <c r="U8" s="630"/>
      <c r="V8" s="630"/>
      <c r="W8" s="630"/>
      <c r="X8" s="630"/>
      <c r="Y8" s="624"/>
      <c r="Z8" s="631"/>
    </row>
    <row r="9" spans="1:28" ht="27" customHeight="1">
      <c r="A9" s="2122" t="s">
        <v>1120</v>
      </c>
      <c r="B9" s="2123"/>
      <c r="C9" s="2123"/>
      <c r="D9" s="2123"/>
      <c r="E9" s="2123"/>
      <c r="F9" s="2123"/>
      <c r="G9" s="2123"/>
      <c r="H9" s="2123"/>
      <c r="I9" s="2123"/>
      <c r="J9" s="632"/>
      <c r="K9" s="632"/>
      <c r="L9" s="632"/>
      <c r="M9" s="632"/>
      <c r="N9" s="633"/>
      <c r="O9" s="633"/>
      <c r="P9" s="633"/>
      <c r="Q9" s="633"/>
      <c r="R9" s="633"/>
      <c r="S9" s="633"/>
      <c r="T9" s="633"/>
      <c r="U9" s="633"/>
      <c r="V9" s="633"/>
      <c r="W9" s="633"/>
      <c r="X9" s="633"/>
      <c r="Y9" s="633"/>
    </row>
    <row r="10" spans="1:28">
      <c r="A10" s="1122"/>
      <c r="B10" s="634"/>
      <c r="C10" s="634"/>
      <c r="D10" s="1122"/>
      <c r="E10" s="1122"/>
      <c r="F10" s="1125"/>
      <c r="G10" s="1122"/>
      <c r="H10" s="1122"/>
      <c r="I10" s="905" t="s">
        <v>772</v>
      </c>
      <c r="J10" s="635"/>
      <c r="K10" s="636"/>
      <c r="L10" s="637"/>
    </row>
    <row r="11" spans="1:28" ht="16.5" customHeight="1">
      <c r="A11" s="2066" t="s">
        <v>11</v>
      </c>
      <c r="B11" s="2066" t="s">
        <v>29</v>
      </c>
      <c r="C11" s="2066" t="s">
        <v>15</v>
      </c>
      <c r="D11" s="2087" t="s">
        <v>49</v>
      </c>
      <c r="E11" s="2087" t="s">
        <v>404</v>
      </c>
      <c r="F11" s="2036" t="s">
        <v>275</v>
      </c>
      <c r="G11" s="2066" t="s">
        <v>445</v>
      </c>
      <c r="H11" s="2036" t="s">
        <v>275</v>
      </c>
      <c r="I11" s="2036" t="s">
        <v>106</v>
      </c>
      <c r="J11" s="638"/>
      <c r="K11" s="639"/>
      <c r="L11" s="640"/>
    </row>
    <row r="12" spans="1:28" ht="45" customHeight="1">
      <c r="A12" s="2066"/>
      <c r="B12" s="2066"/>
      <c r="C12" s="2066"/>
      <c r="D12" s="2087"/>
      <c r="E12" s="2087"/>
      <c r="F12" s="2036"/>
      <c r="G12" s="2066"/>
      <c r="H12" s="2036"/>
      <c r="I12" s="2036"/>
      <c r="J12" s="641"/>
      <c r="K12" s="639"/>
      <c r="L12" s="640"/>
    </row>
    <row r="13" spans="1:28" ht="26.25" customHeight="1">
      <c r="A13" s="355">
        <v>1</v>
      </c>
      <c r="B13" s="1010" t="str">
        <f>'Bảng ĐP - BV  '!B18</f>
        <v>Thảo Mét (VP)</v>
      </c>
      <c r="C13" s="355" t="s">
        <v>311</v>
      </c>
      <c r="D13" s="355">
        <f>'Bảng ĐP - BV  '!AI18</f>
        <v>28</v>
      </c>
      <c r="E13" s="1017">
        <v>1700000</v>
      </c>
      <c r="F13" s="1023">
        <f>IF(E13&gt;65000000,((E13-65000000)*25%+10685000),IF(E13&gt;25000000,((E13-25000000)*20%+2685000),IF(E13&gt;15000000,((E13-15000000)*15%+1185000),IF(E13&gt;5000000,(E13-5000000)*10%+185000,IF(E13&gt;1300000,(E13-1300000)*5%,0)))))</f>
        <v>20000</v>
      </c>
      <c r="G13" s="1018">
        <f>E13-F13</f>
        <v>1680000</v>
      </c>
      <c r="H13" s="1019"/>
      <c r="I13" s="1017"/>
      <c r="J13" s="641"/>
      <c r="K13" s="639"/>
      <c r="L13" s="640"/>
    </row>
    <row r="14" spans="1:28" ht="26.25" customHeight="1">
      <c r="A14" s="355">
        <v>2</v>
      </c>
      <c r="B14" s="1010" t="str">
        <f>'Bảng ĐP - BV  '!B20</f>
        <v>N. Nhung  ( VP)</v>
      </c>
      <c r="C14" s="355" t="s">
        <v>289</v>
      </c>
      <c r="D14" s="355">
        <f>'Bảng ĐP - BV  '!AI20</f>
        <v>28</v>
      </c>
      <c r="E14" s="1017">
        <f>(1700000/D14)*28</f>
        <v>1700000</v>
      </c>
      <c r="F14" s="1023">
        <f>IF(E14&gt;65000000,((E14-65000000)*25%+10685000),IF(E14&gt;25000000,((E14-25000000)*20%+2685000),IF(E14&gt;15000000,((E14-15000000)*15%+1185000),IF(E14&gt;5000000,(E14-5000000)*10%+185000,IF(E14&gt;1300000,(E14-1300000)*5%,0)))))</f>
        <v>20000</v>
      </c>
      <c r="G14" s="1018">
        <f>E14-F14</f>
        <v>1680000</v>
      </c>
      <c r="H14" s="1019"/>
      <c r="I14" s="1017"/>
      <c r="J14" s="641"/>
      <c r="K14" s="639"/>
      <c r="L14" s="640"/>
    </row>
    <row r="15" spans="1:28" ht="26.25" customHeight="1">
      <c r="A15" s="2066" t="s">
        <v>256</v>
      </c>
      <c r="B15" s="2066"/>
      <c r="C15" s="1119"/>
      <c r="D15" s="372">
        <f>SUM(D13:D14)</f>
        <v>56</v>
      </c>
      <c r="E15" s="567">
        <f t="shared" ref="E15:F15" si="0">SUM(E13:E14)</f>
        <v>3400000</v>
      </c>
      <c r="F15" s="567">
        <f t="shared" si="0"/>
        <v>40000</v>
      </c>
      <c r="G15" s="567">
        <f>SUM(G13:G14)</f>
        <v>3360000</v>
      </c>
      <c r="H15" s="372"/>
      <c r="I15" s="372"/>
      <c r="J15" s="641"/>
      <c r="K15" s="642"/>
      <c r="L15" s="643"/>
    </row>
    <row r="16" spans="1:28" ht="26.25" customHeight="1">
      <c r="A16" s="2296" t="s">
        <v>987</v>
      </c>
      <c r="B16" s="2297"/>
      <c r="C16" s="2297"/>
      <c r="D16" s="2297"/>
      <c r="E16" s="2297"/>
      <c r="F16" s="2297"/>
      <c r="G16" s="2297"/>
      <c r="H16" s="2297"/>
      <c r="I16" s="2298"/>
    </row>
    <row r="17" spans="1:14" ht="12.75" customHeight="1">
      <c r="G17" s="2068"/>
      <c r="H17" s="2068"/>
      <c r="I17" s="2068"/>
      <c r="J17" s="644"/>
      <c r="K17" s="644"/>
      <c r="L17" s="644"/>
      <c r="M17" s="644"/>
      <c r="N17" s="644"/>
    </row>
    <row r="18" spans="1:14">
      <c r="A18" s="2300" t="s">
        <v>1119</v>
      </c>
      <c r="B18" s="2300"/>
      <c r="C18" s="2300"/>
      <c r="D18" s="2300"/>
      <c r="E18" s="2300"/>
      <c r="F18" s="2300"/>
      <c r="G18" s="2300"/>
      <c r="H18" s="2300"/>
      <c r="I18" s="2300"/>
      <c r="J18" s="1137"/>
      <c r="K18" s="1137"/>
      <c r="L18" s="1137"/>
      <c r="M18" s="1137"/>
      <c r="N18" s="644"/>
    </row>
    <row r="19" spans="1:14">
      <c r="A19" s="1138"/>
      <c r="B19" s="1138"/>
      <c r="C19" s="1138"/>
      <c r="D19" s="1138"/>
      <c r="E19" s="1138"/>
      <c r="F19" s="1138"/>
      <c r="G19" s="1138"/>
      <c r="H19" s="1138"/>
      <c r="I19" s="1138"/>
      <c r="J19" s="1139"/>
      <c r="K19" s="1139"/>
      <c r="L19" s="1139"/>
      <c r="M19" s="1139"/>
      <c r="N19" s="644"/>
    </row>
    <row r="20" spans="1:14">
      <c r="A20" s="359"/>
      <c r="B20" s="1121" t="s">
        <v>266</v>
      </c>
      <c r="D20" s="2114" t="s">
        <v>267</v>
      </c>
      <c r="E20" s="2114"/>
      <c r="F20" s="2114" t="s">
        <v>197</v>
      </c>
      <c r="G20" s="2114"/>
      <c r="H20" s="2114" t="s">
        <v>841</v>
      </c>
      <c r="I20" s="2114"/>
    </row>
    <row r="26" spans="1:14">
      <c r="B26" s="359" t="s">
        <v>830</v>
      </c>
      <c r="D26" s="2114" t="s">
        <v>828</v>
      </c>
      <c r="E26" s="2114"/>
      <c r="F26" s="2299" t="s">
        <v>419</v>
      </c>
      <c r="G26" s="2299"/>
      <c r="H26" s="2114" t="s">
        <v>76</v>
      </c>
      <c r="I26" s="2114"/>
    </row>
    <row r="27" spans="1:14">
      <c r="D27" s="358" t="s">
        <v>268</v>
      </c>
    </row>
  </sheetData>
  <mergeCells count="25">
    <mergeCell ref="A9:I9"/>
    <mergeCell ref="F11:F12"/>
    <mergeCell ref="A2:I2"/>
    <mergeCell ref="A3:I3"/>
    <mergeCell ref="A4:I4"/>
    <mergeCell ref="A6:E6"/>
    <mergeCell ref="A7:E7"/>
    <mergeCell ref="G11:G12"/>
    <mergeCell ref="H11:H12"/>
    <mergeCell ref="I11:I12"/>
    <mergeCell ref="A11:A12"/>
    <mergeCell ref="B11:B12"/>
    <mergeCell ref="C11:C12"/>
    <mergeCell ref="D11:D12"/>
    <mergeCell ref="E11:E12"/>
    <mergeCell ref="H26:I26"/>
    <mergeCell ref="A15:B15"/>
    <mergeCell ref="A16:I16"/>
    <mergeCell ref="G17:I17"/>
    <mergeCell ref="H20:I20"/>
    <mergeCell ref="F20:G20"/>
    <mergeCell ref="D20:E20"/>
    <mergeCell ref="D26:E26"/>
    <mergeCell ref="F26:G26"/>
    <mergeCell ref="A18:I18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K84" sqref="K84"/>
    </sheetView>
  </sheetViews>
  <sheetFormatPr defaultColWidth="9.140625" defaultRowHeight="12.75" customHeight="1"/>
  <cols>
    <col min="1" max="1" width="4" style="52" customWidth="1"/>
    <col min="2" max="2" width="25.7109375" style="52" customWidth="1"/>
    <col min="3" max="3" width="16" style="52" customWidth="1"/>
    <col min="4" max="4" width="2.85546875" style="52" customWidth="1"/>
    <col min="5" max="5" width="4.85546875" style="52" customWidth="1"/>
    <col min="6" max="6" width="25.5703125" style="52" customWidth="1"/>
    <col min="7" max="7" width="16" style="52" customWidth="1"/>
    <col min="8" max="8" width="1" style="52" customWidth="1"/>
    <col min="9" max="9" width="5.28515625" style="52" customWidth="1"/>
    <col min="10" max="10" width="25.5703125" style="52" customWidth="1"/>
    <col min="11" max="11" width="14.85546875" style="52" customWidth="1"/>
    <col min="12" max="12" width="3.140625" style="52" customWidth="1"/>
    <col min="13" max="13" width="4" style="52" customWidth="1"/>
    <col min="14" max="14" width="25.85546875" style="52" customWidth="1"/>
    <col min="15" max="15" width="14.85546875" style="52" customWidth="1"/>
    <col min="16" max="16" width="20.7109375" style="52" customWidth="1"/>
    <col min="17" max="17" width="31" style="52" customWidth="1"/>
    <col min="18" max="18" width="14.28515625" style="52" customWidth="1"/>
    <col min="19" max="19" width="19" style="52" customWidth="1"/>
    <col min="20" max="20" width="17.85546875" style="52" customWidth="1"/>
    <col min="21" max="21" width="21.140625" style="52" customWidth="1"/>
    <col min="22" max="22" width="13.140625" style="52" customWidth="1"/>
    <col min="23" max="23" width="15.28515625" style="52" customWidth="1"/>
    <col min="24" max="24" width="13" style="52" customWidth="1"/>
    <col min="25" max="25" width="9.140625" style="52"/>
    <col min="26" max="26" width="13.5703125" style="52" customWidth="1"/>
    <col min="27" max="27" width="15.5703125" style="52" customWidth="1"/>
    <col min="28" max="16384" width="9.140625" style="52"/>
  </cols>
  <sheetData>
    <row r="2" spans="1:24" ht="15.75">
      <c r="A2" s="2304" t="s">
        <v>419</v>
      </c>
      <c r="B2" s="2304"/>
      <c r="C2" s="2304"/>
      <c r="D2" s="2304"/>
      <c r="E2" s="2304" t="s">
        <v>748</v>
      </c>
      <c r="F2" s="2304"/>
      <c r="G2" s="2304"/>
      <c r="H2" s="760"/>
      <c r="I2" s="2304" t="s">
        <v>76</v>
      </c>
      <c r="J2" s="2304"/>
      <c r="K2" s="2304"/>
      <c r="L2" s="2304"/>
      <c r="M2" s="761"/>
      <c r="N2" s="2304" t="s">
        <v>77</v>
      </c>
      <c r="O2" s="2304"/>
    </row>
    <row r="3" spans="1:24" ht="15.75">
      <c r="A3" s="1639">
        <v>1</v>
      </c>
      <c r="B3" s="761" t="s">
        <v>225</v>
      </c>
      <c r="C3" s="216">
        <v>900</v>
      </c>
      <c r="D3" s="2304"/>
      <c r="E3" s="1639">
        <v>1</v>
      </c>
      <c r="F3" s="761" t="s">
        <v>225</v>
      </c>
      <c r="G3" s="216">
        <v>1095.56</v>
      </c>
      <c r="H3" s="761"/>
      <c r="I3" s="1639">
        <v>1</v>
      </c>
      <c r="J3" s="761" t="s">
        <v>225</v>
      </c>
      <c r="K3" s="216">
        <v>768.15</v>
      </c>
      <c r="L3" s="2304"/>
      <c r="M3" s="761">
        <v>1</v>
      </c>
      <c r="N3" s="761" t="s">
        <v>225</v>
      </c>
      <c r="O3" s="216">
        <v>610</v>
      </c>
      <c r="P3" s="794">
        <f>C3+G3+K3+O3</f>
        <v>3373.71</v>
      </c>
      <c r="Q3" s="859">
        <f>C3+G3+K3+O3</f>
        <v>3373.71</v>
      </c>
      <c r="R3" s="762"/>
      <c r="S3" s="762"/>
      <c r="T3" s="762"/>
      <c r="U3" s="762"/>
      <c r="V3" s="762"/>
      <c r="W3" s="762"/>
      <c r="X3" s="762"/>
    </row>
    <row r="4" spans="1:24" ht="15.75">
      <c r="A4" s="1639">
        <v>2</v>
      </c>
      <c r="B4" s="761" t="s">
        <v>629</v>
      </c>
      <c r="C4" s="763"/>
      <c r="D4" s="2304"/>
      <c r="E4" s="1639">
        <v>2</v>
      </c>
      <c r="F4" s="761" t="s">
        <v>629</v>
      </c>
      <c r="G4" s="763"/>
      <c r="H4" s="761"/>
      <c r="I4" s="1639">
        <v>2</v>
      </c>
      <c r="J4" s="761" t="s">
        <v>629</v>
      </c>
      <c r="K4" s="763"/>
      <c r="L4" s="2304"/>
      <c r="M4" s="761">
        <v>2</v>
      </c>
      <c r="N4" s="761" t="s">
        <v>629</v>
      </c>
      <c r="O4" s="763"/>
      <c r="P4" s="794">
        <f t="shared" ref="P4:P67" si="0">C4+G4+K4+O4</f>
        <v>0</v>
      </c>
      <c r="Q4" s="211"/>
      <c r="R4" s="862"/>
      <c r="S4" s="862"/>
      <c r="T4" s="213"/>
      <c r="U4" s="370"/>
      <c r="V4" s="211"/>
      <c r="W4" s="212"/>
      <c r="X4" s="211"/>
    </row>
    <row r="5" spans="1:24" ht="15.75">
      <c r="A5" s="1639">
        <v>3</v>
      </c>
      <c r="B5" s="761" t="s">
        <v>227</v>
      </c>
      <c r="C5" s="764"/>
      <c r="D5" s="2304"/>
      <c r="E5" s="1639">
        <v>3</v>
      </c>
      <c r="F5" s="761" t="s">
        <v>227</v>
      </c>
      <c r="G5" s="764"/>
      <c r="H5" s="761"/>
      <c r="I5" s="1639">
        <v>3</v>
      </c>
      <c r="J5" s="761" t="s">
        <v>227</v>
      </c>
      <c r="K5" s="764"/>
      <c r="L5" s="2304"/>
      <c r="M5" s="761">
        <v>3</v>
      </c>
      <c r="N5" s="761" t="s">
        <v>243</v>
      </c>
      <c r="O5" s="764"/>
      <c r="P5" s="794">
        <f t="shared" si="0"/>
        <v>0</v>
      </c>
      <c r="Q5" s="211"/>
      <c r="R5" s="862"/>
      <c r="S5" s="862"/>
      <c r="T5" s="213"/>
      <c r="U5" s="215"/>
      <c r="V5" s="211"/>
      <c r="W5" s="212"/>
      <c r="X5" s="211"/>
    </row>
    <row r="6" spans="1:24" ht="15.75">
      <c r="A6" s="1639">
        <v>4</v>
      </c>
      <c r="B6" s="765" t="s">
        <v>30</v>
      </c>
      <c r="C6" s="614">
        <f>SUM(C3:C5)</f>
        <v>900</v>
      </c>
      <c r="D6" s="2304"/>
      <c r="E6" s="1639">
        <v>4</v>
      </c>
      <c r="F6" s="765" t="s">
        <v>30</v>
      </c>
      <c r="G6" s="614">
        <f>SUM(G3:G5)</f>
        <v>1095.56</v>
      </c>
      <c r="H6" s="761"/>
      <c r="I6" s="1639">
        <v>4</v>
      </c>
      <c r="J6" s="765" t="s">
        <v>30</v>
      </c>
      <c r="K6" s="614">
        <f>SUM(K3:K5)</f>
        <v>768.15</v>
      </c>
      <c r="L6" s="2304"/>
      <c r="M6" s="761">
        <v>4</v>
      </c>
      <c r="N6" s="765" t="s">
        <v>30</v>
      </c>
      <c r="O6" s="614">
        <f>SUM(O3:O5)</f>
        <v>610</v>
      </c>
      <c r="P6" s="794">
        <f t="shared" si="0"/>
        <v>3373.71</v>
      </c>
      <c r="Q6" s="211"/>
      <c r="R6" s="862"/>
      <c r="S6" s="862"/>
      <c r="T6" s="213"/>
      <c r="U6" s="215"/>
      <c r="V6" s="211"/>
      <c r="W6" s="212"/>
      <c r="X6" s="211"/>
    </row>
    <row r="7" spans="1:24" ht="15.75">
      <c r="A7" s="2304" t="s">
        <v>207</v>
      </c>
      <c r="B7" s="2304"/>
      <c r="C7" s="2304"/>
      <c r="D7" s="2304"/>
      <c r="E7" s="2304" t="s">
        <v>207</v>
      </c>
      <c r="F7" s="2304"/>
      <c r="G7" s="2304"/>
      <c r="H7" s="1637"/>
      <c r="I7" s="2304" t="s">
        <v>207</v>
      </c>
      <c r="J7" s="2304"/>
      <c r="K7" s="2304"/>
      <c r="L7" s="2304"/>
      <c r="M7" s="2304" t="s">
        <v>207</v>
      </c>
      <c r="N7" s="2304"/>
      <c r="O7" s="2304"/>
      <c r="P7" s="794">
        <f t="shared" si="0"/>
        <v>0</v>
      </c>
      <c r="Q7" s="211"/>
      <c r="R7" s="862"/>
      <c r="S7" s="863"/>
      <c r="T7" s="213"/>
      <c r="U7" s="215"/>
      <c r="V7" s="211"/>
      <c r="W7" s="212"/>
      <c r="X7" s="211"/>
    </row>
    <row r="8" spans="1:24" ht="15.75">
      <c r="A8" s="1639">
        <v>6</v>
      </c>
      <c r="B8" s="761" t="s">
        <v>226</v>
      </c>
      <c r="C8" s="216"/>
      <c r="D8" s="2304"/>
      <c r="E8" s="1639">
        <v>6</v>
      </c>
      <c r="F8" s="761" t="s">
        <v>226</v>
      </c>
      <c r="G8" s="216"/>
      <c r="H8" s="761"/>
      <c r="I8" s="1639">
        <v>6</v>
      </c>
      <c r="J8" s="761" t="s">
        <v>226</v>
      </c>
      <c r="K8" s="216"/>
      <c r="L8" s="2304"/>
      <c r="M8" s="761">
        <v>6</v>
      </c>
      <c r="N8" s="761" t="s">
        <v>226</v>
      </c>
      <c r="O8" s="216"/>
      <c r="P8" s="794">
        <f t="shared" si="0"/>
        <v>0</v>
      </c>
      <c r="Q8" s="211"/>
      <c r="R8" s="862"/>
      <c r="S8" s="862"/>
      <c r="T8" s="213"/>
      <c r="U8" s="215"/>
      <c r="V8" s="211"/>
      <c r="W8" s="212"/>
      <c r="X8" s="211"/>
    </row>
    <row r="9" spans="1:24" ht="15.75">
      <c r="A9" s="1639">
        <v>7</v>
      </c>
      <c r="B9" s="856" t="s">
        <v>747</v>
      </c>
      <c r="C9" s="766">
        <v>140.79</v>
      </c>
      <c r="D9" s="2304"/>
      <c r="E9" s="1639">
        <v>7</v>
      </c>
      <c r="F9" s="856" t="s">
        <v>747</v>
      </c>
      <c r="G9" s="216">
        <v>171.83</v>
      </c>
      <c r="H9" s="761"/>
      <c r="I9" s="1639">
        <v>7</v>
      </c>
      <c r="J9" s="856" t="s">
        <v>747</v>
      </c>
      <c r="K9" s="766">
        <v>102.04</v>
      </c>
      <c r="L9" s="2304"/>
      <c r="M9" s="761">
        <v>7</v>
      </c>
      <c r="N9" s="856" t="s">
        <v>747</v>
      </c>
      <c r="O9" s="766">
        <v>80.61</v>
      </c>
      <c r="P9" s="794">
        <f>C9+G9+K9+O9</f>
        <v>495.27000000000004</v>
      </c>
      <c r="Q9" s="211"/>
      <c r="R9" s="862">
        <f>C9+G9+O9+K9</f>
        <v>495.27000000000004</v>
      </c>
      <c r="S9" s="862"/>
      <c r="T9" s="213"/>
      <c r="U9" s="215"/>
      <c r="V9" s="211"/>
      <c r="W9" s="212"/>
      <c r="X9" s="211"/>
    </row>
    <row r="10" spans="1:24" ht="15.75">
      <c r="A10" s="1639"/>
      <c r="B10" s="761" t="s">
        <v>461</v>
      </c>
      <c r="C10" s="766"/>
      <c r="D10" s="2304"/>
      <c r="E10" s="1639"/>
      <c r="F10" s="761" t="s">
        <v>462</v>
      </c>
      <c r="G10" s="766"/>
      <c r="H10" s="761"/>
      <c r="I10" s="1639"/>
      <c r="J10" s="761" t="s">
        <v>462</v>
      </c>
      <c r="K10" s="766"/>
      <c r="L10" s="2304"/>
      <c r="M10" s="761"/>
      <c r="N10" s="761" t="s">
        <v>462</v>
      </c>
      <c r="O10" s="766"/>
      <c r="P10" s="794">
        <f t="shared" si="0"/>
        <v>0</v>
      </c>
      <c r="Q10" s="856"/>
      <c r="R10" s="862"/>
      <c r="S10" s="862"/>
      <c r="T10" s="213"/>
      <c r="U10" s="215"/>
      <c r="V10" s="211"/>
      <c r="W10" s="212"/>
      <c r="X10" s="211"/>
    </row>
    <row r="11" spans="1:24" ht="15.75">
      <c r="A11" s="1639">
        <v>8</v>
      </c>
      <c r="B11" s="761" t="s">
        <v>228</v>
      </c>
      <c r="C11" s="276"/>
      <c r="D11" s="2304"/>
      <c r="E11" s="1639">
        <v>8</v>
      </c>
      <c r="F11" s="761" t="s">
        <v>228</v>
      </c>
      <c r="G11" s="767"/>
      <c r="H11" s="761"/>
      <c r="I11" s="1639">
        <v>8</v>
      </c>
      <c r="J11" s="761" t="s">
        <v>228</v>
      </c>
      <c r="K11" s="276"/>
      <c r="L11" s="2304"/>
      <c r="M11" s="761">
        <v>8</v>
      </c>
      <c r="N11" s="761" t="s">
        <v>228</v>
      </c>
      <c r="O11" s="216"/>
      <c r="P11" s="794">
        <f t="shared" si="0"/>
        <v>0</v>
      </c>
      <c r="Q11" s="211"/>
      <c r="R11" s="862"/>
      <c r="S11" s="862"/>
      <c r="T11" s="213"/>
      <c r="U11" s="215"/>
      <c r="V11" s="211"/>
      <c r="W11" s="212"/>
      <c r="X11" s="211"/>
    </row>
    <row r="12" spans="1:24" ht="15.75">
      <c r="A12" s="1639">
        <v>9</v>
      </c>
      <c r="B12" s="761" t="s">
        <v>229</v>
      </c>
      <c r="C12" s="216"/>
      <c r="D12" s="2304"/>
      <c r="E12" s="1639">
        <v>9</v>
      </c>
      <c r="F12" s="761" t="s">
        <v>229</v>
      </c>
      <c r="G12" s="216"/>
      <c r="H12" s="761"/>
      <c r="I12" s="1639">
        <v>9</v>
      </c>
      <c r="J12" s="761" t="s">
        <v>229</v>
      </c>
      <c r="K12" s="216"/>
      <c r="L12" s="2304"/>
      <c r="M12" s="761">
        <v>9</v>
      </c>
      <c r="N12" s="761" t="s">
        <v>229</v>
      </c>
      <c r="O12" s="216"/>
      <c r="P12" s="794">
        <f t="shared" si="0"/>
        <v>0</v>
      </c>
      <c r="Q12" s="211"/>
      <c r="R12" s="862"/>
      <c r="S12" s="862"/>
      <c r="T12" s="213"/>
      <c r="U12" s="215"/>
      <c r="V12" s="211"/>
      <c r="W12" s="212"/>
      <c r="X12" s="211"/>
    </row>
    <row r="13" spans="1:24" ht="15.75">
      <c r="A13" s="1639">
        <v>10</v>
      </c>
      <c r="B13" s="761" t="s">
        <v>30</v>
      </c>
      <c r="C13" s="858">
        <f>SUM(C8:C12)</f>
        <v>140.79</v>
      </c>
      <c r="D13" s="2304"/>
      <c r="E13" s="1639">
        <v>10</v>
      </c>
      <c r="F13" s="761" t="s">
        <v>30</v>
      </c>
      <c r="G13" s="858">
        <f>SUM(G8:G12)</f>
        <v>171.83</v>
      </c>
      <c r="H13" s="761"/>
      <c r="I13" s="1639">
        <v>10</v>
      </c>
      <c r="J13" s="761" t="s">
        <v>30</v>
      </c>
      <c r="K13" s="858">
        <f>SUM(K8:K12)</f>
        <v>102.04</v>
      </c>
      <c r="L13" s="2304"/>
      <c r="M13" s="761">
        <v>10</v>
      </c>
      <c r="N13" s="761" t="s">
        <v>30</v>
      </c>
      <c r="O13" s="858">
        <f>SUM(O8:O12)</f>
        <v>80.61</v>
      </c>
      <c r="P13" s="794">
        <f t="shared" si="0"/>
        <v>495.27000000000004</v>
      </c>
      <c r="Q13" s="211"/>
      <c r="R13" s="862"/>
      <c r="S13" s="862"/>
      <c r="T13" s="213"/>
      <c r="U13" s="215"/>
      <c r="V13" s="211"/>
      <c r="W13" s="212"/>
      <c r="X13" s="211"/>
    </row>
    <row r="14" spans="1:24" ht="15.75">
      <c r="A14" s="1639">
        <v>11</v>
      </c>
      <c r="B14" s="761" t="s">
        <v>230</v>
      </c>
      <c r="C14" s="1641">
        <f>C6-C13</f>
        <v>759.21</v>
      </c>
      <c r="D14" s="2304"/>
      <c r="E14" s="1639">
        <v>11</v>
      </c>
      <c r="F14" s="761" t="s">
        <v>230</v>
      </c>
      <c r="G14" s="1641">
        <f>G6-G13</f>
        <v>923.7299999999999</v>
      </c>
      <c r="H14" s="761"/>
      <c r="I14" s="1639">
        <v>11</v>
      </c>
      <c r="J14" s="761" t="s">
        <v>230</v>
      </c>
      <c r="K14" s="1641">
        <f>K6-K13</f>
        <v>666.11</v>
      </c>
      <c r="L14" s="2304"/>
      <c r="M14" s="761">
        <v>11</v>
      </c>
      <c r="N14" s="761" t="s">
        <v>230</v>
      </c>
      <c r="O14" s="1641">
        <f>O6-O13</f>
        <v>529.39</v>
      </c>
      <c r="P14" s="794">
        <f t="shared" si="0"/>
        <v>2878.44</v>
      </c>
      <c r="Q14" s="211"/>
      <c r="R14" s="862"/>
      <c r="S14" s="862"/>
      <c r="T14" s="213"/>
      <c r="U14" s="215"/>
      <c r="V14" s="211"/>
      <c r="W14" s="212"/>
      <c r="X14" s="211"/>
    </row>
    <row r="15" spans="1:24" ht="18" customHeight="1">
      <c r="A15" s="1639"/>
      <c r="B15" s="1639"/>
      <c r="C15" s="1639"/>
      <c r="D15" s="1639"/>
      <c r="E15" s="1639"/>
      <c r="F15" s="1639"/>
      <c r="G15" s="1639"/>
      <c r="H15" s="1639"/>
      <c r="I15" s="1639"/>
      <c r="J15" s="1639"/>
      <c r="K15" s="1639"/>
      <c r="L15" s="1639"/>
      <c r="M15" s="1639"/>
      <c r="N15" s="1639"/>
      <c r="O15" s="1639"/>
      <c r="P15" s="794">
        <f t="shared" si="0"/>
        <v>0</v>
      </c>
      <c r="Q15" s="211"/>
      <c r="R15" s="862"/>
      <c r="S15" s="862"/>
      <c r="T15" s="213"/>
      <c r="U15" s="215"/>
      <c r="V15" s="211"/>
      <c r="W15" s="212"/>
      <c r="X15" s="211"/>
    </row>
    <row r="16" spans="1:24" ht="15.75">
      <c r="A16" s="2303" t="s">
        <v>78</v>
      </c>
      <c r="B16" s="2303"/>
      <c r="C16" s="2303"/>
      <c r="D16" s="2304"/>
      <c r="E16" s="2304" t="s">
        <v>611</v>
      </c>
      <c r="F16" s="2304"/>
      <c r="G16" s="2304"/>
      <c r="H16" s="2304"/>
      <c r="I16" s="2303" t="s">
        <v>333</v>
      </c>
      <c r="J16" s="2303"/>
      <c r="K16" s="2303"/>
      <c r="L16" s="2304"/>
      <c r="M16" s="2303" t="s">
        <v>464</v>
      </c>
      <c r="N16" s="2303"/>
      <c r="O16" s="2303"/>
      <c r="P16" s="794">
        <f t="shared" si="0"/>
        <v>0</v>
      </c>
      <c r="Q16" s="211"/>
      <c r="R16" s="862"/>
      <c r="S16" s="862"/>
      <c r="T16" s="213"/>
      <c r="U16" s="215"/>
      <c r="V16" s="211"/>
      <c r="W16" s="212"/>
      <c r="X16" s="211"/>
    </row>
    <row r="17" spans="1:27" ht="15.75">
      <c r="A17" s="761">
        <v>1</v>
      </c>
      <c r="B17" s="761" t="s">
        <v>225</v>
      </c>
      <c r="C17" s="216">
        <v>681.73</v>
      </c>
      <c r="D17" s="2304"/>
      <c r="E17" s="1639">
        <v>1</v>
      </c>
      <c r="F17" s="761" t="s">
        <v>225</v>
      </c>
      <c r="G17" s="216">
        <v>460</v>
      </c>
      <c r="H17" s="2304"/>
      <c r="I17" s="1639">
        <v>1</v>
      </c>
      <c r="J17" s="761" t="s">
        <v>225</v>
      </c>
      <c r="K17" s="216">
        <v>705.19</v>
      </c>
      <c r="L17" s="2304"/>
      <c r="M17" s="761">
        <v>1</v>
      </c>
      <c r="N17" s="761" t="s">
        <v>225</v>
      </c>
      <c r="O17" s="216">
        <v>360</v>
      </c>
      <c r="P17" s="794">
        <f t="shared" si="0"/>
        <v>2206.92</v>
      </c>
      <c r="Q17" s="859">
        <f>C17+G17+K17+O17</f>
        <v>2206.92</v>
      </c>
      <c r="R17" s="862"/>
      <c r="S17" s="862"/>
      <c r="T17" s="214"/>
      <c r="U17" s="215"/>
      <c r="V17" s="211"/>
      <c r="W17" s="212"/>
      <c r="X17" s="211"/>
    </row>
    <row r="18" spans="1:27" ht="15.75">
      <c r="A18" s="761">
        <v>2</v>
      </c>
      <c r="B18" s="761" t="s">
        <v>629</v>
      </c>
      <c r="C18" s="763"/>
      <c r="D18" s="2304"/>
      <c r="E18" s="1639">
        <v>2</v>
      </c>
      <c r="F18" s="761" t="s">
        <v>629</v>
      </c>
      <c r="G18" s="763"/>
      <c r="H18" s="2304"/>
      <c r="I18" s="1639">
        <v>2</v>
      </c>
      <c r="J18" s="761" t="s">
        <v>629</v>
      </c>
      <c r="K18" s="763"/>
      <c r="L18" s="2304"/>
      <c r="M18" s="761">
        <v>2</v>
      </c>
      <c r="N18" s="761" t="s">
        <v>629</v>
      </c>
      <c r="O18" s="763"/>
      <c r="P18" s="794">
        <f t="shared" si="0"/>
        <v>0</v>
      </c>
      <c r="Q18" s="217"/>
      <c r="R18" s="862"/>
      <c r="S18" s="862"/>
      <c r="T18" s="226"/>
      <c r="U18" s="214"/>
      <c r="V18" s="215"/>
      <c r="W18" s="212"/>
      <c r="X18" s="226"/>
    </row>
    <row r="19" spans="1:27" ht="15.75">
      <c r="A19" s="761">
        <v>3</v>
      </c>
      <c r="B19" s="761" t="s">
        <v>463</v>
      </c>
      <c r="C19" s="764"/>
      <c r="D19" s="2304"/>
      <c r="E19" s="1639">
        <v>3</v>
      </c>
      <c r="F19" s="761" t="s">
        <v>227</v>
      </c>
      <c r="G19" s="764"/>
      <c r="H19" s="2304"/>
      <c r="I19" s="1639">
        <v>3</v>
      </c>
      <c r="J19" s="761" t="s">
        <v>463</v>
      </c>
      <c r="K19" s="764"/>
      <c r="L19" s="2304"/>
      <c r="M19" s="761">
        <v>3</v>
      </c>
      <c r="N19" s="761" t="s">
        <v>227</v>
      </c>
      <c r="O19" s="764"/>
      <c r="P19" s="794">
        <f t="shared" si="0"/>
        <v>0</v>
      </c>
      <c r="Q19" s="217"/>
      <c r="R19" s="862"/>
      <c r="S19" s="862"/>
      <c r="T19" s="213"/>
      <c r="U19" s="215"/>
      <c r="V19" s="211"/>
      <c r="W19" s="212"/>
      <c r="X19" s="211"/>
    </row>
    <row r="20" spans="1:27" ht="15.75">
      <c r="A20" s="761">
        <v>4</v>
      </c>
      <c r="B20" s="765" t="s">
        <v>30</v>
      </c>
      <c r="C20" s="614">
        <f>SUM(C17:C19)</f>
        <v>681.73</v>
      </c>
      <c r="D20" s="2304"/>
      <c r="E20" s="1639">
        <v>4</v>
      </c>
      <c r="F20" s="765" t="s">
        <v>30</v>
      </c>
      <c r="G20" s="614">
        <f>SUM(G17:G19)</f>
        <v>460</v>
      </c>
      <c r="H20" s="2304"/>
      <c r="I20" s="1639">
        <v>4</v>
      </c>
      <c r="J20" s="765" t="s">
        <v>30</v>
      </c>
      <c r="K20" s="614">
        <f>SUM(K17:K19)</f>
        <v>705.19</v>
      </c>
      <c r="L20" s="2304"/>
      <c r="M20" s="761">
        <v>4</v>
      </c>
      <c r="N20" s="765" t="s">
        <v>30</v>
      </c>
      <c r="O20" s="614">
        <f>SUM(O17:O19)</f>
        <v>360</v>
      </c>
      <c r="P20" s="794">
        <f t="shared" si="0"/>
        <v>2206.92</v>
      </c>
      <c r="Q20" s="211"/>
      <c r="R20" s="862"/>
      <c r="S20" s="862"/>
      <c r="T20" s="213"/>
      <c r="U20" s="215"/>
      <c r="V20" s="211"/>
      <c r="W20" s="212"/>
      <c r="X20" s="211"/>
    </row>
    <row r="21" spans="1:27" ht="15.75">
      <c r="A21" s="2304" t="s">
        <v>207</v>
      </c>
      <c r="B21" s="2304"/>
      <c r="C21" s="2304"/>
      <c r="D21" s="2304"/>
      <c r="E21" s="2304" t="s">
        <v>207</v>
      </c>
      <c r="F21" s="2304"/>
      <c r="G21" s="2304"/>
      <c r="H21" s="2304"/>
      <c r="I21" s="2304" t="s">
        <v>207</v>
      </c>
      <c r="J21" s="2304"/>
      <c r="K21" s="2304"/>
      <c r="L21" s="2304"/>
      <c r="M21" s="2304" t="s">
        <v>207</v>
      </c>
      <c r="N21" s="2304"/>
      <c r="O21" s="2304"/>
      <c r="P21" s="794">
        <f t="shared" si="0"/>
        <v>0</v>
      </c>
      <c r="Q21" s="211"/>
      <c r="R21" s="862"/>
      <c r="S21" s="862"/>
      <c r="T21" s="213"/>
      <c r="U21" s="215"/>
      <c r="V21" s="211"/>
      <c r="W21" s="212"/>
      <c r="X21" s="211"/>
    </row>
    <row r="22" spans="1:27" ht="15.75">
      <c r="A22" s="1639">
        <v>6</v>
      </c>
      <c r="B22" s="761" t="s">
        <v>226</v>
      </c>
      <c r="C22" s="216"/>
      <c r="D22" s="2304"/>
      <c r="E22" s="1639">
        <v>6</v>
      </c>
      <c r="F22" s="761" t="s">
        <v>226</v>
      </c>
      <c r="G22" s="216"/>
      <c r="H22" s="2304"/>
      <c r="I22" s="1639">
        <v>6</v>
      </c>
      <c r="J22" s="761" t="s">
        <v>226</v>
      </c>
      <c r="K22" s="276"/>
      <c r="L22" s="2304"/>
      <c r="M22" s="1639">
        <v>6</v>
      </c>
      <c r="N22" s="761" t="s">
        <v>226</v>
      </c>
      <c r="O22" s="216"/>
      <c r="P22" s="794">
        <f t="shared" si="0"/>
        <v>0</v>
      </c>
      <c r="Q22" s="217"/>
      <c r="R22" s="862"/>
      <c r="S22" s="862"/>
      <c r="T22" s="214"/>
      <c r="U22" s="215"/>
      <c r="V22" s="211"/>
      <c r="W22" s="212"/>
      <c r="X22" s="211"/>
    </row>
    <row r="23" spans="1:27" ht="15.75">
      <c r="A23" s="1639">
        <v>7</v>
      </c>
      <c r="B23" s="856" t="s">
        <v>747</v>
      </c>
      <c r="C23" s="766">
        <v>85.04</v>
      </c>
      <c r="D23" s="2304"/>
      <c r="E23" s="1639">
        <v>7</v>
      </c>
      <c r="F23" s="856" t="s">
        <v>747</v>
      </c>
      <c r="G23" s="766">
        <v>54.34</v>
      </c>
      <c r="H23" s="2304"/>
      <c r="I23" s="1639">
        <v>7</v>
      </c>
      <c r="J23" s="856" t="s">
        <v>747</v>
      </c>
      <c r="K23" s="768">
        <v>85.89</v>
      </c>
      <c r="L23" s="2304"/>
      <c r="M23" s="1639">
        <v>7</v>
      </c>
      <c r="N23" s="856" t="s">
        <v>747</v>
      </c>
      <c r="O23" s="216">
        <v>25.1</v>
      </c>
      <c r="P23" s="794">
        <f t="shared" si="0"/>
        <v>250.36999999999998</v>
      </c>
      <c r="Q23" s="211"/>
      <c r="R23" s="862">
        <f>C23+G23+O23+K23</f>
        <v>250.37</v>
      </c>
      <c r="S23" s="862"/>
      <c r="T23" s="226"/>
      <c r="U23" s="214"/>
      <c r="V23" s="214"/>
      <c r="W23" s="212"/>
      <c r="X23" s="214"/>
    </row>
    <row r="24" spans="1:27" ht="15.75">
      <c r="A24" s="1639"/>
      <c r="B24" s="761" t="s">
        <v>462</v>
      </c>
      <c r="C24" s="766"/>
      <c r="D24" s="2304"/>
      <c r="E24" s="1639"/>
      <c r="F24" s="761" t="s">
        <v>462</v>
      </c>
      <c r="G24" s="766"/>
      <c r="H24" s="2304"/>
      <c r="I24" s="1639"/>
      <c r="J24" s="761" t="s">
        <v>462</v>
      </c>
      <c r="K24" s="766"/>
      <c r="L24" s="2304"/>
      <c r="M24" s="1639"/>
      <c r="N24" s="761" t="s">
        <v>462</v>
      </c>
      <c r="O24" s="216"/>
      <c r="P24" s="794">
        <f t="shared" si="0"/>
        <v>0</v>
      </c>
      <c r="Q24" s="211"/>
      <c r="R24" s="862"/>
      <c r="S24" s="862"/>
      <c r="T24" s="226"/>
      <c r="U24" s="214"/>
      <c r="V24" s="214"/>
      <c r="W24" s="212"/>
      <c r="X24" s="214"/>
    </row>
    <row r="25" spans="1:27" ht="15.75">
      <c r="A25" s="1639">
        <v>8</v>
      </c>
      <c r="B25" s="761" t="s">
        <v>228</v>
      </c>
      <c r="C25" s="216"/>
      <c r="D25" s="2304"/>
      <c r="E25" s="1639">
        <v>8</v>
      </c>
      <c r="F25" s="761" t="s">
        <v>228</v>
      </c>
      <c r="G25" s="276"/>
      <c r="H25" s="2304"/>
      <c r="I25" s="1639">
        <v>8</v>
      </c>
      <c r="J25" s="761" t="s">
        <v>228</v>
      </c>
      <c r="K25" s="767"/>
      <c r="L25" s="2304"/>
      <c r="M25" s="1639">
        <v>8</v>
      </c>
      <c r="N25" s="761" t="s">
        <v>228</v>
      </c>
      <c r="O25" s="276"/>
      <c r="P25" s="794">
        <f t="shared" si="0"/>
        <v>0</v>
      </c>
      <c r="Q25" s="218"/>
      <c r="R25" s="862"/>
      <c r="S25" s="862"/>
      <c r="T25" s="214"/>
      <c r="U25" s="214"/>
      <c r="V25" s="214"/>
      <c r="W25" s="212"/>
      <c r="X25" s="214"/>
    </row>
    <row r="26" spans="1:27" ht="15.75">
      <c r="A26" s="1639">
        <v>9</v>
      </c>
      <c r="B26" s="761" t="s">
        <v>229</v>
      </c>
      <c r="C26" s="216"/>
      <c r="D26" s="2304"/>
      <c r="E26" s="1639">
        <v>9</v>
      </c>
      <c r="F26" s="761" t="s">
        <v>229</v>
      </c>
      <c r="G26" s="216"/>
      <c r="H26" s="2304"/>
      <c r="I26" s="1639">
        <v>9</v>
      </c>
      <c r="J26" s="761" t="s">
        <v>229</v>
      </c>
      <c r="K26" s="216"/>
      <c r="L26" s="2304"/>
      <c r="M26" s="1639">
        <v>9</v>
      </c>
      <c r="N26" s="761" t="s">
        <v>229</v>
      </c>
      <c r="O26" s="276"/>
      <c r="P26" s="794">
        <f t="shared" si="0"/>
        <v>0</v>
      </c>
      <c r="Q26" s="219"/>
      <c r="R26" s="862"/>
      <c r="S26" s="862"/>
      <c r="T26" s="214"/>
      <c r="U26" s="214"/>
      <c r="V26" s="214"/>
      <c r="W26" s="212"/>
      <c r="X26" s="214"/>
    </row>
    <row r="27" spans="1:27" ht="15.75">
      <c r="A27" s="1639">
        <v>10</v>
      </c>
      <c r="B27" s="761" t="s">
        <v>30</v>
      </c>
      <c r="C27" s="858">
        <f>SUM(C22:C26)</f>
        <v>85.04</v>
      </c>
      <c r="D27" s="2304"/>
      <c r="E27" s="1639">
        <v>10</v>
      </c>
      <c r="F27" s="761" t="s">
        <v>30</v>
      </c>
      <c r="G27" s="858">
        <f>SUM(G22:G26)</f>
        <v>54.34</v>
      </c>
      <c r="H27" s="2304"/>
      <c r="I27" s="1639">
        <v>10</v>
      </c>
      <c r="J27" s="761" t="s">
        <v>30</v>
      </c>
      <c r="K27" s="858">
        <f>SUM(K22:K26)</f>
        <v>85.89</v>
      </c>
      <c r="L27" s="2304"/>
      <c r="M27" s="1639">
        <v>10</v>
      </c>
      <c r="N27" s="761" t="s">
        <v>30</v>
      </c>
      <c r="O27" s="858">
        <f>SUM(O22:O26)</f>
        <v>25.1</v>
      </c>
      <c r="P27" s="794">
        <f t="shared" si="0"/>
        <v>250.36999999999998</v>
      </c>
      <c r="Q27" s="211"/>
      <c r="R27" s="862"/>
      <c r="S27" s="862"/>
      <c r="T27" s="214"/>
      <c r="U27" s="214"/>
      <c r="V27" s="214"/>
      <c r="W27" s="214"/>
      <c r="X27" s="214"/>
    </row>
    <row r="28" spans="1:27" ht="15.75">
      <c r="A28" s="1639">
        <v>11</v>
      </c>
      <c r="B28" s="761" t="s">
        <v>230</v>
      </c>
      <c r="C28" s="1641">
        <f>C20-C27</f>
        <v>596.69000000000005</v>
      </c>
      <c r="D28" s="2304"/>
      <c r="E28" s="1639">
        <v>11</v>
      </c>
      <c r="F28" s="761" t="s">
        <v>230</v>
      </c>
      <c r="G28" s="1641">
        <f>G20-G27</f>
        <v>405.65999999999997</v>
      </c>
      <c r="H28" s="2304"/>
      <c r="I28" s="1639">
        <v>11</v>
      </c>
      <c r="J28" s="761" t="s">
        <v>230</v>
      </c>
      <c r="K28" s="1641">
        <f>K20-K27</f>
        <v>619.30000000000007</v>
      </c>
      <c r="L28" s="2304"/>
      <c r="M28" s="1639">
        <v>11</v>
      </c>
      <c r="N28" s="761" t="s">
        <v>230</v>
      </c>
      <c r="O28" s="1641">
        <f>O20-O27</f>
        <v>334.9</v>
      </c>
      <c r="P28" s="794">
        <f t="shared" si="0"/>
        <v>1956.5500000000002</v>
      </c>
      <c r="Q28" s="795"/>
      <c r="R28" s="769"/>
      <c r="S28" s="769"/>
      <c r="T28" s="769"/>
      <c r="U28" s="769"/>
      <c r="V28" s="770"/>
      <c r="W28" s="771"/>
      <c r="X28" s="771"/>
    </row>
    <row r="29" spans="1:27" ht="143.25" customHeight="1">
      <c r="A29" s="2306"/>
      <c r="B29" s="2306"/>
      <c r="C29" s="2306"/>
      <c r="D29" s="2306"/>
      <c r="E29" s="2306"/>
      <c r="F29" s="2306"/>
      <c r="G29" s="2306"/>
      <c r="H29" s="2306"/>
      <c r="I29" s="2306"/>
      <c r="J29" s="2306"/>
      <c r="K29" s="2306"/>
      <c r="L29" s="2306"/>
      <c r="M29" s="2306"/>
      <c r="N29" s="2306"/>
      <c r="O29" s="2306"/>
      <c r="P29" s="794">
        <f t="shared" si="0"/>
        <v>0</v>
      </c>
      <c r="Q29" s="796"/>
      <c r="R29" s="864"/>
      <c r="S29" s="865"/>
      <c r="T29" s="98"/>
      <c r="U29" s="98"/>
      <c r="V29" s="98"/>
      <c r="W29" s="98"/>
      <c r="X29" s="772"/>
    </row>
    <row r="30" spans="1:27" ht="15.75">
      <c r="A30" s="2303" t="s">
        <v>183</v>
      </c>
      <c r="B30" s="2303"/>
      <c r="C30" s="2303"/>
      <c r="D30" s="2304"/>
      <c r="E30" s="2302" t="s">
        <v>188</v>
      </c>
      <c r="F30" s="2302"/>
      <c r="G30" s="2302"/>
      <c r="H30" s="2304"/>
      <c r="I30" s="2303" t="s">
        <v>630</v>
      </c>
      <c r="J30" s="2303"/>
      <c r="K30" s="2303"/>
      <c r="L30" s="2304"/>
      <c r="M30" s="2303"/>
      <c r="N30" s="2303"/>
      <c r="O30" s="2303"/>
      <c r="P30" s="794"/>
      <c r="Q30" s="773"/>
      <c r="R30" s="866"/>
      <c r="S30" s="866"/>
    </row>
    <row r="31" spans="1:27" ht="15.75">
      <c r="A31" s="774">
        <v>1</v>
      </c>
      <c r="B31" s="775" t="s">
        <v>225</v>
      </c>
      <c r="C31" s="216">
        <v>702.4</v>
      </c>
      <c r="D31" s="2304"/>
      <c r="E31" s="768">
        <v>1</v>
      </c>
      <c r="F31" s="768" t="s">
        <v>225</v>
      </c>
      <c r="G31" s="216">
        <v>556.94000000000005</v>
      </c>
      <c r="H31" s="2304"/>
      <c r="I31" s="761">
        <v>1</v>
      </c>
      <c r="J31" s="761" t="s">
        <v>225</v>
      </c>
      <c r="K31" s="216">
        <v>507.95</v>
      </c>
      <c r="L31" s="2304"/>
      <c r="M31" s="761"/>
      <c r="N31" s="761"/>
      <c r="O31" s="216"/>
      <c r="P31" s="794"/>
      <c r="Q31" s="859">
        <f>C31+G31+K31+O31</f>
        <v>1767.2900000000002</v>
      </c>
      <c r="R31" s="866"/>
      <c r="S31" s="866"/>
      <c r="V31" s="772"/>
      <c r="X31" s="772"/>
      <c r="Z31" s="98"/>
    </row>
    <row r="32" spans="1:27" ht="15.75">
      <c r="A32" s="774">
        <v>2</v>
      </c>
      <c r="B32" s="761" t="s">
        <v>629</v>
      </c>
      <c r="C32" s="763"/>
      <c r="D32" s="2304"/>
      <c r="E32" s="768">
        <v>2</v>
      </c>
      <c r="F32" s="761" t="s">
        <v>629</v>
      </c>
      <c r="G32" s="763"/>
      <c r="H32" s="2304"/>
      <c r="I32" s="761">
        <v>2</v>
      </c>
      <c r="J32" s="761" t="s">
        <v>629</v>
      </c>
      <c r="K32" s="763"/>
      <c r="L32" s="2304"/>
      <c r="M32" s="761"/>
      <c r="N32" s="761"/>
      <c r="O32" s="763"/>
      <c r="P32" s="794"/>
      <c r="R32" s="866"/>
      <c r="S32" s="866"/>
      <c r="U32" s="772"/>
      <c r="Z32" s="98"/>
      <c r="AA32" s="776"/>
    </row>
    <row r="33" spans="1:26" ht="15.75">
      <c r="A33" s="774">
        <v>3</v>
      </c>
      <c r="B33" s="761" t="s">
        <v>463</v>
      </c>
      <c r="C33" s="764"/>
      <c r="D33" s="2304"/>
      <c r="E33" s="768">
        <v>3</v>
      </c>
      <c r="F33" s="768" t="s">
        <v>231</v>
      </c>
      <c r="G33" s="768"/>
      <c r="H33" s="2304"/>
      <c r="I33" s="761">
        <v>3</v>
      </c>
      <c r="J33" s="761" t="s">
        <v>227</v>
      </c>
      <c r="K33" s="764"/>
      <c r="L33" s="2304"/>
      <c r="M33" s="761"/>
      <c r="N33" s="761"/>
      <c r="O33" s="764"/>
      <c r="P33" s="794"/>
      <c r="R33" s="866"/>
      <c r="S33" s="866"/>
      <c r="Z33" s="98"/>
    </row>
    <row r="34" spans="1:26" ht="15.75">
      <c r="A34" s="774">
        <v>4</v>
      </c>
      <c r="B34" s="777" t="s">
        <v>30</v>
      </c>
      <c r="C34" s="869">
        <f>SUM(C31:C33)</f>
        <v>702.4</v>
      </c>
      <c r="D34" s="2304"/>
      <c r="E34" s="768">
        <v>4</v>
      </c>
      <c r="F34" s="778" t="s">
        <v>30</v>
      </c>
      <c r="G34" s="779">
        <f>SUM(G31:G33)</f>
        <v>556.94000000000005</v>
      </c>
      <c r="H34" s="2304"/>
      <c r="I34" s="761">
        <v>4</v>
      </c>
      <c r="J34" s="765" t="s">
        <v>30</v>
      </c>
      <c r="K34" s="614">
        <f>SUM(K31:K33)</f>
        <v>507.95</v>
      </c>
      <c r="L34" s="2304"/>
      <c r="M34" s="761"/>
      <c r="N34" s="765"/>
      <c r="O34" s="614"/>
      <c r="P34" s="794"/>
      <c r="R34" s="866"/>
      <c r="S34" s="866"/>
      <c r="T34" s="773"/>
      <c r="V34" s="2308"/>
      <c r="W34" s="2308"/>
      <c r="Z34" s="98"/>
    </row>
    <row r="35" spans="1:26" ht="15.75">
      <c r="A35" s="2307" t="s">
        <v>207</v>
      </c>
      <c r="B35" s="2307"/>
      <c r="C35" s="2307"/>
      <c r="D35" s="2304"/>
      <c r="E35" s="2302" t="s">
        <v>207</v>
      </c>
      <c r="F35" s="2302"/>
      <c r="G35" s="2302"/>
      <c r="H35" s="2304"/>
      <c r="I35" s="2304" t="s">
        <v>207</v>
      </c>
      <c r="J35" s="2304"/>
      <c r="K35" s="2304"/>
      <c r="L35" s="2304"/>
      <c r="M35" s="2304"/>
      <c r="N35" s="2304"/>
      <c r="O35" s="2304"/>
      <c r="P35" s="794"/>
      <c r="R35" s="866"/>
      <c r="S35" s="866"/>
      <c r="T35" s="773"/>
      <c r="Z35" s="98"/>
    </row>
    <row r="36" spans="1:26" ht="15.75">
      <c r="A36" s="774">
        <v>6</v>
      </c>
      <c r="B36" s="775" t="s">
        <v>226</v>
      </c>
      <c r="C36" s="216"/>
      <c r="D36" s="2304"/>
      <c r="E36" s="1639">
        <v>6</v>
      </c>
      <c r="F36" s="768" t="s">
        <v>226</v>
      </c>
      <c r="G36" s="216"/>
      <c r="H36" s="2304"/>
      <c r="I36" s="1639">
        <v>6</v>
      </c>
      <c r="J36" s="761" t="s">
        <v>226</v>
      </c>
      <c r="K36" s="216"/>
      <c r="L36" s="2304"/>
      <c r="M36" s="1639"/>
      <c r="N36" s="761"/>
      <c r="O36" s="216"/>
      <c r="P36" s="794"/>
      <c r="R36" s="866"/>
      <c r="S36" s="866"/>
      <c r="V36" s="2309"/>
      <c r="W36" s="2310"/>
      <c r="Z36" s="98"/>
    </row>
    <row r="37" spans="1:26" ht="15.75">
      <c r="A37" s="774">
        <v>7</v>
      </c>
      <c r="B37" s="856" t="s">
        <v>747</v>
      </c>
      <c r="C37" s="216">
        <v>87.06</v>
      </c>
      <c r="D37" s="2304"/>
      <c r="E37" s="1639">
        <v>7</v>
      </c>
      <c r="F37" s="856" t="s">
        <v>747</v>
      </c>
      <c r="G37" s="216">
        <v>71.41</v>
      </c>
      <c r="H37" s="2304"/>
      <c r="I37" s="1639">
        <v>7</v>
      </c>
      <c r="J37" s="856" t="s">
        <v>747</v>
      </c>
      <c r="K37" s="216">
        <v>62.33</v>
      </c>
      <c r="L37" s="2304"/>
      <c r="M37" s="1639"/>
      <c r="N37" s="856"/>
      <c r="O37" s="216"/>
      <c r="P37" s="794"/>
      <c r="R37" s="862">
        <f>C37+G37+O37+K37</f>
        <v>220.8</v>
      </c>
      <c r="S37" s="866"/>
      <c r="Z37" s="98"/>
    </row>
    <row r="38" spans="1:26" ht="15.75">
      <c r="A38" s="774"/>
      <c r="B38" s="761" t="s">
        <v>462</v>
      </c>
      <c r="C38" s="766"/>
      <c r="D38" s="2304"/>
      <c r="E38" s="1639"/>
      <c r="F38" s="761" t="s">
        <v>462</v>
      </c>
      <c r="G38" s="766"/>
      <c r="H38" s="2304"/>
      <c r="I38" s="1639"/>
      <c r="J38" s="761" t="s">
        <v>462</v>
      </c>
      <c r="K38" s="766"/>
      <c r="L38" s="2304"/>
      <c r="M38" s="1639"/>
      <c r="N38" s="761"/>
      <c r="O38" s="766"/>
      <c r="P38" s="794"/>
      <c r="R38" s="866"/>
      <c r="S38" s="866"/>
      <c r="Z38" s="98"/>
    </row>
    <row r="39" spans="1:26" ht="15.75">
      <c r="A39" s="774">
        <v>8</v>
      </c>
      <c r="B39" s="775" t="s">
        <v>228</v>
      </c>
      <c r="C39" s="276"/>
      <c r="D39" s="2304"/>
      <c r="E39" s="1639">
        <v>8</v>
      </c>
      <c r="F39" s="768" t="s">
        <v>228</v>
      </c>
      <c r="G39" s="782"/>
      <c r="H39" s="2304"/>
      <c r="I39" s="1639">
        <v>8</v>
      </c>
      <c r="J39" s="761" t="s">
        <v>228</v>
      </c>
      <c r="K39" s="276"/>
      <c r="L39" s="2304"/>
      <c r="M39" s="1639"/>
      <c r="N39" s="761"/>
      <c r="O39" s="276"/>
      <c r="P39" s="794"/>
      <c r="R39" s="866"/>
      <c r="S39" s="866"/>
      <c r="U39" s="1052"/>
      <c r="Z39" s="783"/>
    </row>
    <row r="40" spans="1:26" ht="15.75">
      <c r="A40" s="774">
        <v>9</v>
      </c>
      <c r="B40" s="775" t="s">
        <v>229</v>
      </c>
      <c r="C40" s="216"/>
      <c r="D40" s="2304"/>
      <c r="E40" s="1639">
        <v>9</v>
      </c>
      <c r="F40" s="768" t="s">
        <v>229</v>
      </c>
      <c r="G40" s="768"/>
      <c r="H40" s="2304"/>
      <c r="I40" s="1639">
        <v>9</v>
      </c>
      <c r="J40" s="761" t="s">
        <v>229</v>
      </c>
      <c r="K40" s="216"/>
      <c r="L40" s="2304"/>
      <c r="M40" s="1639"/>
      <c r="N40" s="761"/>
      <c r="O40" s="216"/>
      <c r="P40" s="794"/>
      <c r="R40" s="866"/>
      <c r="S40" s="866"/>
      <c r="U40" s="1052">
        <v>2600000</v>
      </c>
      <c r="V40" s="2311"/>
      <c r="W40" s="2311"/>
      <c r="Z40" s="98"/>
    </row>
    <row r="41" spans="1:26" ht="15.75">
      <c r="A41" s="774">
        <v>10</v>
      </c>
      <c r="B41" s="775" t="s">
        <v>30</v>
      </c>
      <c r="C41" s="858">
        <f>SUM(C36:C40)</f>
        <v>87.06</v>
      </c>
      <c r="D41" s="2304"/>
      <c r="E41" s="1639">
        <v>10</v>
      </c>
      <c r="F41" s="784" t="s">
        <v>30</v>
      </c>
      <c r="G41" s="858">
        <f>SUM(G36:G40)</f>
        <v>71.41</v>
      </c>
      <c r="H41" s="2304"/>
      <c r="I41" s="1639">
        <v>10</v>
      </c>
      <c r="J41" s="761" t="s">
        <v>30</v>
      </c>
      <c r="K41" s="858">
        <f>SUM(K36:K40)</f>
        <v>62.33</v>
      </c>
      <c r="L41" s="2304"/>
      <c r="M41" s="1639"/>
      <c r="N41" s="761"/>
      <c r="O41" s="858"/>
      <c r="P41" s="794"/>
      <c r="R41" s="866"/>
      <c r="S41" s="866"/>
      <c r="U41" s="1052">
        <v>2206000</v>
      </c>
      <c r="Z41" s="98"/>
    </row>
    <row r="42" spans="1:26" ht="15.75">
      <c r="A42" s="774">
        <v>11</v>
      </c>
      <c r="B42" s="775" t="s">
        <v>230</v>
      </c>
      <c r="C42" s="1644">
        <f>C34-C41</f>
        <v>615.33999999999992</v>
      </c>
      <c r="D42" s="2304"/>
      <c r="E42" s="1639">
        <v>11</v>
      </c>
      <c r="F42" s="768" t="s">
        <v>230</v>
      </c>
      <c r="G42" s="1642">
        <f>G34-G41</f>
        <v>485.53000000000009</v>
      </c>
      <c r="H42" s="2304"/>
      <c r="I42" s="1639">
        <v>11</v>
      </c>
      <c r="J42" s="761" t="s">
        <v>230</v>
      </c>
      <c r="K42" s="1643">
        <f>K34-K41</f>
        <v>445.62</v>
      </c>
      <c r="L42" s="2304"/>
      <c r="M42" s="1639"/>
      <c r="N42" s="761"/>
      <c r="O42" s="1132"/>
      <c r="P42" s="794"/>
      <c r="Q42" s="98"/>
      <c r="R42" s="866"/>
      <c r="S42" s="866"/>
      <c r="U42" s="1052">
        <f>SUM(U40:U41)</f>
        <v>4806000</v>
      </c>
      <c r="Z42" s="98"/>
    </row>
    <row r="43" spans="1:26" ht="33" customHeight="1">
      <c r="A43" s="768"/>
      <c r="B43" s="768"/>
      <c r="C43" s="768"/>
      <c r="D43" s="768"/>
      <c r="E43" s="768"/>
      <c r="F43" s="768"/>
      <c r="G43" s="768"/>
      <c r="H43" s="768"/>
      <c r="I43" s="768"/>
      <c r="J43" s="768"/>
      <c r="K43" s="768"/>
      <c r="L43" s="768"/>
      <c r="M43" s="768"/>
      <c r="N43" s="768"/>
      <c r="O43" s="768"/>
      <c r="P43" s="794"/>
      <c r="R43" s="867"/>
      <c r="S43" s="867"/>
      <c r="U43" s="1053"/>
      <c r="V43" s="787"/>
      <c r="W43" s="787"/>
      <c r="Z43" s="98"/>
    </row>
    <row r="44" spans="1:26" ht="26.25" customHeight="1">
      <c r="A44" s="2301" t="s">
        <v>643</v>
      </c>
      <c r="B44" s="2301"/>
      <c r="C44" s="2301"/>
      <c r="D44" s="1636"/>
      <c r="E44" s="2301" t="s">
        <v>646</v>
      </c>
      <c r="F44" s="2301"/>
      <c r="G44" s="2301"/>
      <c r="H44" s="1636"/>
      <c r="I44" s="2301" t="s">
        <v>701</v>
      </c>
      <c r="J44" s="2301"/>
      <c r="K44" s="2301"/>
      <c r="L44" s="793"/>
      <c r="M44" s="2301" t="s">
        <v>632</v>
      </c>
      <c r="N44" s="2301"/>
      <c r="O44" s="2301"/>
      <c r="P44" s="794">
        <f t="shared" si="0"/>
        <v>0</v>
      </c>
      <c r="R44" s="866"/>
      <c r="S44" s="866"/>
      <c r="T44" s="788"/>
    </row>
    <row r="45" spans="1:26" ht="15.75">
      <c r="A45" s="768">
        <v>1</v>
      </c>
      <c r="B45" s="768" t="s">
        <v>225</v>
      </c>
      <c r="C45" s="216">
        <v>642.22</v>
      </c>
      <c r="D45" s="768"/>
      <c r="E45" s="768">
        <v>1</v>
      </c>
      <c r="F45" s="768" t="s">
        <v>225</v>
      </c>
      <c r="G45" s="216">
        <v>579.26</v>
      </c>
      <c r="H45" s="768"/>
      <c r="I45" s="768">
        <v>1</v>
      </c>
      <c r="J45" s="768" t="s">
        <v>225</v>
      </c>
      <c r="K45" s="216">
        <v>520</v>
      </c>
      <c r="L45" s="857"/>
      <c r="M45" s="768">
        <v>1</v>
      </c>
      <c r="N45" s="768" t="s">
        <v>225</v>
      </c>
      <c r="O45" s="216">
        <v>541.48</v>
      </c>
      <c r="P45" s="794">
        <f t="shared" si="0"/>
        <v>2282.96</v>
      </c>
      <c r="Q45" s="859">
        <f>C45+G45+K45+O45</f>
        <v>2282.96</v>
      </c>
      <c r="R45" s="866"/>
      <c r="S45" s="866"/>
    </row>
    <row r="46" spans="1:26" ht="15.75">
      <c r="A46" s="768">
        <v>2</v>
      </c>
      <c r="B46" s="761" t="s">
        <v>629</v>
      </c>
      <c r="C46" s="763"/>
      <c r="D46" s="768"/>
      <c r="E46" s="768">
        <v>2</v>
      </c>
      <c r="F46" s="761" t="s">
        <v>629</v>
      </c>
      <c r="G46" s="763"/>
      <c r="H46" s="768"/>
      <c r="I46" s="768">
        <v>2</v>
      </c>
      <c r="J46" s="761" t="s">
        <v>629</v>
      </c>
      <c r="K46" s="763"/>
      <c r="L46" s="768"/>
      <c r="M46" s="768">
        <v>2</v>
      </c>
      <c r="N46" s="761" t="s">
        <v>629</v>
      </c>
      <c r="O46" s="763"/>
      <c r="P46" s="794">
        <f t="shared" si="0"/>
        <v>0</v>
      </c>
      <c r="R46" s="866"/>
      <c r="S46" s="866"/>
      <c r="T46" s="781"/>
    </row>
    <row r="47" spans="1:26" ht="15">
      <c r="A47" s="768">
        <v>3</v>
      </c>
      <c r="B47" s="768" t="s">
        <v>231</v>
      </c>
      <c r="C47" s="768"/>
      <c r="D47" s="768"/>
      <c r="E47" s="768">
        <v>3</v>
      </c>
      <c r="F47" s="768" t="s">
        <v>231</v>
      </c>
      <c r="G47" s="768"/>
      <c r="H47" s="768"/>
      <c r="I47" s="768">
        <v>3</v>
      </c>
      <c r="J47" s="768" t="s">
        <v>231</v>
      </c>
      <c r="K47" s="768"/>
      <c r="L47" s="768"/>
      <c r="M47" s="768">
        <v>3</v>
      </c>
      <c r="N47" s="768" t="s">
        <v>231</v>
      </c>
      <c r="O47" s="768"/>
      <c r="P47" s="794">
        <f t="shared" si="0"/>
        <v>0</v>
      </c>
      <c r="R47" s="866"/>
      <c r="S47" s="866"/>
    </row>
    <row r="48" spans="1:26" ht="15.75">
      <c r="A48" s="768">
        <v>4</v>
      </c>
      <c r="B48" s="778" t="s">
        <v>30</v>
      </c>
      <c r="C48" s="779">
        <f>SUM(C45:C47)</f>
        <v>642.22</v>
      </c>
      <c r="D48" s="768"/>
      <c r="E48" s="768">
        <v>4</v>
      </c>
      <c r="F48" s="778" t="s">
        <v>30</v>
      </c>
      <c r="G48" s="779">
        <f>SUM(G45:G47)</f>
        <v>579.26</v>
      </c>
      <c r="H48" s="768"/>
      <c r="I48" s="768">
        <v>4</v>
      </c>
      <c r="J48" s="778" t="s">
        <v>30</v>
      </c>
      <c r="K48" s="779">
        <f>SUM(K45:K47)</f>
        <v>520</v>
      </c>
      <c r="L48" s="779"/>
      <c r="M48" s="768">
        <v>4</v>
      </c>
      <c r="N48" s="778" t="s">
        <v>30</v>
      </c>
      <c r="O48" s="779">
        <f>SUM(O45:O47)</f>
        <v>541.48</v>
      </c>
      <c r="P48" s="794">
        <f t="shared" si="0"/>
        <v>2282.96</v>
      </c>
      <c r="R48" s="866"/>
      <c r="S48" s="866"/>
    </row>
    <row r="49" spans="1:26" ht="15.75">
      <c r="A49" s="2302" t="s">
        <v>207</v>
      </c>
      <c r="B49" s="2302"/>
      <c r="C49" s="2302"/>
      <c r="D49" s="1636"/>
      <c r="E49" s="2302" t="s">
        <v>207</v>
      </c>
      <c r="F49" s="2302"/>
      <c r="G49" s="2302"/>
      <c r="H49" s="1636"/>
      <c r="I49" s="2302" t="s">
        <v>207</v>
      </c>
      <c r="J49" s="2302"/>
      <c r="K49" s="2302"/>
      <c r="L49" s="792"/>
      <c r="M49" s="2302" t="s">
        <v>207</v>
      </c>
      <c r="N49" s="2302"/>
      <c r="O49" s="2302"/>
      <c r="P49" s="794">
        <f t="shared" si="0"/>
        <v>0</v>
      </c>
      <c r="R49" s="866"/>
      <c r="S49" s="866"/>
    </row>
    <row r="50" spans="1:26" ht="15.75">
      <c r="A50" s="1639">
        <v>6</v>
      </c>
      <c r="B50" s="768" t="s">
        <v>226</v>
      </c>
      <c r="C50" s="780"/>
      <c r="D50" s="768"/>
      <c r="E50" s="1639">
        <v>6</v>
      </c>
      <c r="F50" s="768" t="s">
        <v>226</v>
      </c>
      <c r="G50" s="216"/>
      <c r="H50" s="768"/>
      <c r="I50" s="1639">
        <v>6</v>
      </c>
      <c r="J50" s="768" t="s">
        <v>226</v>
      </c>
      <c r="K50" s="216"/>
      <c r="L50" s="216"/>
      <c r="M50" s="1639">
        <v>6</v>
      </c>
      <c r="N50" s="768" t="s">
        <v>226</v>
      </c>
      <c r="O50" s="216"/>
      <c r="P50" s="794">
        <f t="shared" si="0"/>
        <v>0</v>
      </c>
      <c r="R50" s="866"/>
      <c r="S50" s="866"/>
    </row>
    <row r="51" spans="1:26" ht="15.75">
      <c r="A51" s="1639">
        <v>7</v>
      </c>
      <c r="B51" s="856" t="s">
        <v>747</v>
      </c>
      <c r="C51" s="216">
        <v>80.239999999999995</v>
      </c>
      <c r="D51" s="768"/>
      <c r="E51" s="1639">
        <v>7</v>
      </c>
      <c r="F51" s="856" t="s">
        <v>747</v>
      </c>
      <c r="G51" s="216">
        <v>68.010000000000005</v>
      </c>
      <c r="H51" s="768"/>
      <c r="I51" s="1639">
        <v>7</v>
      </c>
      <c r="J51" s="856" t="s">
        <v>747</v>
      </c>
      <c r="K51" s="216">
        <v>65.430000000000007</v>
      </c>
      <c r="L51" s="767"/>
      <c r="M51" s="1639">
        <v>7</v>
      </c>
      <c r="N51" s="856" t="s">
        <v>747</v>
      </c>
      <c r="O51" s="216">
        <v>65.510000000000005</v>
      </c>
      <c r="P51" s="794">
        <f t="shared" si="0"/>
        <v>279.19</v>
      </c>
      <c r="R51" s="862">
        <f>C51+G51+O51+K51</f>
        <v>279.19</v>
      </c>
      <c r="S51" s="866"/>
    </row>
    <row r="52" spans="1:26" ht="15.75">
      <c r="A52" s="1639"/>
      <c r="B52" s="761" t="s">
        <v>462</v>
      </c>
      <c r="C52" s="766"/>
      <c r="D52" s="768"/>
      <c r="E52" s="1639"/>
      <c r="F52" s="761" t="s">
        <v>462</v>
      </c>
      <c r="G52" s="766"/>
      <c r="H52" s="768"/>
      <c r="I52" s="1639"/>
      <c r="J52" s="761" t="s">
        <v>462</v>
      </c>
      <c r="K52" s="766"/>
      <c r="L52" s="766"/>
      <c r="M52" s="1639"/>
      <c r="N52" s="761" t="s">
        <v>462</v>
      </c>
      <c r="O52" s="766"/>
      <c r="P52" s="794">
        <f t="shared" si="0"/>
        <v>0</v>
      </c>
      <c r="R52" s="866"/>
      <c r="S52" s="866"/>
    </row>
    <row r="53" spans="1:26" ht="15.75">
      <c r="A53" s="1639">
        <v>8</v>
      </c>
      <c r="B53" s="768" t="s">
        <v>228</v>
      </c>
      <c r="C53" s="768"/>
      <c r="D53" s="768"/>
      <c r="E53" s="1639">
        <v>8</v>
      </c>
      <c r="F53" s="768" t="s">
        <v>228</v>
      </c>
      <c r="G53" s="782"/>
      <c r="H53" s="768"/>
      <c r="I53" s="1639">
        <v>8</v>
      </c>
      <c r="J53" s="768" t="s">
        <v>228</v>
      </c>
      <c r="K53" s="782"/>
      <c r="L53" s="782"/>
      <c r="M53" s="1639">
        <v>8</v>
      </c>
      <c r="N53" s="768" t="s">
        <v>228</v>
      </c>
      <c r="O53" s="782"/>
      <c r="P53" s="794">
        <f t="shared" si="0"/>
        <v>0</v>
      </c>
      <c r="R53" s="866"/>
      <c r="S53" s="866"/>
    </row>
    <row r="54" spans="1:26" ht="15.75">
      <c r="A54" s="1639">
        <v>9</v>
      </c>
      <c r="B54" s="768" t="s">
        <v>229</v>
      </c>
      <c r="C54" s="768"/>
      <c r="D54" s="768"/>
      <c r="E54" s="1639">
        <v>9</v>
      </c>
      <c r="F54" s="768" t="s">
        <v>229</v>
      </c>
      <c r="G54" s="768"/>
      <c r="H54" s="768"/>
      <c r="I54" s="1639">
        <v>9</v>
      </c>
      <c r="J54" s="768" t="s">
        <v>229</v>
      </c>
      <c r="K54" s="768"/>
      <c r="L54" s="768"/>
      <c r="M54" s="1639">
        <v>9</v>
      </c>
      <c r="N54" s="768" t="s">
        <v>229</v>
      </c>
      <c r="O54" s="768"/>
      <c r="P54" s="794">
        <f t="shared" si="0"/>
        <v>0</v>
      </c>
      <c r="R54" s="866"/>
      <c r="S54" s="866"/>
    </row>
    <row r="55" spans="1:26" ht="15.75">
      <c r="A55" s="1639">
        <v>10</v>
      </c>
      <c r="B55" s="784" t="s">
        <v>30</v>
      </c>
      <c r="C55" s="858">
        <f>SUM(C50:C54)</f>
        <v>80.239999999999995</v>
      </c>
      <c r="D55" s="768"/>
      <c r="E55" s="1639">
        <v>10</v>
      </c>
      <c r="F55" s="784" t="s">
        <v>30</v>
      </c>
      <c r="G55" s="858">
        <f>SUM(G50:G54)</f>
        <v>68.010000000000005</v>
      </c>
      <c r="H55" s="768"/>
      <c r="I55" s="1639">
        <v>10</v>
      </c>
      <c r="J55" s="784" t="s">
        <v>30</v>
      </c>
      <c r="K55" s="858">
        <f>SUM(K50:K54)</f>
        <v>65.430000000000007</v>
      </c>
      <c r="L55" s="785"/>
      <c r="M55" s="1639">
        <v>10</v>
      </c>
      <c r="N55" s="784" t="s">
        <v>30</v>
      </c>
      <c r="O55" s="858">
        <f>SUM(O50:O54)</f>
        <v>65.510000000000005</v>
      </c>
      <c r="P55" s="794">
        <f t="shared" si="0"/>
        <v>279.19</v>
      </c>
      <c r="R55" s="866"/>
      <c r="S55" s="866"/>
    </row>
    <row r="56" spans="1:26" ht="15.75">
      <c r="A56" s="1639">
        <v>11</v>
      </c>
      <c r="B56" s="768" t="s">
        <v>230</v>
      </c>
      <c r="C56" s="1645">
        <f>C48-C55</f>
        <v>561.98</v>
      </c>
      <c r="D56" s="768"/>
      <c r="E56" s="1639">
        <v>11</v>
      </c>
      <c r="F56" s="768" t="s">
        <v>230</v>
      </c>
      <c r="G56" s="1642">
        <f>G48-G55</f>
        <v>511.25</v>
      </c>
      <c r="H56" s="768"/>
      <c r="I56" s="1639">
        <v>11</v>
      </c>
      <c r="J56" s="768" t="s">
        <v>230</v>
      </c>
      <c r="K56" s="1642">
        <f>K48-K55</f>
        <v>454.57</v>
      </c>
      <c r="L56" s="786"/>
      <c r="M56" s="1639">
        <v>11</v>
      </c>
      <c r="N56" s="768" t="s">
        <v>230</v>
      </c>
      <c r="O56" s="1642">
        <f>O48-O55</f>
        <v>475.97</v>
      </c>
      <c r="P56" s="794">
        <f t="shared" si="0"/>
        <v>2003.77</v>
      </c>
      <c r="R56" s="866"/>
      <c r="S56" s="866"/>
    </row>
    <row r="57" spans="1:26" ht="126.75" customHeight="1">
      <c r="A57" s="2305"/>
      <c r="B57" s="2305"/>
      <c r="C57" s="2305"/>
      <c r="D57" s="1638"/>
      <c r="E57" s="2305"/>
      <c r="F57" s="2305"/>
      <c r="G57" s="2305"/>
      <c r="H57" s="1638"/>
      <c r="L57" s="1638"/>
      <c r="M57" s="2305"/>
      <c r="N57" s="2305"/>
      <c r="O57" s="2305"/>
      <c r="P57" s="794">
        <f t="shared" si="0"/>
        <v>0</v>
      </c>
      <c r="R57" s="866"/>
      <c r="S57" s="866"/>
    </row>
    <row r="58" spans="1:26" ht="15.75">
      <c r="A58" s="2301" t="s">
        <v>645</v>
      </c>
      <c r="B58" s="2301"/>
      <c r="C58" s="2301"/>
      <c r="D58" s="855"/>
      <c r="E58" s="2301" t="s">
        <v>631</v>
      </c>
      <c r="F58" s="2301"/>
      <c r="G58" s="2301"/>
      <c r="H58" s="855"/>
      <c r="I58" s="2301" t="s">
        <v>644</v>
      </c>
      <c r="J58" s="2301"/>
      <c r="K58" s="2301"/>
      <c r="L58" s="855"/>
      <c r="M58" s="2301" t="s">
        <v>633</v>
      </c>
      <c r="N58" s="2301"/>
      <c r="O58" s="2301"/>
      <c r="P58" s="794">
        <f t="shared" si="0"/>
        <v>0</v>
      </c>
    </row>
    <row r="59" spans="1:26" ht="15.75">
      <c r="A59" s="768">
        <v>1</v>
      </c>
      <c r="B59" s="768" t="s">
        <v>225</v>
      </c>
      <c r="C59" s="216">
        <v>566.66999999999996</v>
      </c>
      <c r="D59" s="855"/>
      <c r="E59" s="768">
        <v>1</v>
      </c>
      <c r="F59" s="768" t="s">
        <v>225</v>
      </c>
      <c r="G59" s="216">
        <v>566.66999999999996</v>
      </c>
      <c r="H59" s="855"/>
      <c r="I59" s="768">
        <v>1</v>
      </c>
      <c r="J59" s="768" t="s">
        <v>225</v>
      </c>
      <c r="K59" s="216">
        <v>566.66999999999996</v>
      </c>
      <c r="L59" s="855"/>
      <c r="M59" s="768">
        <v>1</v>
      </c>
      <c r="N59" s="768" t="s">
        <v>225</v>
      </c>
      <c r="O59" s="216">
        <v>566.66999999999996</v>
      </c>
      <c r="P59" s="794">
        <f>C59+G59+K59+O59</f>
        <v>2266.6799999999998</v>
      </c>
      <c r="Q59" s="859">
        <f>C59+G59+K59+O59</f>
        <v>2266.6799999999998</v>
      </c>
    </row>
    <row r="60" spans="1:26" ht="15.75">
      <c r="A60" s="768">
        <v>2</v>
      </c>
      <c r="B60" s="761" t="s">
        <v>629</v>
      </c>
      <c r="C60" s="763"/>
      <c r="D60" s="855"/>
      <c r="E60" s="768">
        <v>2</v>
      </c>
      <c r="F60" s="761" t="s">
        <v>629</v>
      </c>
      <c r="G60" s="763"/>
      <c r="H60" s="855"/>
      <c r="I60" s="768">
        <v>2</v>
      </c>
      <c r="J60" s="761" t="s">
        <v>629</v>
      </c>
      <c r="K60" s="763"/>
      <c r="L60" s="855"/>
      <c r="M60" s="768">
        <v>2</v>
      </c>
      <c r="N60" s="761" t="s">
        <v>629</v>
      </c>
      <c r="O60" s="763"/>
      <c r="P60" s="794">
        <f t="shared" si="0"/>
        <v>0</v>
      </c>
    </row>
    <row r="61" spans="1:26" ht="15">
      <c r="A61" s="768">
        <v>3</v>
      </c>
      <c r="B61" s="768" t="s">
        <v>231</v>
      </c>
      <c r="C61" s="768"/>
      <c r="D61" s="855"/>
      <c r="E61" s="768">
        <v>3</v>
      </c>
      <c r="F61" s="768" t="s">
        <v>231</v>
      </c>
      <c r="G61" s="768"/>
      <c r="H61" s="855"/>
      <c r="I61" s="768">
        <v>3</v>
      </c>
      <c r="J61" s="768" t="s">
        <v>231</v>
      </c>
      <c r="K61" s="768"/>
      <c r="L61" s="855"/>
      <c r="M61" s="768">
        <v>3</v>
      </c>
      <c r="N61" s="768" t="s">
        <v>231</v>
      </c>
      <c r="O61" s="768"/>
      <c r="P61" s="794">
        <f t="shared" si="0"/>
        <v>0</v>
      </c>
    </row>
    <row r="62" spans="1:26" ht="15.75">
      <c r="A62" s="768">
        <v>4</v>
      </c>
      <c r="B62" s="778" t="s">
        <v>30</v>
      </c>
      <c r="C62" s="779">
        <f>SUM(C59:C61)</f>
        <v>566.66999999999996</v>
      </c>
      <c r="D62" s="789"/>
      <c r="E62" s="768">
        <v>4</v>
      </c>
      <c r="F62" s="778" t="s">
        <v>30</v>
      </c>
      <c r="G62" s="779">
        <f>SUM(G59:G61)</f>
        <v>566.66999999999996</v>
      </c>
      <c r="H62" s="789"/>
      <c r="I62" s="768">
        <v>4</v>
      </c>
      <c r="J62" s="778" t="s">
        <v>30</v>
      </c>
      <c r="K62" s="779">
        <f>SUM(K59:K61)</f>
        <v>566.66999999999996</v>
      </c>
      <c r="L62" s="789"/>
      <c r="M62" s="768">
        <v>4</v>
      </c>
      <c r="N62" s="778" t="s">
        <v>30</v>
      </c>
      <c r="O62" s="779">
        <f>SUM(O59:O61)</f>
        <v>566.66999999999996</v>
      </c>
      <c r="P62" s="794">
        <f t="shared" si="0"/>
        <v>2266.6799999999998</v>
      </c>
    </row>
    <row r="63" spans="1:26" ht="16.5" customHeight="1">
      <c r="A63" s="2302" t="s">
        <v>207</v>
      </c>
      <c r="B63" s="2302"/>
      <c r="C63" s="2302"/>
      <c r="D63" s="855"/>
      <c r="E63" s="2302" t="s">
        <v>207</v>
      </c>
      <c r="F63" s="2302"/>
      <c r="G63" s="2302"/>
      <c r="H63" s="855"/>
      <c r="I63" s="2302" t="s">
        <v>207</v>
      </c>
      <c r="J63" s="2302"/>
      <c r="K63" s="2302"/>
      <c r="L63" s="855"/>
      <c r="M63" s="2302" t="s">
        <v>207</v>
      </c>
      <c r="N63" s="2302"/>
      <c r="O63" s="2302"/>
      <c r="P63" s="794">
        <f t="shared" si="0"/>
        <v>0</v>
      </c>
      <c r="Q63" s="790"/>
      <c r="R63" s="167"/>
      <c r="S63" s="167"/>
      <c r="T63" s="167"/>
      <c r="U63" s="167"/>
      <c r="V63" s="167"/>
      <c r="W63" s="167"/>
      <c r="X63" s="167"/>
      <c r="Y63" s="167"/>
      <c r="Z63" s="791"/>
    </row>
    <row r="64" spans="1:26" ht="16.5" customHeight="1">
      <c r="A64" s="1639">
        <v>6</v>
      </c>
      <c r="B64" s="768" t="s">
        <v>226</v>
      </c>
      <c r="C64" s="780"/>
      <c r="D64" s="855"/>
      <c r="E64" s="1639">
        <v>6</v>
      </c>
      <c r="F64" s="768" t="s">
        <v>226</v>
      </c>
      <c r="G64" s="780"/>
      <c r="H64" s="855"/>
      <c r="I64" s="1639">
        <v>6</v>
      </c>
      <c r="J64" s="768" t="s">
        <v>226</v>
      </c>
      <c r="K64" s="780"/>
      <c r="L64" s="855"/>
      <c r="M64" s="1639">
        <v>6</v>
      </c>
      <c r="N64" s="768" t="s">
        <v>226</v>
      </c>
      <c r="O64" s="780"/>
      <c r="P64" s="794">
        <f t="shared" si="0"/>
        <v>0</v>
      </c>
      <c r="Q64" s="790"/>
      <c r="R64" s="167"/>
      <c r="S64" s="167"/>
      <c r="T64" s="167"/>
      <c r="U64" s="167"/>
      <c r="V64" s="167"/>
      <c r="W64" s="167"/>
      <c r="X64" s="167"/>
      <c r="Y64" s="167"/>
      <c r="Z64" s="791"/>
    </row>
    <row r="65" spans="1:26" ht="16.5" customHeight="1">
      <c r="A65" s="1639">
        <v>7</v>
      </c>
      <c r="B65" s="856" t="s">
        <v>747</v>
      </c>
      <c r="C65" s="1640">
        <v>65.989999999999995</v>
      </c>
      <c r="D65" s="855"/>
      <c r="E65" s="1639">
        <v>7</v>
      </c>
      <c r="F65" s="856" t="s">
        <v>747</v>
      </c>
      <c r="G65" s="1640">
        <v>47.67</v>
      </c>
      <c r="H65" s="855"/>
      <c r="I65" s="1639">
        <v>7</v>
      </c>
      <c r="J65" s="856" t="s">
        <v>747</v>
      </c>
      <c r="K65" s="1640">
        <v>65.989999999999995</v>
      </c>
      <c r="L65" s="855"/>
      <c r="M65" s="1639">
        <v>7</v>
      </c>
      <c r="N65" s="856" t="s">
        <v>747</v>
      </c>
      <c r="O65" s="1640">
        <v>65.989999999999995</v>
      </c>
      <c r="P65" s="794">
        <f t="shared" si="0"/>
        <v>245.64</v>
      </c>
      <c r="Q65" s="790"/>
      <c r="R65" s="213">
        <f>C65+G65+O65+K65</f>
        <v>245.64</v>
      </c>
      <c r="S65" s="167"/>
      <c r="T65" s="167"/>
      <c r="U65" s="167"/>
      <c r="V65" s="167"/>
      <c r="W65" s="167"/>
      <c r="X65" s="167"/>
      <c r="Y65" s="167"/>
      <c r="Z65" s="791"/>
    </row>
    <row r="66" spans="1:26" ht="16.5" customHeight="1">
      <c r="A66" s="1639"/>
      <c r="B66" s="761" t="s">
        <v>462</v>
      </c>
      <c r="C66" s="766"/>
      <c r="D66" s="855"/>
      <c r="E66" s="1639"/>
      <c r="F66" s="761" t="s">
        <v>462</v>
      </c>
      <c r="G66" s="766"/>
      <c r="H66" s="855"/>
      <c r="I66" s="1639"/>
      <c r="J66" s="761" t="s">
        <v>462</v>
      </c>
      <c r="K66" s="766"/>
      <c r="L66" s="855"/>
      <c r="M66" s="1639"/>
      <c r="N66" s="761" t="s">
        <v>462</v>
      </c>
      <c r="O66" s="766"/>
      <c r="P66" s="794">
        <f t="shared" si="0"/>
        <v>0</v>
      </c>
      <c r="Q66" s="790"/>
      <c r="R66" s="167"/>
      <c r="S66" s="167"/>
      <c r="T66" s="167"/>
      <c r="U66" s="167"/>
      <c r="V66" s="167"/>
      <c r="W66" s="167"/>
      <c r="X66" s="167"/>
      <c r="Y66" s="167"/>
      <c r="Z66" s="791"/>
    </row>
    <row r="67" spans="1:26" ht="16.5" customHeight="1">
      <c r="A67" s="1639">
        <v>8</v>
      </c>
      <c r="B67" s="768" t="s">
        <v>228</v>
      </c>
      <c r="C67" s="768"/>
      <c r="D67" s="855"/>
      <c r="E67" s="1639">
        <v>8</v>
      </c>
      <c r="F67" s="768" t="s">
        <v>228</v>
      </c>
      <c r="G67" s="768">
        <v>500</v>
      </c>
      <c r="H67" s="855"/>
      <c r="I67" s="1639">
        <v>8</v>
      </c>
      <c r="J67" s="768" t="s">
        <v>228</v>
      </c>
      <c r="K67" s="768"/>
      <c r="L67" s="855"/>
      <c r="M67" s="1639">
        <v>8</v>
      </c>
      <c r="N67" s="768" t="s">
        <v>228</v>
      </c>
      <c r="O67" s="768"/>
      <c r="P67" s="794">
        <f t="shared" si="0"/>
        <v>500</v>
      </c>
      <c r="Q67" s="790"/>
      <c r="R67" s="167"/>
      <c r="S67" s="167"/>
      <c r="T67" s="167"/>
      <c r="U67" s="167"/>
      <c r="V67" s="167"/>
      <c r="W67" s="167"/>
      <c r="X67" s="167"/>
      <c r="Y67" s="167"/>
      <c r="Z67" s="791"/>
    </row>
    <row r="68" spans="1:26" ht="16.5" customHeight="1">
      <c r="A68" s="1639">
        <v>9</v>
      </c>
      <c r="B68" s="768" t="s">
        <v>229</v>
      </c>
      <c r="C68" s="768"/>
      <c r="E68" s="1639">
        <v>9</v>
      </c>
      <c r="F68" s="768" t="s">
        <v>229</v>
      </c>
      <c r="G68" s="768"/>
      <c r="I68" s="1639">
        <v>9</v>
      </c>
      <c r="J68" s="768" t="s">
        <v>229</v>
      </c>
      <c r="K68" s="768"/>
      <c r="M68" s="1639">
        <v>9</v>
      </c>
      <c r="N68" s="768" t="s">
        <v>229</v>
      </c>
      <c r="O68" s="768"/>
      <c r="P68" s="794">
        <f t="shared" ref="P68" si="1">C68+G68+K68+O68</f>
        <v>0</v>
      </c>
      <c r="Q68" s="790"/>
      <c r="R68" s="167"/>
      <c r="S68" s="167"/>
      <c r="T68" s="167"/>
      <c r="U68" s="167"/>
      <c r="V68" s="167"/>
      <c r="W68" s="167"/>
      <c r="X68" s="167"/>
      <c r="Y68" s="167"/>
      <c r="Z68" s="791"/>
    </row>
    <row r="69" spans="1:26" ht="16.5" customHeight="1">
      <c r="A69" s="1639">
        <v>10</v>
      </c>
      <c r="B69" s="784" t="s">
        <v>30</v>
      </c>
      <c r="C69" s="858">
        <f>SUM(C64:C68)</f>
        <v>65.989999999999995</v>
      </c>
      <c r="E69" s="1639">
        <v>10</v>
      </c>
      <c r="F69" s="784" t="s">
        <v>30</v>
      </c>
      <c r="G69" s="858">
        <f>SUM(G64:G68)</f>
        <v>547.66999999999996</v>
      </c>
      <c r="I69" s="1639">
        <v>10</v>
      </c>
      <c r="J69" s="784" t="s">
        <v>30</v>
      </c>
      <c r="K69" s="858">
        <f>SUM(K64:K68)</f>
        <v>65.989999999999995</v>
      </c>
      <c r="M69" s="1639">
        <v>10</v>
      </c>
      <c r="N69" s="784" t="s">
        <v>30</v>
      </c>
      <c r="O69" s="858">
        <f>SUM(O64:O68)</f>
        <v>65.989999999999995</v>
      </c>
      <c r="P69" s="794">
        <f>C69+G69+K69+O69</f>
        <v>745.64</v>
      </c>
      <c r="Q69" s="790"/>
      <c r="R69" s="167"/>
      <c r="S69" s="167"/>
      <c r="T69" s="167"/>
      <c r="U69" s="167"/>
      <c r="V69" s="167"/>
      <c r="W69" s="167"/>
      <c r="X69" s="167"/>
      <c r="Y69" s="167"/>
      <c r="Z69" s="791"/>
    </row>
    <row r="70" spans="1:26" ht="16.5" customHeight="1">
      <c r="A70" s="1639">
        <v>11</v>
      </c>
      <c r="B70" s="768" t="s">
        <v>230</v>
      </c>
      <c r="C70" s="1642">
        <f>C62-C69</f>
        <v>500.67999999999995</v>
      </c>
      <c r="E70" s="1639">
        <v>11</v>
      </c>
      <c r="F70" s="768" t="s">
        <v>230</v>
      </c>
      <c r="G70" s="1642">
        <f>G62-G69</f>
        <v>19</v>
      </c>
      <c r="I70" s="1639">
        <v>11</v>
      </c>
      <c r="J70" s="768" t="s">
        <v>230</v>
      </c>
      <c r="K70" s="1642">
        <f>K62-K69</f>
        <v>500.67999999999995</v>
      </c>
      <c r="M70" s="1639">
        <v>11</v>
      </c>
      <c r="N70" s="768" t="s">
        <v>230</v>
      </c>
      <c r="O70" s="1642">
        <f>O62-O69</f>
        <v>500.67999999999995</v>
      </c>
      <c r="P70" s="794">
        <f>C70+G70+K70+O70</f>
        <v>1521.04</v>
      </c>
      <c r="Q70" s="790"/>
      <c r="R70" s="167"/>
      <c r="S70" s="167"/>
      <c r="T70" s="167"/>
      <c r="U70" s="167"/>
      <c r="V70" s="167"/>
      <c r="W70" s="167"/>
      <c r="X70" s="167"/>
      <c r="Y70" s="167"/>
      <c r="Z70" s="791"/>
    </row>
    <row r="71" spans="1:26" ht="26.25" customHeight="1">
      <c r="Q71" s="790"/>
      <c r="R71" s="167"/>
      <c r="S71" s="167"/>
      <c r="T71" s="167"/>
      <c r="U71" s="167"/>
      <c r="V71" s="167"/>
      <c r="W71" s="167"/>
      <c r="X71" s="167"/>
      <c r="Y71" s="167"/>
      <c r="Z71" s="791"/>
    </row>
    <row r="72" spans="1:26" ht="18.75" customHeight="1">
      <c r="A72" s="2301" t="s">
        <v>1004</v>
      </c>
      <c r="B72" s="2301"/>
      <c r="C72" s="2301"/>
      <c r="E72" s="2301" t="s">
        <v>610</v>
      </c>
      <c r="F72" s="2301"/>
      <c r="G72" s="2301"/>
      <c r="I72" s="2301" t="s">
        <v>872</v>
      </c>
      <c r="J72" s="2301"/>
      <c r="K72" s="2301"/>
      <c r="Q72" s="790"/>
      <c r="R72" s="167"/>
      <c r="S72" s="167"/>
      <c r="T72" s="167"/>
      <c r="U72" s="167"/>
      <c r="V72" s="167"/>
      <c r="W72" s="167"/>
      <c r="X72" s="167"/>
      <c r="Y72" s="167"/>
      <c r="Z72" s="791"/>
    </row>
    <row r="73" spans="1:26" ht="18.75" customHeight="1">
      <c r="A73" s="768">
        <v>1</v>
      </c>
      <c r="B73" s="768" t="s">
        <v>225</v>
      </c>
      <c r="C73" s="216">
        <v>642.22</v>
      </c>
      <c r="E73" s="768">
        <v>1</v>
      </c>
      <c r="F73" s="768" t="s">
        <v>225</v>
      </c>
      <c r="G73" s="216">
        <v>500</v>
      </c>
      <c r="I73" s="768">
        <v>1</v>
      </c>
      <c r="J73" s="768" t="s">
        <v>225</v>
      </c>
      <c r="K73" s="216">
        <v>705.19</v>
      </c>
      <c r="P73" s="794"/>
      <c r="Q73" s="859">
        <f>C73+G73+K73+O73</f>
        <v>1847.41</v>
      </c>
      <c r="R73" s="167"/>
      <c r="S73" s="167"/>
      <c r="T73" s="167"/>
      <c r="U73" s="167"/>
      <c r="V73" s="167"/>
      <c r="W73" s="167"/>
      <c r="X73" s="167"/>
      <c r="Y73" s="167"/>
      <c r="Z73" s="791"/>
    </row>
    <row r="74" spans="1:26" ht="18.75" customHeight="1">
      <c r="A74" s="768">
        <v>2</v>
      </c>
      <c r="B74" s="761" t="s">
        <v>629</v>
      </c>
      <c r="C74" s="763"/>
      <c r="E74" s="768">
        <v>2</v>
      </c>
      <c r="F74" s="761" t="s">
        <v>629</v>
      </c>
      <c r="G74" s="763"/>
      <c r="I74" s="768">
        <v>2</v>
      </c>
      <c r="J74" s="761" t="s">
        <v>629</v>
      </c>
      <c r="K74" s="763"/>
      <c r="Q74" s="790"/>
      <c r="R74" s="167"/>
      <c r="S74" s="167"/>
      <c r="T74" s="167"/>
      <c r="U74" s="167"/>
      <c r="V74" s="167"/>
      <c r="W74" s="167"/>
      <c r="X74" s="167"/>
      <c r="Y74" s="167"/>
      <c r="Z74" s="791"/>
    </row>
    <row r="75" spans="1:26" ht="18.75" customHeight="1">
      <c r="A75" s="768">
        <v>3</v>
      </c>
      <c r="B75" s="768" t="s">
        <v>231</v>
      </c>
      <c r="C75" s="768"/>
      <c r="E75" s="768">
        <v>3</v>
      </c>
      <c r="F75" s="768" t="s">
        <v>231</v>
      </c>
      <c r="G75" s="768"/>
      <c r="I75" s="768">
        <v>3</v>
      </c>
      <c r="J75" s="768" t="s">
        <v>231</v>
      </c>
      <c r="K75" s="768"/>
      <c r="Q75" s="790"/>
      <c r="R75" s="167"/>
      <c r="S75" s="167"/>
      <c r="T75" s="167"/>
      <c r="U75" s="167"/>
      <c r="V75" s="167"/>
      <c r="W75" s="167"/>
      <c r="X75" s="167"/>
      <c r="Y75" s="167"/>
      <c r="Z75" s="791"/>
    </row>
    <row r="76" spans="1:26" ht="18.75" customHeight="1">
      <c r="A76" s="768">
        <v>4</v>
      </c>
      <c r="B76" s="778" t="s">
        <v>30</v>
      </c>
      <c r="C76" s="779">
        <f>SUM(C73:C75)</f>
        <v>642.22</v>
      </c>
      <c r="E76" s="768">
        <v>4</v>
      </c>
      <c r="F76" s="778" t="s">
        <v>30</v>
      </c>
      <c r="G76" s="779">
        <f>SUM(G73:G75)</f>
        <v>500</v>
      </c>
      <c r="I76" s="768">
        <v>4</v>
      </c>
      <c r="J76" s="778" t="s">
        <v>30</v>
      </c>
      <c r="K76" s="779">
        <f>SUM(K73:K75)</f>
        <v>705.19</v>
      </c>
      <c r="Q76" s="790"/>
      <c r="R76" s="167"/>
      <c r="S76" s="167"/>
      <c r="T76" s="167"/>
      <c r="U76" s="167"/>
      <c r="V76" s="167"/>
      <c r="W76" s="167"/>
      <c r="X76" s="167"/>
      <c r="Y76" s="167"/>
      <c r="Z76" s="791"/>
    </row>
    <row r="77" spans="1:26" ht="18.75" customHeight="1">
      <c r="A77" s="2302" t="s">
        <v>207</v>
      </c>
      <c r="B77" s="2302"/>
      <c r="C77" s="2302"/>
      <c r="E77" s="2302" t="s">
        <v>207</v>
      </c>
      <c r="F77" s="2302"/>
      <c r="G77" s="2302"/>
      <c r="I77" s="2302" t="s">
        <v>207</v>
      </c>
      <c r="J77" s="2302"/>
      <c r="K77" s="2302"/>
      <c r="Q77" s="790"/>
      <c r="R77" s="167"/>
      <c r="S77" s="167"/>
      <c r="T77" s="167"/>
      <c r="U77" s="167"/>
      <c r="V77" s="167"/>
      <c r="W77" s="167"/>
      <c r="X77" s="167"/>
      <c r="Y77" s="167"/>
      <c r="Z77" s="791"/>
    </row>
    <row r="78" spans="1:26" ht="18.75" customHeight="1">
      <c r="A78" s="1639">
        <v>6</v>
      </c>
      <c r="B78" s="768" t="s">
        <v>226</v>
      </c>
      <c r="C78" s="780"/>
      <c r="E78" s="1639">
        <v>6</v>
      </c>
      <c r="F78" s="768" t="s">
        <v>226</v>
      </c>
      <c r="G78" s="780"/>
      <c r="I78" s="1639">
        <v>6</v>
      </c>
      <c r="J78" s="768" t="s">
        <v>226</v>
      </c>
      <c r="K78" s="780"/>
      <c r="Q78" s="790"/>
      <c r="R78" s="167"/>
      <c r="S78" s="167"/>
      <c r="T78" s="167"/>
      <c r="U78" s="167"/>
      <c r="V78" s="167"/>
      <c r="W78" s="167"/>
      <c r="X78" s="167"/>
      <c r="Y78" s="167"/>
      <c r="Z78" s="791"/>
    </row>
    <row r="79" spans="1:26" ht="18.75" customHeight="1">
      <c r="A79" s="1639">
        <v>7</v>
      </c>
      <c r="B79" s="856" t="s">
        <v>747</v>
      </c>
      <c r="C79" s="1640">
        <v>74.239999999999995</v>
      </c>
      <c r="E79" s="1639">
        <v>7</v>
      </c>
      <c r="F79" s="856" t="s">
        <v>747</v>
      </c>
      <c r="G79" s="1640">
        <v>67.78</v>
      </c>
      <c r="I79" s="1639">
        <v>7</v>
      </c>
      <c r="J79" s="856" t="s">
        <v>747</v>
      </c>
      <c r="K79" s="1640">
        <v>63.84</v>
      </c>
      <c r="Q79" s="790"/>
      <c r="R79" s="213">
        <f>C79+G79+O79+K79</f>
        <v>205.85999999999999</v>
      </c>
      <c r="S79" s="167"/>
      <c r="T79" s="167"/>
      <c r="U79" s="167"/>
      <c r="V79" s="167"/>
      <c r="W79" s="167"/>
      <c r="X79" s="167"/>
      <c r="Y79" s="167"/>
      <c r="Z79" s="791"/>
    </row>
    <row r="80" spans="1:26" ht="18.75" customHeight="1">
      <c r="A80" s="1639"/>
      <c r="B80" s="761" t="s">
        <v>462</v>
      </c>
      <c r="C80" s="766"/>
      <c r="E80" s="1639"/>
      <c r="F80" s="761" t="s">
        <v>462</v>
      </c>
      <c r="G80" s="766"/>
      <c r="I80" s="1639"/>
      <c r="J80" s="761" t="s">
        <v>462</v>
      </c>
      <c r="K80" s="766"/>
      <c r="Q80" s="790"/>
      <c r="R80" s="167"/>
      <c r="S80" s="167"/>
      <c r="T80" s="167"/>
      <c r="U80" s="167"/>
      <c r="V80" s="167"/>
      <c r="W80" s="167"/>
      <c r="X80" s="167"/>
      <c r="Y80" s="167"/>
      <c r="Z80" s="791"/>
    </row>
    <row r="81" spans="1:24" ht="18.75" customHeight="1">
      <c r="A81" s="1639">
        <v>8</v>
      </c>
      <c r="B81" s="768" t="s">
        <v>228</v>
      </c>
      <c r="C81" s="768"/>
      <c r="E81" s="1639">
        <v>8</v>
      </c>
      <c r="F81" s="768" t="s">
        <v>228</v>
      </c>
      <c r="G81" s="768"/>
      <c r="I81" s="1639">
        <v>8</v>
      </c>
      <c r="J81" s="768" t="s">
        <v>228</v>
      </c>
      <c r="K81" s="768"/>
      <c r="R81" s="776"/>
      <c r="S81" s="776"/>
      <c r="T81" s="776"/>
      <c r="U81" s="776"/>
      <c r="V81" s="776"/>
      <c r="W81" s="776"/>
      <c r="X81" s="776"/>
    </row>
    <row r="82" spans="1:24" ht="18.75" customHeight="1">
      <c r="A82" s="1639">
        <v>9</v>
      </c>
      <c r="B82" s="768" t="s">
        <v>229</v>
      </c>
      <c r="C82" s="768"/>
      <c r="E82" s="1639">
        <v>9</v>
      </c>
      <c r="F82" s="768" t="s">
        <v>229</v>
      </c>
      <c r="G82" s="768"/>
      <c r="I82" s="1639">
        <v>9</v>
      </c>
      <c r="J82" s="768" t="s">
        <v>229</v>
      </c>
      <c r="K82" s="768"/>
      <c r="Q82" s="861">
        <f>Q3+Q17+Q31+Q45+Q59+Q73</f>
        <v>13744.970000000001</v>
      </c>
      <c r="R82" s="868">
        <f>R9+R23+R37+R51+R65+R79</f>
        <v>1697.1299999999999</v>
      </c>
      <c r="S82" s="796">
        <f>Q82-R82</f>
        <v>12047.840000000002</v>
      </c>
      <c r="W82" s="167"/>
      <c r="X82" s="776"/>
    </row>
    <row r="83" spans="1:24" ht="18.75" customHeight="1">
      <c r="A83" s="1639">
        <v>10</v>
      </c>
      <c r="B83" s="784" t="s">
        <v>30</v>
      </c>
      <c r="C83" s="858">
        <f>SUM(C78:C82)</f>
        <v>74.239999999999995</v>
      </c>
      <c r="E83" s="1639">
        <v>10</v>
      </c>
      <c r="F83" s="784" t="s">
        <v>30</v>
      </c>
      <c r="G83" s="858">
        <f>SUM(G78:G82)</f>
        <v>67.78</v>
      </c>
      <c r="I83" s="1639">
        <v>10</v>
      </c>
      <c r="J83" s="784" t="s">
        <v>30</v>
      </c>
      <c r="K83" s="858">
        <f>SUM(K78:K82)</f>
        <v>63.84</v>
      </c>
      <c r="X83" s="776"/>
    </row>
    <row r="84" spans="1:24" ht="18.75" customHeight="1">
      <c r="A84" s="1639">
        <v>11</v>
      </c>
      <c r="B84" s="768" t="s">
        <v>230</v>
      </c>
      <c r="C84" s="1642">
        <f>C76-C83</f>
        <v>567.98</v>
      </c>
      <c r="E84" s="1639">
        <v>11</v>
      </c>
      <c r="F84" s="768" t="s">
        <v>230</v>
      </c>
      <c r="G84" s="1642">
        <f>G76-G83</f>
        <v>432.22</v>
      </c>
      <c r="I84" s="1639">
        <v>11</v>
      </c>
      <c r="J84" s="768" t="s">
        <v>230</v>
      </c>
      <c r="K84" s="1642">
        <f>K76-K83</f>
        <v>641.35</v>
      </c>
      <c r="S84" s="796"/>
      <c r="T84" s="1250"/>
    </row>
    <row r="85" spans="1:24" ht="15">
      <c r="Q85" s="860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M63:O63"/>
    <mergeCell ref="A58:C58"/>
    <mergeCell ref="A63:C63"/>
    <mergeCell ref="E58:G58"/>
    <mergeCell ref="E63:G63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</mergeCells>
  <phoneticPr fontId="26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2"/>
  <sheetViews>
    <sheetView topLeftCell="A10" workbookViewId="0">
      <selection activeCell="E18" sqref="E18"/>
    </sheetView>
  </sheetViews>
  <sheetFormatPr defaultColWidth="9.140625" defaultRowHeight="15.75"/>
  <cols>
    <col min="1" max="1" width="5.85546875" style="4" customWidth="1"/>
    <col min="2" max="2" width="33.5703125" style="4" customWidth="1"/>
    <col min="3" max="3" width="9.7109375" style="26" customWidth="1"/>
    <col min="4" max="4" width="22.28515625" style="200" customWidth="1"/>
    <col min="5" max="5" width="28.7109375" style="325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978" t="s">
        <v>90</v>
      </c>
      <c r="B2" s="1978"/>
      <c r="C2" s="1978"/>
      <c r="D2" s="1978"/>
      <c r="E2" s="1978"/>
    </row>
    <row r="3" spans="1:9">
      <c r="A3" s="1978" t="s">
        <v>6</v>
      </c>
      <c r="B3" s="1978"/>
      <c r="C3" s="1978"/>
      <c r="D3" s="1978"/>
      <c r="E3" s="1978"/>
    </row>
    <row r="4" spans="1:9">
      <c r="A4" s="2158" t="s">
        <v>605</v>
      </c>
      <c r="B4" s="1978"/>
      <c r="C4" s="1978"/>
      <c r="D4" s="1978"/>
      <c r="E4" s="1978"/>
    </row>
    <row r="5" spans="1:9" ht="13.5" customHeight="1">
      <c r="D5" s="314"/>
      <c r="E5" s="321"/>
    </row>
    <row r="6" spans="1:9" ht="18" customHeight="1">
      <c r="A6" s="2159" t="s">
        <v>5</v>
      </c>
      <c r="B6" s="2159"/>
      <c r="C6" s="2159"/>
      <c r="D6" s="2159"/>
      <c r="E6" s="321"/>
    </row>
    <row r="7" spans="1:9" ht="15" customHeight="1">
      <c r="A7" s="2080" t="s">
        <v>968</v>
      </c>
      <c r="B7" s="2080"/>
      <c r="C7" s="2080"/>
      <c r="D7" s="2080"/>
      <c r="E7" s="321"/>
    </row>
    <row r="8" spans="1:9" ht="15" customHeight="1">
      <c r="A8" s="670"/>
      <c r="B8" s="670"/>
      <c r="C8" s="670"/>
      <c r="D8" s="314"/>
      <c r="E8" s="321"/>
    </row>
    <row r="9" spans="1:9" s="107" customFormat="1" ht="20.25" customHeight="1">
      <c r="A9" s="2157" t="s">
        <v>1116</v>
      </c>
      <c r="B9" s="2157"/>
      <c r="C9" s="2157"/>
      <c r="D9" s="2157"/>
      <c r="E9" s="2157"/>
    </row>
    <row r="10" spans="1:9" ht="15.75" customHeight="1">
      <c r="A10" s="2161" t="s">
        <v>1117</v>
      </c>
      <c r="B10" s="2162"/>
      <c r="C10" s="2162"/>
      <c r="D10" s="2162"/>
      <c r="E10" s="2162"/>
    </row>
    <row r="11" spans="1:9" ht="15.75" customHeight="1">
      <c r="A11" s="668"/>
      <c r="B11" s="668"/>
      <c r="D11" s="314"/>
      <c r="E11" s="321"/>
      <c r="F11" s="4" t="e">
        <f>#REF!</f>
        <v>#REF!</v>
      </c>
    </row>
    <row r="12" spans="1:9" s="280" customFormat="1" ht="53.25" customHeight="1">
      <c r="A12" s="669" t="s">
        <v>11</v>
      </c>
      <c r="B12" s="669" t="s">
        <v>298</v>
      </c>
      <c r="C12" s="279" t="s">
        <v>17</v>
      </c>
      <c r="D12" s="315" t="s">
        <v>302</v>
      </c>
      <c r="E12" s="322" t="s">
        <v>106</v>
      </c>
    </row>
    <row r="13" spans="1:9" s="5" customFormat="1" ht="18.75" customHeight="1">
      <c r="A13" s="2314" t="s">
        <v>312</v>
      </c>
      <c r="B13" s="2315"/>
      <c r="C13" s="310"/>
      <c r="D13" s="317"/>
      <c r="E13" s="323"/>
    </row>
    <row r="14" spans="1:9" s="5" customFormat="1" ht="18.75" customHeight="1">
      <c r="A14" s="281">
        <v>1</v>
      </c>
      <c r="B14" s="302" t="s">
        <v>313</v>
      </c>
      <c r="C14" s="309" t="s">
        <v>168</v>
      </c>
      <c r="D14" s="316">
        <f>'tiền TB '!F21</f>
        <v>5900000</v>
      </c>
      <c r="E14" s="324"/>
      <c r="G14" s="4"/>
      <c r="H14" s="613">
        <v>4500000</v>
      </c>
    </row>
    <row r="15" spans="1:9" s="5" customFormat="1" ht="18.75" customHeight="1">
      <c r="A15" s="281">
        <v>2</v>
      </c>
      <c r="B15" s="302" t="s">
        <v>325</v>
      </c>
      <c r="C15" s="309" t="s">
        <v>168</v>
      </c>
      <c r="D15" s="316">
        <v>5000000</v>
      </c>
      <c r="E15" s="324"/>
      <c r="G15" s="4"/>
      <c r="H15" s="613">
        <v>5000000</v>
      </c>
      <c r="I15" s="5">
        <v>870</v>
      </c>
    </row>
    <row r="16" spans="1:9" s="5" customFormat="1" ht="18.75" customHeight="1">
      <c r="A16" s="281">
        <v>3</v>
      </c>
      <c r="B16" s="302" t="s">
        <v>327</v>
      </c>
      <c r="C16" s="309" t="s">
        <v>168</v>
      </c>
      <c r="D16" s="1549">
        <v>3127000</v>
      </c>
      <c r="E16" s="324"/>
      <c r="G16" s="611" t="e">
        <f>D20-#REF!</f>
        <v>#REF!</v>
      </c>
      <c r="H16" s="613">
        <v>4356250</v>
      </c>
      <c r="I16" s="5">
        <v>600</v>
      </c>
    </row>
    <row r="17" spans="1:9" s="5" customFormat="1" ht="18.75" customHeight="1">
      <c r="A17" s="281">
        <v>4</v>
      </c>
      <c r="B17" s="302" t="s">
        <v>318</v>
      </c>
      <c r="C17" s="309" t="s">
        <v>168</v>
      </c>
      <c r="D17" s="316">
        <f>'TT CVK'!E15</f>
        <v>1750000</v>
      </c>
      <c r="E17" s="324"/>
      <c r="G17" s="4"/>
      <c r="H17" s="613">
        <v>1573120</v>
      </c>
      <c r="I17" s="5">
        <v>4560</v>
      </c>
    </row>
    <row r="18" spans="1:9" s="5" customFormat="1" ht="18.75" customHeight="1">
      <c r="A18" s="281">
        <v>5</v>
      </c>
      <c r="B18" s="302" t="s">
        <v>332</v>
      </c>
      <c r="C18" s="309" t="s">
        <v>168</v>
      </c>
      <c r="D18" s="316">
        <f>'Hổ trợ vi gô '!D15</f>
        <v>500000</v>
      </c>
      <c r="E18" s="324"/>
      <c r="G18" s="200">
        <v>1700000</v>
      </c>
      <c r="H18" s="613">
        <v>500000</v>
      </c>
    </row>
    <row r="19" spans="1:9" s="5" customFormat="1" ht="18.75" customHeight="1">
      <c r="A19" s="281">
        <v>6</v>
      </c>
      <c r="B19" s="302" t="s">
        <v>992</v>
      </c>
      <c r="C19" s="309" t="s">
        <v>168</v>
      </c>
      <c r="D19" s="316">
        <f>'Thanh toán XX'!F38</f>
        <v>12720000</v>
      </c>
      <c r="E19" s="324"/>
      <c r="G19" s="247" t="e">
        <f>#REF!</f>
        <v>#REF!</v>
      </c>
      <c r="H19" s="613">
        <v>6940000</v>
      </c>
    </row>
    <row r="20" spans="1:9" ht="22.5" customHeight="1">
      <c r="A20" s="2217" t="s">
        <v>314</v>
      </c>
      <c r="B20" s="2217"/>
      <c r="C20" s="570"/>
      <c r="D20" s="1838">
        <f>SUM(D14:D19)</f>
        <v>28997000</v>
      </c>
      <c r="E20" s="323"/>
      <c r="G20" s="282" t="e">
        <f>#REF!</f>
        <v>#REF!</v>
      </c>
      <c r="H20" s="200">
        <f>SUM(H14:H19)</f>
        <v>22869370</v>
      </c>
      <c r="I20" s="247"/>
    </row>
    <row r="21" spans="1:9" ht="23.25" customHeight="1">
      <c r="A21" s="2165" t="s">
        <v>1179</v>
      </c>
      <c r="B21" s="2166"/>
      <c r="C21" s="2166"/>
      <c r="D21" s="2166"/>
      <c r="E21" s="2167"/>
      <c r="G21" s="247">
        <v>5960000</v>
      </c>
      <c r="H21" s="612"/>
    </row>
    <row r="22" spans="1:9" ht="12" customHeight="1">
      <c r="A22" s="1243"/>
      <c r="B22" s="1243"/>
      <c r="C22" s="1244"/>
      <c r="D22" s="1244"/>
      <c r="E22" s="1244"/>
      <c r="G22" s="247"/>
      <c r="H22" s="612"/>
    </row>
    <row r="23" spans="1:9" s="246" customFormat="1" ht="18.75">
      <c r="A23" s="283"/>
      <c r="B23" s="283"/>
      <c r="C23" s="2313" t="s">
        <v>1118</v>
      </c>
      <c r="D23" s="2313"/>
      <c r="E23" s="2313"/>
      <c r="G23" s="298" t="e">
        <f>D20+#REF!</f>
        <v>#REF!</v>
      </c>
      <c r="H23" s="284"/>
      <c r="I23" s="285"/>
    </row>
    <row r="24" spans="1:9" s="246" customFormat="1" ht="10.5" customHeight="1">
      <c r="A24" s="299"/>
      <c r="B24" s="299"/>
      <c r="C24" s="312"/>
      <c r="D24" s="2168"/>
      <c r="E24" s="2168"/>
      <c r="G24" s="843">
        <v>5940000</v>
      </c>
      <c r="H24" s="286"/>
    </row>
    <row r="25" spans="1:9" s="287" customFormat="1" ht="18.75">
      <c r="A25" s="2312" t="s">
        <v>993</v>
      </c>
      <c r="B25" s="2312"/>
      <c r="C25" s="2312"/>
      <c r="D25" s="2312"/>
      <c r="E25" s="2312"/>
      <c r="G25" s="304" t="e">
        <f>SUM(G18:G21)</f>
        <v>#REF!</v>
      </c>
      <c r="H25" s="288"/>
    </row>
    <row r="26" spans="1:9" s="246" customFormat="1" ht="18.75">
      <c r="A26" s="299"/>
      <c r="B26" s="299"/>
      <c r="C26" s="312"/>
      <c r="D26" s="318"/>
      <c r="E26" s="326"/>
      <c r="G26" s="842">
        <v>109000000</v>
      </c>
    </row>
    <row r="27" spans="1:9" s="246" customFormat="1" ht="18.75">
      <c r="A27" s="299"/>
      <c r="B27" s="299"/>
      <c r="C27" s="312"/>
      <c r="D27" s="318"/>
      <c r="E27" s="326"/>
      <c r="G27" s="842" t="e">
        <f>G26-G25</f>
        <v>#REF!</v>
      </c>
    </row>
    <row r="28" spans="1:9" s="246" customFormat="1" ht="18.75">
      <c r="A28" s="299"/>
      <c r="B28" s="299"/>
      <c r="C28" s="312"/>
      <c r="D28" s="318"/>
      <c r="E28" s="326"/>
    </row>
    <row r="29" spans="1:9" s="246" customFormat="1" ht="18.75">
      <c r="A29" s="299"/>
      <c r="B29" s="299"/>
      <c r="C29" s="312"/>
      <c r="D29" s="318"/>
      <c r="E29" s="326"/>
    </row>
    <row r="30" spans="1:9" s="246" customFormat="1" ht="18.75">
      <c r="A30" s="299"/>
      <c r="B30" s="299"/>
      <c r="C30" s="312"/>
      <c r="D30" s="2160"/>
      <c r="E30" s="2160"/>
    </row>
    <row r="31" spans="1:9">
      <c r="A31" s="300"/>
      <c r="B31" s="300"/>
      <c r="C31" s="313"/>
      <c r="D31" s="319"/>
      <c r="E31" s="327"/>
    </row>
    <row r="32" spans="1:9">
      <c r="A32" s="300"/>
      <c r="B32" s="301"/>
      <c r="C32" s="313"/>
      <c r="D32" s="320"/>
      <c r="E32" s="328"/>
      <c r="G32" s="611" t="e">
        <f>D20+#REF!</f>
        <v>#REF!</v>
      </c>
    </row>
  </sheetData>
  <mergeCells count="14">
    <mergeCell ref="A13:B13"/>
    <mergeCell ref="A9:E9"/>
    <mergeCell ref="A10:E10"/>
    <mergeCell ref="A2:E2"/>
    <mergeCell ref="A3:E3"/>
    <mergeCell ref="A4:E4"/>
    <mergeCell ref="A6:D6"/>
    <mergeCell ref="A7:D7"/>
    <mergeCell ref="A20:B20"/>
    <mergeCell ref="D30:E30"/>
    <mergeCell ref="D24:E24"/>
    <mergeCell ref="A21:E21"/>
    <mergeCell ref="A25:E25"/>
    <mergeCell ref="C23:E23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00B0F0"/>
  </sheetPr>
  <dimension ref="A1:AM61"/>
  <sheetViews>
    <sheetView topLeftCell="A10" workbookViewId="0">
      <pane ySplit="2" topLeftCell="A18" activePane="bottomLeft" state="frozen"/>
      <selection activeCell="A10" sqref="A10"/>
      <selection pane="bottomLeft" activeCell="K28" sqref="K28"/>
    </sheetView>
  </sheetViews>
  <sheetFormatPr defaultColWidth="9.140625" defaultRowHeight="15"/>
  <cols>
    <col min="1" max="1" width="4.7109375" style="53" customWidth="1"/>
    <col min="2" max="2" width="18.140625" style="53" customWidth="1"/>
    <col min="3" max="3" width="11.140625" style="53" customWidth="1"/>
    <col min="4" max="4" width="6.140625" style="53" customWidth="1"/>
    <col min="5" max="5" width="6.140625" style="53" hidden="1" customWidth="1"/>
    <col min="6" max="6" width="6.140625" style="53" customWidth="1"/>
    <col min="7" max="7" width="6.140625" style="53" hidden="1" customWidth="1"/>
    <col min="8" max="8" width="6.140625" style="66" customWidth="1"/>
    <col min="9" max="9" width="6.140625" style="53" customWidth="1"/>
    <col min="10" max="10" width="6.140625" style="53" hidden="1" customWidth="1"/>
    <col min="11" max="11" width="6.140625" style="53" customWidth="1"/>
    <col min="12" max="12" width="6.140625" style="53" hidden="1" customWidth="1"/>
    <col min="13" max="13" width="6.140625" style="53" customWidth="1"/>
    <col min="14" max="14" width="6.140625" style="53" hidden="1" customWidth="1"/>
    <col min="15" max="15" width="6.140625" style="53" customWidth="1"/>
    <col min="16" max="16" width="6.140625" style="53" hidden="1" customWidth="1"/>
    <col min="17" max="17" width="6.140625" style="53" customWidth="1"/>
    <col min="18" max="21" width="6.140625" style="53" hidden="1" customWidth="1"/>
    <col min="22" max="22" width="6.140625" style="53" customWidth="1"/>
    <col min="23" max="25" width="6.140625" style="53" hidden="1" customWidth="1"/>
    <col min="26" max="26" width="6.140625" style="53" customWidth="1"/>
    <col min="27" max="27" width="6.140625" style="53" hidden="1" customWidth="1"/>
    <col min="28" max="28" width="6.140625" style="53" customWidth="1"/>
    <col min="29" max="31" width="6.140625" style="53" hidden="1" customWidth="1"/>
    <col min="32" max="33" width="6.140625" style="53" customWidth="1"/>
    <col min="34" max="34" width="6.140625" style="53" hidden="1" customWidth="1"/>
    <col min="35" max="35" width="11.5703125" style="53" customWidth="1"/>
    <col min="36" max="36" width="13.2851562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6.5">
      <c r="A1" s="2320" t="s">
        <v>90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</row>
    <row r="2" spans="1:37" ht="16.5">
      <c r="A2" s="2320" t="s">
        <v>81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</row>
    <row r="3" spans="1:37" ht="16.5">
      <c r="A3" s="2321" t="s">
        <v>604</v>
      </c>
      <c r="B3" s="2321"/>
      <c r="C3" s="2321"/>
      <c r="D3" s="2321"/>
      <c r="E3" s="2321"/>
      <c r="F3" s="2321"/>
      <c r="G3" s="2321"/>
      <c r="H3" s="2321"/>
      <c r="I3" s="2321"/>
      <c r="J3" s="2321"/>
      <c r="K3" s="2321"/>
      <c r="L3" s="2321"/>
      <c r="M3" s="2321"/>
      <c r="N3" s="2321"/>
      <c r="O3" s="2321"/>
      <c r="P3" s="2321"/>
      <c r="Q3" s="2321"/>
      <c r="R3" s="2321"/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</row>
    <row r="4" spans="1:37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16.5">
      <c r="A5" s="2322" t="s">
        <v>5</v>
      </c>
      <c r="B5" s="2322"/>
      <c r="C5" s="2322"/>
      <c r="D5" s="2322"/>
      <c r="E5" s="2322"/>
      <c r="F5" s="2322"/>
      <c r="G5" s="2322"/>
      <c r="H5" s="2322"/>
      <c r="I5" s="2322"/>
      <c r="J5" s="2322"/>
      <c r="K5" s="2322"/>
      <c r="L5" s="2322"/>
      <c r="M5" s="2322"/>
      <c r="N5" s="2322"/>
      <c r="O5" s="232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6.5">
      <c r="A6" s="2322" t="s">
        <v>101</v>
      </c>
      <c r="B6" s="2322"/>
      <c r="C6" s="2322"/>
      <c r="D6" s="2322"/>
      <c r="E6" s="2322"/>
      <c r="F6" s="2322"/>
      <c r="G6" s="2322"/>
      <c r="H6" s="2322"/>
      <c r="I6" s="2322"/>
      <c r="J6" s="2322"/>
      <c r="K6" s="232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5.75">
      <c r="A7" s="563"/>
      <c r="B7" s="563"/>
      <c r="C7" s="563"/>
      <c r="D7" s="563"/>
      <c r="E7" s="563"/>
      <c r="F7" s="563"/>
      <c r="G7" s="563"/>
      <c r="H7" s="563"/>
      <c r="I7" s="563"/>
      <c r="J7" s="563"/>
      <c r="K7" s="56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0.25">
      <c r="A8" s="2323" t="s">
        <v>1115</v>
      </c>
      <c r="B8" s="2323"/>
      <c r="C8" s="2323"/>
      <c r="D8" s="2323"/>
      <c r="E8" s="2323"/>
      <c r="F8" s="2323"/>
      <c r="G8" s="2323"/>
      <c r="H8" s="2323"/>
      <c r="I8" s="2323"/>
      <c r="J8" s="2323"/>
      <c r="K8" s="2323"/>
      <c r="L8" s="2323"/>
      <c r="M8" s="2323"/>
      <c r="N8" s="2323"/>
      <c r="O8" s="2323"/>
      <c r="P8" s="2323"/>
      <c r="Q8" s="2323"/>
      <c r="R8" s="2323"/>
      <c r="S8" s="2323"/>
      <c r="T8" s="2323"/>
      <c r="U8" s="2323"/>
      <c r="V8" s="2323"/>
      <c r="W8" s="2323"/>
      <c r="X8" s="2323"/>
      <c r="Y8" s="2323"/>
      <c r="Z8" s="2323"/>
      <c r="AA8" s="2323"/>
      <c r="AB8" s="2323"/>
      <c r="AC8" s="2323"/>
      <c r="AD8" s="2323"/>
      <c r="AE8" s="2323"/>
      <c r="AF8" s="2323"/>
      <c r="AG8" s="2323"/>
      <c r="AH8" s="2323"/>
      <c r="AI8" s="2323"/>
      <c r="AJ8" s="2323"/>
    </row>
    <row r="9" spans="1:37" ht="18.75">
      <c r="A9" s="2324"/>
      <c r="B9" s="2324"/>
      <c r="C9" s="2324"/>
      <c r="D9" s="2324"/>
      <c r="E9" s="2324"/>
      <c r="F9" s="2324"/>
      <c r="G9" s="2324"/>
      <c r="H9" s="2324"/>
      <c r="I9" s="2324"/>
      <c r="J9" s="2324"/>
      <c r="K9" s="2324"/>
      <c r="L9" s="2324"/>
      <c r="M9" s="2324"/>
      <c r="N9" s="2324"/>
      <c r="O9" s="2324"/>
      <c r="P9" s="2324"/>
      <c r="Q9" s="2324"/>
      <c r="R9" s="2324"/>
      <c r="S9" s="2324"/>
      <c r="T9" s="2324"/>
      <c r="U9" s="2324"/>
      <c r="V9" s="2324"/>
      <c r="W9" s="2324"/>
      <c r="X9" s="2324"/>
      <c r="Y9" s="2324"/>
      <c r="Z9" s="2324"/>
      <c r="AA9" s="2324"/>
      <c r="AB9" s="2324"/>
      <c r="AC9" s="2324"/>
      <c r="AD9" s="2324"/>
      <c r="AE9" s="2324"/>
      <c r="AF9" s="2324"/>
      <c r="AG9" s="2324"/>
      <c r="AH9" s="2324"/>
      <c r="AI9" s="2324"/>
      <c r="AJ9" s="1054"/>
    </row>
    <row r="10" spans="1:37">
      <c r="A10" s="2325" t="s">
        <v>82</v>
      </c>
      <c r="B10" s="2325" t="s">
        <v>83</v>
      </c>
      <c r="C10" s="2325" t="s">
        <v>84</v>
      </c>
      <c r="D10" s="1990" t="s">
        <v>85</v>
      </c>
      <c r="E10" s="1990"/>
      <c r="F10" s="1990"/>
      <c r="G10" s="1990"/>
      <c r="H10" s="1990"/>
      <c r="I10" s="1990"/>
      <c r="J10" s="1990"/>
      <c r="K10" s="1990"/>
      <c r="L10" s="1990"/>
      <c r="M10" s="1990"/>
      <c r="N10" s="1990"/>
      <c r="O10" s="1990"/>
      <c r="P10" s="1990"/>
      <c r="Q10" s="1990"/>
      <c r="R10" s="1990"/>
      <c r="S10" s="1990"/>
      <c r="T10" s="1990"/>
      <c r="U10" s="1990"/>
      <c r="V10" s="1990"/>
      <c r="W10" s="1990"/>
      <c r="X10" s="1990"/>
      <c r="Y10" s="1990"/>
      <c r="Z10" s="1990"/>
      <c r="AA10" s="1990"/>
      <c r="AB10" s="1990"/>
      <c r="AC10" s="1990"/>
      <c r="AD10" s="1990"/>
      <c r="AE10" s="1990"/>
      <c r="AF10" s="1990"/>
      <c r="AG10" s="1990"/>
      <c r="AH10" s="1494"/>
      <c r="AI10" s="1976" t="s">
        <v>51</v>
      </c>
      <c r="AJ10" s="1976" t="s">
        <v>715</v>
      </c>
      <c r="AK10" s="853">
        <v>27</v>
      </c>
    </row>
    <row r="11" spans="1:37">
      <c r="A11" s="2325"/>
      <c r="B11" s="2325"/>
      <c r="C11" s="2325"/>
      <c r="D11" s="1494">
        <v>1</v>
      </c>
      <c r="E11" s="1494">
        <v>2</v>
      </c>
      <c r="F11" s="1494">
        <v>3</v>
      </c>
      <c r="G11" s="1494">
        <v>4</v>
      </c>
      <c r="H11" s="1494">
        <v>5</v>
      </c>
      <c r="I11" s="1494">
        <v>6</v>
      </c>
      <c r="J11" s="1494">
        <v>7</v>
      </c>
      <c r="K11" s="1494">
        <v>8</v>
      </c>
      <c r="L11" s="1494">
        <v>9</v>
      </c>
      <c r="M11" s="1494">
        <v>10</v>
      </c>
      <c r="N11" s="1494">
        <v>11</v>
      </c>
      <c r="O11" s="1494">
        <v>12</v>
      </c>
      <c r="P11" s="1494">
        <v>13</v>
      </c>
      <c r="Q11" s="1494">
        <v>14</v>
      </c>
      <c r="R11" s="1494">
        <v>15</v>
      </c>
      <c r="S11" s="1494">
        <v>16</v>
      </c>
      <c r="T11" s="1494">
        <v>17</v>
      </c>
      <c r="U11" s="1494">
        <v>18</v>
      </c>
      <c r="V11" s="1494">
        <v>19</v>
      </c>
      <c r="W11" s="1494">
        <v>20</v>
      </c>
      <c r="X11" s="1494">
        <v>21</v>
      </c>
      <c r="Y11" s="1494">
        <v>22</v>
      </c>
      <c r="Z11" s="1494">
        <v>23</v>
      </c>
      <c r="AA11" s="1494">
        <v>24</v>
      </c>
      <c r="AB11" s="1494">
        <v>25</v>
      </c>
      <c r="AC11" s="1494">
        <v>26</v>
      </c>
      <c r="AD11" s="1494">
        <v>27</v>
      </c>
      <c r="AE11" s="1494">
        <v>28</v>
      </c>
      <c r="AF11" s="1716">
        <v>45717</v>
      </c>
      <c r="AG11" s="1716">
        <v>45718</v>
      </c>
      <c r="AH11" s="1494">
        <v>31</v>
      </c>
      <c r="AI11" s="1976"/>
      <c r="AJ11" s="1976"/>
    </row>
    <row r="12" spans="1:37" s="1513" customFormat="1" ht="23.25" customHeight="1">
      <c r="A12" s="1907" t="s">
        <v>1048</v>
      </c>
      <c r="B12" s="1907"/>
      <c r="C12" s="1554"/>
      <c r="D12" s="1507">
        <f>COUNTIF(D13:D24,"x")</f>
        <v>12</v>
      </c>
      <c r="E12" s="1507"/>
      <c r="F12" s="1507">
        <f t="shared" ref="F12:AG12" si="0">COUNTIF(F13:F24,"x")</f>
        <v>12</v>
      </c>
      <c r="G12" s="1507"/>
      <c r="H12" s="1507">
        <f t="shared" si="0"/>
        <v>12</v>
      </c>
      <c r="I12" s="1507">
        <f t="shared" si="0"/>
        <v>12</v>
      </c>
      <c r="J12" s="1507"/>
      <c r="K12" s="1507">
        <f t="shared" si="0"/>
        <v>12</v>
      </c>
      <c r="L12" s="1507"/>
      <c r="M12" s="1507">
        <f t="shared" si="0"/>
        <v>12</v>
      </c>
      <c r="N12" s="1507"/>
      <c r="O12" s="1507">
        <f t="shared" si="0"/>
        <v>12</v>
      </c>
      <c r="P12" s="1507"/>
      <c r="Q12" s="1507">
        <f t="shared" si="0"/>
        <v>12</v>
      </c>
      <c r="R12" s="1507"/>
      <c r="S12" s="1507"/>
      <c r="T12" s="1507"/>
      <c r="U12" s="1507"/>
      <c r="V12" s="1507">
        <f t="shared" si="0"/>
        <v>12</v>
      </c>
      <c r="W12" s="1507"/>
      <c r="X12" s="1507"/>
      <c r="Y12" s="1507"/>
      <c r="Z12" s="1507">
        <f t="shared" si="0"/>
        <v>12</v>
      </c>
      <c r="AA12" s="1507"/>
      <c r="AB12" s="1507"/>
      <c r="AC12" s="1507"/>
      <c r="AD12" s="1507"/>
      <c r="AE12" s="1507"/>
      <c r="AF12" s="1507"/>
      <c r="AG12" s="1507">
        <f t="shared" si="0"/>
        <v>12</v>
      </c>
      <c r="AH12" s="1507"/>
      <c r="AI12" s="1507">
        <f>SUM(AI13:AI24)</f>
        <v>144</v>
      </c>
      <c r="AJ12" s="1507"/>
    </row>
    <row r="13" spans="1:37" s="59" customFormat="1" ht="16.5">
      <c r="A13" s="1064">
        <v>1</v>
      </c>
      <c r="B13" s="371" t="s">
        <v>244</v>
      </c>
      <c r="C13" s="839" t="s">
        <v>874</v>
      </c>
      <c r="D13" s="1252" t="s">
        <v>86</v>
      </c>
      <c r="E13" s="1252"/>
      <c r="F13" s="1252" t="s">
        <v>86</v>
      </c>
      <c r="G13" s="1252"/>
      <c r="H13" s="1252" t="s">
        <v>86</v>
      </c>
      <c r="I13" s="1252" t="s">
        <v>86</v>
      </c>
      <c r="J13" s="1252"/>
      <c r="K13" s="1252" t="s">
        <v>86</v>
      </c>
      <c r="L13" s="1252"/>
      <c r="M13" s="1252" t="s">
        <v>86</v>
      </c>
      <c r="N13" s="1252"/>
      <c r="O13" s="1252" t="s">
        <v>86</v>
      </c>
      <c r="P13" s="1252"/>
      <c r="Q13" s="1252" t="s">
        <v>86</v>
      </c>
      <c r="R13" s="1252"/>
      <c r="S13" s="1252"/>
      <c r="T13" s="1252"/>
      <c r="U13" s="1252"/>
      <c r="V13" s="1252" t="s">
        <v>86</v>
      </c>
      <c r="W13" s="1252"/>
      <c r="X13" s="1252"/>
      <c r="Y13" s="1252"/>
      <c r="Z13" s="1252" t="s">
        <v>86</v>
      </c>
      <c r="AA13" s="1252"/>
      <c r="AB13" s="1252"/>
      <c r="AC13" s="1252" t="s">
        <v>86</v>
      </c>
      <c r="AD13" s="1252"/>
      <c r="AE13" s="1252"/>
      <c r="AF13" s="1252"/>
      <c r="AG13" s="1252" t="s">
        <v>86</v>
      </c>
      <c r="AH13" s="1252"/>
      <c r="AI13" s="307">
        <f t="shared" ref="AI13:AI16" si="1">COUNTIF(D13:AH13,"x")+ COUNTIF(D13:AH13,"p")+COUNTIF(D13:AH13,"mn")+COUNTIF(D13:AH13,"T")+COUNTIF(D13:AH13,"VN")</f>
        <v>12</v>
      </c>
      <c r="AJ13" s="308"/>
    </row>
    <row r="14" spans="1:37" s="59" customFormat="1" ht="16.5">
      <c r="A14" s="1064">
        <v>2</v>
      </c>
      <c r="B14" s="371" t="s">
        <v>214</v>
      </c>
      <c r="C14" s="839" t="s">
        <v>874</v>
      </c>
      <c r="D14" s="1252" t="s">
        <v>86</v>
      </c>
      <c r="E14" s="1252"/>
      <c r="F14" s="1252" t="s">
        <v>86</v>
      </c>
      <c r="G14" s="1252"/>
      <c r="H14" s="1252" t="s">
        <v>86</v>
      </c>
      <c r="I14" s="1252" t="s">
        <v>86</v>
      </c>
      <c r="J14" s="1252"/>
      <c r="K14" s="1252" t="s">
        <v>86</v>
      </c>
      <c r="L14" s="1252"/>
      <c r="M14" s="1252" t="s">
        <v>86</v>
      </c>
      <c r="N14" s="1252"/>
      <c r="O14" s="1252" t="s">
        <v>86</v>
      </c>
      <c r="P14" s="1252"/>
      <c r="Q14" s="1252" t="s">
        <v>86</v>
      </c>
      <c r="R14" s="1252"/>
      <c r="S14" s="1252"/>
      <c r="T14" s="1252"/>
      <c r="U14" s="1252"/>
      <c r="V14" s="1252" t="s">
        <v>86</v>
      </c>
      <c r="W14" s="1252"/>
      <c r="X14" s="1252"/>
      <c r="Y14" s="1252"/>
      <c r="Z14" s="1252" t="s">
        <v>86</v>
      </c>
      <c r="AA14" s="1252"/>
      <c r="AB14" s="1252"/>
      <c r="AC14" s="1252" t="s">
        <v>86</v>
      </c>
      <c r="AD14" s="1252"/>
      <c r="AE14" s="1252"/>
      <c r="AF14" s="1252"/>
      <c r="AG14" s="1252" t="s">
        <v>86</v>
      </c>
      <c r="AH14" s="1252"/>
      <c r="AI14" s="307">
        <f t="shared" si="1"/>
        <v>12</v>
      </c>
      <c r="AJ14" s="308"/>
    </row>
    <row r="15" spans="1:37" s="59" customFormat="1" ht="16.5">
      <c r="A15" s="1064">
        <v>3</v>
      </c>
      <c r="B15" s="371" t="s">
        <v>245</v>
      </c>
      <c r="C15" s="839" t="s">
        <v>874</v>
      </c>
      <c r="D15" s="1252" t="s">
        <v>86</v>
      </c>
      <c r="E15" s="1252"/>
      <c r="F15" s="1252" t="s">
        <v>86</v>
      </c>
      <c r="G15" s="1252"/>
      <c r="H15" s="1252" t="s">
        <v>86</v>
      </c>
      <c r="I15" s="1252" t="s">
        <v>86</v>
      </c>
      <c r="J15" s="1252"/>
      <c r="K15" s="1252" t="s">
        <v>86</v>
      </c>
      <c r="L15" s="1252"/>
      <c r="M15" s="1252" t="s">
        <v>86</v>
      </c>
      <c r="N15" s="1252"/>
      <c r="O15" s="1252" t="s">
        <v>86</v>
      </c>
      <c r="P15" s="1252"/>
      <c r="Q15" s="1252" t="s">
        <v>86</v>
      </c>
      <c r="R15" s="1252"/>
      <c r="S15" s="1252"/>
      <c r="T15" s="1252"/>
      <c r="U15" s="1252"/>
      <c r="V15" s="1252" t="s">
        <v>86</v>
      </c>
      <c r="W15" s="1252"/>
      <c r="X15" s="1252"/>
      <c r="Y15" s="1252"/>
      <c r="Z15" s="1252" t="s">
        <v>86</v>
      </c>
      <c r="AA15" s="1252"/>
      <c r="AB15" s="1252"/>
      <c r="AC15" s="1252" t="s">
        <v>86</v>
      </c>
      <c r="AD15" s="1252"/>
      <c r="AE15" s="1252"/>
      <c r="AF15" s="1252"/>
      <c r="AG15" s="1252" t="s">
        <v>86</v>
      </c>
      <c r="AH15" s="1252"/>
      <c r="AI15" s="307">
        <f t="shared" si="1"/>
        <v>12</v>
      </c>
      <c r="AJ15" s="308"/>
    </row>
    <row r="16" spans="1:37" s="59" customFormat="1" ht="16.5">
      <c r="A16" s="1064">
        <v>4</v>
      </c>
      <c r="B16" s="371" t="s">
        <v>246</v>
      </c>
      <c r="C16" s="839" t="s">
        <v>874</v>
      </c>
      <c r="D16" s="1252" t="s">
        <v>86</v>
      </c>
      <c r="E16" s="1252"/>
      <c r="F16" s="1252" t="s">
        <v>86</v>
      </c>
      <c r="G16" s="1252"/>
      <c r="H16" s="1252" t="s">
        <v>86</v>
      </c>
      <c r="I16" s="1252" t="s">
        <v>86</v>
      </c>
      <c r="J16" s="1252"/>
      <c r="K16" s="1252" t="s">
        <v>86</v>
      </c>
      <c r="L16" s="1252"/>
      <c r="M16" s="1252" t="s">
        <v>86</v>
      </c>
      <c r="N16" s="1252"/>
      <c r="O16" s="1252" t="s">
        <v>86</v>
      </c>
      <c r="P16" s="1252"/>
      <c r="Q16" s="1252" t="s">
        <v>86</v>
      </c>
      <c r="R16" s="1252"/>
      <c r="S16" s="1252"/>
      <c r="T16" s="1252"/>
      <c r="U16" s="1252"/>
      <c r="V16" s="1252" t="s">
        <v>86</v>
      </c>
      <c r="W16" s="1252"/>
      <c r="X16" s="1252"/>
      <c r="Y16" s="1252"/>
      <c r="Z16" s="1252" t="s">
        <v>86</v>
      </c>
      <c r="AA16" s="1252"/>
      <c r="AB16" s="1252"/>
      <c r="AC16" s="1252" t="s">
        <v>86</v>
      </c>
      <c r="AD16" s="1252"/>
      <c r="AE16" s="1252"/>
      <c r="AF16" s="1252"/>
      <c r="AG16" s="1252" t="s">
        <v>86</v>
      </c>
      <c r="AH16" s="1252"/>
      <c r="AI16" s="307">
        <f t="shared" si="1"/>
        <v>12</v>
      </c>
      <c r="AJ16" s="308"/>
    </row>
    <row r="17" spans="1:39" s="59" customFormat="1" ht="16.5">
      <c r="A17" s="1064">
        <v>5</v>
      </c>
      <c r="B17" s="371" t="s">
        <v>247</v>
      </c>
      <c r="C17" s="839" t="s">
        <v>874</v>
      </c>
      <c r="D17" s="1252" t="s">
        <v>86</v>
      </c>
      <c r="E17" s="1252"/>
      <c r="F17" s="1252" t="s">
        <v>86</v>
      </c>
      <c r="G17" s="1252"/>
      <c r="H17" s="1252" t="s">
        <v>86</v>
      </c>
      <c r="I17" s="1252" t="s">
        <v>86</v>
      </c>
      <c r="J17" s="1252"/>
      <c r="K17" s="1252" t="s">
        <v>86</v>
      </c>
      <c r="L17" s="1252"/>
      <c r="M17" s="1252" t="s">
        <v>86</v>
      </c>
      <c r="N17" s="1252"/>
      <c r="O17" s="1252" t="s">
        <v>86</v>
      </c>
      <c r="P17" s="1252"/>
      <c r="Q17" s="1252" t="s">
        <v>86</v>
      </c>
      <c r="R17" s="1252"/>
      <c r="S17" s="1252"/>
      <c r="T17" s="1252"/>
      <c r="U17" s="1252"/>
      <c r="V17" s="1252" t="s">
        <v>86</v>
      </c>
      <c r="W17" s="1252"/>
      <c r="X17" s="1252"/>
      <c r="Y17" s="1252"/>
      <c r="Z17" s="1252" t="s">
        <v>86</v>
      </c>
      <c r="AA17" s="1252"/>
      <c r="AB17" s="1252"/>
      <c r="AC17" s="1252" t="s">
        <v>86</v>
      </c>
      <c r="AD17" s="1252"/>
      <c r="AE17" s="1252"/>
      <c r="AF17" s="1252"/>
      <c r="AG17" s="1252" t="s">
        <v>86</v>
      </c>
      <c r="AH17" s="1252"/>
      <c r="AI17" s="307">
        <f>COUNTIF(D17:AH17,"x")+ COUNTIF(D17:AH17,"p")+COUNTIF(D17:AH17,"mn")+COUNTIF(D17:AH17,"T")+COUNTIF(D17:AH17,"VN")</f>
        <v>12</v>
      </c>
      <c r="AJ17" s="307"/>
    </row>
    <row r="18" spans="1:39" s="59" customFormat="1" ht="16.5">
      <c r="A18" s="1064">
        <v>6</v>
      </c>
      <c r="B18" s="371" t="s">
        <v>248</v>
      </c>
      <c r="C18" s="839" t="s">
        <v>874</v>
      </c>
      <c r="D18" s="1252" t="s">
        <v>86</v>
      </c>
      <c r="E18" s="1252"/>
      <c r="F18" s="1252" t="s">
        <v>86</v>
      </c>
      <c r="G18" s="1252"/>
      <c r="H18" s="1252" t="s">
        <v>86</v>
      </c>
      <c r="I18" s="1252" t="s">
        <v>86</v>
      </c>
      <c r="J18" s="1252"/>
      <c r="K18" s="1252" t="s">
        <v>86</v>
      </c>
      <c r="L18" s="1252"/>
      <c r="M18" s="1252" t="s">
        <v>86</v>
      </c>
      <c r="N18" s="1252"/>
      <c r="O18" s="1252" t="s">
        <v>86</v>
      </c>
      <c r="P18" s="1252"/>
      <c r="Q18" s="1252" t="s">
        <v>86</v>
      </c>
      <c r="R18" s="1252"/>
      <c r="S18" s="1252"/>
      <c r="T18" s="1252"/>
      <c r="U18" s="1252"/>
      <c r="V18" s="1252" t="s">
        <v>86</v>
      </c>
      <c r="W18" s="1252"/>
      <c r="X18" s="1252"/>
      <c r="Y18" s="1252"/>
      <c r="Z18" s="1252" t="s">
        <v>86</v>
      </c>
      <c r="AA18" s="1252"/>
      <c r="AB18" s="1252"/>
      <c r="AC18" s="1252" t="s">
        <v>86</v>
      </c>
      <c r="AD18" s="1252"/>
      <c r="AE18" s="1252"/>
      <c r="AF18" s="1252"/>
      <c r="AG18" s="1252" t="s">
        <v>86</v>
      </c>
      <c r="AH18" s="1252"/>
      <c r="AI18" s="307">
        <f t="shared" ref="AI18:AI38" si="2">COUNTIF(D18:AH18,"x")+ COUNTIF(D18:AH18,"p")+COUNTIF(D18:AH18,"mn")+COUNTIF(D18:AH18,"T")+COUNTIF(D18:AH18,"VN")</f>
        <v>12</v>
      </c>
      <c r="AJ18" s="307"/>
    </row>
    <row r="19" spans="1:39" s="59" customFormat="1" ht="16.5">
      <c r="A19" s="1064">
        <v>7</v>
      </c>
      <c r="B19" s="371" t="s">
        <v>257</v>
      </c>
      <c r="C19" s="839" t="s">
        <v>874</v>
      </c>
      <c r="D19" s="1252" t="s">
        <v>86</v>
      </c>
      <c r="E19" s="1252"/>
      <c r="F19" s="1252" t="s">
        <v>86</v>
      </c>
      <c r="G19" s="1252"/>
      <c r="H19" s="1252" t="s">
        <v>86</v>
      </c>
      <c r="I19" s="1252" t="s">
        <v>86</v>
      </c>
      <c r="J19" s="1252"/>
      <c r="K19" s="1252" t="s">
        <v>86</v>
      </c>
      <c r="L19" s="1252"/>
      <c r="M19" s="1252" t="s">
        <v>86</v>
      </c>
      <c r="N19" s="1252"/>
      <c r="O19" s="1252" t="s">
        <v>86</v>
      </c>
      <c r="P19" s="1252"/>
      <c r="Q19" s="1252" t="s">
        <v>86</v>
      </c>
      <c r="R19" s="1252"/>
      <c r="S19" s="1252"/>
      <c r="T19" s="1252"/>
      <c r="U19" s="1252"/>
      <c r="V19" s="1252" t="s">
        <v>86</v>
      </c>
      <c r="W19" s="1252"/>
      <c r="X19" s="1252"/>
      <c r="Y19" s="1252"/>
      <c r="Z19" s="1252" t="s">
        <v>86</v>
      </c>
      <c r="AA19" s="1252"/>
      <c r="AB19" s="1252"/>
      <c r="AC19" s="1252" t="s">
        <v>86</v>
      </c>
      <c r="AD19" s="1252"/>
      <c r="AE19" s="1252"/>
      <c r="AF19" s="1252"/>
      <c r="AG19" s="1252" t="s">
        <v>86</v>
      </c>
      <c r="AH19" s="1252"/>
      <c r="AI19" s="307">
        <f t="shared" si="2"/>
        <v>12</v>
      </c>
      <c r="AJ19" s="308"/>
    </row>
    <row r="20" spans="1:39" s="59" customFormat="1" ht="16.5">
      <c r="A20" s="1064">
        <v>8</v>
      </c>
      <c r="B20" s="371" t="s">
        <v>259</v>
      </c>
      <c r="C20" s="839" t="s">
        <v>874</v>
      </c>
      <c r="D20" s="1252" t="s">
        <v>86</v>
      </c>
      <c r="E20" s="1252"/>
      <c r="F20" s="1252" t="s">
        <v>86</v>
      </c>
      <c r="G20" s="1252"/>
      <c r="H20" s="1252" t="s">
        <v>86</v>
      </c>
      <c r="I20" s="1252" t="s">
        <v>86</v>
      </c>
      <c r="J20" s="1252"/>
      <c r="K20" s="1252" t="s">
        <v>86</v>
      </c>
      <c r="L20" s="1252"/>
      <c r="M20" s="1252" t="s">
        <v>86</v>
      </c>
      <c r="N20" s="1252"/>
      <c r="O20" s="1252" t="s">
        <v>86</v>
      </c>
      <c r="P20" s="1252"/>
      <c r="Q20" s="1252" t="s">
        <v>86</v>
      </c>
      <c r="R20" s="1252"/>
      <c r="S20" s="1252"/>
      <c r="T20" s="1252"/>
      <c r="U20" s="1252"/>
      <c r="V20" s="1252" t="s">
        <v>86</v>
      </c>
      <c r="W20" s="1252"/>
      <c r="X20" s="1252"/>
      <c r="Y20" s="1252"/>
      <c r="Z20" s="1252" t="s">
        <v>86</v>
      </c>
      <c r="AA20" s="1252"/>
      <c r="AB20" s="1252"/>
      <c r="AC20" s="1252" t="s">
        <v>86</v>
      </c>
      <c r="AD20" s="1252"/>
      <c r="AE20" s="1252"/>
      <c r="AF20" s="1252"/>
      <c r="AG20" s="1252" t="s">
        <v>86</v>
      </c>
      <c r="AH20" s="1252"/>
      <c r="AI20" s="307">
        <f t="shared" si="2"/>
        <v>12</v>
      </c>
      <c r="AJ20" s="308"/>
    </row>
    <row r="21" spans="1:39" s="59" customFormat="1" ht="16.5">
      <c r="A21" s="1064">
        <v>9</v>
      </c>
      <c r="B21" s="371" t="s">
        <v>260</v>
      </c>
      <c r="C21" s="839" t="s">
        <v>874</v>
      </c>
      <c r="D21" s="1252" t="s">
        <v>86</v>
      </c>
      <c r="E21" s="1252"/>
      <c r="F21" s="1252" t="s">
        <v>86</v>
      </c>
      <c r="G21" s="1252"/>
      <c r="H21" s="1252" t="s">
        <v>86</v>
      </c>
      <c r="I21" s="1252" t="s">
        <v>86</v>
      </c>
      <c r="J21" s="1252"/>
      <c r="K21" s="1252" t="s">
        <v>86</v>
      </c>
      <c r="L21" s="1252"/>
      <c r="M21" s="1252" t="s">
        <v>86</v>
      </c>
      <c r="N21" s="1252"/>
      <c r="O21" s="1252" t="s">
        <v>86</v>
      </c>
      <c r="P21" s="1252"/>
      <c r="Q21" s="1252" t="s">
        <v>86</v>
      </c>
      <c r="R21" s="1252"/>
      <c r="S21" s="1252"/>
      <c r="T21" s="1252"/>
      <c r="U21" s="1252"/>
      <c r="V21" s="1252" t="s">
        <v>86</v>
      </c>
      <c r="W21" s="1252"/>
      <c r="X21" s="1252"/>
      <c r="Y21" s="1252"/>
      <c r="Z21" s="1252" t="s">
        <v>86</v>
      </c>
      <c r="AA21" s="1252"/>
      <c r="AB21" s="1252"/>
      <c r="AC21" s="1252" t="s">
        <v>86</v>
      </c>
      <c r="AD21" s="1252"/>
      <c r="AE21" s="1252"/>
      <c r="AF21" s="1252"/>
      <c r="AG21" s="1252" t="s">
        <v>86</v>
      </c>
      <c r="AH21" s="1252"/>
      <c r="AI21" s="307">
        <f t="shared" si="2"/>
        <v>12</v>
      </c>
      <c r="AJ21" s="308"/>
    </row>
    <row r="22" spans="1:39" s="59" customFormat="1" ht="16.5">
      <c r="A22" s="1064">
        <v>10</v>
      </c>
      <c r="B22" s="371" t="s">
        <v>141</v>
      </c>
      <c r="C22" s="839" t="s">
        <v>874</v>
      </c>
      <c r="D22" s="1252" t="s">
        <v>86</v>
      </c>
      <c r="E22" s="1252"/>
      <c r="F22" s="1252" t="s">
        <v>86</v>
      </c>
      <c r="G22" s="1252"/>
      <c r="H22" s="1252" t="s">
        <v>86</v>
      </c>
      <c r="I22" s="1252" t="s">
        <v>86</v>
      </c>
      <c r="J22" s="1252"/>
      <c r="K22" s="1252" t="s">
        <v>86</v>
      </c>
      <c r="L22" s="1252"/>
      <c r="M22" s="1252" t="s">
        <v>86</v>
      </c>
      <c r="N22" s="1252"/>
      <c r="O22" s="1252" t="s">
        <v>86</v>
      </c>
      <c r="P22" s="1252"/>
      <c r="Q22" s="1252" t="s">
        <v>86</v>
      </c>
      <c r="R22" s="1252"/>
      <c r="S22" s="1252"/>
      <c r="T22" s="1252"/>
      <c r="U22" s="1252"/>
      <c r="V22" s="1252" t="s">
        <v>86</v>
      </c>
      <c r="W22" s="1252"/>
      <c r="X22" s="1252"/>
      <c r="Y22" s="1252"/>
      <c r="Z22" s="1252" t="s">
        <v>86</v>
      </c>
      <c r="AA22" s="1252"/>
      <c r="AB22" s="1252"/>
      <c r="AC22" s="1252" t="s">
        <v>86</v>
      </c>
      <c r="AD22" s="1252"/>
      <c r="AE22" s="1252"/>
      <c r="AF22" s="1252"/>
      <c r="AG22" s="1252" t="s">
        <v>86</v>
      </c>
      <c r="AH22" s="1252"/>
      <c r="AI22" s="307">
        <f t="shared" si="2"/>
        <v>12</v>
      </c>
      <c r="AJ22" s="308"/>
    </row>
    <row r="23" spans="1:39" s="59" customFormat="1" ht="16.5">
      <c r="A23" s="1064">
        <v>11</v>
      </c>
      <c r="B23" s="371" t="s">
        <v>4</v>
      </c>
      <c r="C23" s="839" t="s">
        <v>874</v>
      </c>
      <c r="D23" s="1252" t="s">
        <v>86</v>
      </c>
      <c r="E23" s="1252"/>
      <c r="F23" s="1252" t="s">
        <v>86</v>
      </c>
      <c r="G23" s="1252"/>
      <c r="H23" s="1252" t="s">
        <v>86</v>
      </c>
      <c r="I23" s="1252" t="s">
        <v>86</v>
      </c>
      <c r="J23" s="1252"/>
      <c r="K23" s="1252" t="s">
        <v>86</v>
      </c>
      <c r="L23" s="1252"/>
      <c r="M23" s="1252" t="s">
        <v>86</v>
      </c>
      <c r="N23" s="1252"/>
      <c r="O23" s="1252" t="s">
        <v>86</v>
      </c>
      <c r="P23" s="1252"/>
      <c r="Q23" s="1252" t="s">
        <v>86</v>
      </c>
      <c r="R23" s="1252"/>
      <c r="S23" s="1252"/>
      <c r="T23" s="1252"/>
      <c r="U23" s="1252"/>
      <c r="V23" s="1252" t="s">
        <v>86</v>
      </c>
      <c r="W23" s="1252"/>
      <c r="X23" s="1252"/>
      <c r="Y23" s="1252"/>
      <c r="Z23" s="1252" t="s">
        <v>86</v>
      </c>
      <c r="AA23" s="1252"/>
      <c r="AB23" s="1252"/>
      <c r="AC23" s="1252" t="s">
        <v>86</v>
      </c>
      <c r="AD23" s="1252"/>
      <c r="AE23" s="1252"/>
      <c r="AF23" s="1252"/>
      <c r="AG23" s="1252" t="s">
        <v>86</v>
      </c>
      <c r="AH23" s="1252"/>
      <c r="AI23" s="307">
        <f t="shared" si="2"/>
        <v>12</v>
      </c>
      <c r="AJ23" s="307"/>
      <c r="AK23" s="329"/>
      <c r="AL23" s="330"/>
      <c r="AM23" s="331"/>
    </row>
    <row r="24" spans="1:39" s="59" customFormat="1" ht="16.5">
      <c r="A24" s="1064">
        <v>12</v>
      </c>
      <c r="B24" s="371" t="s">
        <v>137</v>
      </c>
      <c r="C24" s="839" t="s">
        <v>874</v>
      </c>
      <c r="D24" s="1252" t="s">
        <v>86</v>
      </c>
      <c r="E24" s="1252"/>
      <c r="F24" s="1252" t="s">
        <v>86</v>
      </c>
      <c r="G24" s="1252"/>
      <c r="H24" s="1252" t="s">
        <v>86</v>
      </c>
      <c r="I24" s="1252" t="s">
        <v>86</v>
      </c>
      <c r="J24" s="1252"/>
      <c r="K24" s="1252" t="s">
        <v>86</v>
      </c>
      <c r="L24" s="1252"/>
      <c r="M24" s="1252" t="s">
        <v>86</v>
      </c>
      <c r="N24" s="1252"/>
      <c r="O24" s="1252" t="s">
        <v>86</v>
      </c>
      <c r="P24" s="1252"/>
      <c r="Q24" s="1252" t="s">
        <v>86</v>
      </c>
      <c r="R24" s="1252"/>
      <c r="S24" s="1252"/>
      <c r="T24" s="1252"/>
      <c r="U24" s="1252"/>
      <c r="V24" s="1252" t="s">
        <v>86</v>
      </c>
      <c r="W24" s="1252"/>
      <c r="X24" s="1252"/>
      <c r="Y24" s="1252"/>
      <c r="Z24" s="1252" t="s">
        <v>86</v>
      </c>
      <c r="AA24" s="1252"/>
      <c r="AB24" s="1252"/>
      <c r="AC24" s="1252" t="s">
        <v>86</v>
      </c>
      <c r="AD24" s="1252"/>
      <c r="AE24" s="1252"/>
      <c r="AF24" s="1252"/>
      <c r="AG24" s="1252" t="s">
        <v>86</v>
      </c>
      <c r="AH24" s="1252"/>
      <c r="AI24" s="307">
        <f t="shared" si="2"/>
        <v>12</v>
      </c>
      <c r="AJ24" s="307"/>
      <c r="AK24" s="329">
        <f>1200000/30</f>
        <v>40000</v>
      </c>
      <c r="AL24" s="330">
        <f>AI24*AK24</f>
        <v>480000</v>
      </c>
      <c r="AM24" s="331">
        <f>AL24/25000</f>
        <v>19.2</v>
      </c>
    </row>
    <row r="25" spans="1:39" s="1513" customFormat="1" ht="14.25">
      <c r="A25" s="1907" t="s">
        <v>1049</v>
      </c>
      <c r="B25" s="1907"/>
      <c r="C25" s="1553"/>
      <c r="D25" s="1507">
        <f t="shared" ref="D25" si="3">COUNTIF(D26:D31,"x")</f>
        <v>6</v>
      </c>
      <c r="E25" s="1522"/>
      <c r="F25" s="1522"/>
      <c r="G25" s="1507"/>
      <c r="H25" s="1507"/>
      <c r="I25" s="1507"/>
      <c r="J25" s="1507"/>
      <c r="K25" s="1507"/>
      <c r="L25" s="1507"/>
      <c r="M25" s="1507"/>
      <c r="N25" s="1507"/>
      <c r="O25" s="1507"/>
      <c r="P25" s="1507"/>
      <c r="Q25" s="1507"/>
      <c r="R25" s="1507"/>
      <c r="S25" s="1507"/>
      <c r="T25" s="1507"/>
      <c r="U25" s="1507"/>
      <c r="V25" s="1507"/>
      <c r="W25" s="1507"/>
      <c r="X25" s="1507"/>
      <c r="Y25" s="1507"/>
      <c r="Z25" s="1507"/>
      <c r="AA25" s="1507"/>
      <c r="AB25" s="1507"/>
      <c r="AC25" s="1507"/>
      <c r="AD25" s="1507"/>
      <c r="AE25" s="1507"/>
      <c r="AF25" s="1507">
        <f t="shared" ref="AF25:AG25" si="4">COUNTIF(AF26:AF31,"x")</f>
        <v>6</v>
      </c>
      <c r="AG25" s="1507">
        <f t="shared" si="4"/>
        <v>6</v>
      </c>
      <c r="AH25" s="1507"/>
      <c r="AI25" s="1507">
        <f>SUM(AI26:AI31)</f>
        <v>18</v>
      </c>
      <c r="AJ25" s="1507"/>
      <c r="AK25" s="1510"/>
      <c r="AL25" s="1511"/>
      <c r="AM25" s="1512"/>
    </row>
    <row r="26" spans="1:39" s="59" customFormat="1" ht="16.5">
      <c r="A26" s="1252">
        <v>1</v>
      </c>
      <c r="B26" s="371" t="s">
        <v>244</v>
      </c>
      <c r="C26" s="839" t="s">
        <v>874</v>
      </c>
      <c r="D26" s="1252" t="s">
        <v>86</v>
      </c>
      <c r="E26" s="1252"/>
      <c r="F26" s="1252"/>
      <c r="G26" s="1252"/>
      <c r="H26" s="1252"/>
      <c r="I26" s="1252"/>
      <c r="J26" s="1252"/>
      <c r="K26" s="1252"/>
      <c r="L26" s="1252"/>
      <c r="M26" s="1252"/>
      <c r="N26" s="1252"/>
      <c r="O26" s="1252"/>
      <c r="P26" s="1252"/>
      <c r="Q26" s="1252"/>
      <c r="R26" s="1252"/>
      <c r="S26" s="1252"/>
      <c r="T26" s="1252"/>
      <c r="U26" s="1252"/>
      <c r="V26" s="1252"/>
      <c r="W26" s="1252"/>
      <c r="X26" s="1252"/>
      <c r="Y26" s="1252"/>
      <c r="Z26" s="1252"/>
      <c r="AA26" s="1252"/>
      <c r="AB26" s="1252"/>
      <c r="AC26" s="1252"/>
      <c r="AD26" s="1252"/>
      <c r="AE26" s="1252"/>
      <c r="AF26" s="1252" t="s">
        <v>86</v>
      </c>
      <c r="AG26" s="1252" t="s">
        <v>86</v>
      </c>
      <c r="AH26" s="1252"/>
      <c r="AI26" s="307">
        <f t="shared" si="2"/>
        <v>3</v>
      </c>
      <c r="AJ26" s="307"/>
      <c r="AK26" s="329"/>
      <c r="AL26" s="330"/>
      <c r="AM26" s="331"/>
    </row>
    <row r="27" spans="1:39" s="59" customFormat="1" ht="16.5">
      <c r="A27" s="1252">
        <v>2</v>
      </c>
      <c r="B27" s="371" t="s">
        <v>214</v>
      </c>
      <c r="C27" s="839" t="s">
        <v>874</v>
      </c>
      <c r="D27" s="1252" t="s">
        <v>86</v>
      </c>
      <c r="E27" s="1252"/>
      <c r="F27" s="1252"/>
      <c r="G27" s="1252"/>
      <c r="H27" s="1252"/>
      <c r="I27" s="1252"/>
      <c r="J27" s="1252"/>
      <c r="K27" s="1252"/>
      <c r="L27" s="1252"/>
      <c r="M27" s="1252"/>
      <c r="N27" s="1252"/>
      <c r="O27" s="1252"/>
      <c r="P27" s="1252"/>
      <c r="Q27" s="1252"/>
      <c r="R27" s="1252"/>
      <c r="S27" s="1252"/>
      <c r="T27" s="1252"/>
      <c r="U27" s="1252"/>
      <c r="V27" s="1252"/>
      <c r="W27" s="1252"/>
      <c r="X27" s="1252"/>
      <c r="Y27" s="1252"/>
      <c r="Z27" s="1252"/>
      <c r="AA27" s="1252"/>
      <c r="AB27" s="1252"/>
      <c r="AC27" s="1252"/>
      <c r="AD27" s="1252"/>
      <c r="AE27" s="1252"/>
      <c r="AF27" s="1252" t="s">
        <v>86</v>
      </c>
      <c r="AG27" s="1252" t="s">
        <v>86</v>
      </c>
      <c r="AH27" s="1252"/>
      <c r="AI27" s="307">
        <f t="shared" si="2"/>
        <v>3</v>
      </c>
      <c r="AJ27" s="307"/>
      <c r="AK27" s="329"/>
      <c r="AL27" s="330"/>
      <c r="AM27" s="331"/>
    </row>
    <row r="28" spans="1:39" s="59" customFormat="1" ht="16.5">
      <c r="A28" s="1252">
        <v>3</v>
      </c>
      <c r="B28" s="371" t="s">
        <v>245</v>
      </c>
      <c r="C28" s="839" t="s">
        <v>874</v>
      </c>
      <c r="D28" s="1252" t="s">
        <v>86</v>
      </c>
      <c r="E28" s="1252"/>
      <c r="F28" s="1252"/>
      <c r="G28" s="1252"/>
      <c r="H28" s="1252"/>
      <c r="I28" s="1252"/>
      <c r="J28" s="1252"/>
      <c r="K28" s="1252"/>
      <c r="L28" s="1252"/>
      <c r="M28" s="1252"/>
      <c r="N28" s="1252"/>
      <c r="O28" s="1252"/>
      <c r="P28" s="1252"/>
      <c r="Q28" s="1252"/>
      <c r="R28" s="1252"/>
      <c r="S28" s="1252"/>
      <c r="T28" s="1252"/>
      <c r="U28" s="1252"/>
      <c r="V28" s="1252"/>
      <c r="W28" s="1252"/>
      <c r="X28" s="1252"/>
      <c r="Y28" s="1252"/>
      <c r="Z28" s="1252"/>
      <c r="AA28" s="1252"/>
      <c r="AB28" s="1252"/>
      <c r="AC28" s="1252"/>
      <c r="AD28" s="1252"/>
      <c r="AE28" s="1252"/>
      <c r="AF28" s="1252" t="s">
        <v>86</v>
      </c>
      <c r="AG28" s="1252" t="s">
        <v>86</v>
      </c>
      <c r="AH28" s="1252"/>
      <c r="AI28" s="307">
        <f t="shared" si="2"/>
        <v>3</v>
      </c>
      <c r="AJ28" s="307"/>
      <c r="AK28" s="329"/>
      <c r="AL28" s="330"/>
      <c r="AM28" s="331"/>
    </row>
    <row r="29" spans="1:39" s="59" customFormat="1" ht="16.5">
      <c r="A29" s="1252">
        <v>4</v>
      </c>
      <c r="B29" s="371" t="s">
        <v>246</v>
      </c>
      <c r="C29" s="839" t="s">
        <v>874</v>
      </c>
      <c r="D29" s="1252" t="s">
        <v>86</v>
      </c>
      <c r="E29" s="1252"/>
      <c r="F29" s="1252"/>
      <c r="G29" s="1252"/>
      <c r="H29" s="1252"/>
      <c r="I29" s="1252"/>
      <c r="J29" s="1252"/>
      <c r="K29" s="1252"/>
      <c r="L29" s="1252"/>
      <c r="M29" s="1252"/>
      <c r="N29" s="1252"/>
      <c r="O29" s="1252"/>
      <c r="P29" s="1252"/>
      <c r="Q29" s="1252"/>
      <c r="R29" s="1252"/>
      <c r="S29" s="1252"/>
      <c r="T29" s="1252"/>
      <c r="U29" s="1252"/>
      <c r="V29" s="1252"/>
      <c r="W29" s="1252"/>
      <c r="X29" s="1252"/>
      <c r="Y29" s="1252"/>
      <c r="Z29" s="1252"/>
      <c r="AA29" s="1252"/>
      <c r="AB29" s="1252"/>
      <c r="AC29" s="1252"/>
      <c r="AD29" s="1252"/>
      <c r="AE29" s="1252"/>
      <c r="AF29" s="1252" t="s">
        <v>86</v>
      </c>
      <c r="AG29" s="1252" t="s">
        <v>86</v>
      </c>
      <c r="AH29" s="1252"/>
      <c r="AI29" s="307">
        <f t="shared" si="2"/>
        <v>3</v>
      </c>
      <c r="AJ29" s="307"/>
      <c r="AK29" s="329"/>
      <c r="AL29" s="330"/>
      <c r="AM29" s="331"/>
    </row>
    <row r="30" spans="1:39" s="59" customFormat="1" ht="16.5">
      <c r="A30" s="1252">
        <v>5</v>
      </c>
      <c r="B30" s="371" t="s">
        <v>247</v>
      </c>
      <c r="C30" s="839" t="s">
        <v>874</v>
      </c>
      <c r="D30" s="1252" t="s">
        <v>86</v>
      </c>
      <c r="E30" s="1252"/>
      <c r="F30" s="1252"/>
      <c r="G30" s="1252"/>
      <c r="H30" s="1252"/>
      <c r="I30" s="1252"/>
      <c r="J30" s="1252"/>
      <c r="K30" s="1252"/>
      <c r="L30" s="1252"/>
      <c r="M30" s="1252"/>
      <c r="N30" s="1252"/>
      <c r="O30" s="1252"/>
      <c r="P30" s="1252"/>
      <c r="Q30" s="1252"/>
      <c r="R30" s="1252"/>
      <c r="S30" s="1252"/>
      <c r="T30" s="1252"/>
      <c r="U30" s="1252"/>
      <c r="V30" s="1252"/>
      <c r="W30" s="1252"/>
      <c r="X30" s="1252"/>
      <c r="Y30" s="1252"/>
      <c r="Z30" s="1252"/>
      <c r="AA30" s="1252"/>
      <c r="AB30" s="1252"/>
      <c r="AC30" s="1252"/>
      <c r="AD30" s="1252"/>
      <c r="AE30" s="1252"/>
      <c r="AF30" s="1252" t="s">
        <v>86</v>
      </c>
      <c r="AG30" s="1252" t="s">
        <v>86</v>
      </c>
      <c r="AH30" s="1252"/>
      <c r="AI30" s="307">
        <f t="shared" si="2"/>
        <v>3</v>
      </c>
      <c r="AJ30" s="307"/>
      <c r="AK30" s="329"/>
      <c r="AL30" s="330"/>
      <c r="AM30" s="331"/>
    </row>
    <row r="31" spans="1:39" s="59" customFormat="1" ht="16.5">
      <c r="A31" s="1252">
        <v>6</v>
      </c>
      <c r="B31" s="371" t="s">
        <v>248</v>
      </c>
      <c r="C31" s="839" t="s">
        <v>874</v>
      </c>
      <c r="D31" s="1252" t="s">
        <v>86</v>
      </c>
      <c r="E31" s="1252"/>
      <c r="F31" s="1252"/>
      <c r="G31" s="1252"/>
      <c r="H31" s="1252"/>
      <c r="I31" s="1252"/>
      <c r="J31" s="1252"/>
      <c r="K31" s="1252"/>
      <c r="L31" s="1252"/>
      <c r="M31" s="1252"/>
      <c r="N31" s="1252"/>
      <c r="O31" s="1252"/>
      <c r="P31" s="1252"/>
      <c r="Q31" s="1252"/>
      <c r="R31" s="1252"/>
      <c r="S31" s="1252"/>
      <c r="T31" s="1252"/>
      <c r="U31" s="1252"/>
      <c r="V31" s="1252"/>
      <c r="W31" s="1252"/>
      <c r="X31" s="1252"/>
      <c r="Y31" s="1252"/>
      <c r="Z31" s="1252"/>
      <c r="AA31" s="1252"/>
      <c r="AB31" s="1252"/>
      <c r="AC31" s="1252"/>
      <c r="AD31" s="1252"/>
      <c r="AE31" s="1252"/>
      <c r="AF31" s="1252" t="s">
        <v>86</v>
      </c>
      <c r="AG31" s="1252" t="s">
        <v>86</v>
      </c>
      <c r="AH31" s="1252"/>
      <c r="AI31" s="307">
        <f t="shared" si="2"/>
        <v>3</v>
      </c>
      <c r="AJ31" s="307"/>
      <c r="AK31" s="329"/>
      <c r="AL31" s="330"/>
      <c r="AM31" s="331"/>
    </row>
    <row r="32" spans="1:39" s="1513" customFormat="1" ht="14.25">
      <c r="A32" s="1907" t="s">
        <v>1050</v>
      </c>
      <c r="B32" s="1907"/>
      <c r="C32" s="1553"/>
      <c r="D32" s="1522"/>
      <c r="E32" s="1522"/>
      <c r="F32" s="1522"/>
      <c r="G32" s="1507"/>
      <c r="H32" s="1507">
        <f t="shared" ref="H32:AB32" si="5">COUNTIF(H33:H38,"x")</f>
        <v>6</v>
      </c>
      <c r="I32" s="1507"/>
      <c r="J32" s="1507"/>
      <c r="K32" s="1507"/>
      <c r="L32" s="1507"/>
      <c r="M32" s="1507">
        <f t="shared" si="5"/>
        <v>6</v>
      </c>
      <c r="N32" s="1507"/>
      <c r="O32" s="1507"/>
      <c r="P32" s="1507"/>
      <c r="Q32" s="1507"/>
      <c r="R32" s="1507"/>
      <c r="S32" s="1507"/>
      <c r="T32" s="1507"/>
      <c r="U32" s="1507"/>
      <c r="V32" s="1507"/>
      <c r="W32" s="1507"/>
      <c r="X32" s="1507"/>
      <c r="Y32" s="1507"/>
      <c r="Z32" s="1507"/>
      <c r="AA32" s="1507"/>
      <c r="AB32" s="1507">
        <f t="shared" si="5"/>
        <v>6</v>
      </c>
      <c r="AC32" s="1507"/>
      <c r="AD32" s="1507"/>
      <c r="AE32" s="1507"/>
      <c r="AF32" s="1507"/>
      <c r="AG32" s="1507">
        <f t="shared" ref="AG32" si="6">COUNTIF(AG33:AG38,"x")</f>
        <v>6</v>
      </c>
      <c r="AH32" s="1507"/>
      <c r="AI32" s="1507">
        <f>SUM(AI33:AI38)</f>
        <v>24</v>
      </c>
      <c r="AJ32" s="1507"/>
      <c r="AK32" s="1510"/>
      <c r="AL32" s="1511"/>
      <c r="AM32" s="1512"/>
    </row>
    <row r="33" spans="1:39" s="59" customFormat="1" ht="16.5">
      <c r="A33" s="1252">
        <v>1</v>
      </c>
      <c r="B33" s="371" t="s">
        <v>257</v>
      </c>
      <c r="C33" s="839" t="s">
        <v>874</v>
      </c>
      <c r="D33" s="1252"/>
      <c r="E33" s="1252"/>
      <c r="F33" s="1252"/>
      <c r="G33" s="1252"/>
      <c r="H33" s="1252" t="s">
        <v>86</v>
      </c>
      <c r="I33" s="1252"/>
      <c r="J33" s="1252"/>
      <c r="K33" s="1252"/>
      <c r="L33" s="1252"/>
      <c r="M33" s="1252" t="s">
        <v>86</v>
      </c>
      <c r="N33" s="1252"/>
      <c r="O33" s="1252"/>
      <c r="P33" s="1252"/>
      <c r="Q33" s="1252"/>
      <c r="R33" s="1252"/>
      <c r="S33" s="1252"/>
      <c r="T33" s="1252"/>
      <c r="U33" s="1252"/>
      <c r="V33" s="1252"/>
      <c r="W33" s="1252"/>
      <c r="X33" s="1252"/>
      <c r="Y33" s="1252"/>
      <c r="Z33" s="1252"/>
      <c r="AA33" s="1252"/>
      <c r="AB33" s="1252" t="s">
        <v>86</v>
      </c>
      <c r="AC33" s="1252"/>
      <c r="AD33" s="1252"/>
      <c r="AE33" s="1252"/>
      <c r="AF33" s="1252"/>
      <c r="AG33" s="1252" t="s">
        <v>86</v>
      </c>
      <c r="AH33" s="1252"/>
      <c r="AI33" s="307">
        <f t="shared" si="2"/>
        <v>4</v>
      </c>
      <c r="AJ33" s="307"/>
      <c r="AK33" s="329"/>
      <c r="AL33" s="330"/>
      <c r="AM33" s="331"/>
    </row>
    <row r="34" spans="1:39" s="59" customFormat="1" ht="16.5">
      <c r="A34" s="1252">
        <v>2</v>
      </c>
      <c r="B34" s="371" t="s">
        <v>259</v>
      </c>
      <c r="C34" s="839" t="s">
        <v>874</v>
      </c>
      <c r="D34" s="1252"/>
      <c r="E34" s="1252"/>
      <c r="F34" s="1252"/>
      <c r="G34" s="1252"/>
      <c r="H34" s="1252" t="s">
        <v>86</v>
      </c>
      <c r="I34" s="1252"/>
      <c r="J34" s="1252"/>
      <c r="K34" s="1252"/>
      <c r="L34" s="1252"/>
      <c r="M34" s="1252" t="s">
        <v>86</v>
      </c>
      <c r="N34" s="1252"/>
      <c r="O34" s="1252"/>
      <c r="P34" s="1252"/>
      <c r="Q34" s="1252"/>
      <c r="R34" s="1252"/>
      <c r="S34" s="1252"/>
      <c r="T34" s="1252"/>
      <c r="U34" s="1252"/>
      <c r="V34" s="1252"/>
      <c r="W34" s="1252"/>
      <c r="X34" s="1252"/>
      <c r="Y34" s="1252"/>
      <c r="Z34" s="1252"/>
      <c r="AA34" s="1252"/>
      <c r="AB34" s="1252" t="s">
        <v>86</v>
      </c>
      <c r="AC34" s="1252"/>
      <c r="AD34" s="1252"/>
      <c r="AE34" s="1252"/>
      <c r="AF34" s="1252"/>
      <c r="AG34" s="1252" t="s">
        <v>86</v>
      </c>
      <c r="AH34" s="1252"/>
      <c r="AI34" s="307">
        <f t="shared" si="2"/>
        <v>4</v>
      </c>
      <c r="AJ34" s="307"/>
      <c r="AK34" s="329"/>
      <c r="AL34" s="330"/>
      <c r="AM34" s="331"/>
    </row>
    <row r="35" spans="1:39" s="59" customFormat="1" ht="16.5">
      <c r="A35" s="1252">
        <v>3</v>
      </c>
      <c r="B35" s="371" t="s">
        <v>260</v>
      </c>
      <c r="C35" s="839" t="s">
        <v>874</v>
      </c>
      <c r="D35" s="1252"/>
      <c r="E35" s="1252"/>
      <c r="F35" s="1252"/>
      <c r="G35" s="1252"/>
      <c r="H35" s="1252" t="s">
        <v>86</v>
      </c>
      <c r="I35" s="1252"/>
      <c r="J35" s="1252"/>
      <c r="K35" s="1252"/>
      <c r="L35" s="1252"/>
      <c r="M35" s="1252" t="s">
        <v>86</v>
      </c>
      <c r="N35" s="1252"/>
      <c r="O35" s="1252"/>
      <c r="P35" s="1252"/>
      <c r="Q35" s="1252"/>
      <c r="R35" s="1252"/>
      <c r="S35" s="1252"/>
      <c r="T35" s="1252"/>
      <c r="U35" s="1252"/>
      <c r="V35" s="1252"/>
      <c r="W35" s="1252"/>
      <c r="X35" s="1252"/>
      <c r="Y35" s="1252"/>
      <c r="Z35" s="1252"/>
      <c r="AA35" s="1252"/>
      <c r="AB35" s="1252" t="s">
        <v>86</v>
      </c>
      <c r="AC35" s="1252"/>
      <c r="AD35" s="1252"/>
      <c r="AE35" s="1252"/>
      <c r="AF35" s="1252"/>
      <c r="AG35" s="1252" t="s">
        <v>86</v>
      </c>
      <c r="AH35" s="1252"/>
      <c r="AI35" s="307">
        <f t="shared" si="2"/>
        <v>4</v>
      </c>
      <c r="AJ35" s="307"/>
      <c r="AK35" s="329"/>
      <c r="AL35" s="330"/>
      <c r="AM35" s="331"/>
    </row>
    <row r="36" spans="1:39" s="59" customFormat="1" ht="16.5">
      <c r="A36" s="1252">
        <v>4</v>
      </c>
      <c r="B36" s="371" t="s">
        <v>141</v>
      </c>
      <c r="C36" s="839" t="s">
        <v>874</v>
      </c>
      <c r="D36" s="1252"/>
      <c r="E36" s="1252"/>
      <c r="F36" s="1252"/>
      <c r="G36" s="1252"/>
      <c r="H36" s="1252" t="s">
        <v>86</v>
      </c>
      <c r="I36" s="1252"/>
      <c r="J36" s="1252"/>
      <c r="K36" s="1252"/>
      <c r="L36" s="1252"/>
      <c r="M36" s="1252" t="s">
        <v>86</v>
      </c>
      <c r="N36" s="1252"/>
      <c r="O36" s="1252"/>
      <c r="P36" s="1252"/>
      <c r="Q36" s="1252"/>
      <c r="R36" s="1252"/>
      <c r="S36" s="1252"/>
      <c r="T36" s="1252"/>
      <c r="U36" s="1252"/>
      <c r="V36" s="1252"/>
      <c r="W36" s="1252"/>
      <c r="X36" s="1252"/>
      <c r="Y36" s="1252"/>
      <c r="Z36" s="1252"/>
      <c r="AA36" s="1252"/>
      <c r="AB36" s="1252" t="s">
        <v>86</v>
      </c>
      <c r="AC36" s="1252"/>
      <c r="AD36" s="1252"/>
      <c r="AE36" s="1252"/>
      <c r="AF36" s="1252"/>
      <c r="AG36" s="1252" t="s">
        <v>86</v>
      </c>
      <c r="AH36" s="1252"/>
      <c r="AI36" s="307">
        <f t="shared" si="2"/>
        <v>4</v>
      </c>
      <c r="AJ36" s="307"/>
      <c r="AK36" s="329"/>
      <c r="AL36" s="330"/>
      <c r="AM36" s="331"/>
    </row>
    <row r="37" spans="1:39" s="59" customFormat="1" ht="16.5">
      <c r="A37" s="1252">
        <v>5</v>
      </c>
      <c r="B37" s="371" t="s">
        <v>4</v>
      </c>
      <c r="C37" s="839" t="s">
        <v>874</v>
      </c>
      <c r="D37" s="1252"/>
      <c r="E37" s="1252"/>
      <c r="F37" s="1252"/>
      <c r="G37" s="1252"/>
      <c r="H37" s="1252" t="s">
        <v>86</v>
      </c>
      <c r="I37" s="1252"/>
      <c r="J37" s="1252"/>
      <c r="K37" s="1252"/>
      <c r="L37" s="1252"/>
      <c r="M37" s="1252" t="s">
        <v>86</v>
      </c>
      <c r="N37" s="1252"/>
      <c r="O37" s="1252"/>
      <c r="P37" s="1252"/>
      <c r="Q37" s="1252"/>
      <c r="R37" s="1252"/>
      <c r="S37" s="1252"/>
      <c r="T37" s="1252"/>
      <c r="U37" s="1252"/>
      <c r="V37" s="1252"/>
      <c r="W37" s="1252"/>
      <c r="X37" s="1252"/>
      <c r="Y37" s="1252"/>
      <c r="Z37" s="1252"/>
      <c r="AA37" s="1252"/>
      <c r="AB37" s="1252" t="s">
        <v>86</v>
      </c>
      <c r="AC37" s="1252"/>
      <c r="AD37" s="1252"/>
      <c r="AE37" s="1252"/>
      <c r="AF37" s="1252"/>
      <c r="AG37" s="1252" t="s">
        <v>86</v>
      </c>
      <c r="AH37" s="1252"/>
      <c r="AI37" s="307">
        <f t="shared" si="2"/>
        <v>4</v>
      </c>
      <c r="AJ37" s="307"/>
      <c r="AK37" s="329"/>
      <c r="AL37" s="330"/>
      <c r="AM37" s="331"/>
    </row>
    <row r="38" spans="1:39" s="59" customFormat="1" ht="16.5">
      <c r="A38" s="1252">
        <v>6</v>
      </c>
      <c r="B38" s="371" t="s">
        <v>137</v>
      </c>
      <c r="C38" s="839" t="s">
        <v>874</v>
      </c>
      <c r="D38" s="1252"/>
      <c r="E38" s="1252"/>
      <c r="F38" s="1252"/>
      <c r="G38" s="1252"/>
      <c r="H38" s="1252" t="s">
        <v>86</v>
      </c>
      <c r="I38" s="1252"/>
      <c r="J38" s="1252"/>
      <c r="K38" s="1252"/>
      <c r="L38" s="1252"/>
      <c r="M38" s="1252" t="s">
        <v>86</v>
      </c>
      <c r="N38" s="1252"/>
      <c r="O38" s="1252"/>
      <c r="P38" s="1252"/>
      <c r="Q38" s="1252"/>
      <c r="R38" s="1252"/>
      <c r="S38" s="1252"/>
      <c r="T38" s="1252"/>
      <c r="U38" s="1252"/>
      <c r="V38" s="1252"/>
      <c r="W38" s="1252"/>
      <c r="X38" s="1252"/>
      <c r="Y38" s="1252"/>
      <c r="Z38" s="1252"/>
      <c r="AA38" s="1252"/>
      <c r="AB38" s="1252" t="s">
        <v>86</v>
      </c>
      <c r="AC38" s="1252"/>
      <c r="AD38" s="1252"/>
      <c r="AE38" s="1252"/>
      <c r="AF38" s="1252"/>
      <c r="AG38" s="1252" t="s">
        <v>86</v>
      </c>
      <c r="AH38" s="1252"/>
      <c r="AI38" s="307">
        <f t="shared" si="2"/>
        <v>4</v>
      </c>
      <c r="AJ38" s="307"/>
      <c r="AK38" s="329"/>
      <c r="AL38" s="330"/>
      <c r="AM38" s="331"/>
    </row>
    <row r="39" spans="1:39" s="1513" customFormat="1" ht="16.5" customHeight="1">
      <c r="A39" s="1891" t="s">
        <v>256</v>
      </c>
      <c r="B39" s="1891"/>
      <c r="C39" s="1891"/>
      <c r="D39" s="1507">
        <f t="shared" ref="D39:G39" si="7">D12+D25+D32</f>
        <v>18</v>
      </c>
      <c r="E39" s="1507">
        <f t="shared" si="7"/>
        <v>0</v>
      </c>
      <c r="F39" s="1507">
        <f t="shared" si="7"/>
        <v>12</v>
      </c>
      <c r="G39" s="1507">
        <f t="shared" si="7"/>
        <v>0</v>
      </c>
      <c r="H39" s="1507">
        <f t="shared" ref="H39:AH39" si="8">H12+H25+H32</f>
        <v>18</v>
      </c>
      <c r="I39" s="1507">
        <f t="shared" si="8"/>
        <v>12</v>
      </c>
      <c r="J39" s="1507">
        <f t="shared" si="8"/>
        <v>0</v>
      </c>
      <c r="K39" s="1507">
        <f t="shared" si="8"/>
        <v>12</v>
      </c>
      <c r="L39" s="1507">
        <f t="shared" si="8"/>
        <v>0</v>
      </c>
      <c r="M39" s="1507">
        <f t="shared" si="8"/>
        <v>18</v>
      </c>
      <c r="N39" s="1507">
        <f t="shared" si="8"/>
        <v>0</v>
      </c>
      <c r="O39" s="1507">
        <f t="shared" si="8"/>
        <v>12</v>
      </c>
      <c r="P39" s="1507">
        <f t="shared" si="8"/>
        <v>0</v>
      </c>
      <c r="Q39" s="1507">
        <f t="shared" si="8"/>
        <v>12</v>
      </c>
      <c r="R39" s="1507">
        <f t="shared" si="8"/>
        <v>0</v>
      </c>
      <c r="S39" s="1507">
        <f t="shared" si="8"/>
        <v>0</v>
      </c>
      <c r="T39" s="1507">
        <f t="shared" si="8"/>
        <v>0</v>
      </c>
      <c r="U39" s="1507">
        <f t="shared" si="8"/>
        <v>0</v>
      </c>
      <c r="V39" s="1507">
        <f t="shared" si="8"/>
        <v>12</v>
      </c>
      <c r="W39" s="1507">
        <f t="shared" si="8"/>
        <v>0</v>
      </c>
      <c r="X39" s="1507">
        <f t="shared" si="8"/>
        <v>0</v>
      </c>
      <c r="Y39" s="1507">
        <f t="shared" si="8"/>
        <v>0</v>
      </c>
      <c r="Z39" s="1507">
        <f t="shared" si="8"/>
        <v>12</v>
      </c>
      <c r="AA39" s="1507">
        <f t="shared" si="8"/>
        <v>0</v>
      </c>
      <c r="AB39" s="1507">
        <f t="shared" si="8"/>
        <v>6</v>
      </c>
      <c r="AC39" s="1507">
        <f t="shared" si="8"/>
        <v>0</v>
      </c>
      <c r="AD39" s="1507">
        <f t="shared" si="8"/>
        <v>0</v>
      </c>
      <c r="AE39" s="1507">
        <f t="shared" si="8"/>
        <v>0</v>
      </c>
      <c r="AF39" s="1507">
        <f t="shared" si="8"/>
        <v>6</v>
      </c>
      <c r="AG39" s="1507">
        <f t="shared" si="8"/>
        <v>24</v>
      </c>
      <c r="AH39" s="1507">
        <f t="shared" si="8"/>
        <v>0</v>
      </c>
      <c r="AI39" s="1507">
        <f>AI12+AI25+AI32</f>
        <v>186</v>
      </c>
      <c r="AJ39" s="1507"/>
      <c r="AK39" s="1510"/>
      <c r="AL39" s="1511"/>
      <c r="AM39" s="1512"/>
    </row>
    <row r="40" spans="1:39" s="59" customFormat="1" ht="16.5">
      <c r="A40" s="32"/>
      <c r="B40" s="1508"/>
      <c r="C40" s="1509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1506"/>
      <c r="AJ40" s="1506"/>
      <c r="AK40" s="329"/>
      <c r="AL40" s="330"/>
      <c r="AM40" s="331"/>
    </row>
    <row r="41" spans="1:39" s="59" customFormat="1" ht="16.5">
      <c r="A41" s="32"/>
      <c r="B41" s="1508"/>
      <c r="C41" s="1509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1506"/>
      <c r="AJ41" s="1506"/>
      <c r="AK41" s="329"/>
      <c r="AL41" s="330"/>
      <c r="AM41" s="331"/>
    </row>
    <row r="42" spans="1:39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2316" t="s">
        <v>1109</v>
      </c>
      <c r="U42" s="2316"/>
      <c r="V42" s="2316"/>
      <c r="W42" s="2316"/>
      <c r="X42" s="2316"/>
      <c r="Y42" s="2316"/>
      <c r="Z42" s="2316"/>
      <c r="AA42" s="2316"/>
      <c r="AB42" s="2316"/>
      <c r="AC42" s="2316"/>
      <c r="AD42" s="2316"/>
      <c r="AE42" s="2316"/>
      <c r="AF42" s="2316"/>
      <c r="AG42" s="2316"/>
      <c r="AH42" s="2316"/>
      <c r="AI42" s="2316"/>
      <c r="AJ42" s="1056"/>
    </row>
    <row r="43" spans="1:39">
      <c r="B43" s="67" t="s">
        <v>852</v>
      </c>
      <c r="C43" s="2317" t="s">
        <v>853</v>
      </c>
      <c r="D43" s="2317"/>
      <c r="E43" s="2317"/>
      <c r="F43" s="2317"/>
      <c r="G43" s="231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1056"/>
      <c r="U43" s="1056"/>
      <c r="V43" s="1056"/>
      <c r="W43" s="1056"/>
      <c r="X43" s="1056"/>
      <c r="Y43" s="1056"/>
      <c r="Z43" s="1056"/>
      <c r="AA43" s="1056"/>
      <c r="AB43" s="1056"/>
      <c r="AC43" s="1056"/>
      <c r="AD43" s="1056"/>
      <c r="AE43" s="1056"/>
      <c r="AF43" s="1056"/>
      <c r="AG43" s="1056"/>
      <c r="AH43" s="1056"/>
      <c r="AI43" s="1056"/>
      <c r="AJ43" s="1056"/>
    </row>
    <row r="44" spans="1:39">
      <c r="B44" s="67"/>
      <c r="C44" s="2317"/>
      <c r="D44" s="2317"/>
      <c r="E44" s="2317"/>
      <c r="F44" s="2317"/>
      <c r="G44" s="231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1056"/>
      <c r="U44" s="1056"/>
      <c r="V44" s="1056"/>
      <c r="W44" s="1056"/>
      <c r="X44" s="1056"/>
      <c r="Y44" s="1056"/>
      <c r="Z44" s="1056"/>
      <c r="AA44" s="1056"/>
      <c r="AB44" s="1056"/>
      <c r="AC44" s="1056"/>
      <c r="AD44" s="1056"/>
      <c r="AE44" s="1056"/>
      <c r="AF44" s="1056"/>
      <c r="AG44" s="1056"/>
      <c r="AH44" s="1056"/>
      <c r="AI44" s="1056"/>
      <c r="AJ44" s="1056"/>
    </row>
    <row r="45" spans="1:39" ht="15.75">
      <c r="A45" s="60"/>
      <c r="B45" s="2318" t="s">
        <v>713</v>
      </c>
      <c r="C45" s="2318"/>
      <c r="D45" s="2318"/>
      <c r="E45" s="2318"/>
      <c r="F45" s="2318"/>
      <c r="G45" s="2318"/>
      <c r="H45" s="2318"/>
      <c r="I45" s="2318"/>
      <c r="J45" s="2318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318" t="s">
        <v>196</v>
      </c>
      <c r="Y45" s="2318"/>
      <c r="Z45" s="2318"/>
      <c r="AA45" s="2318"/>
      <c r="AB45" s="2318"/>
      <c r="AC45" s="2318"/>
      <c r="AD45" s="2318"/>
      <c r="AE45" s="2318"/>
      <c r="AF45" s="2318"/>
      <c r="AG45" s="2318"/>
      <c r="AH45" s="2318"/>
      <c r="AI45" s="2318"/>
      <c r="AJ45" s="1055"/>
    </row>
    <row r="46" spans="1:39" ht="15.75">
      <c r="A46" s="49"/>
      <c r="B46" s="46"/>
      <c r="C46" s="1057"/>
      <c r="D46" s="49"/>
      <c r="E46" s="49"/>
      <c r="F46" s="49"/>
      <c r="G46" s="49"/>
      <c r="H46" s="49"/>
      <c r="I46" s="63"/>
      <c r="J46" s="63"/>
      <c r="K46" s="63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 spans="1:39" ht="15.75">
      <c r="A47" s="49"/>
      <c r="B47" s="364"/>
      <c r="C47" s="1057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64"/>
      <c r="O47" s="64"/>
      <c r="P47" s="64"/>
      <c r="Q47" s="63"/>
      <c r="R47" s="63"/>
      <c r="S47" s="63"/>
      <c r="T47" s="63"/>
      <c r="U47" s="63"/>
      <c r="V47" s="63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3"/>
      <c r="AJ47" s="63"/>
    </row>
    <row r="48" spans="1:39" ht="15.75">
      <c r="A48" s="49"/>
      <c r="B48" s="364"/>
      <c r="C48" s="1057"/>
      <c r="D48" s="49"/>
      <c r="E48" s="49"/>
      <c r="F48" s="49"/>
      <c r="G48" s="49"/>
      <c r="H48" s="49"/>
      <c r="I48" s="63"/>
      <c r="J48" s="63"/>
      <c r="K48" s="54"/>
      <c r="L48" s="49"/>
      <c r="M48" s="49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</row>
    <row r="49" spans="1:36" ht="15.75">
      <c r="A49" s="49"/>
      <c r="B49" s="364"/>
      <c r="C49" s="1057"/>
      <c r="D49" s="49"/>
      <c r="E49" s="49"/>
      <c r="F49" s="49"/>
      <c r="G49" s="49"/>
      <c r="H49" s="49"/>
      <c r="I49" s="49"/>
      <c r="J49" s="49"/>
      <c r="K49" s="54"/>
      <c r="L49" s="49"/>
      <c r="M49" s="49"/>
      <c r="N49" s="64"/>
      <c r="O49" s="64"/>
      <c r="P49" s="64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 spans="1:36" ht="15.75">
      <c r="A50" s="49"/>
      <c r="B50" s="364"/>
      <c r="C50" s="65"/>
      <c r="D50" s="49"/>
      <c r="E50" s="49"/>
      <c r="F50" s="49"/>
      <c r="G50" s="49"/>
      <c r="H50" s="49"/>
      <c r="I50" s="49"/>
      <c r="J50" s="49"/>
      <c r="K50" s="54"/>
      <c r="L50" s="49"/>
      <c r="M50" s="49"/>
      <c r="N50" s="64"/>
      <c r="O50" s="64"/>
      <c r="P50" s="64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1:36" ht="15.75">
      <c r="A51" s="49"/>
      <c r="B51" s="2319" t="s">
        <v>419</v>
      </c>
      <c r="C51" s="2319"/>
      <c r="D51" s="2319"/>
      <c r="E51" s="2319"/>
      <c r="F51" s="2319"/>
      <c r="G51" s="2319"/>
      <c r="H51" s="2319"/>
      <c r="I51" s="2319"/>
      <c r="J51" s="2319"/>
      <c r="L51" s="49"/>
      <c r="N51" s="54"/>
      <c r="O51" s="54"/>
      <c r="P51" s="54"/>
      <c r="Q51" s="54"/>
      <c r="R51" s="54"/>
      <c r="S51" s="54"/>
      <c r="T51" s="54"/>
      <c r="U51" s="54"/>
      <c r="V51" s="54"/>
      <c r="W51" s="64"/>
      <c r="X51" s="2318"/>
      <c r="Y51" s="2318"/>
      <c r="Z51" s="2318"/>
      <c r="AA51" s="2318"/>
      <c r="AB51" s="2318"/>
      <c r="AC51" s="2318"/>
      <c r="AD51" s="2318"/>
      <c r="AE51" s="2318"/>
      <c r="AF51" s="2318"/>
      <c r="AG51" s="2318"/>
      <c r="AH51" s="2318"/>
      <c r="AI51" s="2318"/>
      <c r="AJ51" s="1055"/>
    </row>
    <row r="52" spans="1:36">
      <c r="A52" s="49"/>
      <c r="C52" s="671"/>
      <c r="D52" s="671"/>
      <c r="E52" s="671"/>
      <c r="F52" s="671"/>
      <c r="G52" s="671"/>
      <c r="H52" s="671"/>
      <c r="I52" s="671"/>
      <c r="J52" s="671"/>
      <c r="K52" s="671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</row>
    <row r="53" spans="1:36">
      <c r="A53" s="49"/>
      <c r="D53" s="65"/>
      <c r="E53" s="65"/>
      <c r="F53" s="65"/>
      <c r="G53" s="65"/>
      <c r="H53" s="65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</row>
    <row r="54" spans="1:36" ht="16.5">
      <c r="A54" s="60"/>
      <c r="B54" s="49"/>
      <c r="C54" s="61"/>
      <c r="D54" s="61"/>
      <c r="E54" s="49"/>
      <c r="F54" s="49"/>
      <c r="G54" s="49"/>
      <c r="H54" s="49"/>
      <c r="I54" s="62"/>
      <c r="J54" s="62"/>
      <c r="K54" s="49"/>
    </row>
    <row r="55" spans="1:36" ht="15.75">
      <c r="A55" s="49"/>
      <c r="B55" s="46"/>
      <c r="C55" s="1057"/>
      <c r="D55" s="49"/>
      <c r="E55" s="49"/>
      <c r="F55" s="49"/>
      <c r="G55" s="49"/>
      <c r="H55" s="49"/>
      <c r="I55" s="63"/>
      <c r="J55" s="63"/>
      <c r="K55" s="63"/>
    </row>
    <row r="56" spans="1:36">
      <c r="A56" s="49"/>
      <c r="B56" s="364"/>
      <c r="C56" s="1057"/>
      <c r="D56" s="49"/>
      <c r="E56" s="49"/>
      <c r="F56" s="49"/>
      <c r="G56" s="49"/>
      <c r="H56" s="49"/>
      <c r="I56" s="49"/>
      <c r="J56" s="49"/>
      <c r="K56" s="49"/>
    </row>
    <row r="57" spans="1:36" ht="15.75">
      <c r="A57" s="49"/>
      <c r="B57" s="364"/>
      <c r="C57" s="1057"/>
      <c r="D57" s="49"/>
      <c r="E57" s="49"/>
      <c r="F57" s="49"/>
      <c r="G57" s="49"/>
      <c r="H57" s="49"/>
      <c r="I57" s="63"/>
      <c r="J57" s="63"/>
      <c r="K57" s="54"/>
    </row>
    <row r="58" spans="1:36" ht="15.75">
      <c r="A58" s="49"/>
      <c r="B58" s="364"/>
      <c r="C58" s="1057"/>
      <c r="D58" s="49"/>
      <c r="E58" s="49"/>
      <c r="F58" s="49"/>
      <c r="G58" s="49"/>
      <c r="H58" s="49"/>
      <c r="I58" s="49"/>
      <c r="J58" s="49"/>
      <c r="K58" s="54"/>
    </row>
    <row r="59" spans="1:36" ht="15.75">
      <c r="A59" s="49"/>
      <c r="B59" s="364"/>
      <c r="C59" s="65"/>
      <c r="D59" s="49"/>
      <c r="E59" s="49"/>
      <c r="F59" s="49"/>
      <c r="G59" s="49"/>
      <c r="H59" s="49"/>
      <c r="I59" s="49"/>
      <c r="J59" s="49"/>
      <c r="K59" s="54"/>
    </row>
    <row r="60" spans="1:36">
      <c r="A60" s="49"/>
      <c r="B60" s="364"/>
      <c r="C60" s="49"/>
      <c r="D60" s="49"/>
      <c r="E60" s="49"/>
      <c r="F60" s="49"/>
      <c r="G60" s="49"/>
      <c r="H60" s="49"/>
      <c r="I60" s="49"/>
      <c r="J60" s="49"/>
    </row>
    <row r="61" spans="1:36">
      <c r="A61" s="49"/>
      <c r="C61" s="671"/>
      <c r="D61" s="671"/>
      <c r="E61" s="671"/>
      <c r="F61" s="671"/>
      <c r="G61" s="671"/>
      <c r="H61" s="671"/>
      <c r="I61" s="671"/>
      <c r="J61" s="671"/>
      <c r="K61" s="671"/>
    </row>
  </sheetData>
  <mergeCells count="24">
    <mergeCell ref="A25:B25"/>
    <mergeCell ref="A32:B32"/>
    <mergeCell ref="A39:C39"/>
    <mergeCell ref="A12:B12"/>
    <mergeCell ref="AI10:AI11"/>
    <mergeCell ref="AJ10:AJ11"/>
    <mergeCell ref="A8:AJ8"/>
    <mergeCell ref="A9:AI9"/>
    <mergeCell ref="A10:A11"/>
    <mergeCell ref="B10:B11"/>
    <mergeCell ref="C10:C11"/>
    <mergeCell ref="D10:AG10"/>
    <mergeCell ref="A1:AJ1"/>
    <mergeCell ref="A2:AJ2"/>
    <mergeCell ref="A3:AJ3"/>
    <mergeCell ref="A5:O5"/>
    <mergeCell ref="A6:K6"/>
    <mergeCell ref="T42:AI42"/>
    <mergeCell ref="C44:G44"/>
    <mergeCell ref="B45:J45"/>
    <mergeCell ref="X45:AI45"/>
    <mergeCell ref="B51:J51"/>
    <mergeCell ref="X51:AI51"/>
    <mergeCell ref="C43:G43"/>
  </mergeCells>
  <printOptions horizontalCentered="1"/>
  <pageMargins left="0.196850393700787" right="0" top="0.196850393700787" bottom="0.196850393700787" header="0.2" footer="0.31496062992126"/>
  <pageSetup paperSize="9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0000"/>
  </sheetPr>
  <dimension ref="A2:AQ56"/>
  <sheetViews>
    <sheetView topLeftCell="A10" zoomScale="70" zoomScaleNormal="70" zoomScaleSheetLayoutView="70" workbookViewId="0">
      <pane ySplit="4" topLeftCell="A14" activePane="bottomLeft" state="frozen"/>
      <selection activeCell="A10" sqref="A10"/>
      <selection pane="bottomLeft" activeCell="AJ15" sqref="AJ15:AJ26"/>
    </sheetView>
  </sheetViews>
  <sheetFormatPr defaultColWidth="5" defaultRowHeight="17.25"/>
  <cols>
    <col min="1" max="1" width="5.140625" style="584" customWidth="1"/>
    <col min="2" max="2" width="9.5703125" style="584" customWidth="1"/>
    <col min="3" max="16" width="8.140625" style="223" customWidth="1"/>
    <col min="17" max="20" width="8.140625" style="223" hidden="1" customWidth="1"/>
    <col min="21" max="21" width="8.140625" style="223" customWidth="1"/>
    <col min="22" max="23" width="8.140625" style="223" hidden="1" customWidth="1"/>
    <col min="24" max="31" width="8.140625" style="223" customWidth="1"/>
    <col min="32" max="32" width="8.140625" style="223" hidden="1" customWidth="1"/>
    <col min="33" max="33" width="6.85546875" style="223" hidden="1" customWidth="1"/>
    <col min="34" max="34" width="10" style="584" customWidth="1"/>
    <col min="35" max="35" width="13.5703125" style="584" hidden="1" customWidth="1"/>
    <col min="36" max="36" width="13.42578125" style="584" customWidth="1"/>
    <col min="37" max="37" width="14.28515625" style="584" customWidth="1"/>
    <col min="38" max="38" width="24.140625" style="584" customWidth="1"/>
    <col min="39" max="39" width="17.140625" style="584" customWidth="1"/>
    <col min="40" max="40" width="5.85546875" style="584" bestFit="1" customWidth="1"/>
    <col min="41" max="41" width="5" style="584"/>
    <col min="42" max="42" width="26" style="584" customWidth="1"/>
    <col min="43" max="43" width="23" style="584" customWidth="1"/>
    <col min="44" max="16384" width="5" style="584"/>
  </cols>
  <sheetData>
    <row r="2" spans="1:42">
      <c r="A2" s="2344" t="s">
        <v>90</v>
      </c>
      <c r="B2" s="2344"/>
      <c r="C2" s="2344"/>
      <c r="D2" s="2344"/>
      <c r="E2" s="2344"/>
      <c r="F2" s="2344"/>
      <c r="G2" s="2344"/>
      <c r="H2" s="2344"/>
      <c r="I2" s="2344"/>
      <c r="J2" s="2344"/>
      <c r="K2" s="2344"/>
      <c r="L2" s="2344"/>
      <c r="M2" s="2344"/>
      <c r="N2" s="2344"/>
      <c r="O2" s="2344"/>
      <c r="P2" s="2344"/>
      <c r="Q2" s="2344"/>
      <c r="R2" s="2344"/>
      <c r="S2" s="2344"/>
      <c r="T2" s="2344"/>
      <c r="U2" s="2344"/>
      <c r="V2" s="2344"/>
      <c r="W2" s="2344"/>
      <c r="X2" s="2344"/>
      <c r="Y2" s="2344"/>
      <c r="Z2" s="2344"/>
      <c r="AA2" s="2344"/>
      <c r="AB2" s="2344"/>
      <c r="AC2" s="2344"/>
      <c r="AD2" s="2344"/>
      <c r="AE2" s="2344"/>
      <c r="AF2" s="2344"/>
      <c r="AG2" s="2344"/>
      <c r="AH2" s="2344"/>
      <c r="AI2" s="2344"/>
    </row>
    <row r="3" spans="1:42">
      <c r="A3" s="2344" t="s">
        <v>193</v>
      </c>
      <c r="B3" s="2344"/>
      <c r="C3" s="2344"/>
      <c r="D3" s="2344"/>
      <c r="E3" s="2344"/>
      <c r="F3" s="2344"/>
      <c r="G3" s="2344"/>
      <c r="H3" s="2344"/>
      <c r="I3" s="2344"/>
      <c r="J3" s="2344"/>
      <c r="K3" s="2344"/>
      <c r="L3" s="2344"/>
      <c r="M3" s="2344"/>
      <c r="N3" s="2344"/>
      <c r="O3" s="2344"/>
      <c r="P3" s="2344"/>
      <c r="Q3" s="2344"/>
      <c r="R3" s="2344"/>
      <c r="S3" s="2344"/>
      <c r="T3" s="2344"/>
      <c r="U3" s="2344"/>
      <c r="V3" s="2344"/>
      <c r="W3" s="2344"/>
      <c r="X3" s="2344"/>
      <c r="Y3" s="2344"/>
      <c r="Z3" s="2344"/>
      <c r="AA3" s="2344"/>
      <c r="AB3" s="2344"/>
      <c r="AC3" s="2344"/>
      <c r="AD3" s="2344"/>
      <c r="AE3" s="2344"/>
      <c r="AF3" s="2344"/>
      <c r="AG3" s="2344"/>
      <c r="AH3" s="2344"/>
      <c r="AI3" s="2344"/>
    </row>
    <row r="4" spans="1:42">
      <c r="A4" s="2345" t="s">
        <v>604</v>
      </c>
      <c r="B4" s="2344"/>
      <c r="C4" s="2344"/>
      <c r="D4" s="2344"/>
      <c r="E4" s="2344"/>
      <c r="F4" s="2344"/>
      <c r="G4" s="2344"/>
      <c r="H4" s="2344"/>
      <c r="I4" s="2344"/>
      <c r="J4" s="2344"/>
      <c r="K4" s="2344"/>
      <c r="L4" s="2344"/>
      <c r="M4" s="2344"/>
      <c r="N4" s="2344"/>
      <c r="O4" s="2344"/>
      <c r="P4" s="2344"/>
      <c r="Q4" s="2344"/>
      <c r="R4" s="2344"/>
      <c r="S4" s="2344"/>
      <c r="T4" s="2344"/>
      <c r="U4" s="2344"/>
      <c r="V4" s="2344"/>
      <c r="W4" s="2344"/>
      <c r="X4" s="2344"/>
      <c r="Y4" s="2344"/>
      <c r="Z4" s="2344"/>
      <c r="AA4" s="2344"/>
      <c r="AB4" s="2344"/>
      <c r="AC4" s="2344"/>
      <c r="AD4" s="2344"/>
      <c r="AE4" s="2344"/>
      <c r="AF4" s="2344"/>
      <c r="AG4" s="2344"/>
      <c r="AH4" s="2344"/>
      <c r="AI4" s="2344"/>
    </row>
    <row r="5" spans="1:42" s="645" customFormat="1"/>
    <row r="6" spans="1:42">
      <c r="A6" s="616"/>
      <c r="B6" s="2346" t="s">
        <v>331</v>
      </c>
      <c r="C6" s="2346"/>
      <c r="D6" s="2346"/>
      <c r="E6" s="2346"/>
      <c r="F6" s="2346"/>
      <c r="G6" s="2346"/>
      <c r="H6" s="2346"/>
      <c r="I6" s="2346"/>
      <c r="J6" s="2346"/>
      <c r="K6" s="2346"/>
      <c r="L6" s="2346"/>
      <c r="M6" s="2346"/>
      <c r="N6" s="2346"/>
      <c r="O6" s="618"/>
      <c r="P6" s="618"/>
      <c r="Q6" s="618"/>
      <c r="R6" s="618"/>
      <c r="S6" s="618"/>
      <c r="T6" s="618"/>
      <c r="U6" s="618"/>
      <c r="V6" s="618"/>
      <c r="W6" s="618"/>
      <c r="X6" s="618"/>
      <c r="Y6" s="618"/>
      <c r="Z6" s="618"/>
      <c r="AA6" s="618"/>
      <c r="AB6" s="618"/>
      <c r="AC6" s="618"/>
      <c r="AD6" s="618"/>
      <c r="AE6" s="618"/>
      <c r="AF6" s="618"/>
      <c r="AG6" s="618"/>
      <c r="AH6" s="646"/>
      <c r="AI6" s="647"/>
    </row>
    <row r="7" spans="1:42">
      <c r="A7" s="616"/>
      <c r="B7" s="2344" t="s">
        <v>101</v>
      </c>
      <c r="C7" s="2344"/>
      <c r="D7" s="2344"/>
      <c r="E7" s="2344"/>
      <c r="F7" s="2344"/>
      <c r="G7" s="2344"/>
      <c r="H7" s="2344"/>
      <c r="I7" s="2344"/>
      <c r="J7" s="2344"/>
      <c r="K7" s="2344"/>
      <c r="L7" s="2344"/>
      <c r="M7" s="2344"/>
      <c r="N7" s="2344"/>
      <c r="O7" s="618"/>
      <c r="P7" s="618"/>
      <c r="Q7" s="618"/>
      <c r="R7" s="618"/>
      <c r="S7" s="618"/>
      <c r="T7" s="618"/>
      <c r="U7" s="618"/>
      <c r="V7" s="618"/>
      <c r="W7" s="618"/>
      <c r="X7" s="618"/>
      <c r="Y7" s="618"/>
      <c r="Z7" s="618"/>
      <c r="AA7" s="618"/>
      <c r="AB7" s="618"/>
      <c r="AC7" s="618"/>
      <c r="AD7" s="618"/>
      <c r="AE7" s="618"/>
      <c r="AF7" s="618"/>
      <c r="AG7" s="618"/>
      <c r="AH7" s="646"/>
      <c r="AI7" s="647"/>
    </row>
    <row r="8" spans="1:42">
      <c r="A8" s="616"/>
      <c r="B8" s="616"/>
      <c r="C8" s="617"/>
      <c r="D8" s="617"/>
      <c r="E8" s="617"/>
      <c r="F8" s="617"/>
      <c r="G8" s="617"/>
      <c r="H8" s="617"/>
      <c r="I8" s="235"/>
      <c r="J8" s="235"/>
      <c r="K8" s="235"/>
      <c r="L8" s="235"/>
      <c r="M8" s="235"/>
      <c r="N8" s="235"/>
      <c r="O8" s="618"/>
      <c r="P8" s="618"/>
      <c r="Q8" s="618"/>
      <c r="R8" s="618"/>
      <c r="S8" s="618"/>
      <c r="T8" s="618"/>
      <c r="U8" s="618"/>
      <c r="V8" s="618"/>
      <c r="W8" s="618"/>
      <c r="X8" s="618"/>
      <c r="Y8" s="618"/>
      <c r="Z8" s="618"/>
      <c r="AA8" s="618"/>
      <c r="AB8" s="618"/>
      <c r="AC8" s="618"/>
      <c r="AD8" s="618"/>
      <c r="AE8" s="618"/>
      <c r="AF8" s="618"/>
      <c r="AG8" s="618"/>
      <c r="AH8" s="646"/>
      <c r="AI8" s="647"/>
    </row>
    <row r="9" spans="1:42" ht="15" customHeight="1">
      <c r="A9" s="2330" t="s">
        <v>1114</v>
      </c>
      <c r="B9" s="2330"/>
      <c r="C9" s="2330"/>
      <c r="D9" s="2330"/>
      <c r="E9" s="2330"/>
      <c r="F9" s="2330"/>
      <c r="G9" s="2330"/>
      <c r="H9" s="2330"/>
      <c r="I9" s="2330"/>
      <c r="J9" s="2330"/>
      <c r="K9" s="2330"/>
      <c r="L9" s="2330"/>
      <c r="M9" s="2330"/>
      <c r="N9" s="2330"/>
      <c r="O9" s="2330"/>
      <c r="P9" s="2330"/>
      <c r="Q9" s="2330"/>
      <c r="R9" s="2330"/>
      <c r="S9" s="2330"/>
      <c r="T9" s="2330"/>
      <c r="U9" s="2330"/>
      <c r="V9" s="2330"/>
      <c r="W9" s="2330"/>
      <c r="X9" s="2330"/>
      <c r="Y9" s="2330"/>
      <c r="Z9" s="2330"/>
      <c r="AA9" s="2330"/>
      <c r="AB9" s="2330"/>
      <c r="AC9" s="2330"/>
      <c r="AD9" s="2330"/>
      <c r="AE9" s="2330"/>
      <c r="AF9" s="2330"/>
      <c r="AG9" s="2330"/>
      <c r="AH9" s="2330"/>
      <c r="AI9" s="2330"/>
    </row>
    <row r="10" spans="1:42" ht="15" customHeight="1">
      <c r="A10" s="2330"/>
      <c r="B10" s="2330"/>
      <c r="C10" s="2330"/>
      <c r="D10" s="2330"/>
      <c r="E10" s="2330"/>
      <c r="F10" s="2330"/>
      <c r="G10" s="2330"/>
      <c r="H10" s="2330"/>
      <c r="I10" s="2330"/>
      <c r="J10" s="2330"/>
      <c r="K10" s="2330"/>
      <c r="L10" s="2330"/>
      <c r="M10" s="2330"/>
      <c r="N10" s="2330"/>
      <c r="O10" s="2330"/>
      <c r="P10" s="2330"/>
      <c r="Q10" s="2330"/>
      <c r="R10" s="2330"/>
      <c r="S10" s="2330"/>
      <c r="T10" s="2330"/>
      <c r="U10" s="2330"/>
      <c r="V10" s="2330"/>
      <c r="W10" s="2330"/>
      <c r="X10" s="2330"/>
      <c r="Y10" s="2330"/>
      <c r="Z10" s="2330"/>
      <c r="AA10" s="2330"/>
      <c r="AB10" s="2330"/>
      <c r="AC10" s="2330"/>
      <c r="AD10" s="2330"/>
      <c r="AE10" s="2330"/>
      <c r="AF10" s="2330"/>
      <c r="AG10" s="2330"/>
      <c r="AH10" s="2330"/>
      <c r="AI10" s="2330"/>
    </row>
    <row r="11" spans="1:42">
      <c r="A11" s="648"/>
      <c r="B11" s="648"/>
      <c r="D11" s="649"/>
      <c r="E11" s="649"/>
      <c r="F11" s="2332"/>
      <c r="G11" s="2332"/>
      <c r="H11" s="2332"/>
      <c r="I11" s="649"/>
      <c r="J11" s="649"/>
      <c r="K11" s="649"/>
      <c r="L11" s="649"/>
      <c r="M11" s="649"/>
      <c r="N11" s="649"/>
      <c r="O11" s="649"/>
      <c r="P11" s="649"/>
      <c r="Q11" s="649"/>
      <c r="R11" s="649"/>
      <c r="S11" s="649"/>
      <c r="T11" s="649"/>
      <c r="U11" s="649"/>
      <c r="V11" s="649"/>
      <c r="W11" s="649"/>
      <c r="X11" s="649"/>
      <c r="Y11" s="649"/>
      <c r="Z11" s="649"/>
      <c r="AA11" s="649"/>
      <c r="AB11" s="649"/>
      <c r="AC11" s="649"/>
      <c r="AD11" s="649"/>
      <c r="AE11" s="2334" t="s">
        <v>904</v>
      </c>
      <c r="AF11" s="2334"/>
      <c r="AG11" s="2334"/>
      <c r="AH11" s="2334"/>
      <c r="AI11" s="647"/>
    </row>
    <row r="12" spans="1:42" ht="33" customHeight="1">
      <c r="A12" s="1891" t="s">
        <v>28</v>
      </c>
      <c r="B12" s="2327" t="s">
        <v>29</v>
      </c>
      <c r="C12" s="1891" t="s">
        <v>198</v>
      </c>
      <c r="D12" s="1891"/>
      <c r="E12" s="1891"/>
      <c r="F12" s="1891"/>
      <c r="G12" s="1891"/>
      <c r="H12" s="1891"/>
      <c r="I12" s="1891"/>
      <c r="J12" s="1891"/>
      <c r="K12" s="1891"/>
      <c r="L12" s="1891"/>
      <c r="M12" s="1891"/>
      <c r="N12" s="1891"/>
      <c r="O12" s="1891"/>
      <c r="P12" s="1891"/>
      <c r="Q12" s="1891"/>
      <c r="R12" s="1891"/>
      <c r="S12" s="1891"/>
      <c r="T12" s="1891"/>
      <c r="U12" s="1891"/>
      <c r="V12" s="1891"/>
      <c r="W12" s="1891"/>
      <c r="X12" s="1891"/>
      <c r="Y12" s="1891"/>
      <c r="Z12" s="1891"/>
      <c r="AA12" s="1891"/>
      <c r="AB12" s="1891"/>
      <c r="AC12" s="1891"/>
      <c r="AD12" s="1891"/>
      <c r="AE12" s="1891"/>
      <c r="AF12" s="1891"/>
      <c r="AG12" s="1891"/>
      <c r="AH12" s="2335" t="s">
        <v>194</v>
      </c>
      <c r="AI12" s="2339" t="s">
        <v>194</v>
      </c>
      <c r="AL12" s="650">
        <f>1021081-31303</f>
        <v>989778</v>
      </c>
    </row>
    <row r="13" spans="1:42" ht="32.25" customHeight="1">
      <c r="A13" s="1891"/>
      <c r="B13" s="2328"/>
      <c r="C13" s="1242">
        <v>1</v>
      </c>
      <c r="D13" s="1242">
        <v>2</v>
      </c>
      <c r="E13" s="1242">
        <v>3</v>
      </c>
      <c r="F13" s="1242">
        <v>4</v>
      </c>
      <c r="G13" s="1242">
        <v>5</v>
      </c>
      <c r="H13" s="1242">
        <v>6</v>
      </c>
      <c r="I13" s="1242">
        <v>7</v>
      </c>
      <c r="J13" s="1242">
        <v>8</v>
      </c>
      <c r="K13" s="1242">
        <v>9</v>
      </c>
      <c r="L13" s="1242">
        <v>10</v>
      </c>
      <c r="M13" s="1242">
        <v>11</v>
      </c>
      <c r="N13" s="1242">
        <v>12</v>
      </c>
      <c r="O13" s="1242">
        <v>13</v>
      </c>
      <c r="P13" s="1242">
        <v>14</v>
      </c>
      <c r="Q13" s="1242">
        <v>15</v>
      </c>
      <c r="R13" s="1242">
        <v>16</v>
      </c>
      <c r="S13" s="1242">
        <v>17</v>
      </c>
      <c r="T13" s="1242">
        <v>18</v>
      </c>
      <c r="U13" s="1242">
        <v>19</v>
      </c>
      <c r="V13" s="1242">
        <v>20</v>
      </c>
      <c r="W13" s="1242">
        <v>21</v>
      </c>
      <c r="X13" s="1242">
        <v>22</v>
      </c>
      <c r="Y13" s="1242">
        <v>23</v>
      </c>
      <c r="Z13" s="1242">
        <v>24</v>
      </c>
      <c r="AA13" s="1242">
        <v>25</v>
      </c>
      <c r="AB13" s="1242">
        <v>26</v>
      </c>
      <c r="AC13" s="1242">
        <v>27</v>
      </c>
      <c r="AD13" s="1716">
        <v>45717</v>
      </c>
      <c r="AE13" s="1716">
        <v>45718</v>
      </c>
      <c r="AF13" s="1242">
        <v>30</v>
      </c>
      <c r="AG13" s="1242">
        <v>31</v>
      </c>
      <c r="AH13" s="2336"/>
      <c r="AI13" s="2340"/>
      <c r="AM13" s="651">
        <f>AL12*0.4</f>
        <v>395911.2</v>
      </c>
    </row>
    <row r="14" spans="1:42" ht="27.75" customHeight="1">
      <c r="A14" s="1973" t="s">
        <v>1022</v>
      </c>
      <c r="B14" s="1973"/>
      <c r="C14" s="1242">
        <f>SUM(C15:C26)</f>
        <v>0</v>
      </c>
      <c r="D14" s="1242">
        <f t="shared" ref="D14:AH14" si="0">SUM(D15:D26)</f>
        <v>0</v>
      </c>
      <c r="E14" s="1242">
        <f t="shared" si="0"/>
        <v>0</v>
      </c>
      <c r="F14" s="1242">
        <f t="shared" si="0"/>
        <v>0</v>
      </c>
      <c r="G14" s="1242">
        <f t="shared" si="0"/>
        <v>0</v>
      </c>
      <c r="H14" s="1242">
        <f t="shared" si="0"/>
        <v>0</v>
      </c>
      <c r="I14" s="1242">
        <f t="shared" si="0"/>
        <v>0</v>
      </c>
      <c r="J14" s="1242">
        <f t="shared" si="0"/>
        <v>0</v>
      </c>
      <c r="K14" s="1242">
        <f t="shared" si="0"/>
        <v>0</v>
      </c>
      <c r="L14" s="1242">
        <f t="shared" si="0"/>
        <v>0</v>
      </c>
      <c r="M14" s="1242">
        <f t="shared" si="0"/>
        <v>0</v>
      </c>
      <c r="N14" s="1242">
        <f t="shared" si="0"/>
        <v>0</v>
      </c>
      <c r="O14" s="1242">
        <f t="shared" si="0"/>
        <v>0</v>
      </c>
      <c r="P14" s="1242">
        <f t="shared" si="0"/>
        <v>0</v>
      </c>
      <c r="Q14" s="1242">
        <f t="shared" si="0"/>
        <v>0</v>
      </c>
      <c r="R14" s="1242">
        <f t="shared" si="0"/>
        <v>0</v>
      </c>
      <c r="S14" s="1242">
        <f t="shared" si="0"/>
        <v>0</v>
      </c>
      <c r="T14" s="1242">
        <f t="shared" si="0"/>
        <v>0</v>
      </c>
      <c r="U14" s="1242">
        <f t="shared" si="0"/>
        <v>0</v>
      </c>
      <c r="V14" s="1242">
        <f t="shared" si="0"/>
        <v>0</v>
      </c>
      <c r="W14" s="1242">
        <f t="shared" si="0"/>
        <v>0</v>
      </c>
      <c r="X14" s="1242">
        <f t="shared" si="0"/>
        <v>0</v>
      </c>
      <c r="Y14" s="1242">
        <f t="shared" si="0"/>
        <v>0</v>
      </c>
      <c r="Z14" s="1242">
        <f t="shared" si="0"/>
        <v>0</v>
      </c>
      <c r="AA14" s="1242">
        <f t="shared" si="0"/>
        <v>0</v>
      </c>
      <c r="AB14" s="1242">
        <f t="shared" si="0"/>
        <v>0</v>
      </c>
      <c r="AC14" s="1242">
        <f t="shared" si="0"/>
        <v>0</v>
      </c>
      <c r="AD14" s="1242">
        <f t="shared" si="0"/>
        <v>0</v>
      </c>
      <c r="AE14" s="1242">
        <f t="shared" si="0"/>
        <v>0</v>
      </c>
      <c r="AF14" s="1242">
        <f t="shared" si="0"/>
        <v>0</v>
      </c>
      <c r="AG14" s="1242">
        <f t="shared" si="0"/>
        <v>0</v>
      </c>
      <c r="AH14" s="1717">
        <f t="shared" si="0"/>
        <v>0</v>
      </c>
      <c r="AI14" s="1499"/>
      <c r="AM14" s="651"/>
    </row>
    <row r="15" spans="1:42" ht="27.75" customHeight="1">
      <c r="A15" s="1516">
        <v>1</v>
      </c>
      <c r="B15" s="1239" t="s">
        <v>244</v>
      </c>
      <c r="C15" s="1240"/>
      <c r="D15" s="1240"/>
      <c r="E15" s="1240"/>
      <c r="F15" s="1240"/>
      <c r="G15" s="1240"/>
      <c r="H15" s="1240"/>
      <c r="I15" s="1240"/>
      <c r="J15" s="1240"/>
      <c r="K15" s="1240"/>
      <c r="L15" s="1240"/>
      <c r="M15" s="1240"/>
      <c r="N15" s="1240"/>
      <c r="O15" s="1240"/>
      <c r="P15" s="1240"/>
      <c r="Q15" s="1240"/>
      <c r="R15" s="1240"/>
      <c r="S15" s="1240"/>
      <c r="T15" s="1240"/>
      <c r="U15" s="1240"/>
      <c r="V15" s="1240"/>
      <c r="W15" s="1240"/>
      <c r="X15" s="1240"/>
      <c r="Y15" s="1240"/>
      <c r="Z15" s="1240"/>
      <c r="AA15" s="1240"/>
      <c r="AB15" s="1240"/>
      <c r="AC15" s="1240"/>
      <c r="AD15" s="1240"/>
      <c r="AE15" s="1240"/>
      <c r="AF15" s="1240"/>
      <c r="AG15" s="1240"/>
      <c r="AH15" s="1241">
        <f>SUM(C15:AG15)/1000</f>
        <v>0</v>
      </c>
      <c r="AI15" s="1500">
        <f>AH15</f>
        <v>0</v>
      </c>
      <c r="AJ15" s="1241"/>
      <c r="AK15" s="652">
        <f>AH15+AJ15</f>
        <v>0</v>
      </c>
      <c r="AL15" s="651"/>
      <c r="AM15" s="651">
        <f>AK15*0.5</f>
        <v>0</v>
      </c>
    </row>
    <row r="16" spans="1:42" ht="27.75" customHeight="1">
      <c r="A16" s="1516">
        <v>2</v>
      </c>
      <c r="B16" s="1239" t="s">
        <v>214</v>
      </c>
      <c r="C16" s="1240"/>
      <c r="D16" s="1240"/>
      <c r="E16" s="1240"/>
      <c r="F16" s="1240"/>
      <c r="G16" s="1240"/>
      <c r="H16" s="1240"/>
      <c r="I16" s="1240"/>
      <c r="J16" s="1240"/>
      <c r="K16" s="1240"/>
      <c r="L16" s="1240"/>
      <c r="M16" s="1240"/>
      <c r="N16" s="1240"/>
      <c r="O16" s="1240"/>
      <c r="P16" s="1240"/>
      <c r="Q16" s="1240"/>
      <c r="R16" s="1240"/>
      <c r="S16" s="1240"/>
      <c r="T16" s="1240"/>
      <c r="U16" s="1240"/>
      <c r="V16" s="1240"/>
      <c r="W16" s="1240"/>
      <c r="X16" s="1240"/>
      <c r="Y16" s="1240"/>
      <c r="Z16" s="1240"/>
      <c r="AA16" s="1240"/>
      <c r="AB16" s="1240"/>
      <c r="AC16" s="1240"/>
      <c r="AD16" s="1240"/>
      <c r="AE16" s="1240"/>
      <c r="AF16" s="1240"/>
      <c r="AG16" s="1240"/>
      <c r="AH16" s="1241">
        <f t="shared" ref="AH16:AH20" si="1">SUM(C16:AG16)/1000</f>
        <v>0</v>
      </c>
      <c r="AI16" s="1500">
        <f t="shared" ref="AI16:AI26" si="2">AH16</f>
        <v>0</v>
      </c>
      <c r="AJ16" s="1241"/>
      <c r="AK16" s="652">
        <f>AH16+AJ16</f>
        <v>0</v>
      </c>
      <c r="AL16" s="651"/>
      <c r="AM16" s="651">
        <f>AK16*0.4</f>
        <v>0</v>
      </c>
      <c r="AP16" s="653"/>
    </row>
    <row r="17" spans="1:43" ht="27.75" customHeight="1">
      <c r="A17" s="1516">
        <v>3</v>
      </c>
      <c r="B17" s="1239" t="s">
        <v>245</v>
      </c>
      <c r="C17" s="1240"/>
      <c r="D17" s="1240"/>
      <c r="E17" s="1240"/>
      <c r="F17" s="1240"/>
      <c r="G17" s="1240"/>
      <c r="H17" s="1240"/>
      <c r="I17" s="1240"/>
      <c r="J17" s="1240"/>
      <c r="K17" s="1240"/>
      <c r="L17" s="1240"/>
      <c r="M17" s="1240"/>
      <c r="N17" s="1240"/>
      <c r="O17" s="1240"/>
      <c r="P17" s="1240"/>
      <c r="Q17" s="1240"/>
      <c r="R17" s="1240"/>
      <c r="S17" s="1240"/>
      <c r="T17" s="1240"/>
      <c r="U17" s="1240"/>
      <c r="V17" s="1240"/>
      <c r="W17" s="1240"/>
      <c r="X17" s="1240"/>
      <c r="Y17" s="1240"/>
      <c r="Z17" s="1240"/>
      <c r="AA17" s="1240"/>
      <c r="AB17" s="1240"/>
      <c r="AC17" s="1240"/>
      <c r="AD17" s="1240"/>
      <c r="AE17" s="1240"/>
      <c r="AF17" s="1240"/>
      <c r="AG17" s="1240"/>
      <c r="AH17" s="1241">
        <f t="shared" si="1"/>
        <v>0</v>
      </c>
      <c r="AI17" s="1500">
        <f>AH17</f>
        <v>0</v>
      </c>
      <c r="AJ17" s="1241"/>
      <c r="AK17" s="652">
        <f t="shared" ref="AK17:AK26" si="3">AH17+AJ17</f>
        <v>0</v>
      </c>
      <c r="AL17" s="651"/>
      <c r="AM17" s="651">
        <f>AK17*0.5</f>
        <v>0</v>
      </c>
    </row>
    <row r="18" spans="1:43" ht="27.75" customHeight="1">
      <c r="A18" s="1516">
        <v>4</v>
      </c>
      <c r="B18" s="1239" t="s">
        <v>246</v>
      </c>
      <c r="C18" s="1240"/>
      <c r="D18" s="1240"/>
      <c r="E18" s="1240"/>
      <c r="F18" s="1240"/>
      <c r="G18" s="1240"/>
      <c r="H18" s="1240"/>
      <c r="I18" s="1240"/>
      <c r="J18" s="1240"/>
      <c r="K18" s="1240"/>
      <c r="L18" s="1240"/>
      <c r="M18" s="1240"/>
      <c r="N18" s="1240"/>
      <c r="O18" s="1240"/>
      <c r="P18" s="1240"/>
      <c r="Q18" s="1240"/>
      <c r="R18" s="1240"/>
      <c r="S18" s="1240"/>
      <c r="T18" s="1240"/>
      <c r="U18" s="1240"/>
      <c r="V18" s="1240"/>
      <c r="W18" s="1240"/>
      <c r="X18" s="1240"/>
      <c r="Y18" s="1240"/>
      <c r="Z18" s="1240"/>
      <c r="AA18" s="1240"/>
      <c r="AB18" s="1240"/>
      <c r="AC18" s="1240"/>
      <c r="AD18" s="1240"/>
      <c r="AE18" s="1240"/>
      <c r="AF18" s="1240"/>
      <c r="AG18" s="1240"/>
      <c r="AH18" s="1241">
        <f t="shared" si="1"/>
        <v>0</v>
      </c>
      <c r="AI18" s="1500">
        <f t="shared" si="2"/>
        <v>0</v>
      </c>
      <c r="AJ18" s="1241"/>
      <c r="AK18" s="652">
        <f t="shared" si="3"/>
        <v>0</v>
      </c>
      <c r="AL18" s="651"/>
      <c r="AM18" s="651">
        <f>SUM(AM15:AM17)+AN22</f>
        <v>0</v>
      </c>
      <c r="AP18" s="584">
        <f>1129717/12/31</f>
        <v>3036.8736559139784</v>
      </c>
    </row>
    <row r="19" spans="1:43" ht="27.75" customHeight="1">
      <c r="A19" s="1516">
        <v>5</v>
      </c>
      <c r="B19" s="1239" t="s">
        <v>247</v>
      </c>
      <c r="C19" s="1240"/>
      <c r="D19" s="1240"/>
      <c r="E19" s="1240"/>
      <c r="F19" s="1240"/>
      <c r="G19" s="1240"/>
      <c r="H19" s="1240"/>
      <c r="I19" s="1240"/>
      <c r="J19" s="1240"/>
      <c r="K19" s="1240"/>
      <c r="L19" s="1240"/>
      <c r="M19" s="1240"/>
      <c r="N19" s="1240"/>
      <c r="O19" s="1240"/>
      <c r="P19" s="1240"/>
      <c r="Q19" s="1240"/>
      <c r="R19" s="1240"/>
      <c r="S19" s="1240"/>
      <c r="T19" s="1240"/>
      <c r="U19" s="1240"/>
      <c r="V19" s="1240"/>
      <c r="W19" s="1240"/>
      <c r="X19" s="1240"/>
      <c r="Y19" s="1240"/>
      <c r="Z19" s="1240"/>
      <c r="AA19" s="1240"/>
      <c r="AB19" s="1240"/>
      <c r="AC19" s="1240"/>
      <c r="AD19" s="1240"/>
      <c r="AE19" s="1240"/>
      <c r="AF19" s="1240"/>
      <c r="AG19" s="1240"/>
      <c r="AH19" s="1241">
        <f t="shared" si="1"/>
        <v>0</v>
      </c>
      <c r="AI19" s="1500">
        <f t="shared" si="2"/>
        <v>0</v>
      </c>
      <c r="AJ19" s="1241"/>
      <c r="AK19" s="652">
        <f t="shared" si="3"/>
        <v>0</v>
      </c>
      <c r="AL19" s="652"/>
    </row>
    <row r="20" spans="1:43" ht="27.75" customHeight="1">
      <c r="A20" s="1516">
        <v>6</v>
      </c>
      <c r="B20" s="1239" t="s">
        <v>248</v>
      </c>
      <c r="C20" s="1240"/>
      <c r="D20" s="1240"/>
      <c r="E20" s="1240"/>
      <c r="F20" s="1240"/>
      <c r="G20" s="1240"/>
      <c r="H20" s="1240"/>
      <c r="I20" s="1240"/>
      <c r="J20" s="1240"/>
      <c r="K20" s="1240"/>
      <c r="L20" s="1240"/>
      <c r="M20" s="1240"/>
      <c r="N20" s="1240"/>
      <c r="O20" s="1240"/>
      <c r="P20" s="1240"/>
      <c r="Q20" s="1240"/>
      <c r="R20" s="1240"/>
      <c r="S20" s="1240"/>
      <c r="T20" s="1240"/>
      <c r="U20" s="1240"/>
      <c r="V20" s="1240"/>
      <c r="W20" s="1240"/>
      <c r="X20" s="1240"/>
      <c r="Y20" s="1240"/>
      <c r="Z20" s="1240"/>
      <c r="AA20" s="1240"/>
      <c r="AB20" s="1240"/>
      <c r="AC20" s="1240"/>
      <c r="AD20" s="1240"/>
      <c r="AE20" s="1240"/>
      <c r="AF20" s="1240"/>
      <c r="AG20" s="1240"/>
      <c r="AH20" s="1241">
        <f t="shared" si="1"/>
        <v>0</v>
      </c>
      <c r="AI20" s="1500">
        <f t="shared" si="2"/>
        <v>0</v>
      </c>
      <c r="AJ20" s="1241"/>
      <c r="AK20" s="652">
        <f t="shared" si="3"/>
        <v>0</v>
      </c>
      <c r="AL20" s="652"/>
      <c r="AP20" s="655"/>
    </row>
    <row r="21" spans="1:43" ht="27.75" customHeight="1">
      <c r="A21" s="1516">
        <v>7</v>
      </c>
      <c r="B21" s="1239" t="s">
        <v>257</v>
      </c>
      <c r="C21" s="1240"/>
      <c r="D21" s="1240"/>
      <c r="E21" s="1240"/>
      <c r="F21" s="1240"/>
      <c r="G21" s="1240"/>
      <c r="H21" s="1240"/>
      <c r="I21" s="1240"/>
      <c r="J21" s="1240"/>
      <c r="K21" s="1240"/>
      <c r="L21" s="1240"/>
      <c r="M21" s="1240"/>
      <c r="N21" s="1240"/>
      <c r="O21" s="1240"/>
      <c r="P21" s="1240"/>
      <c r="Q21" s="1240"/>
      <c r="R21" s="1240"/>
      <c r="S21" s="1240"/>
      <c r="T21" s="1240"/>
      <c r="U21" s="1240"/>
      <c r="V21" s="1240"/>
      <c r="W21" s="1240"/>
      <c r="X21" s="1240"/>
      <c r="Y21" s="1240"/>
      <c r="Z21" s="1240"/>
      <c r="AA21" s="1240"/>
      <c r="AB21" s="1240"/>
      <c r="AC21" s="1240"/>
      <c r="AD21" s="1240"/>
      <c r="AE21" s="1240"/>
      <c r="AF21" s="1240"/>
      <c r="AG21" s="1240"/>
      <c r="AH21" s="1241">
        <f>SUM(C21:AG21)/1000</f>
        <v>0</v>
      </c>
      <c r="AI21" s="1500">
        <f t="shared" si="2"/>
        <v>0</v>
      </c>
      <c r="AJ21" s="654"/>
      <c r="AK21" s="652">
        <f t="shared" si="3"/>
        <v>0</v>
      </c>
      <c r="AL21" s="652"/>
      <c r="AM21" s="656"/>
    </row>
    <row r="22" spans="1:43" ht="27.75" customHeight="1">
      <c r="A22" s="1516">
        <v>8</v>
      </c>
      <c r="B22" s="1239" t="s">
        <v>259</v>
      </c>
      <c r="C22" s="1240"/>
      <c r="D22" s="1240"/>
      <c r="E22" s="1240"/>
      <c r="F22" s="1240"/>
      <c r="G22" s="1240"/>
      <c r="H22" s="1240"/>
      <c r="I22" s="1240"/>
      <c r="J22" s="1240"/>
      <c r="K22" s="1240"/>
      <c r="L22" s="1240"/>
      <c r="M22" s="1240"/>
      <c r="N22" s="1240"/>
      <c r="O22" s="1240"/>
      <c r="P22" s="1240"/>
      <c r="Q22" s="1240"/>
      <c r="R22" s="1240"/>
      <c r="S22" s="1240"/>
      <c r="T22" s="1240"/>
      <c r="U22" s="1240"/>
      <c r="V22" s="1240"/>
      <c r="W22" s="1240"/>
      <c r="X22" s="1240"/>
      <c r="Y22" s="1240"/>
      <c r="Z22" s="1240"/>
      <c r="AA22" s="1240"/>
      <c r="AB22" s="1240"/>
      <c r="AC22" s="1240"/>
      <c r="AD22" s="1240"/>
      <c r="AE22" s="1240"/>
      <c r="AF22" s="1240"/>
      <c r="AG22" s="1240"/>
      <c r="AH22" s="1241">
        <f t="shared" ref="AH22:AH40" si="4">SUM(C22:AG22)/1000</f>
        <v>0</v>
      </c>
      <c r="AI22" s="1500">
        <f t="shared" si="2"/>
        <v>0</v>
      </c>
      <c r="AJ22" s="654"/>
      <c r="AK22" s="652">
        <f t="shared" si="3"/>
        <v>0</v>
      </c>
      <c r="AL22" s="650"/>
      <c r="AQ22" s="651"/>
    </row>
    <row r="23" spans="1:43" ht="27.75" customHeight="1">
      <c r="A23" s="1516">
        <v>9</v>
      </c>
      <c r="B23" s="1239" t="s">
        <v>260</v>
      </c>
      <c r="C23" s="1240"/>
      <c r="D23" s="1240"/>
      <c r="E23" s="1240"/>
      <c r="F23" s="1240"/>
      <c r="G23" s="1240"/>
      <c r="H23" s="1240"/>
      <c r="I23" s="1240"/>
      <c r="J23" s="1240"/>
      <c r="K23" s="1240"/>
      <c r="L23" s="1240"/>
      <c r="M23" s="1240"/>
      <c r="N23" s="1240"/>
      <c r="O23" s="1240"/>
      <c r="P23" s="1240"/>
      <c r="Q23" s="1240"/>
      <c r="R23" s="1240"/>
      <c r="S23" s="1240"/>
      <c r="T23" s="1240"/>
      <c r="U23" s="1240"/>
      <c r="V23" s="1240"/>
      <c r="W23" s="1240"/>
      <c r="X23" s="1240"/>
      <c r="Y23" s="1240"/>
      <c r="Z23" s="1240"/>
      <c r="AA23" s="1240"/>
      <c r="AB23" s="1240"/>
      <c r="AC23" s="1240"/>
      <c r="AD23" s="1240"/>
      <c r="AE23" s="1240"/>
      <c r="AF23" s="1240"/>
      <c r="AG23" s="1240"/>
      <c r="AH23" s="1241">
        <f t="shared" si="4"/>
        <v>0</v>
      </c>
      <c r="AI23" s="1500">
        <f t="shared" si="2"/>
        <v>0</v>
      </c>
      <c r="AJ23" s="654"/>
      <c r="AK23" s="652">
        <f t="shared" si="3"/>
        <v>0</v>
      </c>
      <c r="AL23" s="652"/>
      <c r="AM23" s="656"/>
      <c r="AP23" s="657"/>
      <c r="AQ23" s="651"/>
    </row>
    <row r="24" spans="1:43" ht="27.75" customHeight="1">
      <c r="A24" s="1516">
        <v>10</v>
      </c>
      <c r="B24" s="1239" t="s">
        <v>141</v>
      </c>
      <c r="C24" s="1240"/>
      <c r="D24" s="1240"/>
      <c r="E24" s="1240"/>
      <c r="F24" s="1240"/>
      <c r="G24" s="1240"/>
      <c r="H24" s="1240"/>
      <c r="I24" s="1240"/>
      <c r="J24" s="1240"/>
      <c r="K24" s="1240"/>
      <c r="L24" s="1240"/>
      <c r="M24" s="1240"/>
      <c r="N24" s="1240"/>
      <c r="O24" s="1240"/>
      <c r="P24" s="1240"/>
      <c r="Q24" s="1240"/>
      <c r="R24" s="1240"/>
      <c r="S24" s="1240"/>
      <c r="T24" s="1240"/>
      <c r="U24" s="1240"/>
      <c r="V24" s="1240"/>
      <c r="W24" s="1240"/>
      <c r="X24" s="1240"/>
      <c r="Y24" s="1240"/>
      <c r="Z24" s="1240"/>
      <c r="AA24" s="1240"/>
      <c r="AB24" s="1240"/>
      <c r="AC24" s="1240"/>
      <c r="AD24" s="1240"/>
      <c r="AE24" s="1240"/>
      <c r="AF24" s="1240"/>
      <c r="AG24" s="1240"/>
      <c r="AH24" s="1241">
        <f t="shared" si="4"/>
        <v>0</v>
      </c>
      <c r="AI24" s="1500">
        <f t="shared" si="2"/>
        <v>0</v>
      </c>
      <c r="AJ24" s="654"/>
      <c r="AK24" s="652">
        <f t="shared" si="3"/>
        <v>0</v>
      </c>
      <c r="AL24" s="652"/>
    </row>
    <row r="25" spans="1:43" ht="27.75" customHeight="1">
      <c r="A25" s="1516">
        <v>11</v>
      </c>
      <c r="B25" s="1239" t="s">
        <v>4</v>
      </c>
      <c r="C25" s="1240"/>
      <c r="D25" s="1240"/>
      <c r="E25" s="1240"/>
      <c r="F25" s="1240"/>
      <c r="G25" s="1240"/>
      <c r="H25" s="1240"/>
      <c r="I25" s="1240"/>
      <c r="J25" s="1240"/>
      <c r="K25" s="1240"/>
      <c r="L25" s="1240"/>
      <c r="M25" s="1240"/>
      <c r="N25" s="1240"/>
      <c r="O25" s="1240"/>
      <c r="P25" s="1240"/>
      <c r="Q25" s="1240"/>
      <c r="R25" s="1240"/>
      <c r="S25" s="1240"/>
      <c r="T25" s="1240"/>
      <c r="U25" s="1240"/>
      <c r="V25" s="1240"/>
      <c r="W25" s="1240"/>
      <c r="X25" s="1240"/>
      <c r="Y25" s="1240"/>
      <c r="Z25" s="1240"/>
      <c r="AA25" s="1240"/>
      <c r="AB25" s="1240"/>
      <c r="AC25" s="1240"/>
      <c r="AD25" s="1240"/>
      <c r="AE25" s="1240"/>
      <c r="AF25" s="1240"/>
      <c r="AG25" s="1240"/>
      <c r="AH25" s="1241">
        <f t="shared" si="4"/>
        <v>0</v>
      </c>
      <c r="AI25" s="1500">
        <f t="shared" si="2"/>
        <v>0</v>
      </c>
      <c r="AJ25" s="1505"/>
      <c r="AK25" s="652">
        <f t="shared" si="3"/>
        <v>0</v>
      </c>
      <c r="AL25" s="652"/>
      <c r="AQ25" s="658"/>
    </row>
    <row r="26" spans="1:43" ht="27.75" customHeight="1">
      <c r="A26" s="1516">
        <v>12</v>
      </c>
      <c r="B26" s="1239" t="s">
        <v>137</v>
      </c>
      <c r="C26" s="1240"/>
      <c r="D26" s="1240"/>
      <c r="E26" s="1240"/>
      <c r="F26" s="1240"/>
      <c r="G26" s="1240"/>
      <c r="H26" s="1240"/>
      <c r="I26" s="1240"/>
      <c r="J26" s="1240"/>
      <c r="K26" s="1240"/>
      <c r="L26" s="1240"/>
      <c r="M26" s="1240"/>
      <c r="N26" s="1240"/>
      <c r="O26" s="1240"/>
      <c r="P26" s="1240"/>
      <c r="Q26" s="1240"/>
      <c r="R26" s="1240"/>
      <c r="S26" s="1240"/>
      <c r="T26" s="1240"/>
      <c r="U26" s="1240"/>
      <c r="V26" s="1240"/>
      <c r="W26" s="1240"/>
      <c r="X26" s="1240"/>
      <c r="Y26" s="1240"/>
      <c r="Z26" s="1240"/>
      <c r="AA26" s="1240"/>
      <c r="AB26" s="1240"/>
      <c r="AC26" s="1240"/>
      <c r="AD26" s="1240"/>
      <c r="AE26" s="1240"/>
      <c r="AF26" s="1240"/>
      <c r="AG26" s="1240"/>
      <c r="AH26" s="1241">
        <f t="shared" si="4"/>
        <v>0</v>
      </c>
      <c r="AI26" s="1500">
        <f t="shared" si="2"/>
        <v>0</v>
      </c>
      <c r="AJ26" s="654"/>
      <c r="AK26" s="652">
        <f t="shared" si="3"/>
        <v>0</v>
      </c>
      <c r="AL26" s="652"/>
      <c r="AP26" s="584">
        <v>1129000</v>
      </c>
    </row>
    <row r="27" spans="1:43" s="808" customFormat="1" ht="27.75" customHeight="1">
      <c r="A27" s="2341" t="s">
        <v>1023</v>
      </c>
      <c r="B27" s="2342"/>
      <c r="C27" s="1242">
        <f>SUM(C28:C33)</f>
        <v>0</v>
      </c>
      <c r="D27" s="1242">
        <f t="shared" ref="D27:AH27" si="5">SUM(D28:D33)</f>
        <v>0</v>
      </c>
      <c r="E27" s="1242">
        <f t="shared" si="5"/>
        <v>0</v>
      </c>
      <c r="F27" s="1242">
        <f t="shared" si="5"/>
        <v>0</v>
      </c>
      <c r="G27" s="1242">
        <f t="shared" si="5"/>
        <v>0</v>
      </c>
      <c r="H27" s="1242">
        <f t="shared" si="5"/>
        <v>0</v>
      </c>
      <c r="I27" s="1242">
        <f t="shared" si="5"/>
        <v>0</v>
      </c>
      <c r="J27" s="1242">
        <f t="shared" si="5"/>
        <v>0</v>
      </c>
      <c r="K27" s="1242">
        <f t="shared" si="5"/>
        <v>0</v>
      </c>
      <c r="L27" s="1242">
        <f t="shared" si="5"/>
        <v>0</v>
      </c>
      <c r="M27" s="1242">
        <f t="shared" si="5"/>
        <v>0</v>
      </c>
      <c r="N27" s="1242">
        <f t="shared" si="5"/>
        <v>0</v>
      </c>
      <c r="O27" s="1242">
        <f t="shared" si="5"/>
        <v>0</v>
      </c>
      <c r="P27" s="1242">
        <f t="shared" si="5"/>
        <v>0</v>
      </c>
      <c r="Q27" s="1242">
        <f t="shared" si="5"/>
        <v>0</v>
      </c>
      <c r="R27" s="1242">
        <f t="shared" si="5"/>
        <v>0</v>
      </c>
      <c r="S27" s="1242">
        <f t="shared" si="5"/>
        <v>0</v>
      </c>
      <c r="T27" s="1242">
        <f t="shared" si="5"/>
        <v>0</v>
      </c>
      <c r="U27" s="1242">
        <f t="shared" si="5"/>
        <v>0</v>
      </c>
      <c r="V27" s="1242">
        <f t="shared" si="5"/>
        <v>0</v>
      </c>
      <c r="W27" s="1242">
        <f t="shared" si="5"/>
        <v>0</v>
      </c>
      <c r="X27" s="1242">
        <f t="shared" si="5"/>
        <v>0</v>
      </c>
      <c r="Y27" s="1242">
        <f t="shared" si="5"/>
        <v>0</v>
      </c>
      <c r="Z27" s="1242">
        <f t="shared" si="5"/>
        <v>0</v>
      </c>
      <c r="AA27" s="1242">
        <f t="shared" si="5"/>
        <v>0</v>
      </c>
      <c r="AB27" s="1242">
        <f t="shared" si="5"/>
        <v>0</v>
      </c>
      <c r="AC27" s="1242">
        <f t="shared" si="5"/>
        <v>0</v>
      </c>
      <c r="AD27" s="1242">
        <f t="shared" si="5"/>
        <v>0</v>
      </c>
      <c r="AE27" s="1242">
        <f t="shared" si="5"/>
        <v>0</v>
      </c>
      <c r="AF27" s="1242">
        <f t="shared" si="5"/>
        <v>0</v>
      </c>
      <c r="AG27" s="1242">
        <f t="shared" si="5"/>
        <v>0</v>
      </c>
      <c r="AH27" s="1717">
        <f t="shared" si="5"/>
        <v>0</v>
      </c>
      <c r="AI27" s="1501">
        <f>SUM(AI15:AI26)</f>
        <v>0</v>
      </c>
      <c r="AJ27" s="1063"/>
      <c r="AK27" s="1718">
        <f>SUM(AK15:AK26)</f>
        <v>0</v>
      </c>
      <c r="AL27" s="807"/>
      <c r="AP27" s="809">
        <v>1129717</v>
      </c>
      <c r="AQ27" s="810">
        <f>AP26-AP27</f>
        <v>-717</v>
      </c>
    </row>
    <row r="28" spans="1:43" ht="27.75" customHeight="1">
      <c r="A28" s="1550">
        <v>1</v>
      </c>
      <c r="B28" s="1239" t="s">
        <v>244</v>
      </c>
      <c r="C28" s="1551"/>
      <c r="D28" s="1502"/>
      <c r="E28" s="1502"/>
      <c r="F28" s="1502"/>
      <c r="G28" s="1502"/>
      <c r="H28" s="1502"/>
      <c r="I28" s="1502"/>
      <c r="J28" s="1502"/>
      <c r="K28" s="1502"/>
      <c r="L28" s="1502"/>
      <c r="M28" s="1502"/>
      <c r="N28" s="1502"/>
      <c r="O28" s="1502"/>
      <c r="P28" s="1502"/>
      <c r="Q28" s="1502"/>
      <c r="R28" s="1502"/>
      <c r="S28" s="1502"/>
      <c r="T28" s="1502"/>
      <c r="U28" s="1551"/>
      <c r="V28" s="1552"/>
      <c r="W28" s="1551"/>
      <c r="X28" s="1551"/>
      <c r="Y28" s="1551"/>
      <c r="Z28" s="1551"/>
      <c r="AA28" s="1551"/>
      <c r="AB28" s="1551"/>
      <c r="AC28" s="1551"/>
      <c r="AD28" s="1551"/>
      <c r="AE28" s="1551"/>
      <c r="AF28" s="1551"/>
      <c r="AG28" s="1551"/>
      <c r="AH28" s="1241">
        <f t="shared" si="4"/>
        <v>0</v>
      </c>
      <c r="AI28" s="662"/>
      <c r="AJ28" s="663"/>
      <c r="AP28" s="664">
        <f>AH27-88</f>
        <v>-88</v>
      </c>
      <c r="AQ28" s="653"/>
    </row>
    <row r="29" spans="1:43" ht="27.75" customHeight="1">
      <c r="A29" s="1550">
        <v>2</v>
      </c>
      <c r="B29" s="1239" t="s">
        <v>214</v>
      </c>
      <c r="C29" s="1551"/>
      <c r="D29" s="1502"/>
      <c r="E29" s="1502"/>
      <c r="F29" s="1502"/>
      <c r="G29" s="1502"/>
      <c r="H29" s="1502"/>
      <c r="I29" s="1502"/>
      <c r="J29" s="1502"/>
      <c r="K29" s="1502"/>
      <c r="L29" s="1502"/>
      <c r="M29" s="1502"/>
      <c r="N29" s="1502"/>
      <c r="O29" s="1502"/>
      <c r="P29" s="1502"/>
      <c r="Q29" s="1502"/>
      <c r="R29" s="1502"/>
      <c r="S29" s="1502"/>
      <c r="T29" s="1502"/>
      <c r="U29" s="1551"/>
      <c r="V29" s="1552"/>
      <c r="W29" s="1551"/>
      <c r="X29" s="1551"/>
      <c r="Y29" s="1551"/>
      <c r="Z29" s="1551"/>
      <c r="AA29" s="1551"/>
      <c r="AB29" s="1551"/>
      <c r="AC29" s="1551"/>
      <c r="AD29" s="1551"/>
      <c r="AE29" s="1551"/>
      <c r="AF29" s="1551"/>
      <c r="AG29" s="1551"/>
      <c r="AH29" s="1241">
        <f t="shared" si="4"/>
        <v>0</v>
      </c>
      <c r="AI29" s="662"/>
      <c r="AJ29" s="663"/>
      <c r="AP29" s="664"/>
      <c r="AQ29" s="653"/>
    </row>
    <row r="30" spans="1:43" ht="27.75" customHeight="1">
      <c r="A30" s="1550">
        <v>3</v>
      </c>
      <c r="B30" s="1239" t="s">
        <v>245</v>
      </c>
      <c r="C30" s="1551"/>
      <c r="D30" s="1502"/>
      <c r="E30" s="1502"/>
      <c r="F30" s="1502"/>
      <c r="G30" s="1502"/>
      <c r="H30" s="1502"/>
      <c r="I30" s="1502"/>
      <c r="J30" s="1502"/>
      <c r="K30" s="1502"/>
      <c r="L30" s="1502"/>
      <c r="M30" s="1502"/>
      <c r="N30" s="1502"/>
      <c r="O30" s="1502"/>
      <c r="P30" s="1502"/>
      <c r="Q30" s="1502"/>
      <c r="R30" s="1502"/>
      <c r="S30" s="1502"/>
      <c r="T30" s="1502"/>
      <c r="U30" s="1551"/>
      <c r="V30" s="1552"/>
      <c r="W30" s="1551"/>
      <c r="X30" s="1551"/>
      <c r="Y30" s="1551"/>
      <c r="Z30" s="1551"/>
      <c r="AA30" s="1551"/>
      <c r="AB30" s="1551"/>
      <c r="AC30" s="1551"/>
      <c r="AD30" s="1551"/>
      <c r="AE30" s="1551"/>
      <c r="AF30" s="1551"/>
      <c r="AG30" s="1551"/>
      <c r="AH30" s="1241">
        <f t="shared" si="4"/>
        <v>0</v>
      </c>
      <c r="AI30" s="662"/>
      <c r="AJ30" s="663"/>
      <c r="AL30" s="651">
        <f>163569+1573+6440</f>
        <v>171582</v>
      </c>
      <c r="AP30" s="664"/>
      <c r="AQ30" s="653"/>
    </row>
    <row r="31" spans="1:43" ht="27.75" customHeight="1">
      <c r="A31" s="1550">
        <v>4</v>
      </c>
      <c r="B31" s="1239" t="s">
        <v>246</v>
      </c>
      <c r="C31" s="1551"/>
      <c r="D31" s="1502"/>
      <c r="E31" s="1502"/>
      <c r="F31" s="1502"/>
      <c r="G31" s="1502"/>
      <c r="H31" s="1502"/>
      <c r="I31" s="1502"/>
      <c r="J31" s="1502"/>
      <c r="K31" s="1502"/>
      <c r="L31" s="1502"/>
      <c r="M31" s="1502"/>
      <c r="N31" s="1502"/>
      <c r="O31" s="1502"/>
      <c r="P31" s="1502"/>
      <c r="Q31" s="1502"/>
      <c r="R31" s="1502"/>
      <c r="S31" s="1502"/>
      <c r="T31" s="1502"/>
      <c r="U31" s="1551"/>
      <c r="V31" s="1552"/>
      <c r="W31" s="1551"/>
      <c r="X31" s="1551"/>
      <c r="Y31" s="1551"/>
      <c r="Z31" s="1551"/>
      <c r="AA31" s="1551"/>
      <c r="AB31" s="1551"/>
      <c r="AC31" s="1551"/>
      <c r="AD31" s="1551"/>
      <c r="AE31" s="1551"/>
      <c r="AF31" s="1551"/>
      <c r="AG31" s="1551"/>
      <c r="AH31" s="1241">
        <f t="shared" si="4"/>
        <v>0</v>
      </c>
      <c r="AI31" s="662"/>
      <c r="AJ31" s="663"/>
      <c r="AP31" s="664"/>
      <c r="AQ31" s="653"/>
    </row>
    <row r="32" spans="1:43" ht="27.75" customHeight="1">
      <c r="A32" s="1550">
        <v>5</v>
      </c>
      <c r="B32" s="1239" t="s">
        <v>247</v>
      </c>
      <c r="C32" s="1551"/>
      <c r="D32" s="1502"/>
      <c r="E32" s="1502"/>
      <c r="F32" s="1502"/>
      <c r="G32" s="1502"/>
      <c r="H32" s="1502"/>
      <c r="I32" s="1502"/>
      <c r="J32" s="1502"/>
      <c r="K32" s="1502"/>
      <c r="L32" s="1502"/>
      <c r="M32" s="1502"/>
      <c r="N32" s="1502"/>
      <c r="O32" s="1502"/>
      <c r="P32" s="1502"/>
      <c r="Q32" s="1502"/>
      <c r="R32" s="1502"/>
      <c r="S32" s="1502"/>
      <c r="T32" s="1502"/>
      <c r="U32" s="1551"/>
      <c r="V32" s="1552"/>
      <c r="W32" s="1551"/>
      <c r="X32" s="1551"/>
      <c r="Y32" s="1551"/>
      <c r="Z32" s="1551"/>
      <c r="AA32" s="1551"/>
      <c r="AB32" s="1551"/>
      <c r="AC32" s="1551"/>
      <c r="AD32" s="1551"/>
      <c r="AE32" s="1551"/>
      <c r="AF32" s="1551"/>
      <c r="AG32" s="1551"/>
      <c r="AH32" s="1241">
        <f t="shared" si="4"/>
        <v>0</v>
      </c>
      <c r="AI32" s="662"/>
      <c r="AJ32" s="663"/>
      <c r="AP32" s="664"/>
      <c r="AQ32" s="653"/>
    </row>
    <row r="33" spans="1:43" ht="27.75" customHeight="1">
      <c r="A33" s="1550">
        <v>6</v>
      </c>
      <c r="B33" s="1239" t="s">
        <v>248</v>
      </c>
      <c r="C33" s="1551"/>
      <c r="D33" s="1502"/>
      <c r="E33" s="1502"/>
      <c r="F33" s="1502"/>
      <c r="G33" s="1502"/>
      <c r="H33" s="1502"/>
      <c r="I33" s="1502"/>
      <c r="J33" s="1502"/>
      <c r="K33" s="1502"/>
      <c r="L33" s="1502"/>
      <c r="M33" s="1502"/>
      <c r="N33" s="1502"/>
      <c r="O33" s="1502"/>
      <c r="P33" s="1502"/>
      <c r="Q33" s="1502"/>
      <c r="R33" s="1502"/>
      <c r="S33" s="1502"/>
      <c r="T33" s="1502"/>
      <c r="U33" s="1551"/>
      <c r="V33" s="1552"/>
      <c r="W33" s="1551"/>
      <c r="X33" s="1551"/>
      <c r="Y33" s="1551"/>
      <c r="Z33" s="1551"/>
      <c r="AA33" s="1551"/>
      <c r="AB33" s="1551"/>
      <c r="AC33" s="1551"/>
      <c r="AD33" s="1551"/>
      <c r="AE33" s="1551"/>
      <c r="AF33" s="1551"/>
      <c r="AG33" s="1551"/>
      <c r="AH33" s="1241">
        <f t="shared" si="4"/>
        <v>0</v>
      </c>
      <c r="AI33" s="662"/>
      <c r="AJ33" s="663"/>
      <c r="AP33" s="664"/>
      <c r="AQ33" s="653"/>
    </row>
    <row r="34" spans="1:43" ht="27.75" customHeight="1">
      <c r="A34" s="1970" t="s">
        <v>1024</v>
      </c>
      <c r="B34" s="2343"/>
      <c r="C34" s="1242">
        <f>SUM(C35:C40)</f>
        <v>0</v>
      </c>
      <c r="D34" s="1242">
        <f t="shared" ref="D34" si="6">SUM(D35:D40)</f>
        <v>0</v>
      </c>
      <c r="E34" s="1242">
        <f t="shared" ref="E34" si="7">SUM(E35:E40)</f>
        <v>0</v>
      </c>
      <c r="F34" s="1242">
        <f t="shared" ref="F34" si="8">SUM(F35:F40)</f>
        <v>0</v>
      </c>
      <c r="G34" s="1242">
        <f t="shared" ref="G34" si="9">SUM(G35:G40)</f>
        <v>0</v>
      </c>
      <c r="H34" s="1242">
        <f t="shared" ref="H34" si="10">SUM(H35:H40)</f>
        <v>0</v>
      </c>
      <c r="I34" s="1242">
        <f t="shared" ref="I34" si="11">SUM(I35:I40)</f>
        <v>0</v>
      </c>
      <c r="J34" s="1242">
        <f t="shared" ref="J34" si="12">SUM(J35:J40)</f>
        <v>0</v>
      </c>
      <c r="K34" s="1242">
        <f t="shared" ref="K34" si="13">SUM(K35:K40)</f>
        <v>0</v>
      </c>
      <c r="L34" s="1242">
        <f t="shared" ref="L34" si="14">SUM(L35:L40)</f>
        <v>0</v>
      </c>
      <c r="M34" s="1242">
        <f t="shared" ref="M34" si="15">SUM(M35:M40)</f>
        <v>0</v>
      </c>
      <c r="N34" s="1242">
        <f t="shared" ref="N34" si="16">SUM(N35:N40)</f>
        <v>0</v>
      </c>
      <c r="O34" s="1242">
        <f t="shared" ref="O34" si="17">SUM(O35:O40)</f>
        <v>0</v>
      </c>
      <c r="P34" s="1242">
        <f t="shared" ref="P34" si="18">SUM(P35:P40)</f>
        <v>0</v>
      </c>
      <c r="Q34" s="1242">
        <f t="shared" ref="Q34" si="19">SUM(Q35:Q40)</f>
        <v>0</v>
      </c>
      <c r="R34" s="1242">
        <f t="shared" ref="R34" si="20">SUM(R35:R40)</f>
        <v>0</v>
      </c>
      <c r="S34" s="1242">
        <f t="shared" ref="S34" si="21">SUM(S35:S40)</f>
        <v>0</v>
      </c>
      <c r="T34" s="1242">
        <f t="shared" ref="T34" si="22">SUM(T35:T40)</f>
        <v>0</v>
      </c>
      <c r="U34" s="1242">
        <f t="shared" ref="U34" si="23">SUM(U35:U40)</f>
        <v>0</v>
      </c>
      <c r="V34" s="1242">
        <f t="shared" ref="V34" si="24">SUM(V35:V40)</f>
        <v>0</v>
      </c>
      <c r="W34" s="1242">
        <f t="shared" ref="W34" si="25">SUM(W35:W40)</f>
        <v>0</v>
      </c>
      <c r="X34" s="1242">
        <f t="shared" ref="X34" si="26">SUM(X35:X40)</f>
        <v>0</v>
      </c>
      <c r="Y34" s="1242">
        <f t="shared" ref="Y34" si="27">SUM(Y35:Y40)</f>
        <v>0</v>
      </c>
      <c r="Z34" s="1242">
        <f t="shared" ref="Z34" si="28">SUM(Z35:Z40)</f>
        <v>0</v>
      </c>
      <c r="AA34" s="1242">
        <f t="shared" ref="AA34" si="29">SUM(AA35:AA40)</f>
        <v>0</v>
      </c>
      <c r="AB34" s="1242">
        <f t="shared" ref="AB34" si="30">SUM(AB35:AB40)</f>
        <v>0</v>
      </c>
      <c r="AC34" s="1242">
        <f t="shared" ref="AC34" si="31">SUM(AC35:AC40)</f>
        <v>0</v>
      </c>
      <c r="AD34" s="1242">
        <f t="shared" ref="AD34" si="32">SUM(AD35:AD40)</f>
        <v>0</v>
      </c>
      <c r="AE34" s="1242">
        <f t="shared" ref="AE34" si="33">SUM(AE35:AE40)</f>
        <v>0</v>
      </c>
      <c r="AF34" s="1242">
        <f t="shared" ref="AF34" si="34">SUM(AF35:AF40)</f>
        <v>0</v>
      </c>
      <c r="AG34" s="1242">
        <f t="shared" ref="AG34" si="35">SUM(AG35:AG40)</f>
        <v>0</v>
      </c>
      <c r="AH34" s="1717">
        <f>SUM(AH35:AH40)</f>
        <v>0</v>
      </c>
      <c r="AI34" s="662"/>
      <c r="AJ34" s="663"/>
      <c r="AP34" s="664"/>
      <c r="AQ34" s="653"/>
    </row>
    <row r="35" spans="1:43" ht="27.75" customHeight="1">
      <c r="A35" s="1550">
        <v>1</v>
      </c>
      <c r="B35" s="1239" t="s">
        <v>257</v>
      </c>
      <c r="C35" s="1502"/>
      <c r="D35" s="1502"/>
      <c r="E35" s="1502"/>
      <c r="F35" s="1502"/>
      <c r="G35" s="1551"/>
      <c r="H35" s="1502"/>
      <c r="I35" s="1502"/>
      <c r="J35" s="1502"/>
      <c r="K35" s="1502"/>
      <c r="L35" s="1551"/>
      <c r="M35" s="1502"/>
      <c r="N35" s="1502"/>
      <c r="O35" s="1502"/>
      <c r="P35" s="1502"/>
      <c r="Q35" s="1502"/>
      <c r="R35" s="1502"/>
      <c r="S35" s="1502"/>
      <c r="T35" s="1502"/>
      <c r="U35" s="1551"/>
      <c r="V35" s="1552"/>
      <c r="W35" s="1551"/>
      <c r="X35" s="1551"/>
      <c r="Y35" s="1551"/>
      <c r="Z35" s="1551"/>
      <c r="AA35" s="1551"/>
      <c r="AB35" s="1551"/>
      <c r="AC35" s="1551"/>
      <c r="AD35" s="1551"/>
      <c r="AE35" s="1551"/>
      <c r="AF35" s="1551"/>
      <c r="AG35" s="1551"/>
      <c r="AH35" s="1241">
        <f t="shared" si="4"/>
        <v>0</v>
      </c>
      <c r="AI35" s="662"/>
      <c r="AJ35" s="663"/>
      <c r="AP35" s="664"/>
      <c r="AQ35" s="653"/>
    </row>
    <row r="36" spans="1:43" ht="27.75" customHeight="1">
      <c r="A36" s="1550">
        <v>2</v>
      </c>
      <c r="B36" s="1239" t="s">
        <v>259</v>
      </c>
      <c r="C36" s="1502"/>
      <c r="D36" s="1502"/>
      <c r="E36" s="1502"/>
      <c r="F36" s="1502"/>
      <c r="G36" s="1551"/>
      <c r="H36" s="1502"/>
      <c r="I36" s="1502"/>
      <c r="J36" s="1502"/>
      <c r="K36" s="1502"/>
      <c r="L36" s="1551"/>
      <c r="M36" s="1502"/>
      <c r="N36" s="1502"/>
      <c r="O36" s="1502"/>
      <c r="P36" s="1502"/>
      <c r="Q36" s="1502"/>
      <c r="R36" s="1502"/>
      <c r="S36" s="1502"/>
      <c r="T36" s="1502"/>
      <c r="U36" s="1551"/>
      <c r="V36" s="1552"/>
      <c r="W36" s="1551"/>
      <c r="X36" s="1551"/>
      <c r="Y36" s="1551"/>
      <c r="Z36" s="1551"/>
      <c r="AA36" s="1551"/>
      <c r="AB36" s="1551"/>
      <c r="AC36" s="1551"/>
      <c r="AD36" s="1551"/>
      <c r="AE36" s="1551"/>
      <c r="AF36" s="1551"/>
      <c r="AG36" s="1551"/>
      <c r="AH36" s="1241">
        <f t="shared" si="4"/>
        <v>0</v>
      </c>
      <c r="AI36" s="662"/>
      <c r="AJ36" s="663"/>
      <c r="AP36" s="664"/>
      <c r="AQ36" s="653"/>
    </row>
    <row r="37" spans="1:43" ht="27.75" customHeight="1">
      <c r="A37" s="1550">
        <v>3</v>
      </c>
      <c r="B37" s="1239" t="s">
        <v>260</v>
      </c>
      <c r="C37" s="1502"/>
      <c r="D37" s="1502"/>
      <c r="E37" s="1502"/>
      <c r="F37" s="1502"/>
      <c r="G37" s="1551"/>
      <c r="H37" s="1502"/>
      <c r="I37" s="1502"/>
      <c r="J37" s="1502"/>
      <c r="K37" s="1502"/>
      <c r="L37" s="1551"/>
      <c r="M37" s="1502"/>
      <c r="N37" s="1502"/>
      <c r="O37" s="1502"/>
      <c r="P37" s="1502"/>
      <c r="Q37" s="1502"/>
      <c r="R37" s="1502"/>
      <c r="S37" s="1502"/>
      <c r="T37" s="1502"/>
      <c r="U37" s="1551"/>
      <c r="V37" s="1552"/>
      <c r="W37" s="1551"/>
      <c r="X37" s="1551"/>
      <c r="Y37" s="1551"/>
      <c r="Z37" s="1551"/>
      <c r="AA37" s="1551"/>
      <c r="AB37" s="1551"/>
      <c r="AC37" s="1551"/>
      <c r="AD37" s="1551"/>
      <c r="AE37" s="1551"/>
      <c r="AF37" s="1551"/>
      <c r="AG37" s="1551"/>
      <c r="AH37" s="1241">
        <f t="shared" si="4"/>
        <v>0</v>
      </c>
      <c r="AI37" s="662"/>
      <c r="AJ37" s="663"/>
      <c r="AP37" s="664"/>
      <c r="AQ37" s="653"/>
    </row>
    <row r="38" spans="1:43" ht="27.75" customHeight="1">
      <c r="A38" s="1550">
        <v>4</v>
      </c>
      <c r="B38" s="1239" t="s">
        <v>141</v>
      </c>
      <c r="C38" s="1502"/>
      <c r="D38" s="1502"/>
      <c r="E38" s="1502"/>
      <c r="F38" s="1502"/>
      <c r="G38" s="1551"/>
      <c r="H38" s="1502"/>
      <c r="I38" s="1502"/>
      <c r="J38" s="1502"/>
      <c r="K38" s="1502"/>
      <c r="L38" s="1551"/>
      <c r="M38" s="1502"/>
      <c r="N38" s="1502"/>
      <c r="O38" s="1502"/>
      <c r="P38" s="1502"/>
      <c r="Q38" s="1502"/>
      <c r="R38" s="1502"/>
      <c r="S38" s="1502"/>
      <c r="T38" s="1502"/>
      <c r="U38" s="1551"/>
      <c r="V38" s="1552"/>
      <c r="W38" s="1551"/>
      <c r="X38" s="1551"/>
      <c r="Y38" s="1551"/>
      <c r="Z38" s="1551"/>
      <c r="AA38" s="1551"/>
      <c r="AB38" s="1551"/>
      <c r="AC38" s="1551"/>
      <c r="AD38" s="1551"/>
      <c r="AE38" s="1551"/>
      <c r="AF38" s="1551"/>
      <c r="AG38" s="1551"/>
      <c r="AH38" s="1241">
        <f t="shared" si="4"/>
        <v>0</v>
      </c>
      <c r="AI38" s="662"/>
      <c r="AJ38" s="663"/>
      <c r="AP38" s="664"/>
      <c r="AQ38" s="653"/>
    </row>
    <row r="39" spans="1:43" ht="27.75" customHeight="1">
      <c r="A39" s="1550">
        <v>5</v>
      </c>
      <c r="B39" s="1239" t="s">
        <v>4</v>
      </c>
      <c r="C39" s="1502"/>
      <c r="D39" s="1502"/>
      <c r="E39" s="1502"/>
      <c r="F39" s="1502"/>
      <c r="G39" s="1551"/>
      <c r="H39" s="1502"/>
      <c r="I39" s="1502"/>
      <c r="J39" s="1502"/>
      <c r="K39" s="1502"/>
      <c r="L39" s="1551"/>
      <c r="M39" s="1502"/>
      <c r="N39" s="1502"/>
      <c r="O39" s="1502"/>
      <c r="P39" s="1502"/>
      <c r="Q39" s="1502"/>
      <c r="R39" s="1502"/>
      <c r="S39" s="1502"/>
      <c r="T39" s="1502"/>
      <c r="U39" s="1551"/>
      <c r="V39" s="1552"/>
      <c r="W39" s="1551"/>
      <c r="X39" s="1551"/>
      <c r="Y39" s="1551"/>
      <c r="Z39" s="1551"/>
      <c r="AA39" s="1551"/>
      <c r="AB39" s="1551"/>
      <c r="AC39" s="1551"/>
      <c r="AD39" s="1551"/>
      <c r="AE39" s="1551"/>
      <c r="AF39" s="1551"/>
      <c r="AG39" s="1551"/>
      <c r="AH39" s="1241">
        <f t="shared" si="4"/>
        <v>0</v>
      </c>
      <c r="AI39" s="662"/>
      <c r="AJ39" s="663"/>
      <c r="AP39" s="664"/>
      <c r="AQ39" s="653"/>
    </row>
    <row r="40" spans="1:43" ht="27.75" customHeight="1">
      <c r="A40" s="1550">
        <v>6</v>
      </c>
      <c r="B40" s="1239" t="s">
        <v>137</v>
      </c>
      <c r="C40" s="1502"/>
      <c r="D40" s="1502"/>
      <c r="E40" s="1502"/>
      <c r="F40" s="1502"/>
      <c r="G40" s="1551"/>
      <c r="H40" s="1502"/>
      <c r="I40" s="1502"/>
      <c r="J40" s="1502"/>
      <c r="K40" s="1502"/>
      <c r="L40" s="1551"/>
      <c r="M40" s="1502"/>
      <c r="N40" s="1502"/>
      <c r="O40" s="1502"/>
      <c r="P40" s="1502"/>
      <c r="Q40" s="1502"/>
      <c r="R40" s="1502"/>
      <c r="S40" s="1502"/>
      <c r="T40" s="1502"/>
      <c r="U40" s="1551"/>
      <c r="V40" s="1552"/>
      <c r="W40" s="1551"/>
      <c r="X40" s="1551"/>
      <c r="Y40" s="1551"/>
      <c r="Z40" s="1551"/>
      <c r="AA40" s="1551"/>
      <c r="AB40" s="1551"/>
      <c r="AC40" s="1551"/>
      <c r="AD40" s="1551"/>
      <c r="AE40" s="1551"/>
      <c r="AF40" s="1551"/>
      <c r="AG40" s="1551"/>
      <c r="AH40" s="1241">
        <f t="shared" si="4"/>
        <v>0</v>
      </c>
      <c r="AI40" s="662"/>
      <c r="AJ40" s="663"/>
      <c r="AP40" s="664"/>
      <c r="AQ40" s="653"/>
    </row>
    <row r="41" spans="1:43" ht="32.25" customHeight="1">
      <c r="A41" s="2066" t="s">
        <v>256</v>
      </c>
      <c r="B41" s="2066"/>
      <c r="C41" s="1503">
        <f>C14+C27+C34</f>
        <v>0</v>
      </c>
      <c r="D41" s="1503">
        <f t="shared" ref="D41:AG41" si="36">D14+D27+D34</f>
        <v>0</v>
      </c>
      <c r="E41" s="1503">
        <f t="shared" si="36"/>
        <v>0</v>
      </c>
      <c r="F41" s="1503">
        <f t="shared" si="36"/>
        <v>0</v>
      </c>
      <c r="G41" s="1503">
        <f t="shared" si="36"/>
        <v>0</v>
      </c>
      <c r="H41" s="1503">
        <f t="shared" si="36"/>
        <v>0</v>
      </c>
      <c r="I41" s="1503">
        <f t="shared" si="36"/>
        <v>0</v>
      </c>
      <c r="J41" s="1503">
        <f t="shared" si="36"/>
        <v>0</v>
      </c>
      <c r="K41" s="1503">
        <f t="shared" si="36"/>
        <v>0</v>
      </c>
      <c r="L41" s="1503">
        <f t="shared" si="36"/>
        <v>0</v>
      </c>
      <c r="M41" s="1503">
        <f t="shared" si="36"/>
        <v>0</v>
      </c>
      <c r="N41" s="1503">
        <f t="shared" si="36"/>
        <v>0</v>
      </c>
      <c r="O41" s="1503">
        <f t="shared" si="36"/>
        <v>0</v>
      </c>
      <c r="P41" s="1503">
        <f t="shared" si="36"/>
        <v>0</v>
      </c>
      <c r="Q41" s="1503">
        <f t="shared" si="36"/>
        <v>0</v>
      </c>
      <c r="R41" s="1503">
        <f t="shared" si="36"/>
        <v>0</v>
      </c>
      <c r="S41" s="1503">
        <f t="shared" si="36"/>
        <v>0</v>
      </c>
      <c r="T41" s="1503">
        <f t="shared" si="36"/>
        <v>0</v>
      </c>
      <c r="U41" s="1503">
        <f t="shared" si="36"/>
        <v>0</v>
      </c>
      <c r="V41" s="1503">
        <f t="shared" si="36"/>
        <v>0</v>
      </c>
      <c r="W41" s="1503">
        <f t="shared" si="36"/>
        <v>0</v>
      </c>
      <c r="X41" s="1503">
        <f t="shared" si="36"/>
        <v>0</v>
      </c>
      <c r="Y41" s="1503">
        <f t="shared" si="36"/>
        <v>0</v>
      </c>
      <c r="Z41" s="1503">
        <f t="shared" si="36"/>
        <v>0</v>
      </c>
      <c r="AA41" s="1503">
        <f t="shared" si="36"/>
        <v>0</v>
      </c>
      <c r="AB41" s="1503">
        <f t="shared" si="36"/>
        <v>0</v>
      </c>
      <c r="AC41" s="1503">
        <f t="shared" si="36"/>
        <v>0</v>
      </c>
      <c r="AD41" s="1503">
        <f t="shared" si="36"/>
        <v>0</v>
      </c>
      <c r="AE41" s="1503">
        <f t="shared" si="36"/>
        <v>0</v>
      </c>
      <c r="AF41" s="1503">
        <f t="shared" si="36"/>
        <v>0</v>
      </c>
      <c r="AG41" s="1503">
        <f t="shared" si="36"/>
        <v>0</v>
      </c>
      <c r="AH41" s="1504">
        <f>AH14+AH27+AH34</f>
        <v>0</v>
      </c>
      <c r="AI41" s="662"/>
      <c r="AJ41" s="663"/>
      <c r="AP41" s="664"/>
      <c r="AQ41" s="653"/>
    </row>
    <row r="42" spans="1:43">
      <c r="A42" s="659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660"/>
      <c r="V42" s="1498"/>
      <c r="W42" s="660"/>
      <c r="X42" s="660"/>
      <c r="Y42" s="660"/>
      <c r="Z42" s="660"/>
      <c r="AA42" s="660"/>
      <c r="AB42" s="660"/>
      <c r="AC42" s="660"/>
      <c r="AD42" s="660"/>
      <c r="AE42" s="660"/>
      <c r="AF42" s="660"/>
      <c r="AG42" s="660"/>
      <c r="AH42" s="661"/>
      <c r="AI42" s="662"/>
      <c r="AJ42" s="663"/>
      <c r="AP42" s="664"/>
      <c r="AQ42" s="653"/>
    </row>
    <row r="43" spans="1:43">
      <c r="A43" s="659"/>
      <c r="B43" s="62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R43" s="661"/>
      <c r="S43" s="661"/>
      <c r="T43" s="661"/>
      <c r="U43" s="661"/>
      <c r="V43" s="661"/>
      <c r="W43" s="661"/>
      <c r="X43" s="661"/>
      <c r="Y43" s="661"/>
      <c r="Z43" s="2331" t="s">
        <v>1113</v>
      </c>
      <c r="AA43" s="2331"/>
      <c r="AB43" s="2331"/>
      <c r="AC43" s="2331"/>
      <c r="AD43" s="2331"/>
      <c r="AE43" s="2331"/>
      <c r="AF43" s="2331"/>
      <c r="AG43" s="2331"/>
      <c r="AH43" s="2331"/>
      <c r="AI43" s="2331"/>
      <c r="AJ43" s="665"/>
    </row>
    <row r="44" spans="1:43" ht="23.25">
      <c r="A44" s="659"/>
      <c r="B44" s="1278"/>
      <c r="C44" s="1279"/>
      <c r="D44" s="1279" t="s">
        <v>197</v>
      </c>
      <c r="E44" s="1279"/>
      <c r="F44" s="1280"/>
      <c r="G44" s="1279"/>
      <c r="H44" s="1279"/>
      <c r="I44" s="1279"/>
      <c r="J44" s="1279"/>
      <c r="K44" s="1279"/>
      <c r="L44" s="2338" t="s">
        <v>196</v>
      </c>
      <c r="M44" s="2338"/>
      <c r="N44" s="2338"/>
      <c r="O44" s="2338"/>
      <c r="P44" s="2338"/>
      <c r="Q44" s="2338"/>
      <c r="R44" s="2338"/>
      <c r="S44" s="2338"/>
      <c r="T44" s="2338"/>
      <c r="U44" s="2338"/>
      <c r="V44" s="1281"/>
      <c r="W44" s="1281"/>
      <c r="Y44" s="1281"/>
      <c r="Z44" s="1281"/>
      <c r="AA44" s="1281"/>
      <c r="AB44" s="1281" t="s">
        <v>905</v>
      </c>
      <c r="AC44" s="1281"/>
      <c r="AD44" s="1281"/>
      <c r="AE44" s="1281"/>
      <c r="AF44" s="1281"/>
      <c r="AG44" s="1281"/>
      <c r="AH44" s="1281"/>
      <c r="AI44" s="1281"/>
      <c r="AJ44" s="1038"/>
      <c r="AL44" s="656"/>
      <c r="AP44" s="653"/>
    </row>
    <row r="45" spans="1:43" ht="23.25">
      <c r="B45" s="1278"/>
      <c r="C45" s="1280"/>
      <c r="D45" s="1280"/>
      <c r="E45" s="1280"/>
      <c r="F45" s="1280"/>
      <c r="G45" s="1280"/>
      <c r="H45" s="1280"/>
      <c r="I45" s="1280"/>
      <c r="J45" s="1280"/>
      <c r="K45" s="1280"/>
      <c r="L45" s="1280"/>
      <c r="M45" s="1280"/>
      <c r="N45" s="1280"/>
      <c r="O45" s="1280"/>
      <c r="P45" s="1280"/>
      <c r="Q45" s="1280"/>
      <c r="R45" s="1280"/>
      <c r="S45" s="1280"/>
      <c r="T45" s="1280"/>
      <c r="U45" s="1280"/>
      <c r="V45" s="1280"/>
      <c r="W45" s="1280"/>
      <c r="X45" s="1280"/>
      <c r="Y45" s="1280"/>
      <c r="Z45" s="1280"/>
      <c r="AA45" s="1280"/>
      <c r="AB45" s="1280"/>
      <c r="AC45" s="1280"/>
      <c r="AD45" s="1280"/>
      <c r="AE45" s="1280"/>
      <c r="AF45" s="1280"/>
      <c r="AG45" s="1280"/>
      <c r="AH45" s="1278"/>
      <c r="AI45" s="1278"/>
    </row>
    <row r="46" spans="1:43" ht="23.25">
      <c r="B46" s="1278"/>
      <c r="C46" s="1280"/>
      <c r="D46" s="1280"/>
      <c r="E46" s="1280"/>
      <c r="F46" s="1280"/>
      <c r="G46" s="1280"/>
      <c r="H46" s="1280"/>
      <c r="I46" s="1280"/>
      <c r="J46" s="1280"/>
      <c r="K46" s="1280"/>
      <c r="L46" s="1280"/>
      <c r="M46" s="1280"/>
      <c r="N46" s="1280"/>
      <c r="O46" s="1280"/>
      <c r="P46" s="1280"/>
      <c r="Q46" s="1280"/>
      <c r="R46" s="1280"/>
      <c r="S46" s="1280"/>
      <c r="T46" s="1280"/>
      <c r="U46" s="1280"/>
      <c r="V46" s="1280"/>
      <c r="W46" s="1280"/>
      <c r="X46" s="1280"/>
      <c r="Y46" s="1280"/>
      <c r="Z46" s="1280"/>
      <c r="AA46" s="1280"/>
      <c r="AB46" s="1280"/>
      <c r="AC46" s="1280"/>
      <c r="AD46" s="1280"/>
      <c r="AE46" s="1280"/>
      <c r="AF46" s="1280"/>
      <c r="AG46" s="1280"/>
      <c r="AH46" s="1282"/>
      <c r="AI46" s="1278"/>
    </row>
    <row r="47" spans="1:43" ht="23.25">
      <c r="B47" s="1278"/>
      <c r="C47" s="1280"/>
      <c r="D47" s="1280"/>
      <c r="E47" s="1280"/>
      <c r="F47" s="1280"/>
      <c r="G47" s="1280"/>
      <c r="H47" s="1280"/>
      <c r="I47" s="1280"/>
      <c r="J47" s="1280"/>
      <c r="K47" s="1280"/>
      <c r="L47" s="1280"/>
      <c r="M47" s="1280"/>
      <c r="N47" s="1280"/>
      <c r="O47" s="1280"/>
      <c r="P47" s="1280"/>
      <c r="Q47" s="1280"/>
      <c r="R47" s="1280"/>
      <c r="S47" s="1280"/>
      <c r="T47" s="1280"/>
      <c r="U47" s="1280"/>
      <c r="V47" s="1280"/>
      <c r="W47" s="1280"/>
      <c r="X47" s="1280"/>
      <c r="Y47" s="1280"/>
      <c r="Z47" s="1280"/>
      <c r="AA47" s="1280"/>
      <c r="AB47" s="1280"/>
      <c r="AC47" s="1280"/>
      <c r="AD47" s="1280"/>
      <c r="AE47" s="1280"/>
      <c r="AF47" s="1280"/>
      <c r="AG47" s="1280"/>
      <c r="AH47" s="1278"/>
      <c r="AI47" s="1278"/>
      <c r="AJ47" s="1045">
        <f>257.006-AH27</f>
        <v>257.00599999999997</v>
      </c>
    </row>
    <row r="48" spans="1:43" ht="23.25">
      <c r="B48" s="2337"/>
      <c r="C48" s="2337"/>
      <c r="D48" s="2337"/>
      <c r="E48" s="2337"/>
      <c r="F48" s="2337"/>
      <c r="G48" s="2337"/>
      <c r="H48" s="2337"/>
      <c r="I48" s="2337"/>
      <c r="J48" s="2337"/>
      <c r="K48" s="2337"/>
      <c r="L48" s="2337"/>
      <c r="M48" s="2337"/>
      <c r="N48" s="2337"/>
      <c r="O48" s="2337"/>
      <c r="P48" s="2337"/>
      <c r="Q48" s="2337"/>
      <c r="R48" s="2337"/>
      <c r="S48" s="2337"/>
      <c r="T48" s="2337"/>
      <c r="U48" s="2337"/>
      <c r="V48" s="2337"/>
      <c r="W48" s="2337"/>
      <c r="X48" s="2337"/>
      <c r="Y48" s="2337"/>
      <c r="Z48" s="2337"/>
      <c r="AA48" s="2337"/>
      <c r="AB48" s="2337"/>
      <c r="AC48" s="2337"/>
      <c r="AD48" s="2337"/>
      <c r="AE48" s="2337"/>
      <c r="AF48" s="2337"/>
      <c r="AG48" s="2337"/>
      <c r="AH48" s="2337"/>
      <c r="AI48" s="2337"/>
    </row>
    <row r="49" spans="2:43" ht="23.25">
      <c r="B49" s="1278"/>
      <c r="C49" s="1280"/>
      <c r="D49" s="1280"/>
      <c r="E49" s="1280"/>
      <c r="F49" s="1280"/>
      <c r="G49" s="1280"/>
      <c r="H49" s="1280"/>
      <c r="I49" s="1280"/>
      <c r="J49" s="1280"/>
      <c r="K49" s="1280"/>
      <c r="L49" s="1280"/>
      <c r="M49" s="1280"/>
      <c r="N49" s="1280"/>
      <c r="O49" s="1280"/>
      <c r="P49" s="1280"/>
      <c r="Q49" s="1280"/>
      <c r="R49" s="1280"/>
      <c r="S49" s="1280"/>
      <c r="T49" s="1280"/>
      <c r="U49" s="1280"/>
      <c r="V49" s="1280"/>
      <c r="W49" s="1280"/>
      <c r="X49" s="1280"/>
      <c r="Y49" s="1280"/>
      <c r="Z49" s="1280"/>
      <c r="AA49" s="1280"/>
      <c r="AB49" s="1280"/>
      <c r="AC49" s="1280"/>
      <c r="AD49" s="1280"/>
      <c r="AE49" s="1280"/>
      <c r="AF49" s="1280"/>
      <c r="AG49" s="1280"/>
      <c r="AH49" s="1278"/>
      <c r="AI49" s="1278"/>
      <c r="AQ49" s="653"/>
    </row>
    <row r="50" spans="2:43" ht="23.25">
      <c r="B50" s="1278"/>
      <c r="C50" s="1280"/>
      <c r="D50" s="1280"/>
      <c r="E50" s="1280"/>
      <c r="F50" s="1280"/>
      <c r="G50" s="1280"/>
      <c r="H50" s="1279"/>
      <c r="I50" s="1279"/>
      <c r="J50" s="1279"/>
      <c r="K50" s="1279"/>
      <c r="L50" s="1279"/>
      <c r="M50" s="1280"/>
      <c r="N50" s="1280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78"/>
      <c r="AI50" s="1278"/>
    </row>
    <row r="51" spans="2:43" ht="23.25">
      <c r="B51" s="1278"/>
      <c r="C51" s="1283"/>
      <c r="D51" s="2333"/>
      <c r="E51" s="2333"/>
      <c r="F51" s="2333"/>
      <c r="G51" s="1279"/>
      <c r="H51" s="1283"/>
      <c r="I51" s="1283"/>
      <c r="J51" s="1283"/>
      <c r="K51" s="1283"/>
      <c r="L51" s="1283"/>
      <c r="M51" s="1280"/>
      <c r="N51" s="1279"/>
      <c r="O51" s="2333"/>
      <c r="P51" s="2333"/>
      <c r="Q51" s="2333"/>
      <c r="R51" s="2333"/>
      <c r="S51" s="1279"/>
      <c r="T51" s="1279"/>
      <c r="U51" s="1279"/>
      <c r="V51" s="1279"/>
      <c r="W51" s="1279"/>
      <c r="X51" s="1279"/>
      <c r="Y51" s="1279"/>
      <c r="Z51" s="1284"/>
      <c r="AA51" s="2333"/>
      <c r="AB51" s="2333"/>
      <c r="AC51" s="2333"/>
      <c r="AD51" s="2333"/>
      <c r="AE51" s="1283"/>
      <c r="AF51" s="1283"/>
      <c r="AG51" s="1283"/>
      <c r="AH51" s="1283"/>
      <c r="AI51" s="1283"/>
      <c r="AP51" s="666"/>
    </row>
    <row r="52" spans="2:43" ht="23.25">
      <c r="B52" s="2329" t="s">
        <v>419</v>
      </c>
      <c r="C52" s="2329"/>
      <c r="D52" s="2329"/>
      <c r="E52" s="2329"/>
      <c r="F52" s="2329"/>
      <c r="G52" s="2329"/>
      <c r="H52" s="2329"/>
      <c r="I52" s="2329"/>
      <c r="J52" s="2329"/>
      <c r="K52" s="2329"/>
      <c r="L52" s="2329"/>
      <c r="M52" s="2329"/>
      <c r="N52" s="2329"/>
      <c r="O52" s="1280"/>
      <c r="P52" s="1280"/>
      <c r="Q52" s="1280"/>
      <c r="R52" s="1283"/>
      <c r="S52" s="1283"/>
      <c r="T52" s="1283"/>
      <c r="U52" s="1283"/>
      <c r="V52" s="1283"/>
      <c r="W52" s="1283"/>
      <c r="X52" s="1283"/>
      <c r="Y52" s="1283"/>
      <c r="Z52" s="1283"/>
      <c r="AA52" s="1283"/>
      <c r="AB52" s="1283"/>
      <c r="AC52" s="1283"/>
      <c r="AD52" s="1283"/>
      <c r="AE52" s="1283"/>
      <c r="AF52" s="1283"/>
      <c r="AG52" s="1283"/>
      <c r="AH52" s="1283"/>
      <c r="AI52" s="1283"/>
    </row>
    <row r="53" spans="2:43" ht="23.25">
      <c r="B53" s="1278"/>
      <c r="C53" s="1280"/>
      <c r="D53" s="1280"/>
      <c r="E53" s="1280"/>
      <c r="F53" s="1280"/>
      <c r="G53" s="1280"/>
      <c r="H53" s="1280"/>
      <c r="I53" s="1280"/>
      <c r="J53" s="1280"/>
      <c r="K53" s="1280"/>
      <c r="L53" s="1280"/>
      <c r="M53" s="1280"/>
      <c r="N53" s="1280"/>
      <c r="O53" s="1280"/>
      <c r="P53" s="1280"/>
      <c r="Q53" s="1280"/>
      <c r="R53" s="1280"/>
      <c r="S53" s="1280"/>
      <c r="T53" s="1280"/>
      <c r="U53" s="1280"/>
      <c r="V53" s="1280"/>
      <c r="W53" s="1280"/>
      <c r="X53" s="1280"/>
      <c r="Y53" s="1280"/>
      <c r="Z53" s="1280"/>
      <c r="AA53" s="1280"/>
      <c r="AB53" s="1280"/>
      <c r="AC53" s="1280"/>
      <c r="AD53" s="1280"/>
      <c r="AE53" s="1280"/>
      <c r="AF53" s="1280"/>
      <c r="AG53" s="1280"/>
      <c r="AH53" s="1278"/>
      <c r="AI53" s="1278"/>
      <c r="AP53" s="667">
        <f>AP50-AP51</f>
        <v>0</v>
      </c>
    </row>
    <row r="54" spans="2:43">
      <c r="AJ54" s="584">
        <f>+AP53*1000</f>
        <v>0</v>
      </c>
    </row>
    <row r="55" spans="2:43">
      <c r="M55" s="2326"/>
      <c r="N55" s="2326"/>
      <c r="AJ55" s="584">
        <f>+AJ54/12</f>
        <v>0</v>
      </c>
      <c r="AQ55" s="653">
        <v>9.9200555555512437E-2</v>
      </c>
    </row>
    <row r="56" spans="2:43">
      <c r="AP56" s="653"/>
      <c r="AQ56" s="656">
        <f>+AQ25-316261</f>
        <v>-316261</v>
      </c>
    </row>
  </sheetData>
  <mergeCells count="25">
    <mergeCell ref="AI12:AI13"/>
    <mergeCell ref="C12:AG12"/>
    <mergeCell ref="A27:B27"/>
    <mergeCell ref="A34:B34"/>
    <mergeCell ref="A2:AI2"/>
    <mergeCell ref="A3:AI3"/>
    <mergeCell ref="A4:AI4"/>
    <mergeCell ref="B6:N6"/>
    <mergeCell ref="B7:N7"/>
    <mergeCell ref="M55:N55"/>
    <mergeCell ref="B12:B13"/>
    <mergeCell ref="B52:N52"/>
    <mergeCell ref="A14:B14"/>
    <mergeCell ref="A9:AI10"/>
    <mergeCell ref="A12:A13"/>
    <mergeCell ref="Z43:AI43"/>
    <mergeCell ref="F11:H11"/>
    <mergeCell ref="D51:F51"/>
    <mergeCell ref="O51:R51"/>
    <mergeCell ref="A41:B41"/>
    <mergeCell ref="AE11:AH11"/>
    <mergeCell ref="AA51:AD51"/>
    <mergeCell ref="AH12:AH13"/>
    <mergeCell ref="B48:AI48"/>
    <mergeCell ref="L44:U44"/>
  </mergeCells>
  <phoneticPr fontId="26" type="noConversion"/>
  <printOptions horizontalCentered="1"/>
  <pageMargins left="0.196850393700787" right="0" top="0.45" bottom="0" header="0.31496062992126" footer="0.2"/>
  <pageSetup paperSize="9" scale="65" orientation="landscape" r:id="rId1"/>
  <colBreaks count="1" manualBreakCount="1">
    <brk id="35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41"/>
  <sheetViews>
    <sheetView workbookViewId="0">
      <selection activeCell="E11" sqref="B10:AG12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hidden="1" customWidth="1"/>
    <col min="33" max="33" width="3.42578125" style="53" hidden="1" customWidth="1"/>
    <col min="34" max="34" width="3.5703125" style="53" hidden="1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320" t="s">
        <v>90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</row>
    <row r="2" spans="1:37" ht="15" customHeight="1">
      <c r="A2" s="2320" t="s">
        <v>81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</row>
    <row r="3" spans="1:37" ht="17.25" customHeight="1">
      <c r="A3" s="2321" t="s">
        <v>604</v>
      </c>
      <c r="B3" s="2321"/>
      <c r="C3" s="2321"/>
      <c r="D3" s="2321"/>
      <c r="E3" s="2321"/>
      <c r="F3" s="2321"/>
      <c r="G3" s="2321"/>
      <c r="H3" s="2321"/>
      <c r="I3" s="2321"/>
      <c r="J3" s="2321"/>
      <c r="K3" s="2321"/>
      <c r="L3" s="2321"/>
      <c r="M3" s="2321"/>
      <c r="N3" s="2321"/>
      <c r="O3" s="2321"/>
      <c r="P3" s="2321"/>
      <c r="Q3" s="2321"/>
      <c r="R3" s="2321"/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</row>
    <row r="4" spans="1:37" ht="5.2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1892" t="s">
        <v>5</v>
      </c>
      <c r="B5" s="1892"/>
      <c r="C5" s="1892"/>
      <c r="D5" s="1892"/>
      <c r="E5" s="1892"/>
      <c r="F5" s="1892"/>
      <c r="G5" s="1892"/>
      <c r="H5" s="1892"/>
      <c r="I5" s="1892"/>
      <c r="J5" s="1892"/>
      <c r="K5" s="1892"/>
      <c r="L5" s="1892"/>
      <c r="M5" s="1892"/>
      <c r="N5" s="1892"/>
      <c r="O5" s="189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322" t="s">
        <v>101</v>
      </c>
      <c r="B6" s="2322"/>
      <c r="C6" s="2322"/>
      <c r="D6" s="2322"/>
      <c r="E6" s="2322"/>
      <c r="F6" s="2322"/>
      <c r="G6" s="2322"/>
      <c r="H6" s="2322"/>
      <c r="I6" s="2322"/>
      <c r="J6" s="2322"/>
      <c r="K6" s="232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563"/>
      <c r="B7" s="563"/>
      <c r="C7" s="563"/>
      <c r="D7" s="563"/>
      <c r="E7" s="563"/>
      <c r="F7" s="563"/>
      <c r="G7" s="563"/>
      <c r="H7" s="563"/>
      <c r="I7" s="563"/>
      <c r="J7" s="563"/>
      <c r="K7" s="56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323" t="s">
        <v>861</v>
      </c>
      <c r="B8" s="2323"/>
      <c r="C8" s="2323"/>
      <c r="D8" s="2323"/>
      <c r="E8" s="2323"/>
      <c r="F8" s="2323"/>
      <c r="G8" s="2323"/>
      <c r="H8" s="2323"/>
      <c r="I8" s="2323"/>
      <c r="J8" s="2323"/>
      <c r="K8" s="2323"/>
      <c r="L8" s="2323"/>
      <c r="M8" s="2323"/>
      <c r="N8" s="2323"/>
      <c r="O8" s="2323"/>
      <c r="P8" s="2323"/>
      <c r="Q8" s="2323"/>
      <c r="R8" s="2323"/>
      <c r="S8" s="2323"/>
      <c r="T8" s="2323"/>
      <c r="U8" s="2323"/>
      <c r="V8" s="2323"/>
      <c r="W8" s="2323"/>
      <c r="X8" s="2323"/>
      <c r="Y8" s="2323"/>
      <c r="Z8" s="2323"/>
      <c r="AA8" s="2323"/>
      <c r="AB8" s="2323"/>
      <c r="AC8" s="2323"/>
      <c r="AD8" s="2323"/>
      <c r="AE8" s="2323"/>
      <c r="AF8" s="2323"/>
      <c r="AG8" s="2323"/>
      <c r="AH8" s="2323"/>
      <c r="AI8" s="2323"/>
      <c r="AJ8" s="2323"/>
    </row>
    <row r="9" spans="1:37" ht="18" customHeight="1">
      <c r="A9" s="2324" t="s">
        <v>1006</v>
      </c>
      <c r="B9" s="2324"/>
      <c r="C9" s="2324"/>
      <c r="D9" s="2324"/>
      <c r="E9" s="2324"/>
      <c r="F9" s="2324"/>
      <c r="G9" s="2324"/>
      <c r="H9" s="2324"/>
      <c r="I9" s="2324"/>
      <c r="J9" s="2324"/>
      <c r="K9" s="2324"/>
      <c r="L9" s="2324"/>
      <c r="M9" s="2324"/>
      <c r="N9" s="2324"/>
      <c r="O9" s="2324"/>
      <c r="P9" s="2324"/>
      <c r="Q9" s="2324"/>
      <c r="R9" s="2324"/>
      <c r="S9" s="2324"/>
      <c r="T9" s="2324"/>
      <c r="U9" s="2324"/>
      <c r="V9" s="2324"/>
      <c r="W9" s="2324"/>
      <c r="X9" s="2324"/>
      <c r="Y9" s="2324"/>
      <c r="Z9" s="2324"/>
      <c r="AA9" s="2324"/>
      <c r="AB9" s="2324"/>
      <c r="AC9" s="2324"/>
      <c r="AD9" s="2324"/>
      <c r="AE9" s="2324"/>
      <c r="AF9" s="2324"/>
      <c r="AG9" s="2324"/>
      <c r="AH9" s="2324"/>
      <c r="AI9" s="2324"/>
      <c r="AJ9" s="1214"/>
    </row>
    <row r="10" spans="1:37" ht="15" customHeight="1">
      <c r="A10" s="2325" t="s">
        <v>82</v>
      </c>
      <c r="B10" s="2325" t="s">
        <v>83</v>
      </c>
      <c r="C10" s="2325" t="s">
        <v>84</v>
      </c>
      <c r="D10" s="1990" t="s">
        <v>85</v>
      </c>
      <c r="E10" s="1990"/>
      <c r="F10" s="1990"/>
      <c r="G10" s="1990"/>
      <c r="H10" s="1990"/>
      <c r="I10" s="1990"/>
      <c r="J10" s="1990"/>
      <c r="K10" s="1990"/>
      <c r="L10" s="1990"/>
      <c r="M10" s="1990"/>
      <c r="N10" s="1990"/>
      <c r="O10" s="1990"/>
      <c r="P10" s="1990"/>
      <c r="Q10" s="1990"/>
      <c r="R10" s="1990"/>
      <c r="S10" s="1990"/>
      <c r="T10" s="1990"/>
      <c r="U10" s="1990"/>
      <c r="V10" s="1990"/>
      <c r="W10" s="1990"/>
      <c r="X10" s="1990"/>
      <c r="Y10" s="1990"/>
      <c r="Z10" s="1990"/>
      <c r="AA10" s="1990"/>
      <c r="AB10" s="1990"/>
      <c r="AC10" s="1990"/>
      <c r="AD10" s="1990"/>
      <c r="AE10" s="1990"/>
      <c r="AF10" s="1990"/>
      <c r="AG10" s="1990"/>
      <c r="AH10" s="1211"/>
      <c r="AI10" s="1976" t="s">
        <v>51</v>
      </c>
      <c r="AJ10" s="1976" t="s">
        <v>715</v>
      </c>
      <c r="AK10" s="853">
        <f>AI14</f>
        <v>24</v>
      </c>
    </row>
    <row r="11" spans="1:37" ht="15" customHeight="1">
      <c r="A11" s="2325"/>
      <c r="B11" s="2325"/>
      <c r="C11" s="2325"/>
      <c r="D11" s="1836">
        <v>1</v>
      </c>
      <c r="E11" s="1836">
        <v>2</v>
      </c>
      <c r="F11" s="1836">
        <v>3</v>
      </c>
      <c r="G11" s="1836">
        <v>4</v>
      </c>
      <c r="H11" s="1836">
        <v>5</v>
      </c>
      <c r="I11" s="1836">
        <v>6</v>
      </c>
      <c r="J11" s="1836">
        <v>7</v>
      </c>
      <c r="K11" s="1836">
        <v>8</v>
      </c>
      <c r="L11" s="1836">
        <v>9</v>
      </c>
      <c r="M11" s="1836">
        <v>10</v>
      </c>
      <c r="N11" s="1836">
        <v>11</v>
      </c>
      <c r="O11" s="1836">
        <v>12</v>
      </c>
      <c r="P11" s="1836">
        <v>13</v>
      </c>
      <c r="Q11" s="1836">
        <v>14</v>
      </c>
      <c r="R11" s="1836">
        <v>15</v>
      </c>
      <c r="S11" s="1836">
        <v>16</v>
      </c>
      <c r="T11" s="1836">
        <v>17</v>
      </c>
      <c r="U11" s="1836">
        <v>18</v>
      </c>
      <c r="V11" s="1836">
        <v>19</v>
      </c>
      <c r="W11" s="1836">
        <v>20</v>
      </c>
      <c r="X11" s="1836">
        <v>21</v>
      </c>
      <c r="Y11" s="1836">
        <v>22</v>
      </c>
      <c r="Z11" s="1836">
        <v>23</v>
      </c>
      <c r="AA11" s="1836">
        <v>24</v>
      </c>
      <c r="AB11" s="1836">
        <v>25</v>
      </c>
      <c r="AC11" s="1836">
        <v>26</v>
      </c>
      <c r="AD11" s="1836">
        <v>27</v>
      </c>
      <c r="AE11" s="1836">
        <v>28</v>
      </c>
      <c r="AF11" s="1836">
        <v>29</v>
      </c>
      <c r="AG11" s="1836">
        <v>30</v>
      </c>
      <c r="AH11" s="1460">
        <v>31</v>
      </c>
      <c r="AI11" s="1976"/>
      <c r="AJ11" s="1976"/>
    </row>
    <row r="12" spans="1:37" s="59" customFormat="1" ht="19.5" customHeight="1">
      <c r="A12" s="882" t="s">
        <v>114</v>
      </c>
      <c r="B12" s="1990" t="s">
        <v>744</v>
      </c>
      <c r="C12" s="1990"/>
      <c r="D12" s="1990"/>
      <c r="E12" s="1990"/>
      <c r="F12" s="1990"/>
      <c r="G12" s="1990"/>
      <c r="H12" s="1990"/>
      <c r="I12" s="1990"/>
      <c r="J12" s="1990"/>
      <c r="K12" s="1990"/>
      <c r="L12" s="1990"/>
      <c r="M12" s="1990"/>
      <c r="N12" s="1990"/>
      <c r="O12" s="1990"/>
      <c r="P12" s="1990"/>
      <c r="Q12" s="1990"/>
      <c r="R12" s="1990"/>
      <c r="S12" s="1990"/>
      <c r="T12" s="1990"/>
      <c r="U12" s="1990"/>
      <c r="V12" s="1990"/>
      <c r="W12" s="1990"/>
      <c r="X12" s="1990"/>
      <c r="Y12" s="1990"/>
      <c r="Z12" s="1990"/>
      <c r="AA12" s="1990"/>
      <c r="AB12" s="1990"/>
      <c r="AC12" s="1990"/>
      <c r="AD12" s="1990"/>
      <c r="AE12" s="1990"/>
      <c r="AF12" s="1990"/>
      <c r="AG12" s="1990"/>
      <c r="AH12" s="1211"/>
      <c r="AI12" s="308">
        <f>SUM(AI13:AI16)</f>
        <v>96</v>
      </c>
      <c r="AJ12" s="308"/>
    </row>
    <row r="13" spans="1:37" s="59" customFormat="1" ht="20.25" customHeight="1">
      <c r="A13" s="129">
        <v>2</v>
      </c>
      <c r="B13" s="369" t="s">
        <v>913</v>
      </c>
      <c r="C13" s="120" t="s">
        <v>224</v>
      </c>
      <c r="D13" s="306" t="s">
        <v>86</v>
      </c>
      <c r="E13" s="306" t="s">
        <v>171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171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171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171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/>
      <c r="AG13" s="306"/>
      <c r="AH13" s="306"/>
      <c r="AI13" s="307">
        <f>COUNTIF(D13:AH13,"x")+ COUNTIF(D13:AH13,"p")+COUNTIF(D13:AH13,"mn")+COUNTIF(D13:AH13,"T")+COUNTIF(D13:AH13,"VN")</f>
        <v>24</v>
      </c>
      <c r="AJ13" s="307"/>
    </row>
    <row r="14" spans="1:37" s="59" customFormat="1" ht="20.25" customHeight="1">
      <c r="A14" s="129">
        <v>3</v>
      </c>
      <c r="B14" s="369" t="s">
        <v>217</v>
      </c>
      <c r="C14" s="120" t="s">
        <v>224</v>
      </c>
      <c r="D14" s="306" t="s">
        <v>86</v>
      </c>
      <c r="E14" s="306" t="s">
        <v>171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171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171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171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/>
      <c r="AG14" s="306"/>
      <c r="AH14" s="306"/>
      <c r="AI14" s="307">
        <f t="shared" ref="AI14:AI21" si="0">COUNTIF(D14:AH14,"x")+ COUNTIF(D14:AH14,"p")+COUNTIF(D14:AH14,"mn")+COUNTIF(D14:AH14,"T")+COUNTIF(D14:AH14,"VN")</f>
        <v>24</v>
      </c>
      <c r="AJ14" s="307"/>
    </row>
    <row r="15" spans="1:37" s="59" customFormat="1" ht="20.25" customHeight="1">
      <c r="A15" s="129">
        <v>4</v>
      </c>
      <c r="B15" s="369" t="s">
        <v>272</v>
      </c>
      <c r="C15" s="120" t="s">
        <v>224</v>
      </c>
      <c r="D15" s="306" t="s">
        <v>86</v>
      </c>
      <c r="E15" s="306" t="s">
        <v>171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171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171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171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/>
      <c r="AG15" s="306"/>
      <c r="AH15" s="306"/>
      <c r="AI15" s="307">
        <f t="shared" si="0"/>
        <v>24</v>
      </c>
      <c r="AJ15" s="307"/>
    </row>
    <row r="16" spans="1:37" s="59" customFormat="1" ht="20.25" customHeight="1">
      <c r="A16" s="129">
        <v>5</v>
      </c>
      <c r="B16" s="369" t="s">
        <v>293</v>
      </c>
      <c r="C16" s="120" t="s">
        <v>224</v>
      </c>
      <c r="D16" s="306" t="s">
        <v>86</v>
      </c>
      <c r="E16" s="306" t="s">
        <v>171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171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171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171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/>
      <c r="AG16" s="306"/>
      <c r="AH16" s="306"/>
      <c r="AI16" s="307">
        <f t="shared" si="0"/>
        <v>24</v>
      </c>
      <c r="AJ16" s="307"/>
    </row>
    <row r="17" spans="1:39" s="59" customFormat="1" ht="19.5" customHeight="1">
      <c r="A17" s="1211" t="s">
        <v>99</v>
      </c>
      <c r="B17" s="1990" t="s">
        <v>743</v>
      </c>
      <c r="C17" s="1990"/>
      <c r="D17" s="1990"/>
      <c r="E17" s="1990"/>
      <c r="F17" s="1990"/>
      <c r="G17" s="1990"/>
      <c r="H17" s="1990"/>
      <c r="I17" s="1990"/>
      <c r="J17" s="1990"/>
      <c r="K17" s="1990"/>
      <c r="L17" s="1990"/>
      <c r="M17" s="1990"/>
      <c r="N17" s="1990"/>
      <c r="O17" s="1990"/>
      <c r="P17" s="1990"/>
      <c r="Q17" s="1990"/>
      <c r="R17" s="1990"/>
      <c r="S17" s="1990"/>
      <c r="T17" s="1990"/>
      <c r="U17" s="1990"/>
      <c r="V17" s="1990"/>
      <c r="W17" s="1990"/>
      <c r="X17" s="1990"/>
      <c r="Y17" s="1990"/>
      <c r="Z17" s="1990"/>
      <c r="AA17" s="1990"/>
      <c r="AB17" s="1990"/>
      <c r="AC17" s="1990"/>
      <c r="AD17" s="1990"/>
      <c r="AE17" s="1990"/>
      <c r="AF17" s="1990"/>
      <c r="AG17" s="1990"/>
      <c r="AH17" s="1211"/>
      <c r="AI17" s="308">
        <f>SUM(AI18:AI21)</f>
        <v>107</v>
      </c>
      <c r="AJ17" s="308"/>
    </row>
    <row r="18" spans="1:39" s="59" customFormat="1" ht="21.75" customHeight="1">
      <c r="A18" s="844">
        <v>1</v>
      </c>
      <c r="B18" s="333" t="s">
        <v>1165</v>
      </c>
      <c r="C18" s="120" t="s">
        <v>702</v>
      </c>
      <c r="D18" s="844" t="s">
        <v>86</v>
      </c>
      <c r="E18" s="844" t="s">
        <v>86</v>
      </c>
      <c r="F18" s="844" t="s">
        <v>86</v>
      </c>
      <c r="G18" s="844" t="s">
        <v>86</v>
      </c>
      <c r="H18" s="844"/>
      <c r="I18" s="844"/>
      <c r="J18" s="844"/>
      <c r="K18" s="844"/>
      <c r="L18" s="844"/>
      <c r="M18" s="844" t="s">
        <v>86</v>
      </c>
      <c r="N18" s="844" t="s">
        <v>86</v>
      </c>
      <c r="O18" s="844" t="s">
        <v>86</v>
      </c>
      <c r="P18" s="844" t="s">
        <v>86</v>
      </c>
      <c r="Q18" s="844" t="s">
        <v>86</v>
      </c>
      <c r="R18" s="844" t="s">
        <v>86</v>
      </c>
      <c r="S18" s="844" t="s">
        <v>86</v>
      </c>
      <c r="T18" s="844" t="s">
        <v>86</v>
      </c>
      <c r="U18" s="844" t="s">
        <v>86</v>
      </c>
      <c r="V18" s="844" t="s">
        <v>86</v>
      </c>
      <c r="W18" s="844" t="s">
        <v>86</v>
      </c>
      <c r="X18" s="844" t="s">
        <v>86</v>
      </c>
      <c r="Y18" s="844" t="s">
        <v>86</v>
      </c>
      <c r="Z18" s="844" t="s">
        <v>86</v>
      </c>
      <c r="AA18" s="844" t="s">
        <v>86</v>
      </c>
      <c r="AB18" s="844" t="s">
        <v>86</v>
      </c>
      <c r="AC18" s="844" t="s">
        <v>86</v>
      </c>
      <c r="AD18" s="844" t="s">
        <v>86</v>
      </c>
      <c r="AE18" s="844" t="s">
        <v>86</v>
      </c>
      <c r="AF18" s="844"/>
      <c r="AG18" s="844"/>
      <c r="AH18" s="844"/>
      <c r="AI18" s="307">
        <f t="shared" si="0"/>
        <v>23</v>
      </c>
      <c r="AJ18" s="307"/>
      <c r="AK18" s="329"/>
      <c r="AL18" s="330"/>
      <c r="AM18" s="331"/>
    </row>
    <row r="19" spans="1:39" s="59" customFormat="1" ht="21.75" customHeight="1">
      <c r="A19" s="844">
        <v>2</v>
      </c>
      <c r="B19" s="333" t="s">
        <v>831</v>
      </c>
      <c r="C19" s="120" t="s">
        <v>89</v>
      </c>
      <c r="D19" s="844" t="s">
        <v>86</v>
      </c>
      <c r="E19" s="844" t="s">
        <v>86</v>
      </c>
      <c r="F19" s="844" t="s">
        <v>86</v>
      </c>
      <c r="G19" s="844" t="s">
        <v>86</v>
      </c>
      <c r="H19" s="844" t="s">
        <v>86</v>
      </c>
      <c r="I19" s="844" t="s">
        <v>86</v>
      </c>
      <c r="J19" s="844" t="s">
        <v>86</v>
      </c>
      <c r="K19" s="844" t="s">
        <v>86</v>
      </c>
      <c r="L19" s="844" t="s">
        <v>86</v>
      </c>
      <c r="M19" s="844" t="s">
        <v>86</v>
      </c>
      <c r="N19" s="844" t="s">
        <v>86</v>
      </c>
      <c r="O19" s="844" t="s">
        <v>86</v>
      </c>
      <c r="P19" s="844" t="s">
        <v>86</v>
      </c>
      <c r="Q19" s="844" t="s">
        <v>86</v>
      </c>
      <c r="R19" s="844" t="s">
        <v>86</v>
      </c>
      <c r="S19" s="844" t="s">
        <v>86</v>
      </c>
      <c r="T19" s="844" t="s">
        <v>86</v>
      </c>
      <c r="U19" s="844" t="s">
        <v>86</v>
      </c>
      <c r="V19" s="844" t="s">
        <v>86</v>
      </c>
      <c r="W19" s="844" t="s">
        <v>86</v>
      </c>
      <c r="X19" s="844" t="s">
        <v>86</v>
      </c>
      <c r="Y19" s="844" t="s">
        <v>86</v>
      </c>
      <c r="Z19" s="844" t="s">
        <v>86</v>
      </c>
      <c r="AA19" s="844" t="s">
        <v>86</v>
      </c>
      <c r="AB19" s="844" t="s">
        <v>86</v>
      </c>
      <c r="AC19" s="844" t="s">
        <v>86</v>
      </c>
      <c r="AD19" s="844" t="s">
        <v>86</v>
      </c>
      <c r="AE19" s="844" t="s">
        <v>86</v>
      </c>
      <c r="AF19" s="844"/>
      <c r="AG19" s="844"/>
      <c r="AH19" s="844"/>
      <c r="AI19" s="307">
        <f t="shared" si="0"/>
        <v>28</v>
      </c>
      <c r="AJ19" s="307"/>
      <c r="AK19" s="329">
        <f>1200000/30</f>
        <v>40000</v>
      </c>
      <c r="AL19" s="330">
        <f>AI19*AK19</f>
        <v>1120000</v>
      </c>
      <c r="AM19" s="331">
        <f>AL19/25000</f>
        <v>44.8</v>
      </c>
    </row>
    <row r="20" spans="1:39" s="59" customFormat="1" ht="21.75" customHeight="1">
      <c r="A20" s="844">
        <v>3</v>
      </c>
      <c r="B20" s="120" t="s">
        <v>297</v>
      </c>
      <c r="C20" s="120" t="s">
        <v>89</v>
      </c>
      <c r="D20" s="844" t="s">
        <v>86</v>
      </c>
      <c r="E20" s="844" t="s">
        <v>86</v>
      </c>
      <c r="F20" s="844" t="s">
        <v>86</v>
      </c>
      <c r="G20" s="844" t="s">
        <v>86</v>
      </c>
      <c r="H20" s="844" t="s">
        <v>86</v>
      </c>
      <c r="I20" s="844" t="s">
        <v>86</v>
      </c>
      <c r="J20" s="844" t="s">
        <v>86</v>
      </c>
      <c r="K20" s="844" t="s">
        <v>86</v>
      </c>
      <c r="L20" s="844" t="s">
        <v>86</v>
      </c>
      <c r="M20" s="844" t="s">
        <v>86</v>
      </c>
      <c r="N20" s="844" t="s">
        <v>86</v>
      </c>
      <c r="O20" s="844" t="s">
        <v>86</v>
      </c>
      <c r="P20" s="844" t="s">
        <v>86</v>
      </c>
      <c r="Q20" s="844" t="s">
        <v>86</v>
      </c>
      <c r="R20" s="844" t="s">
        <v>86</v>
      </c>
      <c r="S20" s="844" t="s">
        <v>86</v>
      </c>
      <c r="T20" s="844" t="s">
        <v>86</v>
      </c>
      <c r="U20" s="844" t="s">
        <v>86</v>
      </c>
      <c r="V20" s="844" t="s">
        <v>86</v>
      </c>
      <c r="W20" s="844" t="s">
        <v>86</v>
      </c>
      <c r="X20" s="844" t="s">
        <v>86</v>
      </c>
      <c r="Y20" s="844" t="s">
        <v>86</v>
      </c>
      <c r="Z20" s="844" t="s">
        <v>86</v>
      </c>
      <c r="AA20" s="844" t="s">
        <v>86</v>
      </c>
      <c r="AB20" s="844" t="s">
        <v>86</v>
      </c>
      <c r="AC20" s="844" t="s">
        <v>86</v>
      </c>
      <c r="AD20" s="844" t="s">
        <v>86</v>
      </c>
      <c r="AE20" s="844" t="s">
        <v>86</v>
      </c>
      <c r="AF20" s="844"/>
      <c r="AG20" s="844"/>
      <c r="AH20" s="844"/>
      <c r="AI20" s="307">
        <f t="shared" si="0"/>
        <v>28</v>
      </c>
      <c r="AJ20" s="307"/>
      <c r="AK20" s="329">
        <f>1200000/30</f>
        <v>40000</v>
      </c>
      <c r="AL20" s="330">
        <f>AI20*AK20</f>
        <v>1120000</v>
      </c>
      <c r="AM20" s="331">
        <f>AL20/25000</f>
        <v>44.8</v>
      </c>
    </row>
    <row r="21" spans="1:39" s="59" customFormat="1" ht="21.75" customHeight="1">
      <c r="A21" s="844">
        <v>4</v>
      </c>
      <c r="B21" s="120" t="s">
        <v>700</v>
      </c>
      <c r="C21" s="120" t="s">
        <v>89</v>
      </c>
      <c r="D21" s="844" t="s">
        <v>86</v>
      </c>
      <c r="E21" s="844" t="s">
        <v>86</v>
      </c>
      <c r="F21" s="844" t="s">
        <v>86</v>
      </c>
      <c r="G21" s="844" t="s">
        <v>86</v>
      </c>
      <c r="H21" s="844" t="s">
        <v>86</v>
      </c>
      <c r="I21" s="844" t="s">
        <v>86</v>
      </c>
      <c r="J21" s="844" t="s">
        <v>86</v>
      </c>
      <c r="K21" s="844" t="s">
        <v>86</v>
      </c>
      <c r="L21" s="844" t="s">
        <v>86</v>
      </c>
      <c r="M21" s="844" t="s">
        <v>86</v>
      </c>
      <c r="N21" s="844" t="s">
        <v>86</v>
      </c>
      <c r="O21" s="844" t="s">
        <v>86</v>
      </c>
      <c r="P21" s="844" t="s">
        <v>86</v>
      </c>
      <c r="Q21" s="844" t="s">
        <v>86</v>
      </c>
      <c r="R21" s="844" t="s">
        <v>86</v>
      </c>
      <c r="S21" s="844" t="s">
        <v>86</v>
      </c>
      <c r="T21" s="844" t="s">
        <v>86</v>
      </c>
      <c r="U21" s="844" t="s">
        <v>86</v>
      </c>
      <c r="V21" s="844" t="s">
        <v>86</v>
      </c>
      <c r="W21" s="844" t="s">
        <v>86</v>
      </c>
      <c r="X21" s="844" t="s">
        <v>86</v>
      </c>
      <c r="Y21" s="844" t="s">
        <v>86</v>
      </c>
      <c r="Z21" s="844" t="s">
        <v>86</v>
      </c>
      <c r="AA21" s="844" t="s">
        <v>86</v>
      </c>
      <c r="AB21" s="844" t="s">
        <v>86</v>
      </c>
      <c r="AC21" s="844" t="s">
        <v>86</v>
      </c>
      <c r="AD21" s="844" t="s">
        <v>86</v>
      </c>
      <c r="AE21" s="844" t="s">
        <v>86</v>
      </c>
      <c r="AF21" s="844"/>
      <c r="AG21" s="844"/>
      <c r="AH21" s="844"/>
      <c r="AI21" s="307">
        <f t="shared" si="0"/>
        <v>28</v>
      </c>
      <c r="AJ21" s="307"/>
      <c r="AK21" s="329"/>
      <c r="AL21" s="330"/>
      <c r="AM21" s="331"/>
    </row>
    <row r="22" spans="1:39" ht="15.75" customHeight="1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2316" t="s">
        <v>1109</v>
      </c>
      <c r="U22" s="2316"/>
      <c r="V22" s="2316"/>
      <c r="W22" s="2316"/>
      <c r="X22" s="2316"/>
      <c r="Y22" s="2316"/>
      <c r="Z22" s="2316"/>
      <c r="AA22" s="2316"/>
      <c r="AB22" s="2316"/>
      <c r="AC22" s="2316"/>
      <c r="AD22" s="2316"/>
      <c r="AE22" s="2316"/>
      <c r="AF22" s="2316"/>
      <c r="AG22" s="2316"/>
      <c r="AH22" s="2316"/>
      <c r="AI22" s="2316"/>
      <c r="AJ22" s="1212"/>
    </row>
    <row r="23" spans="1:39" ht="15.75" customHeight="1">
      <c r="B23" s="67" t="s">
        <v>852</v>
      </c>
      <c r="C23" s="2317" t="s">
        <v>853</v>
      </c>
      <c r="D23" s="2317"/>
      <c r="E23" s="2317"/>
      <c r="F23" s="2317"/>
      <c r="G23" s="231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1212"/>
      <c r="U23" s="1212"/>
      <c r="V23" s="1212"/>
      <c r="W23" s="1212"/>
      <c r="X23" s="1212"/>
      <c r="Y23" s="1212"/>
      <c r="Z23" s="1212"/>
      <c r="AA23" s="1212"/>
      <c r="AB23" s="1212"/>
      <c r="AC23" s="1212"/>
      <c r="AD23" s="1212"/>
      <c r="AE23" s="1212"/>
      <c r="AF23" s="1212"/>
      <c r="AG23" s="1212"/>
      <c r="AH23" s="1212"/>
      <c r="AI23" s="1212"/>
      <c r="AJ23" s="1212"/>
    </row>
    <row r="24" spans="1:39" ht="15.75" customHeight="1">
      <c r="B24" s="67"/>
      <c r="C24" s="2317" t="s">
        <v>854</v>
      </c>
      <c r="D24" s="2317"/>
      <c r="E24" s="2317"/>
      <c r="F24" s="2317"/>
      <c r="G24" s="231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1212"/>
      <c r="U24" s="1212"/>
      <c r="V24" s="1212"/>
      <c r="W24" s="1212"/>
      <c r="X24" s="1212"/>
      <c r="Y24" s="1212"/>
      <c r="Z24" s="1212"/>
      <c r="AA24" s="1212"/>
      <c r="AB24" s="1212"/>
      <c r="AC24" s="1212"/>
      <c r="AD24" s="1212"/>
      <c r="AE24" s="1212"/>
      <c r="AF24" s="1212"/>
      <c r="AG24" s="1212"/>
      <c r="AH24" s="1212"/>
      <c r="AI24" s="1212"/>
      <c r="AJ24" s="1212"/>
    </row>
    <row r="25" spans="1:39" ht="17.25" customHeight="1">
      <c r="A25" s="60"/>
      <c r="B25" s="1986" t="s">
        <v>45</v>
      </c>
      <c r="C25" s="1986"/>
      <c r="D25" s="1986"/>
      <c r="E25" s="1986"/>
      <c r="F25" s="1986"/>
      <c r="G25" s="1986"/>
      <c r="H25" s="54"/>
      <c r="I25" s="54"/>
      <c r="J25" s="54"/>
      <c r="L25" s="54" t="s">
        <v>713</v>
      </c>
      <c r="M25" s="54"/>
      <c r="O25" s="54"/>
      <c r="Q25" s="54"/>
      <c r="R25" s="54"/>
      <c r="S25" s="54"/>
      <c r="T25" s="54"/>
      <c r="U25" s="54"/>
      <c r="V25" s="54"/>
      <c r="W25" s="54"/>
      <c r="X25" s="2318" t="s">
        <v>196</v>
      </c>
      <c r="Y25" s="2318"/>
      <c r="Z25" s="2318"/>
      <c r="AA25" s="2318"/>
      <c r="AB25" s="2318"/>
      <c r="AC25" s="2318"/>
      <c r="AD25" s="2318"/>
      <c r="AE25" s="2318"/>
      <c r="AF25" s="2318"/>
      <c r="AG25" s="2318"/>
      <c r="AH25" s="2318"/>
      <c r="AI25" s="2318"/>
      <c r="AJ25" s="1213"/>
    </row>
    <row r="26" spans="1:39" ht="15" customHeight="1">
      <c r="A26" s="49"/>
      <c r="B26" s="46"/>
      <c r="C26" s="1215"/>
      <c r="D26" s="49"/>
      <c r="E26" s="49"/>
      <c r="F26" s="49"/>
      <c r="G26" s="49"/>
      <c r="H26" s="49"/>
      <c r="I26" s="63"/>
      <c r="J26" s="63"/>
      <c r="K26" s="63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</row>
    <row r="27" spans="1:39" ht="13.5" customHeight="1">
      <c r="A27" s="49"/>
      <c r="B27" s="364"/>
      <c r="C27" s="1215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64"/>
      <c r="O27" s="64"/>
      <c r="P27" s="64"/>
      <c r="Q27" s="63"/>
      <c r="R27" s="63"/>
      <c r="S27" s="63"/>
      <c r="T27" s="63"/>
      <c r="U27" s="63"/>
      <c r="V27" s="63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</row>
    <row r="28" spans="1:39" ht="13.5" customHeight="1">
      <c r="A28" s="49"/>
      <c r="B28" s="364"/>
      <c r="C28" s="1215"/>
      <c r="D28" s="49"/>
      <c r="E28" s="49"/>
      <c r="F28" s="49"/>
      <c r="G28" s="49"/>
      <c r="H28" s="49"/>
      <c r="I28" s="63"/>
      <c r="J28" s="63"/>
      <c r="K28" s="54"/>
      <c r="L28" s="49"/>
      <c r="M28" s="49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</row>
    <row r="29" spans="1:39" ht="13.5" customHeight="1">
      <c r="A29" s="49"/>
      <c r="B29" s="364"/>
      <c r="C29" s="1215"/>
      <c r="D29" s="49"/>
      <c r="E29" s="49"/>
      <c r="F29" s="49"/>
      <c r="G29" s="49"/>
      <c r="H29" s="49"/>
      <c r="I29" s="49"/>
      <c r="J29" s="49"/>
      <c r="K29" s="54"/>
      <c r="L29" s="49"/>
      <c r="M29" s="49"/>
      <c r="N29" s="64"/>
      <c r="O29" s="64"/>
      <c r="P29" s="64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9" ht="12" customHeight="1">
      <c r="A30" s="49"/>
      <c r="B30" s="364"/>
      <c r="C30" s="65"/>
      <c r="D30" s="49"/>
      <c r="E30" s="49"/>
      <c r="F30" s="49"/>
      <c r="G30" s="49"/>
      <c r="H30" s="49"/>
      <c r="I30" s="49"/>
      <c r="J30" s="49"/>
      <c r="K30" s="54"/>
      <c r="L30" s="49"/>
      <c r="M30" s="49"/>
      <c r="N30" s="64"/>
      <c r="O30" s="64"/>
      <c r="P30" s="64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9" ht="15.75" customHeight="1">
      <c r="A31" s="49"/>
      <c r="B31" s="2319" t="s">
        <v>419</v>
      </c>
      <c r="C31" s="2319"/>
      <c r="D31" s="2319"/>
      <c r="E31" s="2319"/>
      <c r="F31" s="2319"/>
      <c r="G31" s="2319"/>
      <c r="H31" s="2319"/>
      <c r="I31" s="2319"/>
      <c r="J31" s="2319"/>
      <c r="L31" s="49"/>
      <c r="N31" s="54"/>
      <c r="O31" s="54"/>
      <c r="P31" s="54"/>
      <c r="Q31" s="54"/>
      <c r="R31" s="54"/>
      <c r="S31" s="54"/>
      <c r="T31" s="54"/>
      <c r="U31" s="54"/>
      <c r="V31" s="54"/>
      <c r="W31" s="64"/>
      <c r="X31" s="2318" t="s">
        <v>76</v>
      </c>
      <c r="Y31" s="2318"/>
      <c r="Z31" s="2318"/>
      <c r="AA31" s="2318"/>
      <c r="AB31" s="2318"/>
      <c r="AC31" s="2318"/>
      <c r="AD31" s="2318"/>
      <c r="AE31" s="2318"/>
      <c r="AF31" s="2318"/>
      <c r="AG31" s="2318"/>
      <c r="AH31" s="2318"/>
      <c r="AI31" s="2318"/>
      <c r="AJ31" s="1213"/>
    </row>
    <row r="32" spans="1:39" ht="13.5" customHeight="1">
      <c r="A32" s="49"/>
      <c r="C32" s="671"/>
      <c r="D32" s="671"/>
      <c r="E32" s="671"/>
      <c r="F32" s="671"/>
      <c r="G32" s="671"/>
      <c r="H32" s="671"/>
      <c r="I32" s="671"/>
      <c r="J32" s="671"/>
      <c r="K32" s="67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36" ht="13.5" customHeight="1">
      <c r="A33" s="49"/>
      <c r="D33" s="65"/>
      <c r="E33" s="65"/>
      <c r="F33" s="65"/>
      <c r="G33" s="65"/>
      <c r="H33" s="65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</row>
    <row r="34" spans="1:36" ht="16.5">
      <c r="A34" s="60"/>
      <c r="B34" s="49"/>
      <c r="C34" s="61"/>
      <c r="D34" s="61"/>
      <c r="E34" s="49"/>
      <c r="F34" s="49"/>
      <c r="G34" s="49"/>
      <c r="H34" s="49"/>
      <c r="I34" s="62"/>
      <c r="J34" s="62"/>
      <c r="K34" s="49"/>
    </row>
    <row r="35" spans="1:36" ht="15.75">
      <c r="A35" s="49"/>
      <c r="B35" s="46"/>
      <c r="C35" s="1215"/>
      <c r="D35" s="49"/>
      <c r="E35" s="49"/>
      <c r="F35" s="49"/>
      <c r="G35" s="49"/>
      <c r="H35" s="49"/>
      <c r="I35" s="63"/>
      <c r="J35" s="63"/>
      <c r="K35" s="63"/>
    </row>
    <row r="36" spans="1:36">
      <c r="A36" s="49"/>
      <c r="B36" s="364"/>
      <c r="C36" s="1215"/>
      <c r="D36" s="49"/>
      <c r="E36" s="49"/>
      <c r="F36" s="49"/>
      <c r="G36" s="49"/>
      <c r="H36" s="49"/>
      <c r="I36" s="49"/>
      <c r="J36" s="49"/>
      <c r="K36" s="49"/>
    </row>
    <row r="37" spans="1:36" ht="15.75">
      <c r="A37" s="49"/>
      <c r="B37" s="364"/>
      <c r="C37" s="1215"/>
      <c r="D37" s="49"/>
      <c r="E37" s="49"/>
      <c r="F37" s="49"/>
      <c r="G37" s="49"/>
      <c r="H37" s="49"/>
      <c r="I37" s="63"/>
      <c r="J37" s="63"/>
      <c r="K37" s="54"/>
    </row>
    <row r="38" spans="1:36" ht="15.75">
      <c r="A38" s="49"/>
      <c r="B38" s="364"/>
      <c r="C38" s="1215"/>
      <c r="D38" s="49"/>
      <c r="E38" s="49"/>
      <c r="F38" s="49"/>
      <c r="G38" s="49"/>
      <c r="H38" s="49"/>
      <c r="I38" s="49"/>
      <c r="J38" s="49"/>
      <c r="K38" s="54"/>
    </row>
    <row r="39" spans="1:36" ht="15.75">
      <c r="A39" s="49"/>
      <c r="B39" s="364"/>
      <c r="C39" s="65"/>
      <c r="D39" s="49"/>
      <c r="E39" s="49"/>
      <c r="F39" s="49"/>
      <c r="G39" s="49"/>
      <c r="H39" s="49"/>
      <c r="I39" s="49"/>
      <c r="J39" s="49"/>
      <c r="K39" s="54"/>
    </row>
    <row r="40" spans="1:36">
      <c r="A40" s="49"/>
      <c r="B40" s="364"/>
      <c r="C40" s="49"/>
      <c r="D40" s="49"/>
      <c r="E40" s="49"/>
      <c r="F40" s="49"/>
      <c r="G40" s="49"/>
      <c r="H40" s="49"/>
      <c r="I40" s="49"/>
      <c r="J40" s="49"/>
    </row>
    <row r="41" spans="1:36">
      <c r="A41" s="49"/>
      <c r="C41" s="671"/>
      <c r="D41" s="671"/>
      <c r="E41" s="671"/>
      <c r="F41" s="671"/>
      <c r="G41" s="671"/>
      <c r="H41" s="671"/>
      <c r="I41" s="671"/>
      <c r="J41" s="671"/>
      <c r="K41" s="671"/>
    </row>
  </sheetData>
  <mergeCells count="22">
    <mergeCell ref="X25:AI25"/>
    <mergeCell ref="B31:J31"/>
    <mergeCell ref="X31:AI31"/>
    <mergeCell ref="AJ10:AJ11"/>
    <mergeCell ref="B12:AG12"/>
    <mergeCell ref="B17:AG17"/>
    <mergeCell ref="T22:AI22"/>
    <mergeCell ref="C23:G23"/>
    <mergeCell ref="C24:G24"/>
    <mergeCell ref="B25:G25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40"/>
  <sheetViews>
    <sheetView topLeftCell="A10" workbookViewId="0">
      <selection activeCell="K31" sqref="K31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hidden="1" customWidth="1"/>
    <col min="33" max="33" width="3.42578125" style="53" hidden="1" customWidth="1"/>
    <col min="34" max="34" width="3.7109375" style="53" hidden="1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8" ht="15" customHeight="1">
      <c r="A1" s="2320" t="s">
        <v>90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</row>
    <row r="2" spans="1:38" ht="15" customHeight="1">
      <c r="A2" s="2320" t="s">
        <v>81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  <c r="T2" s="2320"/>
      <c r="U2" s="2320"/>
      <c r="V2" s="2320"/>
      <c r="W2" s="2320"/>
      <c r="X2" s="2320"/>
      <c r="Y2" s="2320"/>
      <c r="Z2" s="2320"/>
      <c r="AA2" s="2320"/>
      <c r="AB2" s="2320"/>
      <c r="AC2" s="2320"/>
      <c r="AD2" s="2320"/>
      <c r="AE2" s="2320"/>
      <c r="AF2" s="2320"/>
      <c r="AG2" s="2320"/>
      <c r="AH2" s="2320"/>
      <c r="AI2" s="2320"/>
      <c r="AJ2" s="2320"/>
    </row>
    <row r="3" spans="1:38" ht="17.25" customHeight="1">
      <c r="A3" s="2321" t="s">
        <v>604</v>
      </c>
      <c r="B3" s="2321"/>
      <c r="C3" s="2321"/>
      <c r="D3" s="2321"/>
      <c r="E3" s="2321"/>
      <c r="F3" s="2321"/>
      <c r="G3" s="2321"/>
      <c r="H3" s="2321"/>
      <c r="I3" s="2321"/>
      <c r="J3" s="2321"/>
      <c r="K3" s="2321"/>
      <c r="L3" s="2321"/>
      <c r="M3" s="2321"/>
      <c r="N3" s="2321"/>
      <c r="O3" s="2321"/>
      <c r="P3" s="2321"/>
      <c r="Q3" s="2321"/>
      <c r="R3" s="2321"/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</row>
    <row r="4" spans="1:38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8" ht="23.25" customHeight="1">
      <c r="A5" s="1892" t="s">
        <v>5</v>
      </c>
      <c r="B5" s="1892"/>
      <c r="C5" s="1892"/>
      <c r="D5" s="1892"/>
      <c r="E5" s="1892"/>
      <c r="F5" s="1892"/>
      <c r="G5" s="1892"/>
      <c r="H5" s="1892"/>
      <c r="I5" s="1892"/>
      <c r="J5" s="1892"/>
      <c r="K5" s="1892"/>
      <c r="L5" s="1892"/>
      <c r="M5" s="1892"/>
      <c r="N5" s="1892"/>
      <c r="O5" s="189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8" ht="18" customHeight="1">
      <c r="A6" s="2322" t="s">
        <v>101</v>
      </c>
      <c r="B6" s="2322"/>
      <c r="C6" s="2322"/>
      <c r="D6" s="2322"/>
      <c r="E6" s="2322"/>
      <c r="F6" s="2322"/>
      <c r="G6" s="2322"/>
      <c r="H6" s="2322"/>
      <c r="I6" s="2322"/>
      <c r="J6" s="2322"/>
      <c r="K6" s="232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8" ht="12" customHeight="1">
      <c r="A7" s="563"/>
      <c r="B7" s="563"/>
      <c r="C7" s="563"/>
      <c r="D7" s="563"/>
      <c r="E7" s="563"/>
      <c r="F7" s="563"/>
      <c r="G7" s="563"/>
      <c r="H7" s="563"/>
      <c r="I7" s="563"/>
      <c r="J7" s="563"/>
      <c r="K7" s="56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8" ht="23.25" customHeight="1">
      <c r="A8" s="2323" t="s">
        <v>774</v>
      </c>
      <c r="B8" s="2323"/>
      <c r="C8" s="2323"/>
      <c r="D8" s="2323"/>
      <c r="E8" s="2323"/>
      <c r="F8" s="2323"/>
      <c r="G8" s="2323"/>
      <c r="H8" s="2323"/>
      <c r="I8" s="2323"/>
      <c r="J8" s="2323"/>
      <c r="K8" s="2323"/>
      <c r="L8" s="2323"/>
      <c r="M8" s="2323"/>
      <c r="N8" s="2323"/>
      <c r="O8" s="2323"/>
      <c r="P8" s="2323"/>
      <c r="Q8" s="2323"/>
      <c r="R8" s="2323"/>
      <c r="S8" s="2323"/>
      <c r="T8" s="2323"/>
      <c r="U8" s="2323"/>
      <c r="V8" s="2323"/>
      <c r="W8" s="2323"/>
      <c r="X8" s="2323"/>
      <c r="Y8" s="2323"/>
      <c r="Z8" s="2323"/>
      <c r="AA8" s="2323"/>
      <c r="AB8" s="2323"/>
      <c r="AC8" s="2323"/>
      <c r="AD8" s="2323"/>
      <c r="AE8" s="2323"/>
      <c r="AF8" s="2323"/>
      <c r="AG8" s="2323"/>
      <c r="AH8" s="2323"/>
      <c r="AI8" s="2323"/>
      <c r="AJ8" s="2323"/>
    </row>
    <row r="9" spans="1:38" ht="18" customHeight="1">
      <c r="A9" s="2324" t="s">
        <v>1006</v>
      </c>
      <c r="B9" s="2324"/>
      <c r="C9" s="2324"/>
      <c r="D9" s="2324"/>
      <c r="E9" s="2324"/>
      <c r="F9" s="2324"/>
      <c r="G9" s="2324"/>
      <c r="H9" s="2324"/>
      <c r="I9" s="2324"/>
      <c r="J9" s="2324"/>
      <c r="K9" s="2324"/>
      <c r="L9" s="2324"/>
      <c r="M9" s="2324"/>
      <c r="N9" s="2324"/>
      <c r="O9" s="2324"/>
      <c r="P9" s="2324"/>
      <c r="Q9" s="2324"/>
      <c r="R9" s="2324"/>
      <c r="S9" s="2324"/>
      <c r="T9" s="2324"/>
      <c r="U9" s="2324"/>
      <c r="V9" s="2324"/>
      <c r="W9" s="2324"/>
      <c r="X9" s="2324"/>
      <c r="Y9" s="2324"/>
      <c r="Z9" s="2324"/>
      <c r="AA9" s="2324"/>
      <c r="AB9" s="2324"/>
      <c r="AC9" s="2324"/>
      <c r="AD9" s="2324"/>
      <c r="AE9" s="2324"/>
      <c r="AF9" s="2324"/>
      <c r="AG9" s="2324"/>
      <c r="AH9" s="2324"/>
      <c r="AI9" s="2324"/>
      <c r="AJ9" s="1114"/>
    </row>
    <row r="10" spans="1:38" ht="15" customHeight="1">
      <c r="A10" s="2325" t="s">
        <v>82</v>
      </c>
      <c r="B10" s="2325" t="s">
        <v>83</v>
      </c>
      <c r="C10" s="2325" t="s">
        <v>84</v>
      </c>
      <c r="D10" s="1990" t="s">
        <v>85</v>
      </c>
      <c r="E10" s="1990"/>
      <c r="F10" s="1990"/>
      <c r="G10" s="1990"/>
      <c r="H10" s="1990"/>
      <c r="I10" s="1990"/>
      <c r="J10" s="1990"/>
      <c r="K10" s="1990"/>
      <c r="L10" s="1990"/>
      <c r="M10" s="1990"/>
      <c r="N10" s="1990"/>
      <c r="O10" s="1990"/>
      <c r="P10" s="1990"/>
      <c r="Q10" s="1990"/>
      <c r="R10" s="1990"/>
      <c r="S10" s="1990"/>
      <c r="T10" s="1990"/>
      <c r="U10" s="1990"/>
      <c r="V10" s="1990"/>
      <c r="W10" s="1990"/>
      <c r="X10" s="1990"/>
      <c r="Y10" s="1990"/>
      <c r="Z10" s="1990"/>
      <c r="AA10" s="1990"/>
      <c r="AB10" s="1990"/>
      <c r="AC10" s="1990"/>
      <c r="AD10" s="1990"/>
      <c r="AE10" s="1990"/>
      <c r="AF10" s="1990"/>
      <c r="AG10" s="1990"/>
      <c r="AH10" s="1111"/>
      <c r="AI10" s="1976" t="s">
        <v>51</v>
      </c>
      <c r="AJ10" s="1976" t="s">
        <v>715</v>
      </c>
      <c r="AK10" s="853">
        <v>27</v>
      </c>
    </row>
    <row r="11" spans="1:38" ht="15" customHeight="1">
      <c r="A11" s="2325"/>
      <c r="B11" s="2325"/>
      <c r="C11" s="2325"/>
      <c r="D11" s="1111">
        <v>1</v>
      </c>
      <c r="E11" s="1111">
        <v>2</v>
      </c>
      <c r="F11" s="1111">
        <v>3</v>
      </c>
      <c r="G11" s="1111">
        <v>4</v>
      </c>
      <c r="H11" s="1111">
        <v>5</v>
      </c>
      <c r="I11" s="1111">
        <v>6</v>
      </c>
      <c r="J11" s="1111">
        <v>7</v>
      </c>
      <c r="K11" s="1111">
        <v>8</v>
      </c>
      <c r="L11" s="1111">
        <v>9</v>
      </c>
      <c r="M11" s="1111">
        <v>10</v>
      </c>
      <c r="N11" s="1111">
        <v>11</v>
      </c>
      <c r="O11" s="1111">
        <v>12</v>
      </c>
      <c r="P11" s="1111">
        <v>13</v>
      </c>
      <c r="Q11" s="1111">
        <v>14</v>
      </c>
      <c r="R11" s="1111">
        <v>15</v>
      </c>
      <c r="S11" s="1111">
        <v>16</v>
      </c>
      <c r="T11" s="1111">
        <v>17</v>
      </c>
      <c r="U11" s="1111">
        <v>18</v>
      </c>
      <c r="V11" s="1111">
        <v>19</v>
      </c>
      <c r="W11" s="1111">
        <v>20</v>
      </c>
      <c r="X11" s="1111">
        <v>21</v>
      </c>
      <c r="Y11" s="1111">
        <v>22</v>
      </c>
      <c r="Z11" s="1111">
        <v>23</v>
      </c>
      <c r="AA11" s="1111">
        <v>24</v>
      </c>
      <c r="AB11" s="1111">
        <v>25</v>
      </c>
      <c r="AC11" s="1111">
        <v>26</v>
      </c>
      <c r="AD11" s="1111">
        <v>27</v>
      </c>
      <c r="AE11" s="1111">
        <v>28</v>
      </c>
      <c r="AF11" s="1111">
        <v>29</v>
      </c>
      <c r="AG11" s="1111">
        <v>30</v>
      </c>
      <c r="AH11" s="1111">
        <v>31</v>
      </c>
      <c r="AI11" s="1976"/>
      <c r="AJ11" s="1976"/>
    </row>
    <row r="12" spans="1:38" ht="15" customHeight="1">
      <c r="A12" s="1115" t="s">
        <v>745</v>
      </c>
      <c r="B12" s="1990" t="s">
        <v>742</v>
      </c>
      <c r="C12" s="1990"/>
      <c r="D12" s="1990"/>
      <c r="E12" s="1990"/>
      <c r="F12" s="1990"/>
      <c r="G12" s="1990"/>
      <c r="H12" s="1990"/>
      <c r="I12" s="1990"/>
      <c r="J12" s="1990"/>
      <c r="K12" s="1990"/>
      <c r="L12" s="1990"/>
      <c r="M12" s="1990"/>
      <c r="N12" s="1990"/>
      <c r="O12" s="1990"/>
      <c r="P12" s="1990"/>
      <c r="Q12" s="1990"/>
      <c r="R12" s="1990"/>
      <c r="S12" s="1990"/>
      <c r="T12" s="1990"/>
      <c r="U12" s="1990"/>
      <c r="V12" s="1990"/>
      <c r="W12" s="1990"/>
      <c r="X12" s="1990"/>
      <c r="Y12" s="1990"/>
      <c r="Z12" s="1990"/>
      <c r="AA12" s="1990"/>
      <c r="AB12" s="1990"/>
      <c r="AC12" s="1990"/>
      <c r="AD12" s="1990"/>
      <c r="AE12" s="1990"/>
      <c r="AF12" s="1990"/>
      <c r="AG12" s="1990"/>
      <c r="AH12" s="1111"/>
      <c r="AI12" s="308">
        <f>SUM(AI13:AI16)</f>
        <v>112</v>
      </c>
      <c r="AJ12" s="1110"/>
    </row>
    <row r="13" spans="1:38" s="59" customFormat="1" ht="23.25" customHeight="1">
      <c r="A13" s="129">
        <v>1</v>
      </c>
      <c r="B13" s="118" t="s">
        <v>9</v>
      </c>
      <c r="C13" s="118" t="s">
        <v>328</v>
      </c>
      <c r="D13" s="306" t="s">
        <v>86</v>
      </c>
      <c r="E13" s="306" t="s">
        <v>86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86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86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86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/>
      <c r="AG13" s="306"/>
      <c r="AH13" s="306"/>
      <c r="AI13" s="307">
        <f t="shared" ref="AI13:AI15" si="0">COUNTIF(D13:AH13,"x")+ COUNTIF(D13:AH13,"p")+COUNTIF(D13:AH13,"mn")+COUNTIF(D13:AH13,"T")+COUNTIF(D13:AH13,"VN")</f>
        <v>28</v>
      </c>
      <c r="AJ13" s="307"/>
    </row>
    <row r="14" spans="1:38" s="59" customFormat="1" ht="30.75" customHeight="1">
      <c r="A14" s="129">
        <v>2</v>
      </c>
      <c r="B14" s="118" t="s">
        <v>292</v>
      </c>
      <c r="C14" s="118" t="s">
        <v>328</v>
      </c>
      <c r="D14" s="306" t="s">
        <v>86</v>
      </c>
      <c r="E14" s="306" t="s">
        <v>86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86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86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86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/>
      <c r="AG14" s="306"/>
      <c r="AH14" s="306"/>
      <c r="AI14" s="307">
        <f t="shared" si="0"/>
        <v>28</v>
      </c>
      <c r="AJ14" s="307"/>
      <c r="AL14" s="118"/>
    </row>
    <row r="15" spans="1:38" s="59" customFormat="1" ht="23.25" customHeight="1">
      <c r="A15" s="129">
        <v>3</v>
      </c>
      <c r="B15" s="118" t="s">
        <v>277</v>
      </c>
      <c r="C15" s="118" t="s">
        <v>328</v>
      </c>
      <c r="D15" s="306" t="s">
        <v>86</v>
      </c>
      <c r="E15" s="306" t="s">
        <v>86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86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86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86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/>
      <c r="AG15" s="306"/>
      <c r="AH15" s="306"/>
      <c r="AI15" s="307">
        <f t="shared" si="0"/>
        <v>28</v>
      </c>
      <c r="AJ15" s="307"/>
    </row>
    <row r="16" spans="1:38" s="59" customFormat="1" ht="26.25" customHeight="1">
      <c r="A16" s="129">
        <v>4</v>
      </c>
      <c r="B16" s="118" t="s">
        <v>278</v>
      </c>
      <c r="C16" s="118" t="s">
        <v>328</v>
      </c>
      <c r="D16" s="306" t="s">
        <v>86</v>
      </c>
      <c r="E16" s="306" t="s">
        <v>86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86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86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86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/>
      <c r="AG16" s="306"/>
      <c r="AH16" s="306"/>
      <c r="AI16" s="307">
        <f>COUNTIF(D16:AH16,"x")+ COUNTIF(D16:AH16,"p")+COUNTIF(D16:AH16,"mn")+COUNTIF(D16:AH16,"T")+COUNTIF(D16:AH16,"VN")</f>
        <v>28</v>
      </c>
      <c r="AJ16" s="307"/>
    </row>
    <row r="17" spans="1:36" s="59" customFormat="1" ht="26.25" customHeight="1">
      <c r="A17" s="1111" t="s">
        <v>99</v>
      </c>
      <c r="B17" s="1990" t="s">
        <v>832</v>
      </c>
      <c r="C17" s="1990"/>
      <c r="D17" s="1990"/>
      <c r="E17" s="1990"/>
      <c r="F17" s="1990"/>
      <c r="G17" s="1990"/>
      <c r="H17" s="1990"/>
      <c r="I17" s="1990"/>
      <c r="J17" s="1990"/>
      <c r="K17" s="1990"/>
      <c r="L17" s="1990"/>
      <c r="M17" s="1990"/>
      <c r="N17" s="1990"/>
      <c r="O17" s="1990"/>
      <c r="P17" s="1990"/>
      <c r="Q17" s="1990"/>
      <c r="R17" s="1990"/>
      <c r="S17" s="1990"/>
      <c r="T17" s="1990"/>
      <c r="U17" s="1990"/>
      <c r="V17" s="1990"/>
      <c r="W17" s="1990"/>
      <c r="X17" s="1990"/>
      <c r="Y17" s="1990"/>
      <c r="Z17" s="1990"/>
      <c r="AA17" s="1990"/>
      <c r="AB17" s="1990"/>
      <c r="AC17" s="1990"/>
      <c r="AD17" s="1990"/>
      <c r="AE17" s="1990"/>
      <c r="AF17" s="1990"/>
      <c r="AG17" s="1990"/>
      <c r="AH17" s="1111"/>
      <c r="AI17" s="308">
        <f>SUM(AI18)</f>
        <v>28</v>
      </c>
      <c r="AJ17" s="307"/>
    </row>
    <row r="18" spans="1:36" s="59" customFormat="1" ht="26.25" customHeight="1">
      <c r="A18" s="844">
        <v>1</v>
      </c>
      <c r="B18" s="120" t="s">
        <v>796</v>
      </c>
      <c r="C18" s="120" t="s">
        <v>89</v>
      </c>
      <c r="D18" s="844" t="s">
        <v>86</v>
      </c>
      <c r="E18" s="844" t="s">
        <v>86</v>
      </c>
      <c r="F18" s="844" t="s">
        <v>86</v>
      </c>
      <c r="G18" s="844" t="s">
        <v>86</v>
      </c>
      <c r="H18" s="844" t="s">
        <v>86</v>
      </c>
      <c r="I18" s="844" t="s">
        <v>86</v>
      </c>
      <c r="J18" s="844" t="s">
        <v>86</v>
      </c>
      <c r="K18" s="844" t="s">
        <v>86</v>
      </c>
      <c r="L18" s="844" t="s">
        <v>86</v>
      </c>
      <c r="M18" s="844" t="s">
        <v>86</v>
      </c>
      <c r="N18" s="844" t="s">
        <v>86</v>
      </c>
      <c r="O18" s="844" t="s">
        <v>86</v>
      </c>
      <c r="P18" s="844" t="s">
        <v>86</v>
      </c>
      <c r="Q18" s="844" t="s">
        <v>86</v>
      </c>
      <c r="R18" s="844" t="s">
        <v>86</v>
      </c>
      <c r="S18" s="844" t="s">
        <v>86</v>
      </c>
      <c r="T18" s="844" t="s">
        <v>86</v>
      </c>
      <c r="U18" s="844" t="s">
        <v>86</v>
      </c>
      <c r="V18" s="844" t="s">
        <v>86</v>
      </c>
      <c r="W18" s="844" t="s">
        <v>86</v>
      </c>
      <c r="X18" s="844" t="s">
        <v>86</v>
      </c>
      <c r="Y18" s="844" t="s">
        <v>86</v>
      </c>
      <c r="Z18" s="844" t="s">
        <v>86</v>
      </c>
      <c r="AA18" s="844" t="s">
        <v>86</v>
      </c>
      <c r="AB18" s="844" t="s">
        <v>86</v>
      </c>
      <c r="AC18" s="844" t="s">
        <v>86</v>
      </c>
      <c r="AD18" s="844" t="s">
        <v>86</v>
      </c>
      <c r="AE18" s="844" t="s">
        <v>86</v>
      </c>
      <c r="AF18" s="844"/>
      <c r="AG18" s="844"/>
      <c r="AH18" s="844"/>
      <c r="AI18" s="307">
        <f t="shared" ref="AI18" si="1">COUNTIF(D18:AH18,"x")+ COUNTIF(D18:AH18,"p")+COUNTIF(D18:AH18,"mn")+COUNTIF(D18:AH18,"T")+COUNTIF(D18:AH18,"VN")</f>
        <v>28</v>
      </c>
      <c r="AJ18" s="307"/>
    </row>
    <row r="19" spans="1:36" s="59" customFormat="1" ht="24.75" customHeight="1">
      <c r="A19" s="882" t="s">
        <v>144</v>
      </c>
      <c r="B19" s="1976" t="s">
        <v>638</v>
      </c>
      <c r="C19" s="1976"/>
      <c r="D19" s="1976"/>
      <c r="E19" s="1976"/>
      <c r="F19" s="1976"/>
      <c r="G19" s="1976"/>
      <c r="H19" s="1976"/>
      <c r="I19" s="1976"/>
      <c r="J19" s="1976"/>
      <c r="K19" s="1976"/>
      <c r="L19" s="1976"/>
      <c r="M19" s="1976"/>
      <c r="N19" s="1976"/>
      <c r="O19" s="1976"/>
      <c r="P19" s="1976"/>
      <c r="Q19" s="1976"/>
      <c r="R19" s="1976"/>
      <c r="S19" s="1976"/>
      <c r="T19" s="1976"/>
      <c r="U19" s="1976"/>
      <c r="V19" s="1976"/>
      <c r="W19" s="1976"/>
      <c r="X19" s="1976"/>
      <c r="Y19" s="1976"/>
      <c r="Z19" s="1976"/>
      <c r="AA19" s="1976"/>
      <c r="AB19" s="1976"/>
      <c r="AC19" s="1976"/>
      <c r="AD19" s="1976"/>
      <c r="AE19" s="1976"/>
      <c r="AF19" s="1976"/>
      <c r="AG19" s="1976"/>
      <c r="AH19" s="1110"/>
      <c r="AI19" s="883">
        <f>SUM(AI20:AI20)</f>
        <v>28</v>
      </c>
      <c r="AJ19" s="883"/>
    </row>
    <row r="20" spans="1:36" s="59" customFormat="1" ht="23.25" customHeight="1">
      <c r="A20" s="129">
        <v>1</v>
      </c>
      <c r="B20" s="120" t="s">
        <v>797</v>
      </c>
      <c r="C20" s="120" t="s">
        <v>290</v>
      </c>
      <c r="D20" s="844" t="s">
        <v>86</v>
      </c>
      <c r="E20" s="844" t="s">
        <v>86</v>
      </c>
      <c r="F20" s="844" t="s">
        <v>86</v>
      </c>
      <c r="G20" s="844" t="s">
        <v>86</v>
      </c>
      <c r="H20" s="844" t="s">
        <v>86</v>
      </c>
      <c r="I20" s="844" t="s">
        <v>86</v>
      </c>
      <c r="J20" s="844" t="s">
        <v>86</v>
      </c>
      <c r="K20" s="844" t="s">
        <v>86</v>
      </c>
      <c r="L20" s="844" t="s">
        <v>86</v>
      </c>
      <c r="M20" s="844" t="s">
        <v>86</v>
      </c>
      <c r="N20" s="844" t="s">
        <v>86</v>
      </c>
      <c r="O20" s="844" t="s">
        <v>86</v>
      </c>
      <c r="P20" s="844" t="s">
        <v>86</v>
      </c>
      <c r="Q20" s="844" t="s">
        <v>86</v>
      </c>
      <c r="R20" s="844" t="s">
        <v>86</v>
      </c>
      <c r="S20" s="844" t="s">
        <v>86</v>
      </c>
      <c r="T20" s="844" t="s">
        <v>86</v>
      </c>
      <c r="U20" s="844" t="s">
        <v>86</v>
      </c>
      <c r="V20" s="844" t="s">
        <v>86</v>
      </c>
      <c r="W20" s="844" t="s">
        <v>86</v>
      </c>
      <c r="X20" s="844" t="s">
        <v>86</v>
      </c>
      <c r="Y20" s="844" t="s">
        <v>86</v>
      </c>
      <c r="Z20" s="844" t="s">
        <v>86</v>
      </c>
      <c r="AA20" s="844" t="s">
        <v>86</v>
      </c>
      <c r="AB20" s="844" t="s">
        <v>86</v>
      </c>
      <c r="AC20" s="844" t="s">
        <v>86</v>
      </c>
      <c r="AD20" s="844" t="s">
        <v>86</v>
      </c>
      <c r="AE20" s="844" t="s">
        <v>86</v>
      </c>
      <c r="AF20" s="844"/>
      <c r="AG20" s="844"/>
      <c r="AH20" s="844"/>
      <c r="AI20" s="307">
        <f t="shared" ref="AI20" si="2">COUNTIF(D20:AH20,"x")+ COUNTIF(D20:AH20,"p")+COUNTIF(D20:AH20,"mn")+COUNTIF(D20:AH20,"T")+COUNTIF(D20:AH20,"VN")</f>
        <v>28</v>
      </c>
      <c r="AJ20" s="307"/>
    </row>
    <row r="21" spans="1:36" ht="15.75" customHeight="1"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2316" t="s">
        <v>1109</v>
      </c>
      <c r="U21" s="2316"/>
      <c r="V21" s="2316"/>
      <c r="W21" s="2316"/>
      <c r="X21" s="2316"/>
      <c r="Y21" s="2316"/>
      <c r="Z21" s="2316"/>
      <c r="AA21" s="2316"/>
      <c r="AB21" s="2316"/>
      <c r="AC21" s="2316"/>
      <c r="AD21" s="2316"/>
      <c r="AE21" s="2316"/>
      <c r="AF21" s="2316"/>
      <c r="AG21" s="2316"/>
      <c r="AH21" s="2316"/>
      <c r="AI21" s="2316"/>
      <c r="AJ21" s="1113"/>
    </row>
    <row r="22" spans="1:36" ht="15.75" customHeight="1">
      <c r="B22" s="67" t="s">
        <v>852</v>
      </c>
      <c r="C22" s="2317" t="s">
        <v>853</v>
      </c>
      <c r="D22" s="2317"/>
      <c r="E22" s="2317"/>
      <c r="F22" s="2317"/>
      <c r="G22" s="231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1113"/>
      <c r="U22" s="1113"/>
      <c r="V22" s="1113"/>
      <c r="W22" s="1113"/>
      <c r="X22" s="1113"/>
      <c r="Y22" s="1113"/>
      <c r="Z22" s="1113"/>
      <c r="AA22" s="1113"/>
      <c r="AB22" s="1113"/>
      <c r="AC22" s="1113"/>
      <c r="AD22" s="1113"/>
      <c r="AE22" s="1113"/>
      <c r="AF22" s="1113"/>
      <c r="AG22" s="1113"/>
      <c r="AH22" s="1113"/>
      <c r="AI22" s="1113"/>
      <c r="AJ22" s="1113"/>
    </row>
    <row r="23" spans="1:36" ht="13.5" customHeight="1">
      <c r="B23" s="67"/>
      <c r="C23" s="2317" t="s">
        <v>967</v>
      </c>
      <c r="D23" s="2317"/>
      <c r="E23" s="2317"/>
      <c r="F23" s="2317"/>
      <c r="G23" s="231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1113"/>
      <c r="U23" s="1113"/>
      <c r="V23" s="1113"/>
      <c r="W23" s="1113"/>
      <c r="X23" s="1113"/>
      <c r="Y23" s="1113"/>
      <c r="Z23" s="1113"/>
      <c r="AA23" s="1113"/>
      <c r="AB23" s="1113"/>
      <c r="AC23" s="1113"/>
      <c r="AD23" s="1113"/>
      <c r="AE23" s="1113"/>
      <c r="AF23" s="1113"/>
      <c r="AG23" s="1113"/>
      <c r="AH23" s="1113"/>
      <c r="AI23" s="1113"/>
      <c r="AJ23" s="1113"/>
    </row>
    <row r="24" spans="1:36" ht="17.25" customHeight="1">
      <c r="A24" s="60"/>
      <c r="B24" s="1986" t="s">
        <v>45</v>
      </c>
      <c r="C24" s="1986"/>
      <c r="D24" s="1986"/>
      <c r="E24" s="1986"/>
      <c r="F24" s="1986"/>
      <c r="G24" s="1986"/>
      <c r="H24" s="1986"/>
      <c r="I24" s="54"/>
      <c r="J24" s="54"/>
      <c r="L24" s="54"/>
      <c r="M24" s="54"/>
      <c r="N24" s="54"/>
      <c r="O24" s="54" t="s">
        <v>713</v>
      </c>
      <c r="P24" s="54"/>
      <c r="Q24" s="54"/>
      <c r="R24" s="54"/>
      <c r="S24" s="54"/>
      <c r="T24" s="54"/>
      <c r="U24" s="54"/>
      <c r="V24" s="54"/>
      <c r="W24" s="54"/>
      <c r="X24" s="2318" t="s">
        <v>196</v>
      </c>
      <c r="Y24" s="2318"/>
      <c r="Z24" s="2318"/>
      <c r="AA24" s="2318"/>
      <c r="AB24" s="2318"/>
      <c r="AC24" s="2318"/>
      <c r="AD24" s="2318"/>
      <c r="AE24" s="2318"/>
      <c r="AF24" s="2318"/>
      <c r="AG24" s="2318"/>
      <c r="AH24" s="2318"/>
      <c r="AI24" s="2318"/>
      <c r="AJ24" s="2318"/>
    </row>
    <row r="25" spans="1:36" ht="15" customHeight="1">
      <c r="A25" s="49"/>
      <c r="B25" s="46"/>
      <c r="C25" s="1116"/>
      <c r="D25" s="49"/>
      <c r="E25" s="49"/>
      <c r="F25" s="49"/>
      <c r="G25" s="49"/>
      <c r="H25" s="49"/>
      <c r="I25" s="63"/>
      <c r="J25" s="63"/>
      <c r="K25" s="63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</row>
    <row r="26" spans="1:36" ht="13.5" customHeight="1">
      <c r="A26" s="49"/>
      <c r="B26" s="364"/>
      <c r="C26" s="1116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64"/>
      <c r="O26" s="64"/>
      <c r="P26" s="64"/>
      <c r="Q26" s="63"/>
      <c r="R26" s="63"/>
      <c r="S26" s="63"/>
      <c r="T26" s="63"/>
      <c r="U26" s="63"/>
      <c r="V26" s="63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</row>
    <row r="27" spans="1:36" ht="13.5" customHeight="1">
      <c r="A27" s="49"/>
      <c r="B27" s="364"/>
      <c r="C27" s="1116"/>
      <c r="D27" s="49"/>
      <c r="E27" s="49"/>
      <c r="F27" s="49"/>
      <c r="G27" s="49"/>
      <c r="H27" s="49"/>
      <c r="I27" s="63"/>
      <c r="J27" s="63"/>
      <c r="K27" s="54"/>
      <c r="L27" s="49"/>
      <c r="M27" s="49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</row>
    <row r="28" spans="1:36" ht="13.5" customHeight="1">
      <c r="A28" s="49"/>
      <c r="B28" s="364"/>
      <c r="C28" s="1116"/>
      <c r="D28" s="49"/>
      <c r="E28" s="49"/>
      <c r="F28" s="49"/>
      <c r="G28" s="49"/>
      <c r="H28" s="49"/>
      <c r="I28" s="49"/>
      <c r="J28" s="49"/>
      <c r="K28" s="54"/>
      <c r="L28" s="49"/>
      <c r="M28" s="49"/>
      <c r="N28" s="64"/>
      <c r="O28" s="64"/>
      <c r="P28" s="64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ht="12" customHeight="1">
      <c r="A29" s="49"/>
      <c r="B29" s="364"/>
      <c r="C29" s="65"/>
      <c r="D29" s="49"/>
      <c r="E29" s="49"/>
      <c r="F29" s="49"/>
      <c r="G29" s="49"/>
      <c r="H29" s="49"/>
      <c r="I29" s="49"/>
      <c r="J29" s="49"/>
      <c r="K29" s="54"/>
      <c r="L29" s="49"/>
      <c r="M29" s="49"/>
      <c r="N29" s="64"/>
      <c r="O29" s="64"/>
      <c r="P29" s="64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6" ht="15.75" customHeight="1">
      <c r="A30" s="49"/>
      <c r="B30" s="2319" t="s">
        <v>419</v>
      </c>
      <c r="C30" s="2319"/>
      <c r="D30" s="2319"/>
      <c r="E30" s="2319"/>
      <c r="F30" s="2319"/>
      <c r="G30" s="2319"/>
      <c r="H30" s="2319"/>
      <c r="I30" s="2319"/>
      <c r="J30" s="2319"/>
      <c r="L30" s="49"/>
      <c r="N30" s="54"/>
      <c r="O30" s="54"/>
      <c r="P30" s="54"/>
      <c r="Q30" s="54"/>
      <c r="R30" s="54"/>
      <c r="S30" s="54"/>
      <c r="T30" s="54"/>
      <c r="U30" s="54"/>
      <c r="V30" s="54"/>
      <c r="W30" s="64"/>
      <c r="X30" s="2318" t="s">
        <v>76</v>
      </c>
      <c r="Y30" s="2318"/>
      <c r="Z30" s="2318"/>
      <c r="AA30" s="2318"/>
      <c r="AB30" s="2318"/>
      <c r="AC30" s="2318"/>
      <c r="AD30" s="2318"/>
      <c r="AE30" s="2318"/>
      <c r="AF30" s="2318"/>
      <c r="AG30" s="2318"/>
      <c r="AH30" s="2318"/>
      <c r="AI30" s="2318"/>
      <c r="AJ30" s="2318"/>
    </row>
    <row r="31" spans="1:36" ht="13.5" customHeight="1">
      <c r="A31" s="49"/>
      <c r="C31" s="671"/>
      <c r="D31" s="671"/>
      <c r="E31" s="671"/>
      <c r="F31" s="671"/>
      <c r="G31" s="671"/>
      <c r="H31" s="671"/>
      <c r="I31" s="671"/>
      <c r="J31" s="671"/>
      <c r="K31" s="67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</row>
    <row r="32" spans="1:36" ht="13.5" customHeight="1">
      <c r="A32" s="49"/>
      <c r="D32" s="65"/>
      <c r="E32" s="65"/>
      <c r="F32" s="65"/>
      <c r="G32" s="65"/>
      <c r="H32" s="65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11" ht="16.5">
      <c r="A33" s="60"/>
      <c r="B33" s="49"/>
      <c r="C33" s="61"/>
      <c r="D33" s="61"/>
      <c r="E33" s="49"/>
      <c r="F33" s="49"/>
      <c r="G33" s="49"/>
      <c r="H33" s="49"/>
      <c r="I33" s="62"/>
      <c r="J33" s="62"/>
      <c r="K33" s="49"/>
    </row>
    <row r="34" spans="1:11" ht="15.75">
      <c r="A34" s="49"/>
      <c r="B34" s="46"/>
      <c r="C34" s="1116"/>
      <c r="D34" s="49"/>
      <c r="E34" s="49"/>
      <c r="F34" s="49"/>
      <c r="G34" s="49"/>
      <c r="H34" s="49"/>
      <c r="I34" s="63"/>
      <c r="J34" s="63"/>
      <c r="K34" s="63"/>
    </row>
    <row r="35" spans="1:11">
      <c r="A35" s="49"/>
      <c r="B35" s="364"/>
      <c r="C35" s="1116"/>
      <c r="D35" s="49"/>
      <c r="E35" s="49"/>
      <c r="F35" s="49"/>
      <c r="G35" s="49"/>
      <c r="H35" s="49"/>
      <c r="I35" s="49"/>
      <c r="J35" s="49"/>
      <c r="K35" s="49"/>
    </row>
    <row r="36" spans="1:11" ht="15.75">
      <c r="A36" s="49"/>
      <c r="B36" s="364"/>
      <c r="C36" s="1116"/>
      <c r="D36" s="49"/>
      <c r="E36" s="49"/>
      <c r="F36" s="49"/>
      <c r="G36" s="49"/>
      <c r="H36" s="49"/>
      <c r="I36" s="63"/>
      <c r="J36" s="63"/>
      <c r="K36" s="54"/>
    </row>
    <row r="37" spans="1:11" ht="15.75">
      <c r="A37" s="49"/>
      <c r="B37" s="364"/>
      <c r="C37" s="1116"/>
      <c r="D37" s="49"/>
      <c r="E37" s="49"/>
      <c r="F37" s="49"/>
      <c r="G37" s="49"/>
      <c r="H37" s="49"/>
      <c r="I37" s="49"/>
      <c r="J37" s="49"/>
      <c r="K37" s="54"/>
    </row>
    <row r="38" spans="1:11" ht="15.75">
      <c r="A38" s="49"/>
      <c r="B38" s="364"/>
      <c r="C38" s="65"/>
      <c r="D38" s="49"/>
      <c r="E38" s="49"/>
      <c r="F38" s="49"/>
      <c r="G38" s="49"/>
      <c r="H38" s="49"/>
      <c r="I38" s="49"/>
      <c r="J38" s="49"/>
      <c r="K38" s="54"/>
    </row>
    <row r="39" spans="1:11">
      <c r="A39" s="49"/>
      <c r="B39" s="364"/>
      <c r="C39" s="49"/>
      <c r="D39" s="49"/>
      <c r="E39" s="49"/>
      <c r="F39" s="49"/>
      <c r="G39" s="49"/>
      <c r="H39" s="49"/>
      <c r="I39" s="49"/>
      <c r="J39" s="49"/>
    </row>
    <row r="40" spans="1:11">
      <c r="A40" s="49"/>
      <c r="C40" s="671"/>
      <c r="D40" s="671"/>
      <c r="E40" s="671"/>
      <c r="F40" s="671"/>
      <c r="G40" s="671"/>
      <c r="H40" s="671"/>
      <c r="I40" s="671"/>
      <c r="J40" s="671"/>
      <c r="K40" s="671"/>
    </row>
  </sheetData>
  <mergeCells count="23">
    <mergeCell ref="C23:G23"/>
    <mergeCell ref="X24:AJ24"/>
    <mergeCell ref="B30:J30"/>
    <mergeCell ref="X30:AJ30"/>
    <mergeCell ref="B24:H24"/>
    <mergeCell ref="AJ10:AJ11"/>
    <mergeCell ref="B12:AG12"/>
    <mergeCell ref="B17:AG17"/>
    <mergeCell ref="B19:AG19"/>
    <mergeCell ref="T21:AI21"/>
    <mergeCell ref="C22:G22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N53"/>
  <sheetViews>
    <sheetView topLeftCell="A9" zoomScale="115" zoomScaleNormal="115" workbookViewId="0">
      <pane ySplit="3" topLeftCell="A24" activePane="bottomLeft" state="frozen"/>
      <selection activeCell="A9" sqref="A9"/>
      <selection pane="bottomLeft" activeCell="M18" sqref="M18"/>
    </sheetView>
  </sheetViews>
  <sheetFormatPr defaultColWidth="9.140625" defaultRowHeight="15"/>
  <cols>
    <col min="1" max="1" width="3" style="1742" customWidth="1"/>
    <col min="2" max="2" width="15" style="1742" customWidth="1"/>
    <col min="3" max="3" width="10.42578125" style="1742" customWidth="1"/>
    <col min="4" max="7" width="3" style="1742" customWidth="1"/>
    <col min="8" max="8" width="3" style="1775" customWidth="1"/>
    <col min="9" max="31" width="3" style="1742" customWidth="1"/>
    <col min="32" max="32" width="3.5703125" style="1742" hidden="1" customWidth="1"/>
    <col min="33" max="34" width="3.42578125" style="1742" hidden="1" customWidth="1"/>
    <col min="35" max="35" width="5.5703125" style="1742" customWidth="1"/>
    <col min="36" max="36" width="6.42578125" style="1742" customWidth="1"/>
    <col min="37" max="38" width="6" style="1742" customWidth="1"/>
    <col min="39" max="39" width="9.140625" style="1742"/>
    <col min="40" max="40" width="14.85546875" style="1742" bestFit="1" customWidth="1"/>
    <col min="41" max="45" width="9.140625" style="1742"/>
    <col min="46" max="46" width="15.85546875" style="1742" customWidth="1"/>
    <col min="47" max="16384" width="9.140625" style="1742"/>
  </cols>
  <sheetData>
    <row r="1" spans="1:39" ht="15" customHeight="1">
      <c r="A1" s="2260" t="s">
        <v>90</v>
      </c>
      <c r="B1" s="2260"/>
      <c r="C1" s="2260"/>
      <c r="D1" s="2260"/>
      <c r="E1" s="2260"/>
      <c r="F1" s="2260"/>
      <c r="G1" s="2260"/>
      <c r="H1" s="2260"/>
      <c r="I1" s="2260"/>
      <c r="J1" s="2260"/>
      <c r="K1" s="2260"/>
      <c r="L1" s="2260"/>
      <c r="M1" s="2260"/>
      <c r="N1" s="2260"/>
      <c r="O1" s="2260"/>
      <c r="P1" s="2260"/>
      <c r="Q1" s="2260"/>
      <c r="R1" s="2260"/>
      <c r="S1" s="2260"/>
      <c r="T1" s="2260"/>
      <c r="U1" s="2260"/>
      <c r="V1" s="2260"/>
      <c r="W1" s="2260"/>
      <c r="X1" s="2260"/>
      <c r="Y1" s="2260"/>
      <c r="Z1" s="2260"/>
      <c r="AA1" s="2260"/>
      <c r="AB1" s="2260"/>
      <c r="AC1" s="2260"/>
      <c r="AD1" s="2260"/>
      <c r="AE1" s="2260"/>
      <c r="AF1" s="2260"/>
      <c r="AG1" s="2260"/>
      <c r="AH1" s="2260"/>
      <c r="AI1" s="2260"/>
      <c r="AJ1" s="1741"/>
      <c r="AK1" s="1741"/>
      <c r="AL1" s="1741"/>
    </row>
    <row r="2" spans="1:39" ht="15" customHeight="1">
      <c r="A2" s="2260" t="s">
        <v>81</v>
      </c>
      <c r="B2" s="2260"/>
      <c r="C2" s="2260"/>
      <c r="D2" s="2260"/>
      <c r="E2" s="2260"/>
      <c r="F2" s="2260"/>
      <c r="G2" s="2260"/>
      <c r="H2" s="2260"/>
      <c r="I2" s="2260"/>
      <c r="J2" s="2260"/>
      <c r="K2" s="2260"/>
      <c r="L2" s="2260"/>
      <c r="M2" s="2260"/>
      <c r="N2" s="2260"/>
      <c r="O2" s="2260"/>
      <c r="P2" s="2260"/>
      <c r="Q2" s="2260"/>
      <c r="R2" s="2260"/>
      <c r="S2" s="2260"/>
      <c r="T2" s="2260"/>
      <c r="U2" s="2260"/>
      <c r="V2" s="2260"/>
      <c r="W2" s="2260"/>
      <c r="X2" s="2260"/>
      <c r="Y2" s="2260"/>
      <c r="Z2" s="2260"/>
      <c r="AA2" s="2260"/>
      <c r="AB2" s="2260"/>
      <c r="AC2" s="2260"/>
      <c r="AD2" s="2260"/>
      <c r="AE2" s="2260"/>
      <c r="AF2" s="2260"/>
      <c r="AG2" s="2260"/>
      <c r="AH2" s="2260"/>
      <c r="AI2" s="2260"/>
      <c r="AJ2" s="1741"/>
      <c r="AK2" s="1741"/>
      <c r="AL2" s="1741"/>
    </row>
    <row r="3" spans="1:39" ht="17.25" customHeight="1">
      <c r="A3" s="2261" t="s">
        <v>604</v>
      </c>
      <c r="B3" s="2262"/>
      <c r="C3" s="2262"/>
      <c r="D3" s="2262"/>
      <c r="E3" s="2262"/>
      <c r="F3" s="2262"/>
      <c r="G3" s="2262"/>
      <c r="H3" s="2262"/>
      <c r="I3" s="2262"/>
      <c r="J3" s="2262"/>
      <c r="K3" s="2262"/>
      <c r="L3" s="2262"/>
      <c r="M3" s="2262"/>
      <c r="N3" s="2262"/>
      <c r="O3" s="2262"/>
      <c r="P3" s="2262"/>
      <c r="Q3" s="2262"/>
      <c r="R3" s="2262"/>
      <c r="S3" s="2262"/>
      <c r="T3" s="2262"/>
      <c r="U3" s="2262"/>
      <c r="V3" s="2262"/>
      <c r="W3" s="2262"/>
      <c r="X3" s="2262"/>
      <c r="Y3" s="2262"/>
      <c r="Z3" s="2262"/>
      <c r="AA3" s="2262"/>
      <c r="AB3" s="2262"/>
      <c r="AC3" s="2262"/>
      <c r="AD3" s="2262"/>
      <c r="AE3" s="2262"/>
      <c r="AF3" s="2262"/>
      <c r="AG3" s="2262"/>
      <c r="AH3" s="2262"/>
      <c r="AI3" s="2262"/>
      <c r="AJ3" s="1743"/>
      <c r="AK3" s="1743"/>
      <c r="AL3" s="1743"/>
    </row>
    <row r="4" spans="1:39" ht="9" customHeight="1">
      <c r="A4" s="1744"/>
      <c r="B4" s="1744"/>
      <c r="C4" s="1744"/>
      <c r="D4" s="1744"/>
      <c r="E4" s="1744"/>
      <c r="F4" s="1744"/>
      <c r="G4" s="1744"/>
      <c r="H4" s="1744"/>
      <c r="I4" s="1744"/>
      <c r="J4" s="1744"/>
      <c r="K4" s="1744"/>
      <c r="L4" s="1744"/>
      <c r="M4" s="1744"/>
      <c r="N4" s="1744"/>
      <c r="O4" s="1744"/>
      <c r="P4" s="1744"/>
      <c r="Q4" s="1744"/>
      <c r="R4" s="1744"/>
      <c r="S4" s="1744"/>
      <c r="T4" s="1744"/>
      <c r="U4" s="1744"/>
      <c r="V4" s="1744"/>
      <c r="W4" s="1744"/>
      <c r="X4" s="1744"/>
      <c r="Y4" s="1744"/>
      <c r="Z4" s="1744"/>
      <c r="AA4" s="1744"/>
      <c r="AB4" s="1744"/>
      <c r="AC4" s="1744"/>
      <c r="AD4" s="1744"/>
      <c r="AE4" s="1744"/>
      <c r="AF4" s="1744"/>
      <c r="AG4" s="1744"/>
      <c r="AH4" s="1744"/>
      <c r="AI4" s="1744"/>
      <c r="AJ4" s="1744"/>
      <c r="AK4" s="1744"/>
      <c r="AL4" s="1744"/>
    </row>
    <row r="5" spans="1:39" ht="23.25" customHeight="1">
      <c r="A5" s="2262" t="s">
        <v>5</v>
      </c>
      <c r="B5" s="2262"/>
      <c r="C5" s="2262"/>
      <c r="D5" s="2262"/>
      <c r="E5" s="2262"/>
      <c r="F5" s="2262"/>
      <c r="G5" s="2262"/>
      <c r="H5" s="2262"/>
      <c r="I5" s="2262"/>
      <c r="J5" s="2262"/>
      <c r="K5" s="2262"/>
      <c r="L5" s="2262"/>
      <c r="M5" s="2262"/>
      <c r="N5" s="2262"/>
      <c r="O5" s="2262"/>
      <c r="P5" s="1744"/>
      <c r="Q5" s="1744"/>
      <c r="R5" s="1744"/>
      <c r="S5" s="1744"/>
      <c r="T5" s="1744"/>
      <c r="U5" s="1744"/>
      <c r="V5" s="1744"/>
      <c r="W5" s="1744"/>
      <c r="X5" s="1744"/>
      <c r="Y5" s="1744"/>
      <c r="Z5" s="1744"/>
      <c r="AA5" s="1744"/>
      <c r="AB5" s="1744"/>
      <c r="AC5" s="1744"/>
      <c r="AD5" s="1744"/>
      <c r="AE5" s="1744"/>
      <c r="AF5" s="1744"/>
      <c r="AG5" s="1744"/>
      <c r="AH5" s="1744"/>
      <c r="AI5" s="1744"/>
      <c r="AJ5" s="1744"/>
      <c r="AK5" s="1744"/>
      <c r="AL5" s="1744"/>
    </row>
    <row r="6" spans="1:39" ht="18" customHeight="1">
      <c r="A6" s="2262" t="s">
        <v>101</v>
      </c>
      <c r="B6" s="2262"/>
      <c r="C6" s="2262"/>
      <c r="D6" s="2262"/>
      <c r="E6" s="2262"/>
      <c r="F6" s="2262"/>
      <c r="G6" s="2262"/>
      <c r="H6" s="2262"/>
      <c r="I6" s="2262"/>
      <c r="J6" s="2262"/>
      <c r="K6" s="2262"/>
      <c r="L6" s="1744"/>
      <c r="M6" s="1744"/>
      <c r="N6" s="1744"/>
      <c r="O6" s="1744"/>
      <c r="P6" s="1744"/>
      <c r="Q6" s="1744"/>
      <c r="R6" s="1744"/>
      <c r="S6" s="1744"/>
      <c r="T6" s="1744"/>
      <c r="U6" s="1744"/>
      <c r="V6" s="1744"/>
      <c r="W6" s="1744"/>
      <c r="X6" s="1744"/>
      <c r="Y6" s="1744"/>
      <c r="Z6" s="1744"/>
      <c r="AA6" s="1744"/>
      <c r="AB6" s="1744"/>
      <c r="AC6" s="1744"/>
      <c r="AD6" s="1744"/>
      <c r="AE6" s="1744"/>
      <c r="AF6" s="1744"/>
      <c r="AG6" s="1744"/>
      <c r="AH6" s="1744"/>
      <c r="AI6" s="1744"/>
      <c r="AJ6" s="1744"/>
      <c r="AK6" s="1744"/>
      <c r="AL6" s="1744"/>
    </row>
    <row r="7" spans="1:39" ht="12" customHeight="1">
      <c r="A7" s="1745"/>
      <c r="B7" s="1745"/>
      <c r="C7" s="1745"/>
      <c r="D7" s="1745"/>
      <c r="E7" s="1745"/>
      <c r="F7" s="1745"/>
      <c r="G7" s="1745"/>
      <c r="H7" s="1745"/>
      <c r="I7" s="1745"/>
      <c r="J7" s="1745"/>
      <c r="K7" s="1745"/>
      <c r="L7" s="1746"/>
      <c r="M7" s="1746"/>
      <c r="N7" s="1746"/>
      <c r="O7" s="1746"/>
      <c r="P7" s="1746"/>
      <c r="Q7" s="1746"/>
      <c r="R7" s="1746"/>
      <c r="S7" s="1746"/>
      <c r="T7" s="1746"/>
      <c r="U7" s="1746"/>
      <c r="V7" s="1746"/>
      <c r="W7" s="1746"/>
      <c r="X7" s="1746"/>
      <c r="Y7" s="1746"/>
      <c r="Z7" s="1746"/>
      <c r="AA7" s="1746"/>
      <c r="AB7" s="1746"/>
      <c r="AC7" s="1746"/>
      <c r="AD7" s="1746"/>
      <c r="AE7" s="1746"/>
      <c r="AF7" s="1746"/>
      <c r="AG7" s="1746"/>
      <c r="AH7" s="1746"/>
      <c r="AI7" s="1746"/>
      <c r="AJ7" s="1746"/>
      <c r="AK7" s="1746"/>
      <c r="AL7" s="1746"/>
    </row>
    <row r="8" spans="1:39" ht="23.25" customHeight="1">
      <c r="A8" s="2259" t="s">
        <v>966</v>
      </c>
      <c r="B8" s="2259"/>
      <c r="C8" s="2259"/>
      <c r="D8" s="2259"/>
      <c r="E8" s="2259"/>
      <c r="F8" s="2259"/>
      <c r="G8" s="2259"/>
      <c r="H8" s="2259"/>
      <c r="I8" s="2259"/>
      <c r="J8" s="2259"/>
      <c r="K8" s="2259"/>
      <c r="L8" s="2259"/>
      <c r="M8" s="2259"/>
      <c r="N8" s="2259"/>
      <c r="O8" s="2259"/>
      <c r="P8" s="2259"/>
      <c r="Q8" s="2259"/>
      <c r="R8" s="2259"/>
      <c r="S8" s="2259"/>
      <c r="T8" s="2259"/>
      <c r="U8" s="2259"/>
      <c r="V8" s="2259"/>
      <c r="W8" s="2259"/>
      <c r="X8" s="2259"/>
      <c r="Y8" s="2259"/>
      <c r="Z8" s="2259"/>
      <c r="AA8" s="2259"/>
      <c r="AB8" s="2259"/>
      <c r="AC8" s="2259"/>
      <c r="AD8" s="2259"/>
      <c r="AE8" s="2259"/>
      <c r="AF8" s="2259"/>
      <c r="AG8" s="2259"/>
      <c r="AH8" s="2259"/>
      <c r="AI8" s="2259"/>
      <c r="AJ8" s="1747"/>
      <c r="AK8" s="1747"/>
      <c r="AL8" s="1747"/>
    </row>
    <row r="9" spans="1:39" ht="18" customHeight="1">
      <c r="A9" s="2263" t="s">
        <v>1108</v>
      </c>
      <c r="B9" s="2263"/>
      <c r="C9" s="2263"/>
      <c r="D9" s="2263"/>
      <c r="E9" s="2263"/>
      <c r="F9" s="2263"/>
      <c r="G9" s="2263"/>
      <c r="H9" s="2263"/>
      <c r="I9" s="2263"/>
      <c r="J9" s="2263"/>
      <c r="K9" s="2263"/>
      <c r="L9" s="2263"/>
      <c r="M9" s="2263"/>
      <c r="N9" s="2263"/>
      <c r="O9" s="2263"/>
      <c r="P9" s="2263"/>
      <c r="Q9" s="2263"/>
      <c r="R9" s="2263"/>
      <c r="S9" s="2263"/>
      <c r="T9" s="2263"/>
      <c r="U9" s="2263"/>
      <c r="V9" s="2263"/>
      <c r="W9" s="2263"/>
      <c r="X9" s="2263"/>
      <c r="Y9" s="2263"/>
      <c r="Z9" s="2263"/>
      <c r="AA9" s="2263"/>
      <c r="AB9" s="2263"/>
      <c r="AC9" s="2263"/>
      <c r="AD9" s="2263"/>
      <c r="AE9" s="2263"/>
      <c r="AF9" s="2263"/>
      <c r="AG9" s="2263"/>
      <c r="AH9" s="2263"/>
      <c r="AI9" s="2263"/>
      <c r="AJ9" s="1748"/>
      <c r="AK9" s="1748"/>
      <c r="AL9" s="1748"/>
    </row>
    <row r="10" spans="1:39" ht="15" customHeight="1">
      <c r="A10" s="2264" t="s">
        <v>82</v>
      </c>
      <c r="B10" s="2264" t="s">
        <v>83</v>
      </c>
      <c r="C10" s="2264" t="s">
        <v>84</v>
      </c>
      <c r="D10" s="2267" t="s">
        <v>85</v>
      </c>
      <c r="E10" s="2267"/>
      <c r="F10" s="2267"/>
      <c r="G10" s="2267"/>
      <c r="H10" s="2267"/>
      <c r="I10" s="2267"/>
      <c r="J10" s="2267"/>
      <c r="K10" s="2267"/>
      <c r="L10" s="2267"/>
      <c r="M10" s="2267"/>
      <c r="N10" s="2267"/>
      <c r="O10" s="2267"/>
      <c r="P10" s="2267"/>
      <c r="Q10" s="2267"/>
      <c r="R10" s="2267"/>
      <c r="S10" s="2267"/>
      <c r="T10" s="2267"/>
      <c r="U10" s="2267"/>
      <c r="V10" s="2267"/>
      <c r="W10" s="2267"/>
      <c r="X10" s="2267"/>
      <c r="Y10" s="2267"/>
      <c r="Z10" s="2267"/>
      <c r="AA10" s="2267"/>
      <c r="AB10" s="2267"/>
      <c r="AC10" s="2267"/>
      <c r="AD10" s="2267"/>
      <c r="AE10" s="2267"/>
      <c r="AF10" s="2267"/>
      <c r="AG10" s="2267"/>
      <c r="AH10" s="1749"/>
      <c r="AI10" s="2268" t="s">
        <v>51</v>
      </c>
      <c r="AJ10" s="2347" t="s">
        <v>1026</v>
      </c>
      <c r="AK10" s="2347" t="s">
        <v>49</v>
      </c>
      <c r="AL10" s="2268" t="s">
        <v>715</v>
      </c>
      <c r="AM10" s="1750">
        <f>AI13</f>
        <v>24</v>
      </c>
    </row>
    <row r="11" spans="1:39" ht="36.75" customHeight="1">
      <c r="A11" s="2264"/>
      <c r="B11" s="2264"/>
      <c r="C11" s="2264"/>
      <c r="D11" s="1749">
        <v>1</v>
      </c>
      <c r="E11" s="1749">
        <v>2</v>
      </c>
      <c r="F11" s="1749">
        <v>3</v>
      </c>
      <c r="G11" s="1749">
        <v>4</v>
      </c>
      <c r="H11" s="1749">
        <v>5</v>
      </c>
      <c r="I11" s="1749">
        <v>6</v>
      </c>
      <c r="J11" s="1749">
        <v>7</v>
      </c>
      <c r="K11" s="1749">
        <v>8</v>
      </c>
      <c r="L11" s="1749">
        <v>9</v>
      </c>
      <c r="M11" s="1749">
        <v>10</v>
      </c>
      <c r="N11" s="1749">
        <v>11</v>
      </c>
      <c r="O11" s="1749">
        <v>12</v>
      </c>
      <c r="P11" s="1749">
        <v>13</v>
      </c>
      <c r="Q11" s="1749">
        <v>14</v>
      </c>
      <c r="R11" s="1749">
        <v>15</v>
      </c>
      <c r="S11" s="1749">
        <v>16</v>
      </c>
      <c r="T11" s="1749">
        <v>17</v>
      </c>
      <c r="U11" s="1749">
        <v>18</v>
      </c>
      <c r="V11" s="1749">
        <v>19</v>
      </c>
      <c r="W11" s="1749">
        <v>20</v>
      </c>
      <c r="X11" s="1749">
        <v>21</v>
      </c>
      <c r="Y11" s="1749">
        <v>22</v>
      </c>
      <c r="Z11" s="1749">
        <v>23</v>
      </c>
      <c r="AA11" s="1749">
        <v>24</v>
      </c>
      <c r="AB11" s="1749">
        <v>25</v>
      </c>
      <c r="AC11" s="1749">
        <v>26</v>
      </c>
      <c r="AD11" s="1749">
        <v>27</v>
      </c>
      <c r="AE11" s="1749">
        <v>28</v>
      </c>
      <c r="AF11" s="1749">
        <v>29</v>
      </c>
      <c r="AG11" s="1749">
        <v>30</v>
      </c>
      <c r="AH11" s="1749">
        <v>31</v>
      </c>
      <c r="AI11" s="2268"/>
      <c r="AJ11" s="2348"/>
      <c r="AK11" s="2348"/>
      <c r="AL11" s="2268"/>
    </row>
    <row r="12" spans="1:39" ht="15" customHeight="1">
      <c r="A12" s="1751" t="s">
        <v>114</v>
      </c>
      <c r="B12" s="2264" t="s">
        <v>143</v>
      </c>
      <c r="C12" s="2264"/>
      <c r="D12" s="2264"/>
      <c r="E12" s="2264"/>
      <c r="F12" s="2264"/>
      <c r="G12" s="2264"/>
      <c r="H12" s="2264"/>
      <c r="I12" s="2264"/>
      <c r="J12" s="2264"/>
      <c r="K12" s="2264"/>
      <c r="L12" s="2264"/>
      <c r="M12" s="2264"/>
      <c r="N12" s="2264"/>
      <c r="O12" s="2264"/>
      <c r="P12" s="2264"/>
      <c r="Q12" s="2264"/>
      <c r="R12" s="2264"/>
      <c r="S12" s="2264"/>
      <c r="T12" s="2264"/>
      <c r="U12" s="2264"/>
      <c r="V12" s="2264"/>
      <c r="W12" s="2264"/>
      <c r="X12" s="2264"/>
      <c r="Y12" s="2264"/>
      <c r="Z12" s="2264"/>
      <c r="AA12" s="2264"/>
      <c r="AB12" s="2264"/>
      <c r="AC12" s="2264"/>
      <c r="AD12" s="2264"/>
      <c r="AE12" s="2264"/>
      <c r="AF12" s="2264"/>
      <c r="AG12" s="2264"/>
      <c r="AH12" s="1751"/>
      <c r="AI12" s="1800">
        <f>SUM(AI13:AI23)</f>
        <v>253</v>
      </c>
      <c r="AJ12" s="1800">
        <f t="shared" ref="AJ12:AK12" si="0">SUM(AJ13:AJ23)</f>
        <v>12</v>
      </c>
      <c r="AK12" s="1800">
        <f t="shared" si="0"/>
        <v>265</v>
      </c>
      <c r="AL12" s="1800"/>
    </row>
    <row r="13" spans="1:39" s="1755" customFormat="1" ht="27.6" customHeight="1">
      <c r="A13" s="1752">
        <v>1</v>
      </c>
      <c r="B13" s="1753" t="s">
        <v>419</v>
      </c>
      <c r="C13" s="1753" t="s">
        <v>443</v>
      </c>
      <c r="D13" s="1752" t="s">
        <v>1025</v>
      </c>
      <c r="E13" s="1752" t="s">
        <v>171</v>
      </c>
      <c r="F13" s="1752" t="s">
        <v>1025</v>
      </c>
      <c r="G13" s="1752" t="s">
        <v>1025</v>
      </c>
      <c r="H13" s="1752" t="s">
        <v>1025</v>
      </c>
      <c r="I13" s="1752" t="s">
        <v>1025</v>
      </c>
      <c r="J13" s="1752" t="s">
        <v>1025</v>
      </c>
      <c r="K13" s="1752" t="s">
        <v>86</v>
      </c>
      <c r="L13" s="1752" t="s">
        <v>171</v>
      </c>
      <c r="M13" s="1752" t="s">
        <v>86</v>
      </c>
      <c r="N13" s="1752" t="s">
        <v>86</v>
      </c>
      <c r="O13" s="1752" t="s">
        <v>86</v>
      </c>
      <c r="P13" s="1752" t="s">
        <v>86</v>
      </c>
      <c r="Q13" s="1752" t="s">
        <v>86</v>
      </c>
      <c r="R13" s="1752" t="s">
        <v>86</v>
      </c>
      <c r="S13" s="1752" t="s">
        <v>171</v>
      </c>
      <c r="T13" s="1752" t="s">
        <v>86</v>
      </c>
      <c r="U13" s="1752" t="s">
        <v>86</v>
      </c>
      <c r="V13" s="1752" t="s">
        <v>86</v>
      </c>
      <c r="W13" s="1752" t="s">
        <v>86</v>
      </c>
      <c r="X13" s="1752" t="s">
        <v>86</v>
      </c>
      <c r="Y13" s="1752" t="s">
        <v>86</v>
      </c>
      <c r="Z13" s="1752" t="s">
        <v>171</v>
      </c>
      <c r="AA13" s="1752" t="s">
        <v>86</v>
      </c>
      <c r="AB13" s="1752" t="s">
        <v>86</v>
      </c>
      <c r="AC13" s="1752" t="s">
        <v>86</v>
      </c>
      <c r="AD13" s="1752" t="s">
        <v>86</v>
      </c>
      <c r="AE13" s="1752" t="s">
        <v>86</v>
      </c>
      <c r="AF13" s="1752"/>
      <c r="AG13" s="1752"/>
      <c r="AH13" s="1752"/>
      <c r="AI13" s="1754">
        <f>COUNTIF(D13:AH13,"x")+ COUNTIF(D13:AH13,"p")+COUNTIF(D13:AH13,"pt")+COUNTIF(D13:AH13,"T")+COUNTIF(D13:AH13,"VN")</f>
        <v>24</v>
      </c>
      <c r="AJ13" s="1754"/>
      <c r="AK13" s="1754">
        <f>AI13+AJ13</f>
        <v>24</v>
      </c>
      <c r="AL13" s="1754"/>
    </row>
    <row r="14" spans="1:39" s="1755" customFormat="1" ht="27.75" customHeight="1">
      <c r="A14" s="1752">
        <v>2</v>
      </c>
      <c r="B14" s="1753" t="s">
        <v>748</v>
      </c>
      <c r="C14" s="1753" t="s">
        <v>87</v>
      </c>
      <c r="D14" s="1752" t="s">
        <v>727</v>
      </c>
      <c r="E14" s="1752" t="s">
        <v>727</v>
      </c>
      <c r="F14" s="1752" t="s">
        <v>86</v>
      </c>
      <c r="G14" s="1752" t="s">
        <v>86</v>
      </c>
      <c r="H14" s="1752" t="s">
        <v>86</v>
      </c>
      <c r="I14" s="1752" t="s">
        <v>86</v>
      </c>
      <c r="J14" s="1752" t="s">
        <v>86</v>
      </c>
      <c r="K14" s="1752" t="s">
        <v>1025</v>
      </c>
      <c r="L14" s="1752" t="s">
        <v>171</v>
      </c>
      <c r="M14" s="1752" t="s">
        <v>1025</v>
      </c>
      <c r="N14" s="1752" t="s">
        <v>1025</v>
      </c>
      <c r="O14" s="1752" t="s">
        <v>1025</v>
      </c>
      <c r="P14" s="1752" t="s">
        <v>1025</v>
      </c>
      <c r="Q14" s="1752" t="s">
        <v>1025</v>
      </c>
      <c r="R14" s="1752" t="s">
        <v>1025</v>
      </c>
      <c r="S14" s="1752" t="s">
        <v>171</v>
      </c>
      <c r="T14" s="1752" t="s">
        <v>1025</v>
      </c>
      <c r="U14" s="1752" t="s">
        <v>1025</v>
      </c>
      <c r="V14" s="1752" t="s">
        <v>1025</v>
      </c>
      <c r="W14" s="1752" t="s">
        <v>1025</v>
      </c>
      <c r="X14" s="1752" t="s">
        <v>1025</v>
      </c>
      <c r="Y14" s="1752" t="s">
        <v>1025</v>
      </c>
      <c r="Z14" s="1752" t="s">
        <v>171</v>
      </c>
      <c r="AA14" s="1752" t="s">
        <v>86</v>
      </c>
      <c r="AB14" s="1752" t="s">
        <v>86</v>
      </c>
      <c r="AC14" s="1752" t="s">
        <v>86</v>
      </c>
      <c r="AD14" s="1752" t="s">
        <v>86</v>
      </c>
      <c r="AE14" s="1752" t="s">
        <v>86</v>
      </c>
      <c r="AF14" s="1752"/>
      <c r="AG14" s="1752"/>
      <c r="AH14" s="1752"/>
      <c r="AI14" s="1754">
        <f t="shared" ref="AI14:AI28" si="1">COUNTIF(D14:AH14,"x")+ COUNTIF(D14:AH14,"p")+COUNTIF(D14:AH14,"pt")+COUNTIF(D14:AH14,"T")+COUNTIF(D14:AH14,"VN")</f>
        <v>23</v>
      </c>
      <c r="AJ14" s="1754">
        <f>COUNTIF(D14:AI14,"tt")</f>
        <v>2</v>
      </c>
      <c r="AK14" s="1754">
        <f t="shared" ref="AK14:AK33" si="2">AI14+AJ14</f>
        <v>25</v>
      </c>
      <c r="AL14" s="1754"/>
    </row>
    <row r="15" spans="1:39" s="1755" customFormat="1" ht="18.75" customHeight="1">
      <c r="A15" s="1752">
        <v>3</v>
      </c>
      <c r="B15" s="1756" t="s">
        <v>77</v>
      </c>
      <c r="C15" s="1756" t="s">
        <v>200</v>
      </c>
      <c r="D15" s="1752" t="s">
        <v>1025</v>
      </c>
      <c r="E15" s="1752" t="s">
        <v>171</v>
      </c>
      <c r="F15" s="1752" t="s">
        <v>1025</v>
      </c>
      <c r="G15" s="1752" t="s">
        <v>1025</v>
      </c>
      <c r="H15" s="1752" t="s">
        <v>1025</v>
      </c>
      <c r="I15" s="1752" t="s">
        <v>1025</v>
      </c>
      <c r="J15" s="1752" t="s">
        <v>1025</v>
      </c>
      <c r="K15" s="1752" t="s">
        <v>86</v>
      </c>
      <c r="L15" s="1752" t="s">
        <v>171</v>
      </c>
      <c r="M15" s="1752" t="s">
        <v>86</v>
      </c>
      <c r="N15" s="1752" t="s">
        <v>86</v>
      </c>
      <c r="O15" s="1752" t="s">
        <v>86</v>
      </c>
      <c r="P15" s="1752" t="s">
        <v>86</v>
      </c>
      <c r="Q15" s="1752" t="s">
        <v>86</v>
      </c>
      <c r="R15" s="1752" t="s">
        <v>86</v>
      </c>
      <c r="S15" s="1752" t="s">
        <v>171</v>
      </c>
      <c r="T15" s="1752" t="s">
        <v>86</v>
      </c>
      <c r="U15" s="1752" t="s">
        <v>86</v>
      </c>
      <c r="V15" s="1752" t="s">
        <v>86</v>
      </c>
      <c r="W15" s="1752" t="s">
        <v>86</v>
      </c>
      <c r="X15" s="1752" t="s">
        <v>86</v>
      </c>
      <c r="Y15" s="1752" t="s">
        <v>86</v>
      </c>
      <c r="Z15" s="1752" t="s">
        <v>171</v>
      </c>
      <c r="AA15" s="1752" t="s">
        <v>86</v>
      </c>
      <c r="AB15" s="1752" t="s">
        <v>86</v>
      </c>
      <c r="AC15" s="1752" t="s">
        <v>86</v>
      </c>
      <c r="AD15" s="1752" t="s">
        <v>86</v>
      </c>
      <c r="AE15" s="1752" t="s">
        <v>86</v>
      </c>
      <c r="AF15" s="1752"/>
      <c r="AG15" s="1752"/>
      <c r="AH15" s="1752"/>
      <c r="AI15" s="1754">
        <f t="shared" si="1"/>
        <v>24</v>
      </c>
      <c r="AJ15" s="1754"/>
      <c r="AK15" s="1754">
        <f t="shared" si="2"/>
        <v>24</v>
      </c>
      <c r="AL15" s="1754"/>
    </row>
    <row r="16" spans="1:39" s="1755" customFormat="1" ht="18.75" customHeight="1">
      <c r="A16" s="1752">
        <v>4</v>
      </c>
      <c r="B16" s="1756" t="s">
        <v>76</v>
      </c>
      <c r="C16" s="1756" t="s">
        <v>330</v>
      </c>
      <c r="D16" s="1752" t="s">
        <v>727</v>
      </c>
      <c r="E16" s="1752" t="s">
        <v>727</v>
      </c>
      <c r="F16" s="1752" t="s">
        <v>86</v>
      </c>
      <c r="G16" s="1752" t="s">
        <v>86</v>
      </c>
      <c r="H16" s="1752" t="s">
        <v>86</v>
      </c>
      <c r="I16" s="1752" t="s">
        <v>86</v>
      </c>
      <c r="J16" s="1752" t="s">
        <v>86</v>
      </c>
      <c r="K16" s="1752" t="s">
        <v>86</v>
      </c>
      <c r="L16" s="1752" t="s">
        <v>171</v>
      </c>
      <c r="M16" s="1752" t="s">
        <v>86</v>
      </c>
      <c r="N16" s="1752" t="s">
        <v>86</v>
      </c>
      <c r="O16" s="1752" t="s">
        <v>86</v>
      </c>
      <c r="P16" s="1752" t="s">
        <v>86</v>
      </c>
      <c r="Q16" s="1752" t="s">
        <v>86</v>
      </c>
      <c r="R16" s="1752" t="s">
        <v>86</v>
      </c>
      <c r="S16" s="1752" t="s">
        <v>171</v>
      </c>
      <c r="T16" s="1752" t="s">
        <v>1025</v>
      </c>
      <c r="U16" s="1752" t="s">
        <v>1025</v>
      </c>
      <c r="V16" s="1752" t="s">
        <v>1025</v>
      </c>
      <c r="W16" s="1752" t="s">
        <v>1025</v>
      </c>
      <c r="X16" s="1752" t="s">
        <v>1025</v>
      </c>
      <c r="Y16" s="1752" t="s">
        <v>1025</v>
      </c>
      <c r="Z16" s="1752" t="s">
        <v>171</v>
      </c>
      <c r="AA16" s="1752" t="s">
        <v>1025</v>
      </c>
      <c r="AB16" s="1752" t="s">
        <v>1025</v>
      </c>
      <c r="AC16" s="1752" t="s">
        <v>1025</v>
      </c>
      <c r="AD16" s="1752" t="s">
        <v>1025</v>
      </c>
      <c r="AE16" s="1752" t="s">
        <v>1025</v>
      </c>
      <c r="AF16" s="1752"/>
      <c r="AG16" s="1752"/>
      <c r="AH16" s="1752"/>
      <c r="AI16" s="1754">
        <f t="shared" si="1"/>
        <v>23</v>
      </c>
      <c r="AJ16" s="1754">
        <f t="shared" ref="AJ16:AJ22" si="3">COUNTIF(D16:AI16,"tt")</f>
        <v>2</v>
      </c>
      <c r="AK16" s="1754">
        <f t="shared" si="2"/>
        <v>25</v>
      </c>
      <c r="AL16" s="1754"/>
    </row>
    <row r="17" spans="1:40" s="1755" customFormat="1" ht="24.75" customHeight="1">
      <c r="A17" s="1752">
        <v>5</v>
      </c>
      <c r="B17" s="1756" t="s">
        <v>333</v>
      </c>
      <c r="C17" s="1756" t="s">
        <v>319</v>
      </c>
      <c r="D17" s="1752" t="s">
        <v>727</v>
      </c>
      <c r="E17" s="1752" t="s">
        <v>727</v>
      </c>
      <c r="F17" s="1752" t="s">
        <v>86</v>
      </c>
      <c r="G17" s="1752" t="s">
        <v>86</v>
      </c>
      <c r="H17" s="1752" t="s">
        <v>86</v>
      </c>
      <c r="I17" s="1752" t="s">
        <v>86</v>
      </c>
      <c r="J17" s="1752" t="s">
        <v>86</v>
      </c>
      <c r="K17" s="1752" t="s">
        <v>86</v>
      </c>
      <c r="L17" s="1752" t="s">
        <v>171</v>
      </c>
      <c r="M17" s="1752" t="s">
        <v>86</v>
      </c>
      <c r="N17" s="1752" t="s">
        <v>86</v>
      </c>
      <c r="O17" s="1752" t="s">
        <v>86</v>
      </c>
      <c r="P17" s="1752" t="s">
        <v>86</v>
      </c>
      <c r="Q17" s="1752" t="s">
        <v>86</v>
      </c>
      <c r="R17" s="1752" t="s">
        <v>1025</v>
      </c>
      <c r="S17" s="1752" t="s">
        <v>171</v>
      </c>
      <c r="T17" s="1752" t="s">
        <v>1025</v>
      </c>
      <c r="U17" s="1752" t="s">
        <v>1025</v>
      </c>
      <c r="V17" s="1752" t="s">
        <v>1025</v>
      </c>
      <c r="W17" s="1752" t="s">
        <v>1025</v>
      </c>
      <c r="X17" s="1752" t="s">
        <v>1025</v>
      </c>
      <c r="Y17" s="1752" t="s">
        <v>1025</v>
      </c>
      <c r="Z17" s="1752" t="s">
        <v>171</v>
      </c>
      <c r="AA17" s="1752" t="s">
        <v>1025</v>
      </c>
      <c r="AB17" s="1752" t="s">
        <v>1025</v>
      </c>
      <c r="AC17" s="1752" t="s">
        <v>1025</v>
      </c>
      <c r="AD17" s="1752" t="s">
        <v>1025</v>
      </c>
      <c r="AE17" s="1752" t="s">
        <v>1025</v>
      </c>
      <c r="AF17" s="1752"/>
      <c r="AG17" s="1752"/>
      <c r="AH17" s="1752"/>
      <c r="AI17" s="1754">
        <f t="shared" si="1"/>
        <v>23</v>
      </c>
      <c r="AJ17" s="1754">
        <f t="shared" si="3"/>
        <v>2</v>
      </c>
      <c r="AK17" s="1754">
        <f t="shared" si="2"/>
        <v>25</v>
      </c>
      <c r="AL17" s="1754"/>
    </row>
    <row r="18" spans="1:40" s="1755" customFormat="1" ht="18.75" customHeight="1">
      <c r="A18" s="1752">
        <v>6</v>
      </c>
      <c r="B18" s="1756" t="s">
        <v>464</v>
      </c>
      <c r="C18" s="1756" t="s">
        <v>88</v>
      </c>
      <c r="D18" s="1752" t="s">
        <v>1025</v>
      </c>
      <c r="E18" s="1752" t="s">
        <v>171</v>
      </c>
      <c r="F18" s="1752" t="s">
        <v>1025</v>
      </c>
      <c r="G18" s="1752" t="s">
        <v>1025</v>
      </c>
      <c r="H18" s="1752" t="s">
        <v>1025</v>
      </c>
      <c r="I18" s="1752" t="s">
        <v>1025</v>
      </c>
      <c r="J18" s="1752" t="s">
        <v>1025</v>
      </c>
      <c r="K18" s="1752" t="s">
        <v>86</v>
      </c>
      <c r="L18" s="1752" t="s">
        <v>171</v>
      </c>
      <c r="M18" s="1752" t="s">
        <v>86</v>
      </c>
      <c r="N18" s="1752" t="s">
        <v>86</v>
      </c>
      <c r="O18" s="1752" t="s">
        <v>86</v>
      </c>
      <c r="P18" s="1752" t="s">
        <v>86</v>
      </c>
      <c r="Q18" s="1752" t="s">
        <v>86</v>
      </c>
      <c r="R18" s="1752" t="s">
        <v>86</v>
      </c>
      <c r="S18" s="1752" t="s">
        <v>171</v>
      </c>
      <c r="T18" s="1752" t="s">
        <v>86</v>
      </c>
      <c r="U18" s="1752" t="s">
        <v>1110</v>
      </c>
      <c r="V18" s="1752" t="s">
        <v>1110</v>
      </c>
      <c r="W18" s="1752" t="s">
        <v>1110</v>
      </c>
      <c r="X18" s="1752" t="s">
        <v>1110</v>
      </c>
      <c r="Y18" s="1752" t="s">
        <v>1110</v>
      </c>
      <c r="Z18" s="1752" t="s">
        <v>171</v>
      </c>
      <c r="AA18" s="1752" t="s">
        <v>1111</v>
      </c>
      <c r="AB18" s="1785"/>
      <c r="AC18" s="1785"/>
      <c r="AD18" s="1785"/>
      <c r="AE18" s="1785"/>
      <c r="AF18" s="1752"/>
      <c r="AG18" s="1752"/>
      <c r="AH18" s="1752"/>
      <c r="AI18" s="1754">
        <f>COUNTIF(D18:AH18,"x")+ COUNTIF(D18:AH18,"p")+COUNTIF(D18:AH18,"pt")+COUNTIF(D18:AH18,"T")+COUNTIF(D18:AH18,"VN")</f>
        <v>19</v>
      </c>
      <c r="AJ18" s="1754"/>
      <c r="AK18" s="1754">
        <f t="shared" si="2"/>
        <v>19</v>
      </c>
      <c r="AL18" s="1754"/>
    </row>
    <row r="19" spans="1:40" s="1755" customFormat="1" ht="18.75" customHeight="1">
      <c r="A19" s="1752">
        <v>7</v>
      </c>
      <c r="B19" s="1757" t="s">
        <v>632</v>
      </c>
      <c r="C19" s="1756" t="s">
        <v>224</v>
      </c>
      <c r="D19" s="1752" t="s">
        <v>727</v>
      </c>
      <c r="E19" s="1752" t="s">
        <v>727</v>
      </c>
      <c r="F19" s="1752" t="s">
        <v>86</v>
      </c>
      <c r="G19" s="1752" t="s">
        <v>86</v>
      </c>
      <c r="H19" s="1752" t="s">
        <v>86</v>
      </c>
      <c r="I19" s="1752" t="s">
        <v>86</v>
      </c>
      <c r="J19" s="1752" t="s">
        <v>86</v>
      </c>
      <c r="K19" s="1752" t="s">
        <v>86</v>
      </c>
      <c r="L19" s="1752" t="s">
        <v>171</v>
      </c>
      <c r="M19" s="1752" t="s">
        <v>86</v>
      </c>
      <c r="N19" s="1752" t="s">
        <v>86</v>
      </c>
      <c r="O19" s="1752" t="s">
        <v>86</v>
      </c>
      <c r="P19" s="1752" t="s">
        <v>1025</v>
      </c>
      <c r="Q19" s="1752" t="s">
        <v>1025</v>
      </c>
      <c r="R19" s="1752" t="s">
        <v>1025</v>
      </c>
      <c r="S19" s="1752" t="s">
        <v>171</v>
      </c>
      <c r="T19" s="1752" t="s">
        <v>1025</v>
      </c>
      <c r="U19" s="1752" t="s">
        <v>1025</v>
      </c>
      <c r="V19" s="1752" t="s">
        <v>1025</v>
      </c>
      <c r="W19" s="1752" t="s">
        <v>1025</v>
      </c>
      <c r="X19" s="1752" t="s">
        <v>1025</v>
      </c>
      <c r="Y19" s="1752" t="s">
        <v>1025</v>
      </c>
      <c r="Z19" s="1752" t="s">
        <v>171</v>
      </c>
      <c r="AA19" s="1752" t="s">
        <v>1025</v>
      </c>
      <c r="AB19" s="1752" t="s">
        <v>1025</v>
      </c>
      <c r="AC19" s="1752" t="s">
        <v>1025</v>
      </c>
      <c r="AD19" s="1752" t="s">
        <v>1025</v>
      </c>
      <c r="AE19" s="1752" t="s">
        <v>86</v>
      </c>
      <c r="AF19" s="1752"/>
      <c r="AG19" s="1752"/>
      <c r="AH19" s="1752"/>
      <c r="AI19" s="1754">
        <f t="shared" si="1"/>
        <v>23</v>
      </c>
      <c r="AJ19" s="1754">
        <f t="shared" si="3"/>
        <v>2</v>
      </c>
      <c r="AK19" s="1754">
        <f t="shared" si="2"/>
        <v>25</v>
      </c>
      <c r="AL19" s="1754"/>
    </row>
    <row r="20" spans="1:40" s="1755" customFormat="1" ht="18.75" customHeight="1">
      <c r="A20" s="1752">
        <v>8</v>
      </c>
      <c r="B20" s="1756" t="s">
        <v>611</v>
      </c>
      <c r="C20" s="1756" t="s">
        <v>216</v>
      </c>
      <c r="D20" s="1752" t="s">
        <v>1025</v>
      </c>
      <c r="E20" s="1752" t="s">
        <v>171</v>
      </c>
      <c r="F20" s="1752" t="s">
        <v>1025</v>
      </c>
      <c r="G20" s="1752" t="s">
        <v>1025</v>
      </c>
      <c r="H20" s="1752" t="s">
        <v>1025</v>
      </c>
      <c r="I20" s="1752" t="s">
        <v>1025</v>
      </c>
      <c r="J20" s="1752" t="s">
        <v>1025</v>
      </c>
      <c r="K20" s="1752" t="s">
        <v>86</v>
      </c>
      <c r="L20" s="1752" t="s">
        <v>171</v>
      </c>
      <c r="M20" s="1752" t="s">
        <v>86</v>
      </c>
      <c r="N20" s="1752" t="s">
        <v>86</v>
      </c>
      <c r="O20" s="1752" t="s">
        <v>86</v>
      </c>
      <c r="P20" s="1752" t="s">
        <v>86</v>
      </c>
      <c r="Q20" s="1752" t="s">
        <v>86</v>
      </c>
      <c r="R20" s="1752" t="s">
        <v>86</v>
      </c>
      <c r="S20" s="1752" t="s">
        <v>171</v>
      </c>
      <c r="T20" s="1752" t="s">
        <v>86</v>
      </c>
      <c r="U20" s="1752" t="s">
        <v>86</v>
      </c>
      <c r="V20" s="1752" t="s">
        <v>86</v>
      </c>
      <c r="W20" s="1752" t="s">
        <v>86</v>
      </c>
      <c r="X20" s="1752" t="s">
        <v>86</v>
      </c>
      <c r="Y20" s="1752" t="s">
        <v>86</v>
      </c>
      <c r="Z20" s="1752" t="s">
        <v>171</v>
      </c>
      <c r="AA20" s="1752" t="s">
        <v>86</v>
      </c>
      <c r="AB20" s="1752" t="s">
        <v>86</v>
      </c>
      <c r="AC20" s="1752" t="s">
        <v>86</v>
      </c>
      <c r="AD20" s="1752" t="s">
        <v>86</v>
      </c>
      <c r="AE20" s="1752" t="s">
        <v>86</v>
      </c>
      <c r="AF20" s="1752"/>
      <c r="AG20" s="1752"/>
      <c r="AH20" s="1752"/>
      <c r="AI20" s="1754">
        <f t="shared" si="1"/>
        <v>24</v>
      </c>
      <c r="AJ20" s="1754"/>
      <c r="AK20" s="1754">
        <f t="shared" si="2"/>
        <v>24</v>
      </c>
      <c r="AL20" s="1754"/>
      <c r="AN20" s="1758" t="s">
        <v>611</v>
      </c>
    </row>
    <row r="21" spans="1:40" s="1755" customFormat="1" ht="27.75" customHeight="1">
      <c r="A21" s="1752">
        <v>9</v>
      </c>
      <c r="B21" s="1756" t="s">
        <v>643</v>
      </c>
      <c r="C21" s="1756" t="s">
        <v>216</v>
      </c>
      <c r="D21" s="1752" t="s">
        <v>727</v>
      </c>
      <c r="E21" s="1752" t="s">
        <v>727</v>
      </c>
      <c r="F21" s="1752" t="s">
        <v>86</v>
      </c>
      <c r="G21" s="1752" t="s">
        <v>86</v>
      </c>
      <c r="H21" s="1752" t="s">
        <v>86</v>
      </c>
      <c r="I21" s="1752" t="s">
        <v>86</v>
      </c>
      <c r="J21" s="1752" t="s">
        <v>86</v>
      </c>
      <c r="K21" s="1752" t="s">
        <v>86</v>
      </c>
      <c r="L21" s="1752" t="s">
        <v>171</v>
      </c>
      <c r="M21" s="1752" t="s">
        <v>86</v>
      </c>
      <c r="N21" s="1752" t="s">
        <v>86</v>
      </c>
      <c r="O21" s="1752" t="s">
        <v>86</v>
      </c>
      <c r="P21" s="1752" t="s">
        <v>86</v>
      </c>
      <c r="Q21" s="1752" t="s">
        <v>86</v>
      </c>
      <c r="R21" s="1752" t="s">
        <v>86</v>
      </c>
      <c r="S21" s="1752" t="s">
        <v>171</v>
      </c>
      <c r="T21" s="1752" t="s">
        <v>86</v>
      </c>
      <c r="U21" s="1752" t="s">
        <v>86</v>
      </c>
      <c r="V21" s="1752" t="s">
        <v>86</v>
      </c>
      <c r="W21" s="1752" t="s">
        <v>86</v>
      </c>
      <c r="X21" s="1752" t="s">
        <v>86</v>
      </c>
      <c r="Y21" s="1752" t="s">
        <v>86</v>
      </c>
      <c r="Z21" s="1752" t="s">
        <v>171</v>
      </c>
      <c r="AA21" s="1752" t="s">
        <v>86</v>
      </c>
      <c r="AB21" s="1752" t="s">
        <v>86</v>
      </c>
      <c r="AC21" s="1752" t="s">
        <v>86</v>
      </c>
      <c r="AD21" s="1752" t="s">
        <v>86</v>
      </c>
      <c r="AE21" s="1752" t="s">
        <v>86</v>
      </c>
      <c r="AF21" s="1752"/>
      <c r="AG21" s="1752"/>
      <c r="AH21" s="1752"/>
      <c r="AI21" s="1754">
        <f t="shared" si="1"/>
        <v>23</v>
      </c>
      <c r="AJ21" s="1754">
        <f t="shared" si="3"/>
        <v>2</v>
      </c>
      <c r="AK21" s="1754">
        <f t="shared" si="2"/>
        <v>25</v>
      </c>
      <c r="AL21" s="1754"/>
    </row>
    <row r="22" spans="1:40" s="1755" customFormat="1" ht="19.5" customHeight="1">
      <c r="A22" s="1752">
        <v>10</v>
      </c>
      <c r="B22" s="1756" t="s">
        <v>646</v>
      </c>
      <c r="C22" s="1756" t="s">
        <v>216</v>
      </c>
      <c r="D22" s="1752" t="s">
        <v>727</v>
      </c>
      <c r="E22" s="1752" t="s">
        <v>727</v>
      </c>
      <c r="F22" s="1752" t="s">
        <v>86</v>
      </c>
      <c r="G22" s="1752" t="s">
        <v>86</v>
      </c>
      <c r="H22" s="1752" t="s">
        <v>86</v>
      </c>
      <c r="I22" s="1752" t="s">
        <v>86</v>
      </c>
      <c r="J22" s="1752" t="s">
        <v>86</v>
      </c>
      <c r="K22" s="1752" t="s">
        <v>86</v>
      </c>
      <c r="L22" s="1752" t="s">
        <v>171</v>
      </c>
      <c r="M22" s="1752" t="s">
        <v>86</v>
      </c>
      <c r="N22" s="1752" t="s">
        <v>86</v>
      </c>
      <c r="O22" s="1752" t="s">
        <v>86</v>
      </c>
      <c r="P22" s="1752" t="s">
        <v>1025</v>
      </c>
      <c r="Q22" s="1752" t="s">
        <v>1025</v>
      </c>
      <c r="R22" s="1752" t="s">
        <v>1025</v>
      </c>
      <c r="S22" s="1752" t="s">
        <v>171</v>
      </c>
      <c r="T22" s="1752" t="s">
        <v>1025</v>
      </c>
      <c r="U22" s="1752" t="s">
        <v>1025</v>
      </c>
      <c r="V22" s="1752" t="s">
        <v>1025</v>
      </c>
      <c r="W22" s="1752" t="s">
        <v>1025</v>
      </c>
      <c r="X22" s="1752" t="s">
        <v>1025</v>
      </c>
      <c r="Y22" s="1752" t="s">
        <v>1025</v>
      </c>
      <c r="Z22" s="1752" t="s">
        <v>171</v>
      </c>
      <c r="AA22" s="1752" t="s">
        <v>1025</v>
      </c>
      <c r="AB22" s="1752" t="s">
        <v>1025</v>
      </c>
      <c r="AC22" s="1752" t="s">
        <v>1025</v>
      </c>
      <c r="AD22" s="1752" t="s">
        <v>1025</v>
      </c>
      <c r="AE22" s="1752" t="s">
        <v>86</v>
      </c>
      <c r="AF22" s="1752"/>
      <c r="AG22" s="1752"/>
      <c r="AH22" s="1752"/>
      <c r="AI22" s="1754">
        <f t="shared" si="1"/>
        <v>23</v>
      </c>
      <c r="AJ22" s="1754">
        <f t="shared" si="3"/>
        <v>2</v>
      </c>
      <c r="AK22" s="1754">
        <f t="shared" si="2"/>
        <v>25</v>
      </c>
      <c r="AL22" s="1754"/>
    </row>
    <row r="23" spans="1:40" s="1755" customFormat="1" ht="22.5" customHeight="1">
      <c r="A23" s="1752">
        <v>11</v>
      </c>
      <c r="B23" s="1756" t="s">
        <v>701</v>
      </c>
      <c r="C23" s="1756" t="s">
        <v>216</v>
      </c>
      <c r="D23" s="1752" t="s">
        <v>1025</v>
      </c>
      <c r="E23" s="1752" t="s">
        <v>171</v>
      </c>
      <c r="F23" s="1752" t="s">
        <v>1025</v>
      </c>
      <c r="G23" s="1752" t="s">
        <v>1025</v>
      </c>
      <c r="H23" s="1752" t="s">
        <v>86</v>
      </c>
      <c r="I23" s="1752" t="s">
        <v>86</v>
      </c>
      <c r="J23" s="1752" t="s">
        <v>86</v>
      </c>
      <c r="K23" s="1752" t="s">
        <v>86</v>
      </c>
      <c r="L23" s="1752" t="s">
        <v>171</v>
      </c>
      <c r="M23" s="1752" t="s">
        <v>86</v>
      </c>
      <c r="N23" s="1752" t="s">
        <v>86</v>
      </c>
      <c r="O23" s="1752" t="s">
        <v>86</v>
      </c>
      <c r="P23" s="1752" t="s">
        <v>86</v>
      </c>
      <c r="Q23" s="1752" t="s">
        <v>86</v>
      </c>
      <c r="R23" s="1752" t="s">
        <v>86</v>
      </c>
      <c r="S23" s="1752" t="s">
        <v>171</v>
      </c>
      <c r="T23" s="1752" t="s">
        <v>86</v>
      </c>
      <c r="U23" s="1752" t="s">
        <v>86</v>
      </c>
      <c r="V23" s="1752" t="s">
        <v>86</v>
      </c>
      <c r="W23" s="1752" t="s">
        <v>86</v>
      </c>
      <c r="X23" s="1785" t="s">
        <v>86</v>
      </c>
      <c r="Y23" s="1752" t="s">
        <v>86</v>
      </c>
      <c r="Z23" s="1752" t="s">
        <v>171</v>
      </c>
      <c r="AA23" s="1752" t="s">
        <v>86</v>
      </c>
      <c r="AB23" s="1752" t="s">
        <v>86</v>
      </c>
      <c r="AC23" s="1752" t="s">
        <v>86</v>
      </c>
      <c r="AD23" s="1752" t="s">
        <v>86</v>
      </c>
      <c r="AE23" s="1752" t="s">
        <v>86</v>
      </c>
      <c r="AF23" s="1752"/>
      <c r="AG23" s="1752"/>
      <c r="AH23" s="1752"/>
      <c r="AI23" s="1754">
        <f t="shared" si="1"/>
        <v>24</v>
      </c>
      <c r="AJ23" s="1754"/>
      <c r="AK23" s="1754">
        <f t="shared" si="2"/>
        <v>24</v>
      </c>
      <c r="AL23" s="1754"/>
    </row>
    <row r="24" spans="1:40" s="1755" customFormat="1" ht="19.5" customHeight="1">
      <c r="A24" s="1749" t="s">
        <v>99</v>
      </c>
      <c r="B24" s="2267" t="s">
        <v>746</v>
      </c>
      <c r="C24" s="2267"/>
      <c r="D24" s="2267"/>
      <c r="E24" s="2267"/>
      <c r="F24" s="2267"/>
      <c r="G24" s="2267"/>
      <c r="H24" s="2267"/>
      <c r="I24" s="2267"/>
      <c r="J24" s="2267"/>
      <c r="K24" s="2267"/>
      <c r="L24" s="2267"/>
      <c r="M24" s="2267"/>
      <c r="N24" s="2267"/>
      <c r="O24" s="2267"/>
      <c r="P24" s="2267"/>
      <c r="Q24" s="2267"/>
      <c r="R24" s="2267"/>
      <c r="S24" s="2267"/>
      <c r="T24" s="2267"/>
      <c r="U24" s="2267"/>
      <c r="V24" s="2267"/>
      <c r="W24" s="2267"/>
      <c r="X24" s="2267"/>
      <c r="Y24" s="2267"/>
      <c r="Z24" s="2267"/>
      <c r="AA24" s="2267"/>
      <c r="AB24" s="2267"/>
      <c r="AC24" s="2267"/>
      <c r="AD24" s="2267"/>
      <c r="AE24" s="2267"/>
      <c r="AF24" s="2267"/>
      <c r="AG24" s="2267"/>
      <c r="AH24" s="1749"/>
      <c r="AI24" s="1801">
        <f>SUM(AI25:AI28)</f>
        <v>92</v>
      </c>
      <c r="AJ24" s="1801">
        <f t="shared" ref="AJ24:AK24" si="4">SUM(AJ25:AJ28)</f>
        <v>8</v>
      </c>
      <c r="AK24" s="1801">
        <f t="shared" si="4"/>
        <v>100</v>
      </c>
      <c r="AL24" s="1801"/>
    </row>
    <row r="25" spans="1:40" s="1755" customFormat="1" ht="23.25" customHeight="1">
      <c r="A25" s="1802">
        <v>1</v>
      </c>
      <c r="B25" s="1756" t="s">
        <v>645</v>
      </c>
      <c r="C25" s="1753" t="s">
        <v>810</v>
      </c>
      <c r="D25" s="1752" t="s">
        <v>727</v>
      </c>
      <c r="E25" s="1752" t="s">
        <v>727</v>
      </c>
      <c r="F25" s="1752" t="s">
        <v>86</v>
      </c>
      <c r="G25" s="1752" t="s">
        <v>86</v>
      </c>
      <c r="H25" s="1752" t="s">
        <v>86</v>
      </c>
      <c r="I25" s="1752" t="s">
        <v>86</v>
      </c>
      <c r="J25" s="1752" t="s">
        <v>86</v>
      </c>
      <c r="K25" s="1752" t="s">
        <v>86</v>
      </c>
      <c r="L25" s="1752" t="s">
        <v>171</v>
      </c>
      <c r="M25" s="1752" t="s">
        <v>86</v>
      </c>
      <c r="N25" s="1752" t="s">
        <v>86</v>
      </c>
      <c r="O25" s="1752" t="s">
        <v>86</v>
      </c>
      <c r="P25" s="1752" t="s">
        <v>1025</v>
      </c>
      <c r="Q25" s="1752" t="s">
        <v>1025</v>
      </c>
      <c r="R25" s="1752" t="s">
        <v>1025</v>
      </c>
      <c r="S25" s="1752" t="s">
        <v>171</v>
      </c>
      <c r="T25" s="1752" t="s">
        <v>1025</v>
      </c>
      <c r="U25" s="1752" t="s">
        <v>1025</v>
      </c>
      <c r="V25" s="1752" t="s">
        <v>1025</v>
      </c>
      <c r="W25" s="1752" t="s">
        <v>1025</v>
      </c>
      <c r="X25" s="1752" t="s">
        <v>1025</v>
      </c>
      <c r="Y25" s="1752" t="s">
        <v>1025</v>
      </c>
      <c r="Z25" s="1752" t="s">
        <v>171</v>
      </c>
      <c r="AA25" s="1752" t="s">
        <v>1025</v>
      </c>
      <c r="AB25" s="1752" t="s">
        <v>1025</v>
      </c>
      <c r="AC25" s="1752" t="s">
        <v>1025</v>
      </c>
      <c r="AD25" s="1752" t="s">
        <v>1025</v>
      </c>
      <c r="AE25" s="1752" t="s">
        <v>86</v>
      </c>
      <c r="AF25" s="1752"/>
      <c r="AG25" s="1752"/>
      <c r="AH25" s="1752"/>
      <c r="AI25" s="1754">
        <f t="shared" si="1"/>
        <v>23</v>
      </c>
      <c r="AJ25" s="1754">
        <f>COUNTIF(D25:AI25,"tt")</f>
        <v>2</v>
      </c>
      <c r="AK25" s="1754">
        <f t="shared" si="2"/>
        <v>25</v>
      </c>
      <c r="AL25" s="1754"/>
    </row>
    <row r="26" spans="1:40" s="1755" customFormat="1" ht="23.25" customHeight="1">
      <c r="A26" s="1802">
        <v>2</v>
      </c>
      <c r="B26" s="1757" t="s">
        <v>631</v>
      </c>
      <c r="C26" s="1753" t="s">
        <v>811</v>
      </c>
      <c r="D26" s="1752" t="s">
        <v>727</v>
      </c>
      <c r="E26" s="1752" t="s">
        <v>727</v>
      </c>
      <c r="F26" s="1752" t="s">
        <v>86</v>
      </c>
      <c r="G26" s="1752" t="s">
        <v>86</v>
      </c>
      <c r="H26" s="1752" t="s">
        <v>86</v>
      </c>
      <c r="I26" s="1752" t="s">
        <v>86</v>
      </c>
      <c r="J26" s="1752" t="s">
        <v>1025</v>
      </c>
      <c r="K26" s="1752" t="s">
        <v>1025</v>
      </c>
      <c r="L26" s="1752" t="s">
        <v>171</v>
      </c>
      <c r="M26" s="1752" t="s">
        <v>1025</v>
      </c>
      <c r="N26" s="1752" t="s">
        <v>1025</v>
      </c>
      <c r="O26" s="1752" t="s">
        <v>1025</v>
      </c>
      <c r="P26" s="1752" t="s">
        <v>1025</v>
      </c>
      <c r="Q26" s="1752" t="s">
        <v>1025</v>
      </c>
      <c r="R26" s="1752" t="s">
        <v>1025</v>
      </c>
      <c r="S26" s="1752" t="s">
        <v>171</v>
      </c>
      <c r="T26" s="1752" t="s">
        <v>1025</v>
      </c>
      <c r="U26" s="1752" t="s">
        <v>1025</v>
      </c>
      <c r="V26" s="1752" t="s">
        <v>1025</v>
      </c>
      <c r="W26" s="1752" t="s">
        <v>1025</v>
      </c>
      <c r="X26" s="1752" t="s">
        <v>1025</v>
      </c>
      <c r="Y26" s="1752" t="s">
        <v>86</v>
      </c>
      <c r="Z26" s="1752" t="s">
        <v>171</v>
      </c>
      <c r="AA26" s="1752" t="s">
        <v>86</v>
      </c>
      <c r="AB26" s="1752" t="s">
        <v>86</v>
      </c>
      <c r="AC26" s="1752" t="s">
        <v>86</v>
      </c>
      <c r="AD26" s="1752" t="s">
        <v>86</v>
      </c>
      <c r="AE26" s="1752" t="s">
        <v>86</v>
      </c>
      <c r="AF26" s="1752"/>
      <c r="AG26" s="1752"/>
      <c r="AH26" s="1752"/>
      <c r="AI26" s="1754">
        <f t="shared" si="1"/>
        <v>23</v>
      </c>
      <c r="AJ26" s="1754">
        <f t="shared" ref="AJ26:AJ28" si="5">COUNTIF(D26:AI26,"tt")</f>
        <v>2</v>
      </c>
      <c r="AK26" s="1754">
        <f t="shared" si="2"/>
        <v>25</v>
      </c>
      <c r="AL26" s="1754"/>
      <c r="AN26" s="1756" t="s">
        <v>644</v>
      </c>
    </row>
    <row r="27" spans="1:40" s="1755" customFormat="1" ht="23.25" customHeight="1">
      <c r="A27" s="1802">
        <v>3</v>
      </c>
      <c r="B27" s="1756" t="s">
        <v>644</v>
      </c>
      <c r="C27" s="1753" t="s">
        <v>812</v>
      </c>
      <c r="D27" s="1752" t="s">
        <v>727</v>
      </c>
      <c r="E27" s="1752" t="s">
        <v>727</v>
      </c>
      <c r="F27" s="1752" t="s">
        <v>86</v>
      </c>
      <c r="G27" s="1752" t="s">
        <v>86</v>
      </c>
      <c r="H27" s="1752" t="s">
        <v>86</v>
      </c>
      <c r="I27" s="1752" t="s">
        <v>86</v>
      </c>
      <c r="J27" s="1752" t="s">
        <v>86</v>
      </c>
      <c r="K27" s="1752" t="s">
        <v>86</v>
      </c>
      <c r="L27" s="1752" t="s">
        <v>171</v>
      </c>
      <c r="M27" s="1752" t="s">
        <v>86</v>
      </c>
      <c r="N27" s="1752" t="s">
        <v>86</v>
      </c>
      <c r="O27" s="1752" t="s">
        <v>86</v>
      </c>
      <c r="P27" s="1752" t="s">
        <v>86</v>
      </c>
      <c r="Q27" s="1752" t="s">
        <v>86</v>
      </c>
      <c r="R27" s="1752" t="s">
        <v>86</v>
      </c>
      <c r="S27" s="1752" t="s">
        <v>171</v>
      </c>
      <c r="T27" s="1752" t="s">
        <v>86</v>
      </c>
      <c r="U27" s="1752" t="s">
        <v>86</v>
      </c>
      <c r="V27" s="1752" t="s">
        <v>86</v>
      </c>
      <c r="W27" s="1752" t="s">
        <v>86</v>
      </c>
      <c r="X27" s="1752" t="s">
        <v>86</v>
      </c>
      <c r="Y27" s="1752" t="s">
        <v>86</v>
      </c>
      <c r="Z27" s="1752" t="s">
        <v>171</v>
      </c>
      <c r="AA27" s="1752" t="s">
        <v>86</v>
      </c>
      <c r="AB27" s="1752" t="s">
        <v>86</v>
      </c>
      <c r="AC27" s="1752" t="s">
        <v>86</v>
      </c>
      <c r="AD27" s="1752" t="s">
        <v>86</v>
      </c>
      <c r="AE27" s="1752" t="s">
        <v>86</v>
      </c>
      <c r="AF27" s="1752"/>
      <c r="AG27" s="1752"/>
      <c r="AH27" s="1752"/>
      <c r="AI27" s="1754">
        <f t="shared" si="1"/>
        <v>23</v>
      </c>
      <c r="AJ27" s="1754">
        <f t="shared" si="5"/>
        <v>2</v>
      </c>
      <c r="AK27" s="1754">
        <f t="shared" si="2"/>
        <v>25</v>
      </c>
      <c r="AL27" s="1754"/>
    </row>
    <row r="28" spans="1:40" s="1755" customFormat="1" ht="23.25" customHeight="1">
      <c r="A28" s="1802">
        <v>4</v>
      </c>
      <c r="B28" s="1756" t="s">
        <v>633</v>
      </c>
      <c r="C28" s="1753" t="s">
        <v>813</v>
      </c>
      <c r="D28" s="1752" t="s">
        <v>727</v>
      </c>
      <c r="E28" s="1752" t="s">
        <v>727</v>
      </c>
      <c r="F28" s="1752" t="s">
        <v>86</v>
      </c>
      <c r="G28" s="1752" t="s">
        <v>86</v>
      </c>
      <c r="H28" s="1752" t="s">
        <v>86</v>
      </c>
      <c r="I28" s="1752" t="s">
        <v>86</v>
      </c>
      <c r="J28" s="1752" t="s">
        <v>86</v>
      </c>
      <c r="K28" s="1752" t="s">
        <v>86</v>
      </c>
      <c r="L28" s="1752" t="s">
        <v>171</v>
      </c>
      <c r="M28" s="1752" t="s">
        <v>86</v>
      </c>
      <c r="N28" s="1752" t="s">
        <v>86</v>
      </c>
      <c r="O28" s="1752" t="s">
        <v>86</v>
      </c>
      <c r="P28" s="1752" t="s">
        <v>86</v>
      </c>
      <c r="Q28" s="1752" t="s">
        <v>86</v>
      </c>
      <c r="R28" s="1752" t="s">
        <v>86</v>
      </c>
      <c r="S28" s="1752" t="s">
        <v>171</v>
      </c>
      <c r="T28" s="1752" t="s">
        <v>86</v>
      </c>
      <c r="U28" s="1752" t="s">
        <v>86</v>
      </c>
      <c r="V28" s="1752" t="s">
        <v>86</v>
      </c>
      <c r="W28" s="1752" t="s">
        <v>86</v>
      </c>
      <c r="X28" s="1752" t="s">
        <v>86</v>
      </c>
      <c r="Y28" s="1752" t="s">
        <v>86</v>
      </c>
      <c r="Z28" s="1752" t="s">
        <v>171</v>
      </c>
      <c r="AA28" s="1752" t="s">
        <v>86</v>
      </c>
      <c r="AB28" s="1752" t="s">
        <v>86</v>
      </c>
      <c r="AC28" s="1752" t="s">
        <v>86</v>
      </c>
      <c r="AD28" s="1752" t="s">
        <v>86</v>
      </c>
      <c r="AE28" s="1752" t="s">
        <v>86</v>
      </c>
      <c r="AF28" s="1752"/>
      <c r="AG28" s="1752"/>
      <c r="AH28" s="1752"/>
      <c r="AI28" s="1754">
        <f t="shared" si="1"/>
        <v>23</v>
      </c>
      <c r="AJ28" s="1754">
        <f t="shared" si="5"/>
        <v>2</v>
      </c>
      <c r="AK28" s="1754">
        <f t="shared" si="2"/>
        <v>25</v>
      </c>
      <c r="AL28" s="1754"/>
    </row>
    <row r="29" spans="1:40" s="1755" customFormat="1" ht="23.25" customHeight="1">
      <c r="A29" s="1803" t="s">
        <v>144</v>
      </c>
      <c r="B29" s="2267" t="s">
        <v>192</v>
      </c>
      <c r="C29" s="2267"/>
      <c r="D29" s="2267"/>
      <c r="E29" s="2267"/>
      <c r="F29" s="2267"/>
      <c r="G29" s="2267"/>
      <c r="H29" s="2267"/>
      <c r="I29" s="2267"/>
      <c r="J29" s="2267"/>
      <c r="K29" s="2267"/>
      <c r="L29" s="2267"/>
      <c r="M29" s="2267"/>
      <c r="N29" s="2267"/>
      <c r="O29" s="2267"/>
      <c r="P29" s="2267"/>
      <c r="Q29" s="2267"/>
      <c r="R29" s="2267"/>
      <c r="S29" s="2267"/>
      <c r="T29" s="2267"/>
      <c r="U29" s="2267"/>
      <c r="V29" s="2267"/>
      <c r="W29" s="2267"/>
      <c r="X29" s="2267"/>
      <c r="Y29" s="2267"/>
      <c r="Z29" s="2267"/>
      <c r="AA29" s="2267"/>
      <c r="AB29" s="2267"/>
      <c r="AC29" s="2267"/>
      <c r="AD29" s="2267"/>
      <c r="AE29" s="2267"/>
      <c r="AF29" s="2267"/>
      <c r="AG29" s="2267"/>
      <c r="AH29" s="1752"/>
      <c r="AI29" s="1804">
        <f>SUM(AI30:AI33)</f>
        <v>94</v>
      </c>
      <c r="AJ29" s="1804">
        <f t="shared" ref="AJ29:AK29" si="6">SUM(AJ30:AJ33)</f>
        <v>4</v>
      </c>
      <c r="AK29" s="1804">
        <f t="shared" si="6"/>
        <v>98</v>
      </c>
      <c r="AL29" s="1754"/>
      <c r="AN29" s="1805"/>
    </row>
    <row r="30" spans="1:40" s="1755" customFormat="1" ht="23.25" customHeight="1">
      <c r="A30" s="1802">
        <v>1</v>
      </c>
      <c r="B30" s="1756" t="s">
        <v>188</v>
      </c>
      <c r="C30" s="1756" t="s">
        <v>334</v>
      </c>
      <c r="D30" s="1752" t="s">
        <v>1025</v>
      </c>
      <c r="E30" s="1752" t="s">
        <v>171</v>
      </c>
      <c r="F30" s="1752" t="s">
        <v>1025</v>
      </c>
      <c r="G30" s="1752" t="s">
        <v>1025</v>
      </c>
      <c r="H30" s="1752" t="s">
        <v>86</v>
      </c>
      <c r="I30" s="1752" t="s">
        <v>86</v>
      </c>
      <c r="J30" s="1752" t="s">
        <v>86</v>
      </c>
      <c r="K30" s="1752" t="s">
        <v>86</v>
      </c>
      <c r="L30" s="1752" t="s">
        <v>171</v>
      </c>
      <c r="M30" s="1752" t="s">
        <v>86</v>
      </c>
      <c r="N30" s="1752" t="s">
        <v>86</v>
      </c>
      <c r="O30" s="1752" t="s">
        <v>86</v>
      </c>
      <c r="P30" s="1752" t="s">
        <v>86</v>
      </c>
      <c r="Q30" s="1752" t="s">
        <v>86</v>
      </c>
      <c r="R30" s="1752" t="s">
        <v>86</v>
      </c>
      <c r="S30" s="1752" t="s">
        <v>171</v>
      </c>
      <c r="T30" s="1752" t="s">
        <v>86</v>
      </c>
      <c r="U30" s="1752" t="s">
        <v>86</v>
      </c>
      <c r="V30" s="1752" t="s">
        <v>86</v>
      </c>
      <c r="W30" s="1752" t="s">
        <v>86</v>
      </c>
      <c r="X30" s="1785" t="s">
        <v>86</v>
      </c>
      <c r="Y30" s="1752" t="s">
        <v>86</v>
      </c>
      <c r="Z30" s="1752" t="s">
        <v>171</v>
      </c>
      <c r="AA30" s="1752" t="s">
        <v>86</v>
      </c>
      <c r="AB30" s="1752" t="s">
        <v>86</v>
      </c>
      <c r="AC30" s="1752" t="s">
        <v>86</v>
      </c>
      <c r="AD30" s="1752" t="s">
        <v>86</v>
      </c>
      <c r="AE30" s="1752" t="s">
        <v>86</v>
      </c>
      <c r="AF30" s="1752"/>
      <c r="AG30" s="1752"/>
      <c r="AH30" s="1752"/>
      <c r="AI30" s="1754">
        <f t="shared" ref="AI30:AI33" si="7">COUNTIF(D30:AH30,"x")+ COUNTIF(D30:AH30,"p")+COUNTIF(D30:AH30,"pt")+COUNTIF(D30:AH30,"T")+COUNTIF(D30:AH30,"VN")</f>
        <v>24</v>
      </c>
      <c r="AJ30" s="1754"/>
      <c r="AK30" s="1754">
        <f t="shared" si="2"/>
        <v>24</v>
      </c>
      <c r="AL30" s="1754"/>
      <c r="AN30" s="1805"/>
    </row>
    <row r="31" spans="1:40" s="1755" customFormat="1" ht="23.25" customHeight="1">
      <c r="A31" s="1802">
        <v>2</v>
      </c>
      <c r="B31" s="1784" t="s">
        <v>630</v>
      </c>
      <c r="C31" s="1756" t="s">
        <v>334</v>
      </c>
      <c r="D31" s="1752" t="s">
        <v>1025</v>
      </c>
      <c r="E31" s="1752" t="s">
        <v>171</v>
      </c>
      <c r="F31" s="1752" t="s">
        <v>1025</v>
      </c>
      <c r="G31" s="1752" t="s">
        <v>1025</v>
      </c>
      <c r="H31" s="1752" t="s">
        <v>1025</v>
      </c>
      <c r="I31" s="1752" t="s">
        <v>1025</v>
      </c>
      <c r="J31" s="1752" t="s">
        <v>86</v>
      </c>
      <c r="K31" s="1752" t="s">
        <v>86</v>
      </c>
      <c r="L31" s="1752" t="s">
        <v>86</v>
      </c>
      <c r="M31" s="1752" t="s">
        <v>86</v>
      </c>
      <c r="N31" s="1752" t="s">
        <v>86</v>
      </c>
      <c r="O31" s="1752" t="s">
        <v>171</v>
      </c>
      <c r="P31" s="1752" t="s">
        <v>86</v>
      </c>
      <c r="Q31" s="1752" t="s">
        <v>86</v>
      </c>
      <c r="R31" s="1752" t="s">
        <v>86</v>
      </c>
      <c r="S31" s="1752" t="s">
        <v>86</v>
      </c>
      <c r="T31" s="1752" t="s">
        <v>86</v>
      </c>
      <c r="U31" s="1752" t="s">
        <v>86</v>
      </c>
      <c r="V31" s="1752" t="s">
        <v>171</v>
      </c>
      <c r="W31" s="1752" t="s">
        <v>86</v>
      </c>
      <c r="X31" s="1752" t="s">
        <v>86</v>
      </c>
      <c r="Y31" s="1752" t="s">
        <v>86</v>
      </c>
      <c r="Z31" s="1785" t="s">
        <v>171</v>
      </c>
      <c r="AA31" s="1752" t="s">
        <v>86</v>
      </c>
      <c r="AB31" s="1752" t="s">
        <v>86</v>
      </c>
      <c r="AC31" s="1752" t="s">
        <v>86</v>
      </c>
      <c r="AD31" s="1752" t="s">
        <v>86</v>
      </c>
      <c r="AE31" s="1752" t="s">
        <v>86</v>
      </c>
      <c r="AF31" s="1752"/>
      <c r="AG31" s="1752"/>
      <c r="AH31" s="1752"/>
      <c r="AI31" s="1754">
        <f t="shared" si="7"/>
        <v>24</v>
      </c>
      <c r="AJ31" s="1754"/>
      <c r="AK31" s="1754">
        <f t="shared" si="2"/>
        <v>24</v>
      </c>
      <c r="AL31" s="1754"/>
      <c r="AN31" s="1805"/>
    </row>
    <row r="32" spans="1:40" s="1755" customFormat="1" ht="23.25" customHeight="1">
      <c r="A32" s="1802">
        <v>3</v>
      </c>
      <c r="B32" s="1756" t="s">
        <v>78</v>
      </c>
      <c r="C32" s="1756" t="s">
        <v>334</v>
      </c>
      <c r="D32" s="1752" t="s">
        <v>727</v>
      </c>
      <c r="E32" s="1752" t="s">
        <v>727</v>
      </c>
      <c r="F32" s="1752" t="s">
        <v>86</v>
      </c>
      <c r="G32" s="1752" t="s">
        <v>86</v>
      </c>
      <c r="H32" s="1752" t="s">
        <v>86</v>
      </c>
      <c r="I32" s="1752" t="s">
        <v>86</v>
      </c>
      <c r="J32" s="1752" t="s">
        <v>86</v>
      </c>
      <c r="K32" s="1752" t="s">
        <v>86</v>
      </c>
      <c r="L32" s="1752" t="s">
        <v>171</v>
      </c>
      <c r="M32" s="1752" t="s">
        <v>86</v>
      </c>
      <c r="N32" s="1752" t="s">
        <v>86</v>
      </c>
      <c r="O32" s="1752" t="s">
        <v>86</v>
      </c>
      <c r="P32" s="1752" t="s">
        <v>86</v>
      </c>
      <c r="Q32" s="1752" t="s">
        <v>86</v>
      </c>
      <c r="R32" s="1752" t="s">
        <v>86</v>
      </c>
      <c r="S32" s="1752" t="s">
        <v>171</v>
      </c>
      <c r="T32" s="1752" t="s">
        <v>86</v>
      </c>
      <c r="U32" s="1752" t="s">
        <v>86</v>
      </c>
      <c r="V32" s="1752" t="s">
        <v>86</v>
      </c>
      <c r="W32" s="1752" t="s">
        <v>86</v>
      </c>
      <c r="X32" s="1752" t="s">
        <v>86</v>
      </c>
      <c r="Y32" s="1752" t="s">
        <v>86</v>
      </c>
      <c r="Z32" s="1752" t="s">
        <v>171</v>
      </c>
      <c r="AA32" s="1752" t="s">
        <v>86</v>
      </c>
      <c r="AB32" s="1752" t="s">
        <v>86</v>
      </c>
      <c r="AC32" s="1752" t="s">
        <v>86</v>
      </c>
      <c r="AD32" s="1752" t="s">
        <v>86</v>
      </c>
      <c r="AE32" s="1752" t="s">
        <v>86</v>
      </c>
      <c r="AF32" s="1752"/>
      <c r="AG32" s="1752"/>
      <c r="AH32" s="1752"/>
      <c r="AI32" s="1754">
        <f t="shared" si="7"/>
        <v>23</v>
      </c>
      <c r="AJ32" s="1754">
        <f>COUNTIF(D32:AI32,"tt")</f>
        <v>2</v>
      </c>
      <c r="AK32" s="1754">
        <f t="shared" si="2"/>
        <v>25</v>
      </c>
      <c r="AL32" s="1754"/>
      <c r="AN32" s="1805"/>
    </row>
    <row r="33" spans="1:40" s="1755" customFormat="1" ht="23.25" customHeight="1">
      <c r="A33" s="1802">
        <v>4</v>
      </c>
      <c r="B33" s="1756" t="s">
        <v>183</v>
      </c>
      <c r="C33" s="1756" t="s">
        <v>334</v>
      </c>
      <c r="D33" s="1752" t="s">
        <v>727</v>
      </c>
      <c r="E33" s="1752" t="s">
        <v>727</v>
      </c>
      <c r="F33" s="1752" t="s">
        <v>86</v>
      </c>
      <c r="G33" s="1752" t="s">
        <v>86</v>
      </c>
      <c r="H33" s="1752" t="s">
        <v>86</v>
      </c>
      <c r="I33" s="1752" t="s">
        <v>86</v>
      </c>
      <c r="J33" s="1752" t="s">
        <v>86</v>
      </c>
      <c r="K33" s="1752" t="s">
        <v>86</v>
      </c>
      <c r="L33" s="1752" t="s">
        <v>171</v>
      </c>
      <c r="M33" s="1752" t="s">
        <v>86</v>
      </c>
      <c r="N33" s="1752" t="s">
        <v>86</v>
      </c>
      <c r="O33" s="1752" t="s">
        <v>86</v>
      </c>
      <c r="P33" s="1752" t="s">
        <v>86</v>
      </c>
      <c r="Q33" s="1752" t="s">
        <v>86</v>
      </c>
      <c r="R33" s="1752" t="s">
        <v>86</v>
      </c>
      <c r="S33" s="1752" t="s">
        <v>171</v>
      </c>
      <c r="T33" s="1752" t="s">
        <v>86</v>
      </c>
      <c r="U33" s="1752" t="s">
        <v>86</v>
      </c>
      <c r="V33" s="1752" t="s">
        <v>86</v>
      </c>
      <c r="W33" s="1752" t="s">
        <v>86</v>
      </c>
      <c r="X33" s="1752" t="s">
        <v>86</v>
      </c>
      <c r="Y33" s="1752" t="s">
        <v>86</v>
      </c>
      <c r="Z33" s="1752" t="s">
        <v>171</v>
      </c>
      <c r="AA33" s="1752" t="s">
        <v>86</v>
      </c>
      <c r="AB33" s="1752" t="s">
        <v>86</v>
      </c>
      <c r="AC33" s="1752" t="s">
        <v>86</v>
      </c>
      <c r="AD33" s="1752" t="s">
        <v>86</v>
      </c>
      <c r="AE33" s="1752" t="s">
        <v>86</v>
      </c>
      <c r="AF33" s="1752"/>
      <c r="AG33" s="1752"/>
      <c r="AH33" s="1752"/>
      <c r="AI33" s="1754">
        <f t="shared" si="7"/>
        <v>23</v>
      </c>
      <c r="AJ33" s="1754">
        <f>COUNTIF(D33:AI33,"tt")</f>
        <v>2</v>
      </c>
      <c r="AK33" s="1754">
        <f t="shared" si="2"/>
        <v>25</v>
      </c>
      <c r="AL33" s="1754"/>
      <c r="AN33" s="1805"/>
    </row>
    <row r="34" spans="1:40" s="1755" customFormat="1" ht="19.5" customHeight="1">
      <c r="A34" s="1803" t="s">
        <v>199</v>
      </c>
      <c r="B34" s="2267" t="s">
        <v>223</v>
      </c>
      <c r="C34" s="2267"/>
      <c r="D34" s="2267"/>
      <c r="E34" s="2267"/>
      <c r="F34" s="2267"/>
      <c r="G34" s="2267"/>
      <c r="H34" s="2267"/>
      <c r="I34" s="2267"/>
      <c r="J34" s="2267"/>
      <c r="K34" s="2267"/>
      <c r="L34" s="2267"/>
      <c r="M34" s="2267"/>
      <c r="N34" s="2267"/>
      <c r="O34" s="2267"/>
      <c r="P34" s="2267"/>
      <c r="Q34" s="2267"/>
      <c r="R34" s="2267"/>
      <c r="S34" s="2267"/>
      <c r="T34" s="2267"/>
      <c r="U34" s="2267"/>
      <c r="V34" s="2267"/>
      <c r="W34" s="2267"/>
      <c r="X34" s="2267"/>
      <c r="Y34" s="2267"/>
      <c r="Z34" s="2267"/>
      <c r="AA34" s="2267"/>
      <c r="AB34" s="2267"/>
      <c r="AC34" s="2267"/>
      <c r="AD34" s="2267"/>
      <c r="AE34" s="2267"/>
      <c r="AF34" s="2267"/>
      <c r="AG34" s="2267"/>
      <c r="AH34" s="1749"/>
      <c r="AI34" s="1804">
        <f>SUM(AI35:AI36)</f>
        <v>47</v>
      </c>
      <c r="AJ34" s="1804">
        <f t="shared" ref="AJ34:AK34" si="8">SUM(AJ35:AJ36)</f>
        <v>2</v>
      </c>
      <c r="AK34" s="1804">
        <f t="shared" si="8"/>
        <v>49</v>
      </c>
      <c r="AL34" s="1804"/>
    </row>
    <row r="35" spans="1:40" s="1755" customFormat="1" ht="29.25" customHeight="1">
      <c r="A35" s="1802">
        <v>1</v>
      </c>
      <c r="B35" s="1757" t="s">
        <v>1004</v>
      </c>
      <c r="C35" s="1756" t="s">
        <v>612</v>
      </c>
      <c r="D35" s="1752" t="s">
        <v>727</v>
      </c>
      <c r="E35" s="1752" t="s">
        <v>727</v>
      </c>
      <c r="F35" s="1752" t="s">
        <v>86</v>
      </c>
      <c r="G35" s="1752" t="s">
        <v>86</v>
      </c>
      <c r="H35" s="1752" t="s">
        <v>86</v>
      </c>
      <c r="I35" s="1752" t="s">
        <v>86</v>
      </c>
      <c r="J35" s="1752" t="s">
        <v>1025</v>
      </c>
      <c r="K35" s="1752" t="s">
        <v>1025</v>
      </c>
      <c r="L35" s="1752" t="s">
        <v>171</v>
      </c>
      <c r="M35" s="1752" t="s">
        <v>1025</v>
      </c>
      <c r="N35" s="1752" t="s">
        <v>1025</v>
      </c>
      <c r="O35" s="1752" t="s">
        <v>1025</v>
      </c>
      <c r="P35" s="1752" t="s">
        <v>1025</v>
      </c>
      <c r="Q35" s="1752" t="s">
        <v>1025</v>
      </c>
      <c r="R35" s="1752" t="s">
        <v>1025</v>
      </c>
      <c r="S35" s="1752" t="s">
        <v>171</v>
      </c>
      <c r="T35" s="1752" t="s">
        <v>1025</v>
      </c>
      <c r="U35" s="1752" t="s">
        <v>1025</v>
      </c>
      <c r="V35" s="1752" t="s">
        <v>1025</v>
      </c>
      <c r="W35" s="1752" t="s">
        <v>1025</v>
      </c>
      <c r="X35" s="1752" t="s">
        <v>1025</v>
      </c>
      <c r="Y35" s="1752" t="s">
        <v>86</v>
      </c>
      <c r="Z35" s="1752" t="s">
        <v>171</v>
      </c>
      <c r="AA35" s="1752" t="s">
        <v>86</v>
      </c>
      <c r="AB35" s="1752" t="s">
        <v>86</v>
      </c>
      <c r="AC35" s="1752" t="s">
        <v>86</v>
      </c>
      <c r="AD35" s="1752" t="s">
        <v>86</v>
      </c>
      <c r="AE35" s="1752" t="s">
        <v>86</v>
      </c>
      <c r="AF35" s="1752"/>
      <c r="AG35" s="1752"/>
      <c r="AH35" s="1752"/>
      <c r="AI35" s="1754">
        <f>COUNTIF(D35:AH35,"x")+ COUNTIF(D35:AH35,"p")+COUNTIF(D35:AH35,"pt")+COUNTIF(D35:AH35,"T")+COUNTIF(D35:AH35,"VN")</f>
        <v>23</v>
      </c>
      <c r="AJ35" s="1754">
        <f>COUNTIF(D35:AI35,"tt")</f>
        <v>2</v>
      </c>
      <c r="AK35" s="1754">
        <f t="shared" ref="AK35" si="9">AI35+AJ35</f>
        <v>25</v>
      </c>
      <c r="AL35" s="1754"/>
    </row>
    <row r="36" spans="1:40" s="1755" customFormat="1" ht="28.5" customHeight="1">
      <c r="A36" s="1802">
        <v>2</v>
      </c>
      <c r="B36" s="1757" t="s">
        <v>610</v>
      </c>
      <c r="C36" s="1753" t="s">
        <v>612</v>
      </c>
      <c r="D36" s="1752" t="s">
        <v>1025</v>
      </c>
      <c r="E36" s="1752" t="s">
        <v>171</v>
      </c>
      <c r="F36" s="1752" t="s">
        <v>1025</v>
      </c>
      <c r="G36" s="1752" t="s">
        <v>86</v>
      </c>
      <c r="H36" s="1752" t="s">
        <v>86</v>
      </c>
      <c r="I36" s="1752" t="s">
        <v>86</v>
      </c>
      <c r="J36" s="1752" t="s">
        <v>86</v>
      </c>
      <c r="K36" s="1752" t="s">
        <v>86</v>
      </c>
      <c r="L36" s="1752" t="s">
        <v>171</v>
      </c>
      <c r="M36" s="1752" t="s">
        <v>86</v>
      </c>
      <c r="N36" s="1752" t="s">
        <v>86</v>
      </c>
      <c r="O36" s="1752" t="s">
        <v>86</v>
      </c>
      <c r="P36" s="1752" t="s">
        <v>86</v>
      </c>
      <c r="Q36" s="1752" t="s">
        <v>86</v>
      </c>
      <c r="R36" s="1752" t="s">
        <v>86</v>
      </c>
      <c r="S36" s="1752" t="s">
        <v>171</v>
      </c>
      <c r="T36" s="1752" t="s">
        <v>86</v>
      </c>
      <c r="U36" s="1752" t="s">
        <v>86</v>
      </c>
      <c r="V36" s="1752" t="s">
        <v>86</v>
      </c>
      <c r="W36" s="1752" t="s">
        <v>86</v>
      </c>
      <c r="X36" s="1752" t="s">
        <v>86</v>
      </c>
      <c r="Y36" s="1752" t="s">
        <v>86</v>
      </c>
      <c r="Z36" s="1752" t="s">
        <v>171</v>
      </c>
      <c r="AA36" s="1752" t="s">
        <v>86</v>
      </c>
      <c r="AB36" s="1752" t="s">
        <v>86</v>
      </c>
      <c r="AC36" s="1752" t="s">
        <v>86</v>
      </c>
      <c r="AD36" s="1752" t="s">
        <v>86</v>
      </c>
      <c r="AE36" s="1752" t="s">
        <v>86</v>
      </c>
      <c r="AF36" s="1752"/>
      <c r="AG36" s="1752"/>
      <c r="AH36" s="1752"/>
      <c r="AI36" s="1754">
        <f t="shared" ref="AI36" si="10">COUNTIF(D36:AH36,"x")+ COUNTIF(D36:AH36,"p")+COUNTIF(D36:AH36,"pt")+COUNTIF(D36:AH36,"T")+COUNTIF(D36:AH36,"VN")</f>
        <v>24</v>
      </c>
      <c r="AJ36" s="1754"/>
      <c r="AK36" s="1754">
        <f t="shared" ref="AK36" si="11">AI36+AJ36</f>
        <v>24</v>
      </c>
      <c r="AL36" s="1754"/>
    </row>
    <row r="37" spans="1:40" s="1755" customFormat="1" ht="16.5" customHeight="1">
      <c r="A37" s="2349" t="s">
        <v>256</v>
      </c>
      <c r="B37" s="2349"/>
      <c r="C37" s="2349"/>
      <c r="D37" s="1759"/>
      <c r="E37" s="1759"/>
      <c r="F37" s="1759"/>
      <c r="G37" s="1759"/>
      <c r="H37" s="1759"/>
      <c r="I37" s="1759"/>
      <c r="J37" s="1759"/>
      <c r="K37" s="1759"/>
      <c r="L37" s="1759"/>
      <c r="M37" s="1759"/>
      <c r="N37" s="1759"/>
      <c r="O37" s="1759"/>
      <c r="P37" s="1759"/>
      <c r="Q37" s="1759"/>
      <c r="R37" s="1759"/>
      <c r="S37" s="1759"/>
      <c r="T37" s="1759"/>
      <c r="U37" s="1759"/>
      <c r="V37" s="1759"/>
      <c r="W37" s="1759"/>
      <c r="X37" s="1759"/>
      <c r="Y37" s="1759"/>
      <c r="Z37" s="1759"/>
      <c r="AA37" s="1759"/>
      <c r="AB37" s="1759"/>
      <c r="AC37" s="1759"/>
      <c r="AD37" s="1759"/>
      <c r="AE37" s="1759"/>
      <c r="AF37" s="1759"/>
      <c r="AG37" s="1759"/>
      <c r="AH37" s="1759"/>
      <c r="AI37" s="1761">
        <f>AI12+AI24+AI29+AI34</f>
        <v>486</v>
      </c>
      <c r="AJ37" s="1761">
        <f t="shared" ref="AJ37:AK37" si="12">AJ12+AJ24+AJ29+AJ34</f>
        <v>26</v>
      </c>
      <c r="AK37" s="1761">
        <f t="shared" si="12"/>
        <v>512</v>
      </c>
      <c r="AL37" s="1754"/>
    </row>
    <row r="38" spans="1:40" ht="15.75" customHeight="1">
      <c r="B38" s="1762"/>
      <c r="C38" s="1762"/>
      <c r="D38" s="1762"/>
      <c r="E38" s="1762"/>
      <c r="F38" s="1762"/>
      <c r="G38" s="1762"/>
      <c r="H38" s="1762"/>
      <c r="I38" s="1762"/>
      <c r="J38" s="1762"/>
      <c r="K38" s="1762"/>
      <c r="L38" s="1762"/>
      <c r="M38" s="1762"/>
      <c r="N38" s="1762"/>
      <c r="O38" s="1762"/>
      <c r="P38" s="1762"/>
      <c r="Q38" s="1762"/>
      <c r="R38" s="1762"/>
      <c r="S38" s="1762"/>
      <c r="T38" s="2272" t="s">
        <v>1109</v>
      </c>
      <c r="U38" s="2272"/>
      <c r="V38" s="2272"/>
      <c r="W38" s="2272"/>
      <c r="X38" s="2272"/>
      <c r="Y38" s="2272"/>
      <c r="Z38" s="2272"/>
      <c r="AA38" s="2272"/>
      <c r="AB38" s="2272"/>
      <c r="AC38" s="2272"/>
      <c r="AD38" s="2272"/>
      <c r="AE38" s="2272"/>
      <c r="AF38" s="2272"/>
      <c r="AG38" s="2272"/>
      <c r="AH38" s="2272"/>
      <c r="AI38" s="2272"/>
      <c r="AJ38" s="1763"/>
      <c r="AK38" s="1763"/>
      <c r="AL38" s="1763"/>
    </row>
    <row r="39" spans="1:40" ht="17.25" customHeight="1">
      <c r="A39" s="1764"/>
      <c r="B39" s="2350" t="s">
        <v>45</v>
      </c>
      <c r="C39" s="2350"/>
      <c r="D39" s="2350"/>
      <c r="E39" s="2350"/>
      <c r="F39" s="2350"/>
      <c r="G39" s="2350"/>
      <c r="H39" s="2350"/>
      <c r="I39" s="2350"/>
      <c r="J39" s="2350"/>
      <c r="K39" s="2273" t="s">
        <v>713</v>
      </c>
      <c r="L39" s="2273"/>
      <c r="M39" s="2273"/>
      <c r="N39" s="2273"/>
      <c r="O39" s="2273"/>
      <c r="P39" s="2273"/>
      <c r="Q39" s="2273"/>
      <c r="R39" s="2273"/>
      <c r="S39" s="2273"/>
      <c r="T39" s="2273"/>
      <c r="U39" s="2273"/>
      <c r="V39" s="2273"/>
      <c r="W39" s="2273"/>
      <c r="X39" s="2273" t="s">
        <v>196</v>
      </c>
      <c r="Y39" s="2273"/>
      <c r="Z39" s="2273"/>
      <c r="AA39" s="2273"/>
      <c r="AB39" s="2273"/>
      <c r="AC39" s="2273"/>
      <c r="AD39" s="2273"/>
      <c r="AE39" s="2273"/>
      <c r="AF39" s="2273"/>
      <c r="AG39" s="2273"/>
      <c r="AH39" s="2273"/>
      <c r="AI39" s="2273"/>
      <c r="AJ39" s="1767"/>
      <c r="AK39" s="1767"/>
      <c r="AL39" s="1767"/>
    </row>
    <row r="40" spans="1:40" ht="15" customHeight="1">
      <c r="A40" s="1746"/>
      <c r="B40" s="1768"/>
      <c r="C40" s="1769"/>
      <c r="D40" s="1746"/>
      <c r="E40" s="1746"/>
      <c r="F40" s="1746"/>
      <c r="G40" s="1746"/>
      <c r="H40" s="1746"/>
      <c r="I40" s="1770"/>
      <c r="J40" s="1770"/>
      <c r="K40" s="1770"/>
      <c r="L40" s="1771"/>
      <c r="M40" s="1771"/>
      <c r="N40" s="1771"/>
      <c r="O40" s="1771"/>
      <c r="P40" s="1771"/>
      <c r="Q40" s="1771"/>
      <c r="R40" s="1771"/>
      <c r="S40" s="1771"/>
      <c r="T40" s="1771"/>
      <c r="U40" s="1771"/>
      <c r="V40" s="1771"/>
      <c r="W40" s="1771"/>
      <c r="X40" s="1771"/>
      <c r="Y40" s="1771"/>
      <c r="Z40" s="1771"/>
      <c r="AA40" s="1771"/>
      <c r="AB40" s="1771"/>
      <c r="AC40" s="1771"/>
      <c r="AD40" s="1771"/>
      <c r="AE40" s="1771"/>
      <c r="AF40" s="1771"/>
      <c r="AG40" s="1771"/>
      <c r="AH40" s="1771"/>
      <c r="AI40" s="1771"/>
      <c r="AJ40" s="1771"/>
      <c r="AK40" s="1771"/>
      <c r="AL40" s="1771"/>
    </row>
    <row r="41" spans="1:40" ht="13.5" customHeight="1">
      <c r="A41" s="1746"/>
      <c r="B41" s="1772"/>
      <c r="C41" s="1769"/>
      <c r="D41" s="1746"/>
      <c r="E41" s="1746"/>
      <c r="F41" s="1746"/>
      <c r="G41" s="1746"/>
      <c r="H41" s="1746"/>
      <c r="I41" s="1746"/>
      <c r="J41" s="1746"/>
      <c r="K41" s="1746"/>
      <c r="L41" s="1746"/>
      <c r="M41" s="1746"/>
      <c r="N41" s="1771"/>
      <c r="O41" s="1771"/>
      <c r="P41" s="1771"/>
      <c r="Q41" s="1770"/>
      <c r="R41" s="1770"/>
      <c r="S41" s="1770"/>
      <c r="T41" s="1770"/>
      <c r="U41" s="1770"/>
      <c r="V41" s="1770"/>
      <c r="W41" s="1771"/>
      <c r="X41" s="1771"/>
      <c r="Y41" s="1771"/>
      <c r="Z41" s="1771"/>
      <c r="AA41" s="1771"/>
      <c r="AB41" s="1771"/>
      <c r="AC41" s="1771"/>
      <c r="AD41" s="1771"/>
      <c r="AE41" s="1771"/>
      <c r="AF41" s="1771"/>
      <c r="AG41" s="1771"/>
      <c r="AH41" s="1771"/>
      <c r="AI41" s="1770"/>
      <c r="AJ41" s="1770"/>
      <c r="AK41" s="1770"/>
      <c r="AL41" s="1770"/>
    </row>
    <row r="42" spans="1:40" ht="13.5" customHeight="1">
      <c r="A42" s="1746"/>
      <c r="B42" s="1772"/>
      <c r="C42" s="1769"/>
      <c r="D42" s="1746"/>
      <c r="E42" s="1746"/>
      <c r="F42" s="1746"/>
      <c r="G42" s="1746"/>
      <c r="H42" s="1746"/>
      <c r="I42" s="1770"/>
      <c r="J42" s="1770"/>
      <c r="K42" s="1766"/>
      <c r="L42" s="1746"/>
      <c r="M42" s="1746"/>
      <c r="N42" s="1771"/>
      <c r="O42" s="1771"/>
      <c r="P42" s="1771"/>
      <c r="Q42" s="1771"/>
      <c r="R42" s="1771"/>
      <c r="S42" s="1771"/>
      <c r="T42" s="1771"/>
      <c r="U42" s="1771"/>
      <c r="V42" s="1771"/>
      <c r="W42" s="1771"/>
      <c r="X42" s="1771"/>
      <c r="Y42" s="1771"/>
      <c r="Z42" s="1771"/>
      <c r="AA42" s="1771"/>
      <c r="AB42" s="1771"/>
      <c r="AC42" s="1771"/>
      <c r="AD42" s="1771"/>
      <c r="AE42" s="1771"/>
      <c r="AF42" s="1771"/>
      <c r="AG42" s="1771"/>
      <c r="AH42" s="1771"/>
      <c r="AI42" s="1771"/>
      <c r="AJ42" s="1771"/>
      <c r="AK42" s="1771"/>
      <c r="AL42" s="1771"/>
    </row>
    <row r="43" spans="1:40" ht="13.5" customHeight="1">
      <c r="A43" s="1746"/>
      <c r="B43" s="1772"/>
      <c r="C43" s="1769"/>
      <c r="D43" s="1746"/>
      <c r="E43" s="1746"/>
      <c r="F43" s="1746"/>
      <c r="G43" s="1746"/>
      <c r="H43" s="1746"/>
      <c r="I43" s="1746"/>
      <c r="J43" s="1746"/>
      <c r="K43" s="1766"/>
      <c r="L43" s="1746"/>
      <c r="M43" s="1746"/>
      <c r="N43" s="1771"/>
      <c r="O43" s="1771"/>
      <c r="P43" s="1771"/>
      <c r="Q43" s="1770"/>
      <c r="R43" s="1770"/>
      <c r="S43" s="1770"/>
      <c r="T43" s="1770"/>
      <c r="U43" s="1770"/>
      <c r="V43" s="1770"/>
      <c r="W43" s="1770"/>
      <c r="X43" s="1770"/>
      <c r="Y43" s="1770"/>
      <c r="Z43" s="1770"/>
      <c r="AA43" s="1770"/>
      <c r="AB43" s="1770"/>
      <c r="AC43" s="1770"/>
      <c r="AD43" s="1770"/>
      <c r="AE43" s="1770"/>
      <c r="AF43" s="1770"/>
      <c r="AG43" s="1770"/>
      <c r="AH43" s="1770"/>
      <c r="AI43" s="1770"/>
      <c r="AJ43" s="1770"/>
      <c r="AK43" s="1770"/>
      <c r="AL43" s="1770"/>
    </row>
    <row r="44" spans="1:40" ht="12" customHeight="1">
      <c r="A44" s="1746"/>
      <c r="B44" s="1772"/>
      <c r="C44" s="1773"/>
      <c r="D44" s="1746"/>
      <c r="E44" s="1746"/>
      <c r="F44" s="1746"/>
      <c r="G44" s="1746"/>
      <c r="H44" s="1746"/>
      <c r="I44" s="1746"/>
      <c r="J44" s="1746"/>
      <c r="K44" s="1766"/>
      <c r="L44" s="1746"/>
      <c r="M44" s="1746"/>
      <c r="N44" s="1771"/>
      <c r="O44" s="1771"/>
      <c r="P44" s="1771"/>
      <c r="Q44" s="1770"/>
      <c r="R44" s="1770"/>
      <c r="S44" s="1770"/>
      <c r="T44" s="1770"/>
      <c r="U44" s="1770"/>
      <c r="V44" s="1770"/>
      <c r="W44" s="1770"/>
      <c r="X44" s="1770"/>
      <c r="Y44" s="1770"/>
      <c r="Z44" s="1770"/>
      <c r="AA44" s="1770"/>
      <c r="AB44" s="1770"/>
      <c r="AC44" s="1770"/>
      <c r="AD44" s="1770"/>
      <c r="AE44" s="1770"/>
      <c r="AF44" s="1770"/>
      <c r="AG44" s="1770"/>
      <c r="AH44" s="1770"/>
      <c r="AI44" s="1770"/>
      <c r="AJ44" s="1770"/>
      <c r="AK44" s="1770"/>
      <c r="AL44" s="1770"/>
    </row>
    <row r="45" spans="1:40" ht="15.75" customHeight="1">
      <c r="A45" s="1746"/>
      <c r="B45" s="1772"/>
      <c r="C45" s="1746"/>
      <c r="D45" s="1746"/>
      <c r="E45" s="1746"/>
      <c r="F45" s="1746"/>
      <c r="G45" s="1746"/>
      <c r="H45" s="1746"/>
      <c r="I45" s="1746"/>
      <c r="J45" s="1746"/>
      <c r="L45" s="1746"/>
      <c r="M45" s="2351" t="s">
        <v>419</v>
      </c>
      <c r="N45" s="2351"/>
      <c r="O45" s="2351"/>
      <c r="P45" s="2351"/>
      <c r="Q45" s="2351"/>
      <c r="R45" s="2351"/>
      <c r="S45" s="2351"/>
      <c r="T45" s="2351"/>
      <c r="U45" s="2351"/>
      <c r="V45" s="2351"/>
      <c r="W45" s="1771"/>
      <c r="X45" s="2273" t="s">
        <v>76</v>
      </c>
      <c r="Y45" s="2273"/>
      <c r="Z45" s="2273"/>
      <c r="AA45" s="2273"/>
      <c r="AB45" s="2273"/>
      <c r="AC45" s="2273"/>
      <c r="AD45" s="2273"/>
      <c r="AE45" s="2273"/>
      <c r="AF45" s="2273"/>
      <c r="AG45" s="2273"/>
      <c r="AH45" s="2273"/>
      <c r="AI45" s="2273"/>
      <c r="AJ45" s="1767"/>
      <c r="AK45" s="1767"/>
      <c r="AL45" s="1767"/>
    </row>
    <row r="46" spans="1:40" ht="13.5" customHeight="1">
      <c r="A46" s="1746"/>
      <c r="C46" s="1774"/>
      <c r="D46" s="1774"/>
      <c r="E46" s="1774"/>
      <c r="F46" s="1774"/>
      <c r="G46" s="1774"/>
      <c r="H46" s="1774"/>
      <c r="I46" s="1774"/>
      <c r="J46" s="1774"/>
      <c r="K46" s="1774"/>
      <c r="L46" s="1746"/>
      <c r="M46" s="1746"/>
      <c r="N46" s="1746"/>
      <c r="O46" s="1746"/>
      <c r="P46" s="1746"/>
      <c r="Q46" s="1746"/>
      <c r="R46" s="1746"/>
      <c r="S46" s="1746"/>
      <c r="T46" s="1746"/>
      <c r="U46" s="1746"/>
      <c r="V46" s="1746"/>
      <c r="W46" s="1746"/>
      <c r="X46" s="1746"/>
      <c r="Y46" s="1746"/>
      <c r="Z46" s="1746"/>
      <c r="AA46" s="1746"/>
      <c r="AB46" s="1746"/>
      <c r="AC46" s="1746"/>
      <c r="AD46" s="1746"/>
      <c r="AE46" s="1746"/>
      <c r="AF46" s="1746"/>
      <c r="AG46" s="1746"/>
      <c r="AH46" s="1746"/>
      <c r="AI46" s="1746"/>
      <c r="AJ46" s="1746"/>
      <c r="AK46" s="1746"/>
      <c r="AL46" s="1746"/>
    </row>
    <row r="47" spans="1:40" ht="13.5" customHeight="1">
      <c r="A47" s="1746"/>
      <c r="D47" s="1773"/>
      <c r="E47" s="1773"/>
      <c r="F47" s="1773"/>
      <c r="G47" s="1773"/>
      <c r="H47" s="1773"/>
      <c r="I47" s="1746"/>
      <c r="J47" s="1746"/>
      <c r="K47" s="1746"/>
      <c r="L47" s="1746"/>
      <c r="M47" s="1746"/>
      <c r="N47" s="1746"/>
      <c r="O47" s="1746"/>
      <c r="P47" s="1746"/>
      <c r="Q47" s="1746"/>
      <c r="R47" s="1746"/>
      <c r="S47" s="1746"/>
      <c r="T47" s="1746"/>
      <c r="U47" s="1746"/>
      <c r="V47" s="1746"/>
      <c r="W47" s="1746"/>
      <c r="X47" s="1746"/>
      <c r="Y47" s="1746"/>
      <c r="Z47" s="1746"/>
      <c r="AA47" s="1746"/>
      <c r="AB47" s="1746"/>
      <c r="AC47" s="1746"/>
      <c r="AD47" s="1746"/>
      <c r="AE47" s="1746"/>
      <c r="AF47" s="1746"/>
      <c r="AG47" s="1746"/>
      <c r="AH47" s="1746"/>
      <c r="AI47" s="1746"/>
      <c r="AJ47" s="1746"/>
      <c r="AK47" s="1746"/>
      <c r="AL47" s="1746"/>
    </row>
    <row r="48" spans="1:40" ht="15.75" customHeight="1">
      <c r="A48" s="1746"/>
      <c r="B48" s="1768" t="s">
        <v>856</v>
      </c>
      <c r="C48" s="2269" t="s">
        <v>859</v>
      </c>
      <c r="D48" s="2269"/>
      <c r="E48" s="2269"/>
      <c r="F48" s="2269"/>
      <c r="G48" s="2269"/>
      <c r="H48" s="2269"/>
      <c r="I48" s="2269"/>
      <c r="J48" s="2269"/>
      <c r="K48" s="2269"/>
      <c r="L48" s="2269"/>
    </row>
    <row r="49" spans="1:12">
      <c r="A49" s="1746"/>
      <c r="B49" s="1772"/>
      <c r="C49" s="2270" t="s">
        <v>860</v>
      </c>
      <c r="D49" s="2270"/>
      <c r="E49" s="2270"/>
      <c r="F49" s="2270"/>
      <c r="G49" s="2270"/>
      <c r="H49" s="2270"/>
      <c r="I49" s="2270"/>
      <c r="J49" s="2270"/>
      <c r="K49" s="2270"/>
      <c r="L49" s="2270"/>
    </row>
    <row r="50" spans="1:12">
      <c r="C50" s="2269" t="s">
        <v>858</v>
      </c>
      <c r="D50" s="2269"/>
      <c r="E50" s="2269"/>
      <c r="F50" s="2269"/>
      <c r="G50" s="2269"/>
      <c r="H50" s="2269"/>
      <c r="I50" s="2269"/>
      <c r="J50" s="2269"/>
      <c r="K50" s="2269"/>
      <c r="L50" s="2269"/>
    </row>
    <row r="51" spans="1:12">
      <c r="C51" s="2269" t="s">
        <v>1060</v>
      </c>
      <c r="D51" s="2269"/>
      <c r="E51" s="2269"/>
      <c r="F51" s="2269"/>
      <c r="G51" s="2269"/>
      <c r="H51" s="2269"/>
      <c r="I51" s="2269"/>
      <c r="J51" s="2269"/>
      <c r="K51" s="2269"/>
      <c r="L51" s="2269"/>
    </row>
    <row r="52" spans="1:12">
      <c r="C52" s="1742" t="s">
        <v>1059</v>
      </c>
    </row>
    <row r="53" spans="1:12">
      <c r="C53" s="1742" t="s">
        <v>1112</v>
      </c>
    </row>
  </sheetData>
  <mergeCells count="30">
    <mergeCell ref="A37:C37"/>
    <mergeCell ref="C48:L48"/>
    <mergeCell ref="B39:J39"/>
    <mergeCell ref="K39:W39"/>
    <mergeCell ref="X39:AI39"/>
    <mergeCell ref="M45:V45"/>
    <mergeCell ref="X45:AI45"/>
    <mergeCell ref="AL10:AL11"/>
    <mergeCell ref="B12:AG12"/>
    <mergeCell ref="B24:AG24"/>
    <mergeCell ref="B29:AG29"/>
    <mergeCell ref="B34:AG34"/>
    <mergeCell ref="AJ10:AJ11"/>
    <mergeCell ref="AK10:AK11"/>
    <mergeCell ref="C51:L51"/>
    <mergeCell ref="A8:AI8"/>
    <mergeCell ref="A1:AI1"/>
    <mergeCell ref="A2:AI2"/>
    <mergeCell ref="A3:AI3"/>
    <mergeCell ref="A5:O5"/>
    <mergeCell ref="A6:K6"/>
    <mergeCell ref="T38:AI38"/>
    <mergeCell ref="A9:AI9"/>
    <mergeCell ref="A10:A11"/>
    <mergeCell ref="B10:B11"/>
    <mergeCell ref="C10:C11"/>
    <mergeCell ref="D10:AG10"/>
    <mergeCell ref="AI10:AI11"/>
    <mergeCell ref="C49:L49"/>
    <mergeCell ref="C50:L50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8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zoomScale="55" zoomScaleNormal="55" workbookViewId="0">
      <pane ySplit="1" topLeftCell="A8" activePane="bottomLeft" state="frozen"/>
      <selection activeCell="N7" sqref="N7"/>
      <selection pane="bottomLeft" activeCell="M36" sqref="M36"/>
    </sheetView>
  </sheetViews>
  <sheetFormatPr defaultColWidth="9.140625" defaultRowHeight="15"/>
  <cols>
    <col min="1" max="16384" width="9.140625" style="1247"/>
  </cols>
  <sheetData/>
  <pageMargins left="0.7" right="0.7" top="0.4" bottom="0.4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7"/>
  <sheetViews>
    <sheetView topLeftCell="A4" zoomScale="70" zoomScaleNormal="70" workbookViewId="0">
      <selection activeCell="I25" sqref="I25:P25"/>
    </sheetView>
  </sheetViews>
  <sheetFormatPr defaultColWidth="9.140625" defaultRowHeight="15"/>
  <cols>
    <col min="1" max="1" width="12.7109375" style="1606" customWidth="1"/>
    <col min="2" max="2" width="17.5703125" style="1606" customWidth="1"/>
    <col min="3" max="5" width="13.140625" style="1606" customWidth="1"/>
    <col min="6" max="6" width="18.28515625" style="1606" customWidth="1"/>
    <col min="7" max="7" width="18" style="1606" customWidth="1"/>
    <col min="8" max="9" width="13.140625" style="1606" customWidth="1"/>
    <col min="10" max="10" width="19.28515625" style="1606" customWidth="1"/>
    <col min="11" max="15" width="13.140625" style="1606" customWidth="1"/>
    <col min="16" max="16" width="22.7109375" style="1606" customWidth="1"/>
    <col min="17" max="16384" width="9.140625" style="1606"/>
  </cols>
  <sheetData>
    <row r="2" spans="1:35" ht="16.5">
      <c r="A2" s="2320" t="s">
        <v>90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1611"/>
      <c r="R2" s="1611"/>
      <c r="S2" s="1611"/>
      <c r="T2" s="1611"/>
      <c r="U2" s="1611"/>
      <c r="V2" s="1611"/>
      <c r="W2" s="1611"/>
      <c r="X2" s="1611"/>
      <c r="Y2" s="1611"/>
      <c r="Z2" s="1611"/>
      <c r="AA2" s="1611"/>
      <c r="AB2" s="1611"/>
      <c r="AC2" s="1611"/>
      <c r="AD2" s="1611"/>
      <c r="AE2" s="1611"/>
      <c r="AF2" s="1611"/>
      <c r="AG2" s="1611"/>
      <c r="AH2" s="1611"/>
      <c r="AI2" s="1611"/>
    </row>
    <row r="3" spans="1:35" ht="16.5">
      <c r="A3" s="2320" t="s">
        <v>81</v>
      </c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2320"/>
      <c r="N3" s="2320"/>
      <c r="O3" s="2320"/>
      <c r="P3" s="2320"/>
      <c r="Q3" s="1611"/>
      <c r="R3" s="1611"/>
      <c r="S3" s="1611"/>
      <c r="T3" s="1611"/>
      <c r="U3" s="1611"/>
      <c r="V3" s="1611"/>
      <c r="W3" s="1611"/>
      <c r="X3" s="1611"/>
      <c r="Y3" s="1611"/>
      <c r="Z3" s="1611"/>
      <c r="AA3" s="1611"/>
      <c r="AB3" s="1611"/>
      <c r="AC3" s="1611"/>
      <c r="AD3" s="1611"/>
      <c r="AE3" s="1611"/>
      <c r="AF3" s="1611"/>
      <c r="AG3" s="1611"/>
      <c r="AH3" s="1611"/>
      <c r="AI3" s="1611"/>
    </row>
    <row r="4" spans="1:35" ht="16.5">
      <c r="A4" s="2321" t="s">
        <v>604</v>
      </c>
      <c r="B4" s="2321"/>
      <c r="C4" s="2321"/>
      <c r="D4" s="2321"/>
      <c r="E4" s="2321"/>
      <c r="F4" s="2321"/>
      <c r="G4" s="2321"/>
      <c r="H4" s="2321"/>
      <c r="I4" s="2321"/>
      <c r="J4" s="2321"/>
      <c r="K4" s="2321"/>
      <c r="L4" s="2321"/>
      <c r="M4" s="2321"/>
      <c r="N4" s="2321"/>
      <c r="O4" s="2321"/>
      <c r="P4" s="2321"/>
      <c r="Q4" s="1612"/>
      <c r="R4" s="1612"/>
      <c r="S4" s="1612"/>
      <c r="T4" s="1612"/>
      <c r="U4" s="1612"/>
      <c r="V4" s="1612"/>
      <c r="W4" s="1612"/>
      <c r="X4" s="1612"/>
      <c r="Y4" s="1612"/>
      <c r="Z4" s="1612"/>
      <c r="AA4" s="1612"/>
      <c r="AB4" s="1612"/>
      <c r="AC4" s="1612"/>
      <c r="AD4" s="1612"/>
      <c r="AE4" s="1612"/>
      <c r="AF4" s="1612"/>
      <c r="AG4" s="1612"/>
      <c r="AH4" s="1612"/>
      <c r="AI4" s="1612"/>
    </row>
    <row r="5" spans="1:35" ht="16.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6.5">
      <c r="A6" s="2322" t="s">
        <v>5</v>
      </c>
      <c r="B6" s="2322"/>
      <c r="C6" s="2322"/>
      <c r="D6" s="2322"/>
      <c r="E6" s="2322"/>
      <c r="F6" s="2322"/>
      <c r="G6" s="2322"/>
      <c r="H6" s="1612"/>
      <c r="I6" s="1612"/>
      <c r="J6" s="1612"/>
      <c r="K6" s="1612"/>
      <c r="L6" s="1612"/>
      <c r="M6" s="1612"/>
      <c r="N6" s="1612"/>
      <c r="O6" s="161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</row>
    <row r="7" spans="1:35" ht="16.5">
      <c r="A7" s="2322" t="s">
        <v>101</v>
      </c>
      <c r="B7" s="2322"/>
      <c r="C7" s="2322"/>
      <c r="D7" s="2322"/>
      <c r="E7" s="2322"/>
      <c r="F7" s="2322"/>
      <c r="G7" s="2322"/>
      <c r="H7" s="1612"/>
      <c r="I7" s="1612"/>
      <c r="J7" s="1612"/>
      <c r="K7" s="161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</row>
    <row r="8" spans="1:35" ht="15.75">
      <c r="A8" s="563"/>
      <c r="B8" s="563"/>
      <c r="C8" s="563"/>
      <c r="D8" s="563"/>
      <c r="E8" s="563"/>
      <c r="F8" s="563"/>
      <c r="G8" s="563"/>
      <c r="H8" s="563"/>
      <c r="I8" s="563"/>
      <c r="J8" s="563"/>
      <c r="K8" s="563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13" spans="1:35" ht="27.75" customHeight="1">
      <c r="A13" s="2359" t="s">
        <v>1075</v>
      </c>
      <c r="B13" s="2359"/>
      <c r="C13" s="2359"/>
      <c r="D13" s="2359"/>
      <c r="E13" s="2359"/>
      <c r="F13" s="2359"/>
      <c r="G13" s="2359"/>
      <c r="H13" s="2359"/>
      <c r="I13" s="2359"/>
      <c r="J13" s="2359"/>
      <c r="K13" s="2359"/>
      <c r="L13" s="2359"/>
      <c r="M13" s="2359"/>
      <c r="N13" s="2359"/>
      <c r="O13" s="2359"/>
      <c r="P13" s="2359"/>
    </row>
    <row r="16" spans="1:35" ht="24.75" customHeight="1">
      <c r="A16" s="2354" t="s">
        <v>11</v>
      </c>
      <c r="B16" s="2356" t="s">
        <v>1070</v>
      </c>
      <c r="C16" s="2357"/>
      <c r="D16" s="2357"/>
      <c r="E16" s="2357"/>
      <c r="F16" s="2358"/>
      <c r="G16" s="2355" t="s">
        <v>1072</v>
      </c>
      <c r="H16" s="2355"/>
      <c r="I16" s="2355"/>
      <c r="J16" s="2355"/>
      <c r="K16" s="2356" t="s">
        <v>1069</v>
      </c>
      <c r="L16" s="2357"/>
      <c r="M16" s="2357"/>
      <c r="N16" s="2357"/>
      <c r="O16" s="2358"/>
      <c r="P16" s="2354" t="s">
        <v>926</v>
      </c>
    </row>
    <row r="17" spans="1:27" ht="66">
      <c r="A17" s="2354"/>
      <c r="B17" s="1605" t="s">
        <v>1065</v>
      </c>
      <c r="C17" s="1605" t="s">
        <v>1066</v>
      </c>
      <c r="D17" s="1605" t="s">
        <v>1067</v>
      </c>
      <c r="E17" s="1605" t="s">
        <v>1068</v>
      </c>
      <c r="F17" s="1605" t="s">
        <v>996</v>
      </c>
      <c r="G17" s="1605" t="s">
        <v>1065</v>
      </c>
      <c r="H17" s="1605" t="s">
        <v>1067</v>
      </c>
      <c r="I17" s="1605" t="s">
        <v>1068</v>
      </c>
      <c r="J17" s="1605" t="s">
        <v>996</v>
      </c>
      <c r="K17" s="1605" t="s">
        <v>1065</v>
      </c>
      <c r="L17" s="1605" t="s">
        <v>1066</v>
      </c>
      <c r="M17" s="1605" t="s">
        <v>1067</v>
      </c>
      <c r="N17" s="1605" t="s">
        <v>1068</v>
      </c>
      <c r="O17" s="1605" t="s">
        <v>996</v>
      </c>
      <c r="P17" s="2354"/>
    </row>
    <row r="18" spans="1:27" ht="30.75" customHeight="1">
      <c r="A18" s="1617">
        <v>1</v>
      </c>
      <c r="B18" s="1605"/>
      <c r="C18" s="1605"/>
      <c r="D18" s="1605"/>
      <c r="E18" s="1610">
        <v>12311</v>
      </c>
      <c r="F18" s="1616">
        <f>SUM(B18:E18)</f>
        <v>12311</v>
      </c>
      <c r="G18" s="1605"/>
      <c r="H18" s="1605"/>
      <c r="I18" s="1605"/>
      <c r="J18" s="1605"/>
      <c r="K18" s="1605"/>
      <c r="L18" s="1605"/>
      <c r="M18" s="1605"/>
      <c r="N18" s="1605"/>
      <c r="O18" s="1605"/>
      <c r="P18" s="1615" t="s">
        <v>1074</v>
      </c>
    </row>
    <row r="19" spans="1:27" ht="42" customHeight="1">
      <c r="A19" s="1609">
        <v>2</v>
      </c>
      <c r="B19" s="1616">
        <v>281501</v>
      </c>
      <c r="C19" s="1616">
        <v>702</v>
      </c>
      <c r="D19" s="1616">
        <v>1536</v>
      </c>
      <c r="E19" s="1616">
        <v>6735</v>
      </c>
      <c r="F19" s="1616">
        <f>SUM(B19:E19)</f>
        <v>290474</v>
      </c>
      <c r="G19" s="1616">
        <f>B19</f>
        <v>281501</v>
      </c>
      <c r="H19" s="1616">
        <f>D19</f>
        <v>1536</v>
      </c>
      <c r="I19" s="1610">
        <f>E19+E18</f>
        <v>19046</v>
      </c>
      <c r="J19" s="1616">
        <f>SUM(G19:I19)</f>
        <v>302083</v>
      </c>
      <c r="K19" s="1616">
        <v>19850</v>
      </c>
      <c r="L19" s="1616"/>
      <c r="M19" s="1616"/>
      <c r="N19" s="1616"/>
      <c r="O19" s="1616">
        <f>SUM(K19:N19)</f>
        <v>19850</v>
      </c>
      <c r="P19" s="1615" t="s">
        <v>1071</v>
      </c>
    </row>
    <row r="20" spans="1:27" ht="42.75" customHeight="1">
      <c r="A20" s="1617">
        <v>3</v>
      </c>
      <c r="B20" s="1616">
        <v>22962</v>
      </c>
      <c r="C20" s="1610">
        <v>31</v>
      </c>
      <c r="D20" s="1616"/>
      <c r="E20" s="1616"/>
      <c r="F20" s="1616"/>
      <c r="G20" s="1616"/>
      <c r="H20" s="1616"/>
      <c r="I20" s="1616"/>
      <c r="J20" s="1616"/>
      <c r="K20" s="1616"/>
      <c r="L20" s="1616"/>
      <c r="M20" s="1616"/>
      <c r="N20" s="1616"/>
      <c r="O20" s="1616"/>
      <c r="P20" s="1615" t="s">
        <v>1073</v>
      </c>
    </row>
    <row r="21" spans="1:27" ht="45" customHeight="1">
      <c r="A21" s="1618" t="s">
        <v>256</v>
      </c>
      <c r="B21" s="1619">
        <f>B19+B20</f>
        <v>304463</v>
      </c>
      <c r="C21" s="1619">
        <f t="shared" ref="C21:O21" si="0">C19+C20</f>
        <v>733</v>
      </c>
      <c r="D21" s="1619">
        <f t="shared" si="0"/>
        <v>1536</v>
      </c>
      <c r="E21" s="1619">
        <f>E19+E20+E18</f>
        <v>19046</v>
      </c>
      <c r="F21" s="1619">
        <f t="shared" si="0"/>
        <v>290474</v>
      </c>
      <c r="G21" s="1619">
        <f t="shared" si="0"/>
        <v>281501</v>
      </c>
      <c r="H21" s="1619">
        <f t="shared" si="0"/>
        <v>1536</v>
      </c>
      <c r="I21" s="1619">
        <f t="shared" si="0"/>
        <v>19046</v>
      </c>
      <c r="J21" s="1619">
        <f t="shared" si="0"/>
        <v>302083</v>
      </c>
      <c r="K21" s="1619">
        <f t="shared" si="0"/>
        <v>19850</v>
      </c>
      <c r="L21" s="1619">
        <f t="shared" si="0"/>
        <v>0</v>
      </c>
      <c r="M21" s="1619">
        <f t="shared" si="0"/>
        <v>0</v>
      </c>
      <c r="N21" s="1619">
        <f t="shared" si="0"/>
        <v>0</v>
      </c>
      <c r="O21" s="1619">
        <f t="shared" si="0"/>
        <v>19850</v>
      </c>
      <c r="P21" s="1620"/>
    </row>
    <row r="22" spans="1:27">
      <c r="A22" s="1607"/>
    </row>
    <row r="23" spans="1:27" ht="27.75" customHeight="1">
      <c r="A23" s="1607"/>
      <c r="J23" s="2352" t="s">
        <v>1076</v>
      </c>
      <c r="K23" s="2352"/>
      <c r="L23" s="2352"/>
      <c r="M23" s="2352"/>
      <c r="N23" s="2352"/>
      <c r="O23" s="2352"/>
      <c r="P23" s="2352"/>
      <c r="Q23" s="1613"/>
      <c r="R23" s="1613"/>
      <c r="S23" s="1613"/>
      <c r="T23" s="1613"/>
      <c r="U23" s="1613"/>
      <c r="V23" s="1613"/>
      <c r="W23" s="1613"/>
      <c r="X23" s="1613"/>
      <c r="Y23" s="1613"/>
      <c r="Z23" s="1613"/>
      <c r="AA23" s="1613"/>
    </row>
    <row r="24" spans="1:27">
      <c r="A24" s="1607"/>
    </row>
    <row r="25" spans="1:27" ht="30.75" customHeight="1">
      <c r="A25" s="1607"/>
      <c r="B25" s="2353" t="s">
        <v>1078</v>
      </c>
      <c r="C25" s="2353"/>
      <c r="D25" s="2353"/>
      <c r="E25" s="2353"/>
      <c r="F25" s="2353"/>
      <c r="G25" s="2353"/>
      <c r="H25" s="1614"/>
      <c r="I25" s="2353" t="s">
        <v>1077</v>
      </c>
      <c r="J25" s="2353"/>
      <c r="K25" s="2353"/>
      <c r="L25" s="2353"/>
      <c r="M25" s="2353"/>
      <c r="N25" s="2353"/>
      <c r="O25" s="2353"/>
      <c r="P25" s="2353"/>
    </row>
    <row r="26" spans="1:27">
      <c r="A26" s="1607"/>
    </row>
    <row r="27" spans="1:27">
      <c r="A27" s="1607"/>
    </row>
    <row r="28" spans="1:27">
      <c r="A28" s="1607"/>
    </row>
    <row r="29" spans="1:27">
      <c r="A29" s="1607"/>
    </row>
    <row r="30" spans="1:27">
      <c r="A30" s="1607"/>
    </row>
    <row r="31" spans="1:27">
      <c r="A31" s="1607"/>
    </row>
    <row r="32" spans="1:27" ht="16.5">
      <c r="A32" s="1607"/>
      <c r="C32" s="1608"/>
    </row>
    <row r="33" spans="1:1">
      <c r="A33" s="1607"/>
    </row>
    <row r="34" spans="1:1">
      <c r="A34" s="1607"/>
    </row>
    <row r="35" spans="1:1">
      <c r="A35" s="1607"/>
    </row>
    <row r="36" spans="1:1">
      <c r="A36" s="1607"/>
    </row>
    <row r="37" spans="1:1" ht="43.5" customHeight="1"/>
  </sheetData>
  <mergeCells count="14">
    <mergeCell ref="J23:P23"/>
    <mergeCell ref="B25:G25"/>
    <mergeCell ref="I25:P25"/>
    <mergeCell ref="A2:P2"/>
    <mergeCell ref="A3:P3"/>
    <mergeCell ref="A4:P4"/>
    <mergeCell ref="A6:G6"/>
    <mergeCell ref="A7:G7"/>
    <mergeCell ref="P16:P17"/>
    <mergeCell ref="A16:A17"/>
    <mergeCell ref="G16:J16"/>
    <mergeCell ref="B16:F16"/>
    <mergeCell ref="K16:O16"/>
    <mergeCell ref="A13:P13"/>
  </mergeCells>
  <pageMargins left="0.7" right="0.7" top="0.75" bottom="0.75" header="0.3" footer="0.3"/>
  <pageSetup paperSize="9" scale="54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4" workbookViewId="0">
      <selection activeCell="D23" sqref="D20:D23"/>
    </sheetView>
  </sheetViews>
  <sheetFormatPr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2320" t="s">
        <v>90</v>
      </c>
      <c r="B1" s="2320"/>
      <c r="C1" s="2320"/>
      <c r="D1" s="2320"/>
      <c r="E1" s="2320"/>
      <c r="F1" s="2320"/>
      <c r="G1" s="1611"/>
      <c r="H1" s="1611"/>
      <c r="I1" s="1611"/>
      <c r="J1" s="1611"/>
      <c r="K1" s="1611"/>
      <c r="L1" s="1611"/>
      <c r="M1" s="1611"/>
      <c r="N1" s="1611"/>
      <c r="O1" s="1611"/>
      <c r="P1" s="1611"/>
      <c r="Q1" s="1611"/>
      <c r="R1" s="1611"/>
      <c r="S1" s="1611"/>
      <c r="T1" s="1611"/>
      <c r="U1" s="1611"/>
      <c r="V1" s="1611"/>
      <c r="W1" s="1611"/>
      <c r="X1" s="1611"/>
      <c r="Y1" s="1611"/>
      <c r="Z1" s="1611"/>
      <c r="AA1" s="1611"/>
      <c r="AB1" s="1611"/>
      <c r="AC1" s="1611"/>
      <c r="AD1" s="1611"/>
      <c r="AE1" s="1611"/>
      <c r="AF1" s="1611"/>
      <c r="AG1" s="1611"/>
      <c r="AH1" s="1611"/>
      <c r="AI1" s="1611"/>
      <c r="AJ1" s="1611"/>
    </row>
    <row r="2" spans="1:36" ht="16.5">
      <c r="A2" s="2320" t="s">
        <v>81</v>
      </c>
      <c r="B2" s="2320"/>
      <c r="C2" s="2320"/>
      <c r="D2" s="2320"/>
      <c r="E2" s="2320"/>
      <c r="F2" s="2320"/>
      <c r="G2" s="1611"/>
      <c r="H2" s="1611"/>
      <c r="I2" s="1611"/>
      <c r="J2" s="1611"/>
      <c r="K2" s="1611"/>
      <c r="L2" s="1611"/>
      <c r="M2" s="1611"/>
      <c r="N2" s="1611"/>
      <c r="O2" s="1611"/>
      <c r="P2" s="1611"/>
      <c r="Q2" s="1611"/>
      <c r="R2" s="1611"/>
      <c r="S2" s="1611"/>
      <c r="T2" s="1611"/>
      <c r="U2" s="1611"/>
      <c r="V2" s="1611"/>
      <c r="W2" s="1611"/>
      <c r="X2" s="1611"/>
      <c r="Y2" s="1611"/>
      <c r="Z2" s="1611"/>
      <c r="AA2" s="1611"/>
      <c r="AB2" s="1611"/>
      <c r="AC2" s="1611"/>
      <c r="AD2" s="1611"/>
      <c r="AE2" s="1611"/>
      <c r="AF2" s="1611"/>
      <c r="AG2" s="1611"/>
      <c r="AH2" s="1611"/>
      <c r="AI2" s="1611"/>
      <c r="AJ2" s="1611"/>
    </row>
    <row r="3" spans="1:36" ht="16.5">
      <c r="A3" s="2321" t="s">
        <v>604</v>
      </c>
      <c r="B3" s="2321"/>
      <c r="C3" s="2321"/>
      <c r="D3" s="2321"/>
      <c r="E3" s="2321"/>
      <c r="F3" s="2321"/>
      <c r="G3" s="1648"/>
      <c r="H3" s="1648"/>
      <c r="I3" s="1648"/>
      <c r="J3" s="1648"/>
      <c r="K3" s="1648"/>
      <c r="L3" s="1648"/>
      <c r="M3" s="1648"/>
      <c r="N3" s="1648"/>
      <c r="O3" s="1648"/>
      <c r="P3" s="1648"/>
      <c r="Q3" s="1648"/>
      <c r="R3" s="1648"/>
      <c r="S3" s="1648"/>
      <c r="T3" s="1648"/>
      <c r="U3" s="1648"/>
      <c r="V3" s="1648"/>
      <c r="W3" s="1648"/>
      <c r="X3" s="1648"/>
      <c r="Y3" s="1648"/>
      <c r="Z3" s="1648"/>
      <c r="AA3" s="1648"/>
      <c r="AB3" s="1648"/>
      <c r="AC3" s="1648"/>
      <c r="AD3" s="1648"/>
      <c r="AE3" s="1648"/>
      <c r="AF3" s="1648"/>
      <c r="AG3" s="1648"/>
      <c r="AH3" s="1648"/>
      <c r="AI3" s="1648"/>
      <c r="AJ3" s="1648"/>
    </row>
    <row r="4" spans="1:36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6" ht="16.5">
      <c r="A5" s="2322" t="s">
        <v>5</v>
      </c>
      <c r="B5" s="2322"/>
      <c r="C5" s="2322"/>
      <c r="D5" s="2322"/>
      <c r="E5" s="1612"/>
      <c r="F5" s="1612"/>
      <c r="G5" s="1612"/>
      <c r="H5" s="1612"/>
      <c r="I5" s="1612"/>
      <c r="J5" s="1612"/>
      <c r="K5" s="1612"/>
      <c r="L5" s="1612"/>
      <c r="M5" s="1612"/>
      <c r="N5" s="1612"/>
      <c r="O5" s="161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6" ht="16.5">
      <c r="A6" s="2322" t="s">
        <v>101</v>
      </c>
      <c r="B6" s="2322"/>
      <c r="C6" s="2322"/>
      <c r="D6" s="2322"/>
      <c r="E6" s="1612"/>
      <c r="F6" s="1612"/>
      <c r="G6" s="1612"/>
      <c r="H6" s="1612"/>
      <c r="I6" s="1612"/>
      <c r="J6" s="1612"/>
      <c r="K6" s="161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6" ht="15.75">
      <c r="A7" s="563"/>
      <c r="B7" s="563"/>
      <c r="C7" s="563"/>
      <c r="D7" s="563"/>
      <c r="E7" s="563"/>
      <c r="F7" s="563"/>
      <c r="G7" s="563"/>
      <c r="H7" s="563"/>
      <c r="I7" s="563"/>
      <c r="J7" s="563"/>
      <c r="K7" s="56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6" ht="36.75" customHeight="1">
      <c r="A8" s="2364" t="s">
        <v>1088</v>
      </c>
      <c r="B8" s="2364"/>
      <c r="C8" s="2364"/>
      <c r="D8" s="2364"/>
      <c r="E8" s="2364"/>
      <c r="F8" s="2364"/>
      <c r="G8" s="1608"/>
      <c r="H8" s="1608"/>
      <c r="I8" s="1608"/>
      <c r="J8" s="1608"/>
      <c r="K8" s="1608"/>
      <c r="L8" s="1608"/>
      <c r="M8" s="1608"/>
    </row>
    <row r="9" spans="1:36" ht="16.5">
      <c r="A9" s="1608"/>
      <c r="B9" s="1608"/>
      <c r="C9" s="1608"/>
      <c r="D9" s="1608"/>
      <c r="E9" s="1608"/>
      <c r="F9" s="1608"/>
      <c r="G9" s="1608"/>
      <c r="H9" s="1608"/>
      <c r="I9" s="1608"/>
      <c r="J9" s="1608"/>
      <c r="K9" s="1608"/>
      <c r="L9" s="1608"/>
      <c r="M9" s="1608"/>
    </row>
    <row r="10" spans="1:36" ht="33" customHeight="1">
      <c r="A10" s="1646" t="s">
        <v>11</v>
      </c>
      <c r="B10" s="1646" t="s">
        <v>1089</v>
      </c>
      <c r="C10" s="1646" t="s">
        <v>17</v>
      </c>
      <c r="D10" s="1646" t="s">
        <v>1090</v>
      </c>
      <c r="E10" s="1646" t="s">
        <v>1091</v>
      </c>
      <c r="F10" s="1646" t="s">
        <v>926</v>
      </c>
      <c r="G10" s="1608"/>
      <c r="H10" s="1608"/>
      <c r="I10" s="1608"/>
      <c r="J10" s="1608"/>
      <c r="K10" s="1608"/>
      <c r="L10" s="1608"/>
      <c r="M10" s="1608"/>
    </row>
    <row r="11" spans="1:36" ht="22.5" customHeight="1">
      <c r="A11" s="1617">
        <v>1</v>
      </c>
      <c r="B11" s="1653" t="s">
        <v>1092</v>
      </c>
      <c r="C11" s="1653" t="s">
        <v>1096</v>
      </c>
      <c r="D11" s="1617">
        <v>1</v>
      </c>
      <c r="E11" s="1620">
        <v>5000000</v>
      </c>
      <c r="F11" s="1650"/>
      <c r="G11" s="1608"/>
      <c r="H11" s="1608"/>
      <c r="I11" s="1608"/>
      <c r="J11" s="1608"/>
      <c r="K11" s="1608"/>
      <c r="L11" s="1608"/>
      <c r="M11" s="1608"/>
    </row>
    <row r="12" spans="1:36" ht="22.5" customHeight="1">
      <c r="A12" s="1617">
        <v>2</v>
      </c>
      <c r="B12" s="1653" t="s">
        <v>1093</v>
      </c>
      <c r="C12" s="1653" t="s">
        <v>1096</v>
      </c>
      <c r="D12" s="1617">
        <v>1</v>
      </c>
      <c r="E12" s="1620">
        <v>5000000</v>
      </c>
      <c r="F12" s="1650"/>
      <c r="G12" s="1608"/>
      <c r="H12" s="1608"/>
      <c r="I12" s="1608"/>
      <c r="J12" s="1608"/>
      <c r="K12" s="1608"/>
      <c r="L12" s="1608"/>
      <c r="M12" s="1608"/>
    </row>
    <row r="13" spans="1:36" ht="22.5" customHeight="1">
      <c r="A13" s="1617">
        <v>3</v>
      </c>
      <c r="B13" s="1653" t="s">
        <v>1094</v>
      </c>
      <c r="C13" s="1653" t="s">
        <v>1095</v>
      </c>
      <c r="D13" s="1617">
        <v>13</v>
      </c>
      <c r="E13" s="1620">
        <f>D13*60000*9</f>
        <v>7020000</v>
      </c>
      <c r="F13" s="1650"/>
      <c r="G13" s="1608"/>
      <c r="H13" s="1608"/>
      <c r="I13" s="1608"/>
      <c r="J13" s="1608"/>
      <c r="K13" s="1608"/>
      <c r="L13" s="1608"/>
      <c r="M13" s="1608"/>
    </row>
    <row r="14" spans="1:36" ht="30.75" customHeight="1">
      <c r="A14" s="2354" t="s">
        <v>1097</v>
      </c>
      <c r="B14" s="2354"/>
      <c r="C14" s="1651"/>
      <c r="D14" s="1651"/>
      <c r="E14" s="1652">
        <f>SUM(E11:E13)</f>
        <v>17020000</v>
      </c>
      <c r="F14" s="1650"/>
      <c r="G14" s="1608"/>
      <c r="H14" s="1608"/>
      <c r="I14" s="1608"/>
      <c r="J14" s="1608"/>
      <c r="K14" s="1608"/>
      <c r="L14" s="1608"/>
      <c r="M14" s="1608"/>
    </row>
    <row r="15" spans="1:36" ht="35.25" customHeight="1">
      <c r="A15" s="2361" t="s">
        <v>1100</v>
      </c>
      <c r="B15" s="2362"/>
      <c r="C15" s="2362"/>
      <c r="D15" s="2362"/>
      <c r="E15" s="2362"/>
      <c r="F15" s="2363"/>
      <c r="G15" s="1608"/>
      <c r="H15" s="1608"/>
      <c r="I15" s="1608"/>
      <c r="J15" s="1608"/>
      <c r="K15" s="1608"/>
      <c r="L15" s="1608"/>
      <c r="M15" s="1608"/>
    </row>
    <row r="16" spans="1:36" ht="16.5">
      <c r="A16" s="1608"/>
      <c r="B16" s="1608"/>
      <c r="C16" s="1608"/>
      <c r="D16" s="1608"/>
      <c r="E16" s="1608"/>
      <c r="F16" s="1608"/>
      <c r="G16" s="1608"/>
      <c r="H16" s="1608"/>
      <c r="I16" s="1608"/>
      <c r="J16" s="1608"/>
      <c r="K16" s="1608"/>
      <c r="L16" s="1608"/>
      <c r="M16" s="1608"/>
    </row>
    <row r="17" spans="1:13" ht="18.75">
      <c r="A17" s="1608"/>
      <c r="B17" s="1608"/>
      <c r="C17" s="1649"/>
      <c r="D17" s="2365" t="s">
        <v>1098</v>
      </c>
      <c r="E17" s="2365"/>
      <c r="F17" s="2365"/>
      <c r="G17" s="1608"/>
      <c r="H17" s="1608"/>
      <c r="I17" s="1608"/>
      <c r="J17" s="1608"/>
      <c r="K17" s="1608"/>
      <c r="L17" s="1608"/>
      <c r="M17" s="1608"/>
    </row>
    <row r="18" spans="1:13" ht="16.5">
      <c r="A18" s="1608"/>
      <c r="B18" s="1608"/>
      <c r="C18" s="1608"/>
      <c r="D18" s="1608"/>
      <c r="E18" s="1608"/>
      <c r="F18" s="1608"/>
      <c r="G18" s="1608"/>
      <c r="H18" s="1608"/>
      <c r="I18" s="1608"/>
      <c r="J18" s="1608"/>
      <c r="K18" s="1608"/>
      <c r="L18" s="1608"/>
      <c r="M18" s="1608"/>
    </row>
    <row r="19" spans="1:13" ht="16.5">
      <c r="A19" s="1608"/>
      <c r="B19" s="1608"/>
      <c r="C19" s="1608"/>
      <c r="D19" s="2360" t="s">
        <v>1099</v>
      </c>
      <c r="E19" s="2360"/>
      <c r="F19" s="2360"/>
      <c r="G19" s="1608"/>
      <c r="H19" s="1608"/>
      <c r="I19" s="1608"/>
      <c r="J19" s="1608"/>
      <c r="K19" s="1608"/>
      <c r="L19" s="1608"/>
      <c r="M19" s="1608"/>
    </row>
    <row r="20" spans="1:13" ht="16.5">
      <c r="A20" s="1608"/>
      <c r="B20" s="1608"/>
      <c r="C20" s="1608"/>
      <c r="D20" s="1608"/>
      <c r="E20" s="1608"/>
      <c r="F20" s="1608"/>
      <c r="G20" s="1608"/>
      <c r="H20" s="1608"/>
      <c r="I20" s="1608"/>
      <c r="J20" s="1608"/>
      <c r="K20" s="1608"/>
      <c r="L20" s="1608"/>
      <c r="M20" s="1608"/>
    </row>
    <row r="21" spans="1:13" ht="16.5">
      <c r="A21" s="1608"/>
      <c r="B21" s="1608"/>
      <c r="C21" s="1608"/>
      <c r="D21" s="1608"/>
      <c r="E21" s="1608"/>
      <c r="F21" s="1608"/>
      <c r="G21" s="1608"/>
      <c r="H21" s="1608"/>
      <c r="I21" s="1608"/>
      <c r="J21" s="1608"/>
      <c r="K21" s="1608"/>
      <c r="L21" s="1608"/>
      <c r="M21" s="1608"/>
    </row>
    <row r="22" spans="1:13" ht="16.5">
      <c r="A22" s="1608"/>
      <c r="B22" s="1608"/>
      <c r="C22" s="1608"/>
      <c r="D22" s="1608"/>
      <c r="E22" s="1608"/>
      <c r="F22" s="1608"/>
      <c r="G22" s="1608"/>
      <c r="H22" s="1608"/>
      <c r="I22" s="1608"/>
      <c r="J22" s="1608"/>
      <c r="K22" s="1608"/>
      <c r="L22" s="1608"/>
      <c r="M22" s="1608"/>
    </row>
    <row r="23" spans="1:13" ht="16.5">
      <c r="A23" s="1608"/>
      <c r="B23" s="1608"/>
      <c r="C23" s="1608"/>
      <c r="D23" s="1608"/>
      <c r="E23" s="1608"/>
      <c r="F23" s="1608"/>
      <c r="G23" s="1608"/>
      <c r="H23" s="1608"/>
      <c r="I23" s="1608"/>
      <c r="J23" s="1608"/>
      <c r="K23" s="1608"/>
      <c r="L23" s="1608"/>
      <c r="M23" s="1608"/>
    </row>
    <row r="24" spans="1:13" ht="16.5">
      <c r="A24" s="1608"/>
      <c r="B24" s="1608"/>
      <c r="C24" s="1608"/>
      <c r="D24" s="1608"/>
      <c r="E24" s="1608"/>
      <c r="F24" s="1608"/>
      <c r="G24" s="1608"/>
      <c r="H24" s="1608"/>
      <c r="I24" s="1608"/>
      <c r="J24" s="1608"/>
      <c r="K24" s="1608"/>
      <c r="L24" s="1608"/>
      <c r="M24" s="1608"/>
    </row>
    <row r="25" spans="1:13" ht="16.5">
      <c r="A25" s="1608"/>
      <c r="B25" s="1608"/>
      <c r="C25" s="1608"/>
      <c r="D25" s="1608"/>
      <c r="E25" s="1608"/>
      <c r="F25" s="1608"/>
      <c r="G25" s="1608"/>
      <c r="H25" s="1608"/>
      <c r="I25" s="1608"/>
      <c r="J25" s="1608"/>
      <c r="K25" s="1608"/>
      <c r="L25" s="1608"/>
      <c r="M25" s="1608"/>
    </row>
    <row r="26" spans="1:13" ht="16.5">
      <c r="A26" s="1608"/>
      <c r="B26" s="1608"/>
      <c r="C26" s="1608"/>
      <c r="D26" s="1608"/>
      <c r="E26" s="1608"/>
      <c r="F26" s="1608"/>
      <c r="G26" s="1608"/>
      <c r="H26" s="1608"/>
      <c r="I26" s="1608"/>
      <c r="J26" s="1608"/>
      <c r="K26" s="1608"/>
      <c r="L26" s="1608"/>
      <c r="M26" s="1608"/>
    </row>
    <row r="27" spans="1:13" ht="16.5">
      <c r="A27" s="1608"/>
      <c r="B27" s="1608"/>
      <c r="C27" s="1608"/>
      <c r="D27" s="1608"/>
      <c r="E27" s="1608"/>
      <c r="F27" s="1608"/>
      <c r="G27" s="1608"/>
      <c r="H27" s="1608"/>
      <c r="I27" s="1608"/>
      <c r="J27" s="1608"/>
      <c r="K27" s="1608"/>
      <c r="L27" s="1608"/>
      <c r="M27" s="1608"/>
    </row>
    <row r="28" spans="1:13" ht="16.5">
      <c r="A28" s="1608"/>
      <c r="B28" s="1608"/>
      <c r="C28" s="1608"/>
      <c r="D28" s="1608"/>
      <c r="E28" s="1608"/>
      <c r="F28" s="1608"/>
      <c r="G28" s="1608"/>
      <c r="H28" s="1608"/>
      <c r="I28" s="1608"/>
      <c r="J28" s="1608"/>
      <c r="K28" s="1608"/>
      <c r="L28" s="1608"/>
      <c r="M28" s="1608"/>
    </row>
    <row r="29" spans="1:13" ht="16.5">
      <c r="A29" s="1608"/>
      <c r="B29" s="1608"/>
      <c r="C29" s="1608"/>
      <c r="D29" s="1608"/>
      <c r="E29" s="1608"/>
      <c r="F29" s="1608"/>
      <c r="G29" s="1608"/>
      <c r="H29" s="1608"/>
      <c r="I29" s="1608"/>
      <c r="J29" s="1608"/>
      <c r="K29" s="1608"/>
      <c r="L29" s="1608"/>
      <c r="M29" s="1608"/>
    </row>
    <row r="30" spans="1:13" ht="16.5">
      <c r="A30" s="1608"/>
      <c r="B30" s="1608"/>
      <c r="C30" s="1608"/>
      <c r="D30" s="1608"/>
      <c r="E30" s="1608"/>
      <c r="F30" s="1608"/>
      <c r="G30" s="1608"/>
      <c r="H30" s="1608"/>
      <c r="I30" s="1608"/>
      <c r="J30" s="1608"/>
      <c r="K30" s="1608"/>
      <c r="L30" s="1608"/>
      <c r="M30" s="1608"/>
    </row>
    <row r="31" spans="1:13" ht="16.5">
      <c r="A31" s="1608"/>
      <c r="B31" s="1608"/>
      <c r="C31" s="1608"/>
      <c r="D31" s="1608"/>
      <c r="E31" s="1608"/>
      <c r="F31" s="1608"/>
      <c r="G31" s="1608"/>
      <c r="H31" s="1608"/>
      <c r="I31" s="1608"/>
      <c r="J31" s="1608"/>
      <c r="K31" s="1608"/>
      <c r="L31" s="1608"/>
      <c r="M31" s="1608"/>
    </row>
    <row r="32" spans="1:13" ht="16.5">
      <c r="A32" s="1608"/>
      <c r="B32" s="1608"/>
      <c r="C32" s="1608"/>
      <c r="D32" s="1608"/>
      <c r="E32" s="1608"/>
      <c r="F32" s="1608"/>
      <c r="G32" s="1608"/>
      <c r="H32" s="1608"/>
      <c r="I32" s="1608"/>
      <c r="J32" s="1608"/>
      <c r="K32" s="1608"/>
      <c r="L32" s="1608"/>
      <c r="M32" s="1608"/>
    </row>
    <row r="33" spans="1:13" ht="16.5">
      <c r="A33" s="1608"/>
      <c r="B33" s="1608"/>
      <c r="C33" s="1608"/>
      <c r="D33" s="1608"/>
      <c r="E33" s="1608"/>
      <c r="F33" s="1608"/>
      <c r="G33" s="1608"/>
      <c r="H33" s="1608"/>
      <c r="I33" s="1608"/>
      <c r="J33" s="1608"/>
      <c r="K33" s="1608"/>
      <c r="L33" s="1608"/>
      <c r="M33" s="1608"/>
    </row>
    <row r="34" spans="1:13" ht="16.5">
      <c r="A34" s="1608"/>
      <c r="B34" s="1608"/>
      <c r="C34" s="1608"/>
      <c r="D34" s="1608"/>
      <c r="E34" s="1608"/>
      <c r="F34" s="1608"/>
      <c r="G34" s="1608"/>
      <c r="H34" s="1608"/>
      <c r="I34" s="1608"/>
      <c r="J34" s="1608"/>
      <c r="K34" s="1608"/>
      <c r="L34" s="1608"/>
      <c r="M34" s="1608"/>
    </row>
    <row r="35" spans="1:13" ht="16.5">
      <c r="A35" s="1608"/>
      <c r="B35" s="1608"/>
      <c r="C35" s="1608"/>
      <c r="D35" s="1608"/>
      <c r="E35" s="1608"/>
      <c r="F35" s="1608"/>
      <c r="G35" s="1608"/>
      <c r="H35" s="1608"/>
      <c r="I35" s="1608"/>
      <c r="J35" s="1608"/>
      <c r="K35" s="1608"/>
      <c r="L35" s="1608"/>
      <c r="M35" s="1608"/>
    </row>
    <row r="36" spans="1:13" ht="16.5">
      <c r="A36" s="1608"/>
      <c r="B36" s="1608"/>
      <c r="C36" s="1608"/>
      <c r="D36" s="1608"/>
      <c r="E36" s="1608"/>
      <c r="F36" s="1608"/>
      <c r="G36" s="1608"/>
      <c r="H36" s="1608"/>
      <c r="I36" s="1608"/>
      <c r="J36" s="1608"/>
      <c r="K36" s="1608"/>
      <c r="L36" s="1608"/>
      <c r="M36" s="1608"/>
    </row>
    <row r="37" spans="1:13" ht="16.5">
      <c r="A37" s="1608"/>
      <c r="B37" s="1608"/>
      <c r="C37" s="1608"/>
      <c r="D37" s="1608"/>
      <c r="E37" s="1608"/>
      <c r="F37" s="1608"/>
      <c r="G37" s="1608"/>
      <c r="H37" s="1608"/>
      <c r="I37" s="1608"/>
      <c r="J37" s="1608"/>
      <c r="K37" s="1608"/>
      <c r="L37" s="1608"/>
      <c r="M37" s="1608"/>
    </row>
    <row r="38" spans="1:13" ht="16.5">
      <c r="A38" s="1608"/>
      <c r="B38" s="1608"/>
      <c r="C38" s="1608"/>
      <c r="D38" s="1608"/>
      <c r="E38" s="1608"/>
      <c r="F38" s="1608"/>
      <c r="G38" s="1608"/>
      <c r="H38" s="1608"/>
      <c r="I38" s="1608"/>
      <c r="J38" s="1608"/>
      <c r="K38" s="1608"/>
      <c r="L38" s="1608"/>
      <c r="M38" s="1608"/>
    </row>
    <row r="39" spans="1:13" ht="16.5">
      <c r="A39" s="1608"/>
      <c r="B39" s="1608"/>
      <c r="C39" s="1608"/>
      <c r="D39" s="1608"/>
      <c r="E39" s="1608"/>
      <c r="F39" s="1608"/>
      <c r="G39" s="1608"/>
      <c r="H39" s="1608"/>
      <c r="I39" s="1608"/>
      <c r="J39" s="1608"/>
      <c r="K39" s="1608"/>
      <c r="L39" s="1608"/>
      <c r="M39" s="1608"/>
    </row>
    <row r="40" spans="1:13" ht="16.5">
      <c r="A40" s="1608"/>
      <c r="B40" s="1608"/>
      <c r="C40" s="1608"/>
      <c r="D40" s="1608"/>
      <c r="E40" s="1608"/>
      <c r="F40" s="1608"/>
      <c r="G40" s="1608"/>
      <c r="H40" s="1608"/>
      <c r="I40" s="1608"/>
      <c r="J40" s="1608"/>
      <c r="K40" s="1608"/>
      <c r="L40" s="1608"/>
      <c r="M40" s="1608"/>
    </row>
    <row r="41" spans="1:13" ht="16.5">
      <c r="A41" s="1608"/>
      <c r="B41" s="1608"/>
      <c r="C41" s="1608"/>
      <c r="D41" s="1608"/>
      <c r="E41" s="1608"/>
      <c r="F41" s="1608"/>
      <c r="G41" s="1608"/>
      <c r="H41" s="1608"/>
      <c r="I41" s="1608"/>
      <c r="J41" s="1608"/>
      <c r="K41" s="1608"/>
      <c r="L41" s="1608"/>
      <c r="M41" s="1608"/>
    </row>
    <row r="42" spans="1:13" ht="16.5">
      <c r="A42" s="1608"/>
      <c r="B42" s="1608"/>
      <c r="C42" s="1608"/>
      <c r="D42" s="1608"/>
      <c r="E42" s="1608"/>
      <c r="F42" s="1608"/>
      <c r="G42" s="1608"/>
      <c r="H42" s="1608"/>
      <c r="I42" s="1608"/>
      <c r="J42" s="1608"/>
      <c r="K42" s="1608"/>
      <c r="L42" s="1608"/>
      <c r="M42" s="1608"/>
    </row>
    <row r="43" spans="1:13" ht="16.5">
      <c r="A43" s="1608"/>
      <c r="B43" s="1608"/>
      <c r="C43" s="1608"/>
      <c r="D43" s="1608"/>
      <c r="E43" s="1608"/>
      <c r="F43" s="1608"/>
      <c r="G43" s="1608"/>
      <c r="H43" s="1608"/>
      <c r="I43" s="1608"/>
      <c r="J43" s="1608"/>
      <c r="K43" s="1608"/>
      <c r="L43" s="1608"/>
      <c r="M43" s="1608"/>
    </row>
    <row r="44" spans="1:13" ht="16.5">
      <c r="A44" s="1608"/>
      <c r="B44" s="1608"/>
      <c r="C44" s="1608"/>
      <c r="D44" s="1608"/>
      <c r="E44" s="1608"/>
      <c r="F44" s="1608"/>
      <c r="G44" s="1608"/>
      <c r="H44" s="1608"/>
      <c r="I44" s="1608"/>
      <c r="J44" s="1608"/>
      <c r="K44" s="1608"/>
      <c r="L44" s="1608"/>
      <c r="M44" s="1608"/>
    </row>
    <row r="45" spans="1:13" ht="16.5">
      <c r="A45" s="1608"/>
      <c r="B45" s="1608"/>
      <c r="C45" s="1608"/>
      <c r="D45" s="1608"/>
      <c r="E45" s="1608"/>
      <c r="F45" s="1608"/>
      <c r="G45" s="1608"/>
      <c r="H45" s="1608"/>
      <c r="I45" s="1608"/>
      <c r="J45" s="1608"/>
      <c r="K45" s="1608"/>
      <c r="L45" s="1608"/>
      <c r="M45" s="1608"/>
    </row>
    <row r="46" spans="1:13" ht="16.5">
      <c r="A46" s="1608"/>
      <c r="B46" s="1608"/>
      <c r="C46" s="1608"/>
      <c r="D46" s="1608"/>
      <c r="E46" s="1608"/>
      <c r="F46" s="1608"/>
      <c r="G46" s="1608"/>
      <c r="H46" s="1608"/>
      <c r="I46" s="1608"/>
      <c r="J46" s="1608"/>
      <c r="K46" s="1608"/>
      <c r="L46" s="1608"/>
      <c r="M46" s="1608"/>
    </row>
    <row r="47" spans="1:13" ht="16.5">
      <c r="A47" s="1608"/>
      <c r="B47" s="1608"/>
      <c r="C47" s="1608"/>
      <c r="D47" s="1608"/>
      <c r="E47" s="1608"/>
      <c r="F47" s="1608"/>
      <c r="G47" s="1608"/>
      <c r="H47" s="1608"/>
      <c r="I47" s="1608"/>
      <c r="J47" s="1608"/>
      <c r="K47" s="1608"/>
      <c r="L47" s="1608"/>
      <c r="M47" s="1608"/>
    </row>
    <row r="48" spans="1:13" ht="16.5">
      <c r="A48" s="1608"/>
      <c r="B48" s="1608"/>
      <c r="C48" s="1608"/>
      <c r="D48" s="1608"/>
      <c r="E48" s="1608"/>
      <c r="F48" s="1608"/>
      <c r="G48" s="1608"/>
      <c r="H48" s="1608"/>
      <c r="I48" s="1608"/>
      <c r="J48" s="1608"/>
      <c r="K48" s="1608"/>
      <c r="L48" s="1608"/>
      <c r="M48" s="1608"/>
    </row>
    <row r="49" spans="1:13" ht="16.5">
      <c r="A49" s="1608"/>
      <c r="B49" s="1608"/>
      <c r="C49" s="1608"/>
      <c r="D49" s="1608"/>
      <c r="E49" s="1608"/>
      <c r="F49" s="1608"/>
      <c r="G49" s="1608"/>
      <c r="H49" s="1608"/>
      <c r="I49" s="1608"/>
      <c r="J49" s="1608"/>
      <c r="K49" s="1608"/>
      <c r="L49" s="1608"/>
      <c r="M49" s="1608"/>
    </row>
    <row r="50" spans="1:13" ht="16.5">
      <c r="A50" s="1608"/>
      <c r="B50" s="1608"/>
      <c r="C50" s="1608"/>
      <c r="D50" s="1608"/>
      <c r="E50" s="1608"/>
      <c r="F50" s="1608"/>
      <c r="G50" s="1608"/>
      <c r="H50" s="1608"/>
      <c r="I50" s="1608"/>
      <c r="J50" s="1608"/>
      <c r="K50" s="1608"/>
      <c r="L50" s="1608"/>
      <c r="M50" s="1608"/>
    </row>
    <row r="51" spans="1:13" ht="16.5">
      <c r="A51" s="1608"/>
      <c r="B51" s="1608"/>
      <c r="C51" s="1608"/>
      <c r="D51" s="1608"/>
      <c r="E51" s="1608"/>
      <c r="F51" s="1608"/>
      <c r="G51" s="1608"/>
      <c r="H51" s="1608"/>
      <c r="I51" s="1608"/>
      <c r="J51" s="1608"/>
      <c r="K51" s="1608"/>
      <c r="L51" s="1608"/>
      <c r="M51" s="1608"/>
    </row>
    <row r="52" spans="1:13" ht="16.5">
      <c r="A52" s="1608"/>
      <c r="B52" s="1608"/>
      <c r="C52" s="1608"/>
      <c r="D52" s="1608"/>
      <c r="E52" s="1608"/>
      <c r="F52" s="1608"/>
      <c r="G52" s="1608"/>
      <c r="H52" s="1608"/>
      <c r="I52" s="1608"/>
      <c r="J52" s="1608"/>
      <c r="K52" s="1608"/>
      <c r="L52" s="1608"/>
      <c r="M52" s="1608"/>
    </row>
    <row r="53" spans="1:13" ht="16.5">
      <c r="A53" s="1608"/>
      <c r="B53" s="1608"/>
      <c r="C53" s="1608"/>
      <c r="D53" s="1608"/>
      <c r="E53" s="1608"/>
      <c r="F53" s="1608"/>
      <c r="G53" s="1608"/>
      <c r="H53" s="1608"/>
      <c r="I53" s="1608"/>
      <c r="J53" s="1608"/>
      <c r="K53" s="1608"/>
      <c r="L53" s="1608"/>
      <c r="M53" s="1608"/>
    </row>
    <row r="54" spans="1:13" ht="16.5">
      <c r="A54" s="1608"/>
      <c r="B54" s="1608"/>
      <c r="C54" s="1608"/>
      <c r="D54" s="1608"/>
      <c r="E54" s="1608"/>
      <c r="F54" s="1608"/>
      <c r="G54" s="1608"/>
      <c r="H54" s="1608"/>
      <c r="I54" s="1608"/>
      <c r="J54" s="1608"/>
      <c r="K54" s="1608"/>
      <c r="L54" s="1608"/>
      <c r="M54" s="1608"/>
    </row>
  </sheetData>
  <mergeCells count="10">
    <mergeCell ref="A1:F1"/>
    <mergeCell ref="A2:F2"/>
    <mergeCell ref="A3:F3"/>
    <mergeCell ref="A5:D5"/>
    <mergeCell ref="D19:F19"/>
    <mergeCell ref="A6:D6"/>
    <mergeCell ref="A14:B14"/>
    <mergeCell ref="A15:F15"/>
    <mergeCell ref="A8:F8"/>
    <mergeCell ref="D17:F17"/>
  </mergeCells>
  <printOptions horizontalCentered="1"/>
  <pageMargins left="0.7" right="0.7" top="0.47" bottom="0.75" header="0.3" footer="0.3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13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bestFit="1" customWidth="1"/>
    <col min="27" max="27" width="17.85546875" style="1" bestFit="1" customWidth="1"/>
    <col min="28" max="28" width="12.85546875" style="1" bestFit="1" customWidth="1"/>
    <col min="29" max="16384" width="9.140625" style="1"/>
  </cols>
  <sheetData>
    <row r="1" spans="1:28">
      <c r="A1" s="244"/>
      <c r="B1" s="244"/>
      <c r="C1" s="244"/>
      <c r="D1" s="244"/>
      <c r="E1" s="244"/>
      <c r="F1" s="244"/>
      <c r="G1" s="244"/>
      <c r="H1" s="244"/>
      <c r="I1" s="244"/>
    </row>
    <row r="2" spans="1:28">
      <c r="A2" s="244"/>
      <c r="B2" s="244"/>
      <c r="C2" s="244"/>
      <c r="D2" s="244"/>
      <c r="E2" s="244"/>
      <c r="F2" s="244"/>
      <c r="G2" s="244"/>
      <c r="H2" s="244"/>
      <c r="I2" s="244"/>
    </row>
    <row r="3" spans="1:28" ht="16.5">
      <c r="A3" s="2224" t="s">
        <v>90</v>
      </c>
      <c r="B3" s="2224"/>
      <c r="C3" s="2224"/>
      <c r="D3" s="2224"/>
      <c r="E3" s="2224"/>
      <c r="F3" s="2224"/>
      <c r="G3" s="2224"/>
      <c r="H3" s="2224"/>
      <c r="I3" s="2224"/>
      <c r="J3" s="15"/>
      <c r="K3" s="15"/>
      <c r="L3" s="15"/>
      <c r="M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ht="16.5">
      <c r="A4" s="2224" t="s">
        <v>56</v>
      </c>
      <c r="B4" s="2224"/>
      <c r="C4" s="2224"/>
      <c r="D4" s="2224"/>
      <c r="E4" s="2224"/>
      <c r="F4" s="2224"/>
      <c r="G4" s="2224"/>
      <c r="H4" s="2224"/>
      <c r="I4" s="2224"/>
      <c r="J4" s="16"/>
      <c r="K4" s="16"/>
      <c r="L4" s="16"/>
      <c r="M4" s="10"/>
      <c r="N4" s="7"/>
      <c r="P4" s="10"/>
      <c r="Q4" s="10"/>
      <c r="R4" s="10"/>
      <c r="S4" s="10"/>
      <c r="T4" s="10"/>
      <c r="U4" s="10"/>
      <c r="V4" s="10"/>
      <c r="W4" s="10"/>
      <c r="X4" s="10"/>
      <c r="Y4" s="8"/>
    </row>
    <row r="5" spans="1:28" ht="16.5">
      <c r="A5" s="2225" t="s">
        <v>818</v>
      </c>
      <c r="B5" s="2224"/>
      <c r="C5" s="2224"/>
      <c r="D5" s="2224"/>
      <c r="E5" s="2224"/>
      <c r="F5" s="2224"/>
      <c r="G5" s="2224"/>
      <c r="H5" s="2224"/>
      <c r="I5" s="2224"/>
      <c r="J5" s="16"/>
      <c r="K5" s="16"/>
      <c r="L5" s="16"/>
      <c r="M5" s="10"/>
      <c r="N5" s="7"/>
      <c r="P5" s="10"/>
      <c r="Q5" s="10"/>
      <c r="R5" s="10"/>
      <c r="S5" s="10"/>
      <c r="T5" s="10"/>
      <c r="U5" s="10"/>
      <c r="V5" s="10"/>
      <c r="W5" s="10"/>
      <c r="X5" s="10"/>
      <c r="Y5" s="8"/>
    </row>
    <row r="6" spans="1:28" ht="9.75" customHeight="1">
      <c r="A6" s="244"/>
      <c r="B6" s="244"/>
      <c r="C6" s="244"/>
      <c r="D6" s="244"/>
      <c r="E6" s="244"/>
      <c r="F6" s="244"/>
      <c r="G6" s="244"/>
      <c r="H6" s="947"/>
      <c r="I6" s="947"/>
      <c r="J6" s="21"/>
      <c r="K6" s="21"/>
      <c r="L6" s="21"/>
      <c r="M6" s="562"/>
      <c r="N6" s="23"/>
      <c r="O6" s="24"/>
      <c r="P6" s="9"/>
      <c r="Q6" s="9"/>
      <c r="R6" s="9"/>
      <c r="S6" s="9"/>
      <c r="T6" s="9"/>
      <c r="U6" s="9"/>
      <c r="V6" s="9"/>
      <c r="W6" s="9"/>
      <c r="X6" s="9"/>
      <c r="Y6" s="8"/>
      <c r="Z6" s="25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2226" t="s">
        <v>5</v>
      </c>
      <c r="B7" s="2226"/>
      <c r="C7" s="2226"/>
      <c r="D7" s="2226"/>
      <c r="E7" s="2226"/>
      <c r="F7" s="2226"/>
      <c r="G7" s="159"/>
      <c r="H7" s="947"/>
      <c r="I7" s="947"/>
      <c r="J7" s="21"/>
      <c r="K7" s="21"/>
      <c r="L7" s="21"/>
      <c r="M7" s="562"/>
      <c r="N7" s="23"/>
      <c r="O7" s="24"/>
      <c r="P7" s="9"/>
      <c r="Q7" s="9"/>
      <c r="R7" s="9"/>
      <c r="S7" s="9"/>
      <c r="T7" s="9"/>
      <c r="U7" s="9"/>
      <c r="V7" s="9"/>
      <c r="W7" s="9"/>
      <c r="X7" s="9"/>
      <c r="Y7" s="8"/>
      <c r="Z7" s="25"/>
    </row>
    <row r="8" spans="1:28" ht="16.5">
      <c r="A8" s="1896" t="s">
        <v>101</v>
      </c>
      <c r="B8" s="1896"/>
      <c r="C8" s="1896"/>
      <c r="D8" s="1896"/>
      <c r="E8" s="1896"/>
      <c r="F8" s="1896"/>
      <c r="G8" s="947"/>
      <c r="H8" s="947"/>
      <c r="I8" s="947"/>
      <c r="J8" s="21"/>
      <c r="K8" s="21"/>
      <c r="L8" s="21"/>
      <c r="M8" s="562"/>
      <c r="N8" s="23"/>
      <c r="O8" s="24"/>
      <c r="P8" s="9"/>
      <c r="Q8" s="9"/>
      <c r="R8" s="9"/>
      <c r="S8" s="9"/>
      <c r="T8" s="9"/>
      <c r="U8" s="9"/>
      <c r="V8" s="9"/>
      <c r="W8" s="9"/>
      <c r="X8" s="9"/>
      <c r="Y8" s="8"/>
      <c r="Z8" s="25"/>
    </row>
    <row r="9" spans="1:28" ht="15.75">
      <c r="A9" s="889"/>
      <c r="B9" s="889"/>
      <c r="C9" s="889"/>
      <c r="D9" s="889"/>
      <c r="E9" s="889"/>
      <c r="F9" s="948"/>
      <c r="G9" s="947"/>
      <c r="H9" s="947"/>
      <c r="I9" s="947"/>
      <c r="J9" s="21"/>
      <c r="K9" s="21"/>
      <c r="L9" s="21"/>
      <c r="M9" s="562"/>
      <c r="N9" s="23"/>
      <c r="O9" s="24"/>
      <c r="P9" s="9"/>
      <c r="Q9" s="9"/>
      <c r="R9" s="9"/>
      <c r="S9" s="9"/>
      <c r="T9" s="9"/>
      <c r="U9" s="9"/>
      <c r="V9" s="9"/>
      <c r="W9" s="9"/>
      <c r="X9" s="9"/>
      <c r="Y9" s="8"/>
      <c r="Z9" s="25"/>
    </row>
    <row r="10" spans="1:28" ht="32.25" customHeight="1">
      <c r="A10" s="2222" t="s">
        <v>1101</v>
      </c>
      <c r="B10" s="2223"/>
      <c r="C10" s="2223"/>
      <c r="D10" s="2223"/>
      <c r="E10" s="2223"/>
      <c r="F10" s="2223"/>
      <c r="G10" s="2223"/>
      <c r="H10" s="2223"/>
      <c r="I10" s="2223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8" ht="12" customHeight="1">
      <c r="A11" s="949"/>
      <c r="B11" s="950"/>
      <c r="C11" s="950"/>
      <c r="D11" s="950"/>
      <c r="E11" s="949"/>
      <c r="F11" s="949"/>
      <c r="G11" s="949"/>
      <c r="H11" s="950"/>
      <c r="I11" s="950"/>
      <c r="J11" s="26"/>
      <c r="K11" s="27"/>
      <c r="L11" s="28"/>
    </row>
    <row r="12" spans="1:28" ht="21" customHeight="1">
      <c r="A12" s="2115" t="s">
        <v>11</v>
      </c>
      <c r="B12" s="2115" t="s">
        <v>105</v>
      </c>
      <c r="C12" s="2115" t="s">
        <v>15</v>
      </c>
      <c r="D12" s="2115" t="s">
        <v>1028</v>
      </c>
      <c r="E12" s="2115" t="s">
        <v>49</v>
      </c>
      <c r="F12" s="2115" t="s">
        <v>1104</v>
      </c>
      <c r="G12" s="2115" t="s">
        <v>32</v>
      </c>
      <c r="H12" s="2115" t="s">
        <v>19</v>
      </c>
      <c r="I12" s="2115" t="s">
        <v>106</v>
      </c>
      <c r="J12" s="565"/>
      <c r="K12" s="153"/>
      <c r="L12" s="154"/>
    </row>
    <row r="13" spans="1:28" ht="27.75" customHeight="1">
      <c r="A13" s="2116"/>
      <c r="B13" s="2116"/>
      <c r="C13" s="2116"/>
      <c r="D13" s="2116"/>
      <c r="E13" s="2116"/>
      <c r="F13" s="2116"/>
      <c r="G13" s="2116"/>
      <c r="H13" s="2116"/>
      <c r="I13" s="2116"/>
      <c r="J13" s="155"/>
      <c r="K13" s="153"/>
      <c r="L13" s="154"/>
    </row>
    <row r="14" spans="1:28" ht="21" customHeight="1">
      <c r="A14" s="355">
        <v>1</v>
      </c>
      <c r="B14" s="1010" t="str">
        <f>'Bảng CCBV thời vụ '!B12</f>
        <v>T. Đăm</v>
      </c>
      <c r="C14" s="1010" t="str">
        <f>'Bảng CCBV thời vụ '!C12</f>
        <v>BVTV</v>
      </c>
      <c r="D14" s="355">
        <f>'Bảng CCBV thời vụ '!D12</f>
        <v>1</v>
      </c>
      <c r="E14" s="952">
        <v>15</v>
      </c>
      <c r="F14" s="357">
        <v>25000</v>
      </c>
      <c r="G14" s="951">
        <f>E14*F14</f>
        <v>375000</v>
      </c>
      <c r="H14" s="355"/>
      <c r="I14" s="355"/>
      <c r="J14" s="155"/>
      <c r="K14" s="156"/>
      <c r="L14" s="157"/>
    </row>
    <row r="15" spans="1:28" ht="21" customHeight="1">
      <c r="A15" s="355">
        <v>2</v>
      </c>
      <c r="B15" s="1010" t="str">
        <f>'Bảng CCBV thời vụ '!B13</f>
        <v>T. Khon</v>
      </c>
      <c r="C15" s="1010" t="str">
        <f>'Bảng CCBV thời vụ '!C13</f>
        <v>BVTV</v>
      </c>
      <c r="D15" s="355">
        <f>'Bảng CCBV thời vụ '!D13</f>
        <v>1</v>
      </c>
      <c r="E15" s="952">
        <v>15</v>
      </c>
      <c r="F15" s="357">
        <v>25000</v>
      </c>
      <c r="G15" s="951">
        <f t="shared" ref="G15:G38" si="0">E15*F15</f>
        <v>375000</v>
      </c>
      <c r="H15" s="355"/>
      <c r="I15" s="355"/>
      <c r="J15" s="155"/>
      <c r="K15" s="156"/>
      <c r="L15" s="157"/>
    </row>
    <row r="16" spans="1:28" ht="21" customHeight="1">
      <c r="A16" s="355">
        <v>3</v>
      </c>
      <c r="B16" s="1010" t="s">
        <v>1102</v>
      </c>
      <c r="C16" s="1010" t="str">
        <f>'Bảng CCBV thời vụ '!C16</f>
        <v>BVTV</v>
      </c>
      <c r="D16" s="355">
        <f>'Bảng CCBV thời vụ '!D16</f>
        <v>2</v>
      </c>
      <c r="E16" s="952">
        <v>15</v>
      </c>
      <c r="F16" s="357">
        <v>25000</v>
      </c>
      <c r="G16" s="951">
        <f t="shared" si="0"/>
        <v>375000</v>
      </c>
      <c r="H16" s="355"/>
      <c r="I16" s="355"/>
      <c r="J16" s="155"/>
      <c r="K16" s="156"/>
      <c r="L16" s="157"/>
    </row>
    <row r="17" spans="1:12" ht="21" customHeight="1">
      <c r="A17" s="355">
        <v>4</v>
      </c>
      <c r="B17" s="1010" t="s">
        <v>1103</v>
      </c>
      <c r="C17" s="1010" t="str">
        <f>'Bảng CCBV thời vụ '!C17</f>
        <v>BVTV</v>
      </c>
      <c r="D17" s="355">
        <f>'Bảng CCBV thời vụ '!D17</f>
        <v>2</v>
      </c>
      <c r="E17" s="952">
        <v>15</v>
      </c>
      <c r="F17" s="357">
        <v>25000</v>
      </c>
      <c r="G17" s="951">
        <f t="shared" si="0"/>
        <v>375000</v>
      </c>
      <c r="H17" s="355"/>
      <c r="I17" s="355"/>
      <c r="J17" s="155"/>
      <c r="K17" s="156"/>
      <c r="L17" s="157"/>
    </row>
    <row r="18" spans="1:12" ht="21" customHeight="1">
      <c r="A18" s="355">
        <v>5</v>
      </c>
      <c r="B18" s="1010" t="str">
        <f>'Bảng CCBV thời vụ '!B16</f>
        <v>Pho Văn</v>
      </c>
      <c r="C18" s="1010" t="str">
        <f>'Bảng CCBV thời vụ '!C16</f>
        <v>BVTV</v>
      </c>
      <c r="D18" s="355">
        <f>'Bảng CCBV thời vụ '!D16</f>
        <v>2</v>
      </c>
      <c r="E18" s="952">
        <v>15</v>
      </c>
      <c r="F18" s="357">
        <v>25000</v>
      </c>
      <c r="G18" s="951">
        <f t="shared" si="0"/>
        <v>375000</v>
      </c>
      <c r="H18" s="355"/>
      <c r="I18" s="355"/>
      <c r="J18" s="155"/>
      <c r="K18" s="156"/>
      <c r="L18" s="157"/>
    </row>
    <row r="19" spans="1:12" ht="21" customHeight="1">
      <c r="A19" s="355">
        <v>6</v>
      </c>
      <c r="B19" s="1010" t="str">
        <f>'Bảng CCBV thời vụ '!B17</f>
        <v>Căn Đa</v>
      </c>
      <c r="C19" s="1010" t="str">
        <f>'Bảng CCBV thời vụ '!C17</f>
        <v>BVTV</v>
      </c>
      <c r="D19" s="355">
        <f>'Bảng CCBV thời vụ '!D17</f>
        <v>2</v>
      </c>
      <c r="E19" s="952">
        <v>15</v>
      </c>
      <c r="F19" s="357">
        <v>25000</v>
      </c>
      <c r="G19" s="951">
        <f t="shared" si="0"/>
        <v>375000</v>
      </c>
      <c r="H19" s="355"/>
      <c r="I19" s="355"/>
      <c r="J19" s="155"/>
      <c r="K19" s="156"/>
      <c r="L19" s="157"/>
    </row>
    <row r="20" spans="1:12" ht="21" customHeight="1">
      <c r="A20" s="355">
        <v>7</v>
      </c>
      <c r="B20" s="1010" t="str">
        <f>'Bảng CCBV thời vụ '!B18</f>
        <v>Thong Xa</v>
      </c>
      <c r="C20" s="1010" t="str">
        <f>'Bảng CCBV thời vụ '!C18</f>
        <v>BVTV</v>
      </c>
      <c r="D20" s="355">
        <f>'Bảng CCBV thời vụ '!D18</f>
        <v>2</v>
      </c>
      <c r="E20" s="952">
        <v>15</v>
      </c>
      <c r="F20" s="357">
        <v>25000</v>
      </c>
      <c r="G20" s="951">
        <f t="shared" si="0"/>
        <v>375000</v>
      </c>
      <c r="H20" s="355"/>
      <c r="I20" s="355"/>
      <c r="J20" s="155"/>
      <c r="K20" s="156"/>
      <c r="L20" s="157"/>
    </row>
    <row r="21" spans="1:12" ht="21" customHeight="1">
      <c r="A21" s="355">
        <v>8</v>
      </c>
      <c r="B21" s="1010" t="str">
        <f>'Bảng CCBV thời vụ '!B19</f>
        <v>P. Ka Ta</v>
      </c>
      <c r="C21" s="1010" t="str">
        <f>'Bảng CCBV thời vụ '!C19</f>
        <v>BVTV</v>
      </c>
      <c r="D21" s="355">
        <f>'Bảng CCBV thời vụ '!D19</f>
        <v>2</v>
      </c>
      <c r="E21" s="952">
        <v>15</v>
      </c>
      <c r="F21" s="357">
        <v>25000</v>
      </c>
      <c r="G21" s="951">
        <f t="shared" si="0"/>
        <v>375000</v>
      </c>
      <c r="H21" s="355"/>
      <c r="I21" s="355"/>
      <c r="J21" s="155"/>
      <c r="K21" s="156"/>
      <c r="L21" s="157"/>
    </row>
    <row r="22" spans="1:12" ht="21" customHeight="1">
      <c r="A22" s="355">
        <v>9</v>
      </c>
      <c r="B22" s="1010" t="str">
        <f>'Bảng CCBV thời vụ '!B20</f>
        <v>Hằn</v>
      </c>
      <c r="C22" s="1010" t="str">
        <f>'Bảng CCBV thời vụ '!C20</f>
        <v>BVTV</v>
      </c>
      <c r="D22" s="355">
        <f>'Bảng CCBV thời vụ '!D20</f>
        <v>2</v>
      </c>
      <c r="E22" s="952">
        <v>15</v>
      </c>
      <c r="F22" s="357">
        <v>25000</v>
      </c>
      <c r="G22" s="951">
        <f t="shared" si="0"/>
        <v>375000</v>
      </c>
      <c r="H22" s="355"/>
      <c r="I22" s="355"/>
      <c r="J22" s="155"/>
      <c r="K22" s="156"/>
      <c r="L22" s="157"/>
    </row>
    <row r="23" spans="1:12" ht="21" customHeight="1">
      <c r="A23" s="355">
        <v>10</v>
      </c>
      <c r="B23" s="1010" t="str">
        <f>'Bảng CCBV thời vụ '!B21</f>
        <v>T. Phước</v>
      </c>
      <c r="C23" s="1010" t="str">
        <f>'Bảng CCBV thời vụ '!C21</f>
        <v>BVTV</v>
      </c>
      <c r="D23" s="355">
        <f>'Bảng CCBV thời vụ '!D21</f>
        <v>3</v>
      </c>
      <c r="E23" s="952">
        <v>15</v>
      </c>
      <c r="F23" s="357">
        <v>25000</v>
      </c>
      <c r="G23" s="951">
        <f t="shared" si="0"/>
        <v>375000</v>
      </c>
      <c r="H23" s="355"/>
      <c r="I23" s="355"/>
      <c r="J23" s="155"/>
      <c r="K23" s="156"/>
      <c r="L23" s="157"/>
    </row>
    <row r="24" spans="1:12" ht="21" customHeight="1">
      <c r="A24" s="355">
        <v>11</v>
      </c>
      <c r="B24" s="1010" t="str">
        <f>'Bảng CCBV thời vụ '!B22</f>
        <v>T. Thun</v>
      </c>
      <c r="C24" s="1010" t="str">
        <f>'Bảng CCBV thời vụ '!C22</f>
        <v>BVTV</v>
      </c>
      <c r="D24" s="355">
        <f>'Bảng CCBV thời vụ '!D22</f>
        <v>3</v>
      </c>
      <c r="E24" s="952">
        <v>15</v>
      </c>
      <c r="F24" s="357">
        <v>25000</v>
      </c>
      <c r="G24" s="951">
        <f t="shared" si="0"/>
        <v>375000</v>
      </c>
      <c r="H24" s="355"/>
      <c r="I24" s="355"/>
      <c r="J24" s="155"/>
      <c r="K24" s="156"/>
      <c r="L24" s="157"/>
    </row>
    <row r="25" spans="1:12" ht="21" customHeight="1">
      <c r="A25" s="355">
        <v>12</v>
      </c>
      <c r="B25" s="1010" t="str">
        <f>'Bảng CCBV thời vụ '!B23</f>
        <v>T. Phon</v>
      </c>
      <c r="C25" s="1010" t="str">
        <f>'Bảng CCBV thời vụ '!C23</f>
        <v>BVTV</v>
      </c>
      <c r="D25" s="355">
        <f>'Bảng CCBV thời vụ '!D23</f>
        <v>3</v>
      </c>
      <c r="E25" s="952">
        <v>15</v>
      </c>
      <c r="F25" s="357">
        <v>25000</v>
      </c>
      <c r="G25" s="951">
        <f t="shared" si="0"/>
        <v>375000</v>
      </c>
      <c r="H25" s="355"/>
      <c r="I25" s="355"/>
      <c r="J25" s="155"/>
      <c r="K25" s="156"/>
      <c r="L25" s="157"/>
    </row>
    <row r="26" spans="1:12" ht="21" customHeight="1">
      <c r="A26" s="355">
        <v>13</v>
      </c>
      <c r="B26" s="1010" t="str">
        <f>'Bảng CCBV thời vụ '!B24</f>
        <v>Khăm Sai</v>
      </c>
      <c r="C26" s="1010" t="str">
        <f>'Bảng CCBV thời vụ '!C24</f>
        <v>BVTV</v>
      </c>
      <c r="D26" s="355">
        <f>'Bảng CCBV thời vụ '!D24</f>
        <v>3</v>
      </c>
      <c r="E26" s="952">
        <v>15</v>
      </c>
      <c r="F26" s="357">
        <v>25000</v>
      </c>
      <c r="G26" s="951">
        <f t="shared" si="0"/>
        <v>375000</v>
      </c>
      <c r="H26" s="355"/>
      <c r="I26" s="355"/>
      <c r="J26" s="155"/>
      <c r="K26" s="156"/>
      <c r="L26" s="157"/>
    </row>
    <row r="27" spans="1:12" ht="21" customHeight="1">
      <c r="A27" s="355">
        <v>14</v>
      </c>
      <c r="B27" s="1010" t="str">
        <f>'Bảng CCBV thời vụ '!B25</f>
        <v>T. Lả</v>
      </c>
      <c r="C27" s="1010" t="str">
        <f>'Bảng CCBV thời vụ '!C25</f>
        <v>BVTV</v>
      </c>
      <c r="D27" s="355">
        <f>'Bảng CCBV thời vụ '!D25</f>
        <v>3</v>
      </c>
      <c r="E27" s="952">
        <v>15</v>
      </c>
      <c r="F27" s="357">
        <v>25000</v>
      </c>
      <c r="G27" s="951">
        <f t="shared" si="0"/>
        <v>375000</v>
      </c>
      <c r="H27" s="355"/>
      <c r="I27" s="355"/>
      <c r="J27" s="155"/>
      <c r="K27" s="156"/>
      <c r="L27" s="157"/>
    </row>
    <row r="28" spans="1:12" ht="21" customHeight="1">
      <c r="A28" s="355">
        <v>15</v>
      </c>
      <c r="B28" s="1010" t="str">
        <f>'Bảng CCBV thời vụ '!B26</f>
        <v>T. Ni</v>
      </c>
      <c r="C28" s="1010" t="str">
        <f>'Bảng CCBV thời vụ '!C26</f>
        <v>BVTV</v>
      </c>
      <c r="D28" s="355">
        <f>'Bảng CCBV thời vụ '!D26</f>
        <v>3</v>
      </c>
      <c r="E28" s="952">
        <v>15</v>
      </c>
      <c r="F28" s="357">
        <v>25000</v>
      </c>
      <c r="G28" s="951">
        <f t="shared" si="0"/>
        <v>375000</v>
      </c>
      <c r="H28" s="355"/>
      <c r="I28" s="355"/>
      <c r="J28" s="155"/>
      <c r="K28" s="156"/>
      <c r="L28" s="157"/>
    </row>
    <row r="29" spans="1:12" ht="21" customHeight="1">
      <c r="A29" s="355">
        <v>16</v>
      </c>
      <c r="B29" s="1010" t="str">
        <f>'Bảng CCBV thời vụ '!B27</f>
        <v>Cà Hụt</v>
      </c>
      <c r="C29" s="1010" t="str">
        <f>'Bảng CCBV thời vụ '!C27</f>
        <v>BVTV</v>
      </c>
      <c r="D29" s="355">
        <f>'Bảng CCBV thời vụ '!D27</f>
        <v>4</v>
      </c>
      <c r="E29" s="952">
        <v>15</v>
      </c>
      <c r="F29" s="357">
        <v>25000</v>
      </c>
      <c r="G29" s="951">
        <f t="shared" si="0"/>
        <v>375000</v>
      </c>
      <c r="H29" s="355"/>
      <c r="I29" s="355"/>
      <c r="J29" s="155"/>
      <c r="K29" s="156"/>
      <c r="L29" s="157"/>
    </row>
    <row r="30" spans="1:12" ht="21" customHeight="1">
      <c r="A30" s="355">
        <v>17</v>
      </c>
      <c r="B30" s="1010" t="str">
        <f>'Bảng CCBV thời vụ '!B28</f>
        <v>Khăm Mưn</v>
      </c>
      <c r="C30" s="1010" t="str">
        <f>'Bảng CCBV thời vụ '!C28</f>
        <v>BVTV</v>
      </c>
      <c r="D30" s="355">
        <f>'Bảng CCBV thời vụ '!D28</f>
        <v>4</v>
      </c>
      <c r="E30" s="952">
        <v>15</v>
      </c>
      <c r="F30" s="357">
        <v>25000</v>
      </c>
      <c r="G30" s="951">
        <f t="shared" si="0"/>
        <v>375000</v>
      </c>
      <c r="H30" s="355"/>
      <c r="I30" s="355"/>
      <c r="J30" s="155"/>
      <c r="K30" s="156"/>
      <c r="L30" s="157"/>
    </row>
    <row r="31" spans="1:12" ht="21" customHeight="1">
      <c r="A31" s="355">
        <v>18</v>
      </c>
      <c r="B31" s="1010" t="str">
        <f>'Bảng CCBV thời vụ '!B29</f>
        <v>Khăm Nôn</v>
      </c>
      <c r="C31" s="1010" t="str">
        <f>'Bảng CCBV thời vụ '!C29</f>
        <v>BVTV</v>
      </c>
      <c r="D31" s="355">
        <f>'Bảng CCBV thời vụ '!D29</f>
        <v>4</v>
      </c>
      <c r="E31" s="952">
        <v>15</v>
      </c>
      <c r="F31" s="357">
        <v>25000</v>
      </c>
      <c r="G31" s="951">
        <f t="shared" si="0"/>
        <v>375000</v>
      </c>
      <c r="H31" s="355"/>
      <c r="I31" s="355"/>
      <c r="J31" s="155"/>
      <c r="K31" s="156"/>
      <c r="L31" s="157"/>
    </row>
    <row r="32" spans="1:12" ht="21" customHeight="1">
      <c r="A32" s="355">
        <v>19</v>
      </c>
      <c r="B32" s="1010" t="str">
        <f>'Bảng CCBV thời vụ '!B30</f>
        <v>T. Nin</v>
      </c>
      <c r="C32" s="1010" t="str">
        <f>'Bảng CCBV thời vụ '!C30</f>
        <v>BVTV</v>
      </c>
      <c r="D32" s="355">
        <f>'Bảng CCBV thời vụ '!D30</f>
        <v>4</v>
      </c>
      <c r="E32" s="952">
        <v>15</v>
      </c>
      <c r="F32" s="357">
        <v>25000</v>
      </c>
      <c r="G32" s="951">
        <f t="shared" si="0"/>
        <v>375000</v>
      </c>
      <c r="H32" s="355"/>
      <c r="I32" s="355"/>
      <c r="J32" s="155"/>
      <c r="K32" s="156"/>
      <c r="L32" s="157"/>
    </row>
    <row r="33" spans="1:14" ht="21" customHeight="1">
      <c r="A33" s="355">
        <v>20</v>
      </c>
      <c r="B33" s="1010" t="str">
        <f>'Bảng CCBV thời vụ '!B31</f>
        <v>T. Mút</v>
      </c>
      <c r="C33" s="1010" t="str">
        <f>'Bảng CCBV thời vụ '!C31</f>
        <v>BVTV</v>
      </c>
      <c r="D33" s="355">
        <f>'Bảng CCBV thời vụ '!D31</f>
        <v>4</v>
      </c>
      <c r="E33" s="952">
        <v>15</v>
      </c>
      <c r="F33" s="357">
        <v>25000</v>
      </c>
      <c r="G33" s="951">
        <f t="shared" si="0"/>
        <v>375000</v>
      </c>
      <c r="H33" s="355"/>
      <c r="I33" s="355"/>
      <c r="J33" s="155"/>
      <c r="K33" s="156"/>
      <c r="L33" s="157"/>
    </row>
    <row r="34" spans="1:14" ht="21" customHeight="1">
      <c r="A34" s="355">
        <v>21</v>
      </c>
      <c r="B34" s="1010" t="str">
        <f>'Bảng CCBV thời vụ '!B32</f>
        <v>T. Khon (4)</v>
      </c>
      <c r="C34" s="1010" t="str">
        <f>'Bảng CCBV thời vụ '!C32</f>
        <v>BVTV</v>
      </c>
      <c r="D34" s="355">
        <f>'Bảng CCBV thời vụ '!D32</f>
        <v>4</v>
      </c>
      <c r="E34" s="952">
        <v>15</v>
      </c>
      <c r="F34" s="357">
        <v>25000</v>
      </c>
      <c r="G34" s="951">
        <f t="shared" si="0"/>
        <v>375000</v>
      </c>
      <c r="H34" s="355"/>
      <c r="I34" s="355"/>
      <c r="J34" s="155"/>
      <c r="K34" s="156"/>
      <c r="L34" s="157"/>
    </row>
    <row r="35" spans="1:14" ht="21" customHeight="1">
      <c r="A35" s="355">
        <v>22</v>
      </c>
      <c r="B35" s="1010" t="str">
        <f>'Bảng CCBV thời vụ '!B33</f>
        <v>A Bi</v>
      </c>
      <c r="C35" s="1010" t="str">
        <f>'Bảng CCBV thời vụ '!C33</f>
        <v>BVTV</v>
      </c>
      <c r="D35" s="355">
        <f>'Bảng CCBV thời vụ '!D33</f>
        <v>4</v>
      </c>
      <c r="E35" s="952">
        <v>15</v>
      </c>
      <c r="F35" s="357">
        <v>25000</v>
      </c>
      <c r="G35" s="951">
        <f t="shared" si="0"/>
        <v>375000</v>
      </c>
      <c r="H35" s="355"/>
      <c r="I35" s="355"/>
      <c r="J35" s="155"/>
      <c r="K35" s="156"/>
      <c r="L35" s="157"/>
    </row>
    <row r="36" spans="1:14" ht="21" customHeight="1">
      <c r="A36" s="355">
        <v>23</v>
      </c>
      <c r="B36" s="1010" t="str">
        <f>'Bảng CCBV thời vụ '!B34</f>
        <v>Thông La</v>
      </c>
      <c r="C36" s="1010" t="str">
        <f>'Bảng CCBV thời vụ '!C34</f>
        <v>BVTV</v>
      </c>
      <c r="D36" s="355">
        <f>'Bảng CCBV thời vụ '!D34</f>
        <v>4</v>
      </c>
      <c r="E36" s="952">
        <v>15</v>
      </c>
      <c r="F36" s="357">
        <v>25000</v>
      </c>
      <c r="G36" s="951">
        <f t="shared" si="0"/>
        <v>375000</v>
      </c>
      <c r="H36" s="355"/>
      <c r="I36" s="355"/>
      <c r="J36" s="155"/>
      <c r="K36" s="156"/>
      <c r="L36" s="157"/>
    </row>
    <row r="37" spans="1:14" ht="21" customHeight="1">
      <c r="A37" s="355">
        <v>24</v>
      </c>
      <c r="B37" s="1010" t="str">
        <f>'Bảng CCBV thời vụ '!B35</f>
        <v>T. Phút</v>
      </c>
      <c r="C37" s="1010" t="str">
        <f>'Bảng CCBV thời vụ '!C35</f>
        <v>BVTV</v>
      </c>
      <c r="D37" s="355">
        <f>'Bảng CCBV thời vụ '!D35</f>
        <v>4</v>
      </c>
      <c r="E37" s="952">
        <v>15</v>
      </c>
      <c r="F37" s="357">
        <v>25000</v>
      </c>
      <c r="G37" s="951">
        <f t="shared" si="0"/>
        <v>375000</v>
      </c>
      <c r="H37" s="355"/>
      <c r="I37" s="355"/>
      <c r="J37" s="155"/>
      <c r="K37" s="156"/>
      <c r="L37" s="157"/>
    </row>
    <row r="38" spans="1:14" ht="21" customHeight="1">
      <c r="A38" s="355">
        <v>25</v>
      </c>
      <c r="B38" s="1010" t="str">
        <f>'Bảng CCBV thời vụ '!B36</f>
        <v>T. Xê</v>
      </c>
      <c r="C38" s="1010" t="str">
        <f>'Bảng CCBV thời vụ '!C36</f>
        <v>BVTV</v>
      </c>
      <c r="D38" s="355">
        <f>'Bảng CCBV thời vụ '!D36</f>
        <v>4</v>
      </c>
      <c r="E38" s="952">
        <v>15</v>
      </c>
      <c r="F38" s="357">
        <v>25000</v>
      </c>
      <c r="G38" s="951">
        <f t="shared" si="0"/>
        <v>375000</v>
      </c>
      <c r="H38" s="355"/>
      <c r="I38" s="355"/>
      <c r="J38" s="155"/>
      <c r="K38" s="156"/>
      <c r="L38" s="157"/>
    </row>
    <row r="39" spans="1:14" ht="21" customHeight="1">
      <c r="A39" s="2066" t="s">
        <v>256</v>
      </c>
      <c r="B39" s="2066"/>
      <c r="C39" s="1647"/>
      <c r="D39" s="1647"/>
      <c r="E39" s="567">
        <f t="shared" ref="E39" si="1">SUM(E14:E38)</f>
        <v>375</v>
      </c>
      <c r="F39" s="372"/>
      <c r="G39" s="372">
        <f>SUM(G14:G38)</f>
        <v>9375000</v>
      </c>
      <c r="H39" s="1647"/>
      <c r="I39" s="355"/>
      <c r="J39" s="155"/>
      <c r="K39" s="156">
        <f>G39/25000</f>
        <v>375</v>
      </c>
      <c r="L39" s="157">
        <f>G39/25000</f>
        <v>375</v>
      </c>
    </row>
    <row r="40" spans="1:14" ht="24" customHeight="1">
      <c r="A40" s="2072" t="s">
        <v>1105</v>
      </c>
      <c r="B40" s="2073"/>
      <c r="C40" s="2073"/>
      <c r="D40" s="2073"/>
      <c r="E40" s="2073"/>
      <c r="F40" s="2073"/>
      <c r="G40" s="2073"/>
      <c r="H40" s="2073"/>
      <c r="I40" s="2074"/>
    </row>
    <row r="41" spans="1:14" ht="17.25">
      <c r="A41" s="1654"/>
      <c r="B41" s="1655"/>
      <c r="C41" s="1655"/>
      <c r="D41" s="1655"/>
      <c r="E41" s="1655"/>
      <c r="F41" s="1655"/>
      <c r="G41" s="1655"/>
      <c r="H41" s="1655"/>
      <c r="I41" s="1655"/>
    </row>
    <row r="42" spans="1:14" ht="17.25">
      <c r="A42" s="358"/>
      <c r="B42" s="358"/>
      <c r="C42" s="358"/>
      <c r="D42" s="358"/>
      <c r="E42" s="358"/>
      <c r="F42" s="358"/>
      <c r="G42" s="2181" t="s">
        <v>1106</v>
      </c>
      <c r="H42" s="2181"/>
      <c r="I42" s="2181"/>
      <c r="J42" s="29"/>
      <c r="K42" s="29"/>
      <c r="L42" s="29"/>
      <c r="M42" s="29"/>
      <c r="N42" s="29"/>
    </row>
    <row r="43" spans="1:14" ht="16.5">
      <c r="A43" s="359"/>
      <c r="B43" s="359" t="s">
        <v>47</v>
      </c>
      <c r="C43" s="942"/>
      <c r="D43" s="2114" t="s">
        <v>266</v>
      </c>
      <c r="E43" s="2114"/>
      <c r="F43" s="2114" t="s">
        <v>1107</v>
      </c>
      <c r="G43" s="2114"/>
      <c r="H43" s="2114" t="s">
        <v>826</v>
      </c>
      <c r="I43" s="2114"/>
    </row>
    <row r="50" spans="2:9" ht="16.5">
      <c r="B50" s="2214"/>
      <c r="C50" s="2214"/>
      <c r="D50" s="17"/>
      <c r="E50" s="2214"/>
      <c r="F50" s="2214"/>
      <c r="G50" s="1555"/>
      <c r="H50" s="2114" t="s">
        <v>76</v>
      </c>
      <c r="I50" s="2114"/>
    </row>
    <row r="51" spans="2:9">
      <c r="E51" s="1" t="s">
        <v>268</v>
      </c>
    </row>
  </sheetData>
  <mergeCells count="24">
    <mergeCell ref="B50:C50"/>
    <mergeCell ref="E50:F50"/>
    <mergeCell ref="H50:I50"/>
    <mergeCell ref="D43:E43"/>
    <mergeCell ref="F43:G43"/>
    <mergeCell ref="A39:B39"/>
    <mergeCell ref="A40:I40"/>
    <mergeCell ref="G42:I42"/>
    <mergeCell ref="H43:I43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A10:I10"/>
    <mergeCell ref="A3:I3"/>
    <mergeCell ref="A4:I4"/>
    <mergeCell ref="A5:I5"/>
    <mergeCell ref="A7:F7"/>
    <mergeCell ref="A8:F8"/>
  </mergeCells>
  <printOptions horizontalCentered="1"/>
  <pageMargins left="0.7" right="0.7" top="0.45" bottom="0.46" header="0.3" footer="0.3"/>
  <pageSetup paperSize="9" scale="7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Chấm công KT</vt:lpstr>
      <vt:lpstr>BTH mủ tạp</vt:lpstr>
      <vt:lpstr>BTH mủ Sỉum</vt:lpstr>
      <vt:lpstr>TONGHOPCONGDOI</vt:lpstr>
      <vt:lpstr>CNKT Đ1</vt:lpstr>
      <vt:lpstr>CNKT Đ2</vt:lpstr>
      <vt:lpstr>CNKT Đ3</vt:lpstr>
      <vt:lpstr>CNKTĐ4 </vt:lpstr>
      <vt:lpstr>CNKT </vt:lpstr>
      <vt:lpstr>Lương bảo vệ </vt:lpstr>
      <vt:lpstr>Trạm cán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PLcon (2)</vt:lpstr>
      <vt:lpstr>DSN Thuê</vt:lpstr>
      <vt:lpstr>tiền TB </vt:lpstr>
      <vt:lpstr>Hổ trợ vi gô </vt:lpstr>
      <vt:lpstr>Thanh toán XX</vt:lpstr>
      <vt:lpstr>PC xăng xe T2</vt:lpstr>
      <vt:lpstr>PC xăng xe T1</vt:lpstr>
      <vt:lpstr>Thanh toán BVTV</vt:lpstr>
      <vt:lpstr>Bảng CCBV thời vụ </vt:lpstr>
      <vt:lpstr>Lương thuế</vt:lpstr>
      <vt:lpstr>BL Bảo vệ,tạp vụ</vt:lpstr>
      <vt:lpstr>PLcon NT</vt:lpstr>
      <vt:lpstr>Phân Toán CVK</vt:lpstr>
      <vt:lpstr>CC PCC</vt:lpstr>
      <vt:lpstr>Khối lượng TC</vt:lpstr>
      <vt:lpstr>Bảng CC TX, BV  </vt:lpstr>
      <vt:lpstr>Bảng ĐP - BV  </vt:lpstr>
      <vt:lpstr>Bảng CC vn </vt:lpstr>
      <vt:lpstr>Sheet1</vt:lpstr>
      <vt:lpstr>Sheet2</vt:lpstr>
      <vt:lpstr>Sheet3</vt:lpstr>
      <vt:lpstr>Sheet4</vt:lpstr>
      <vt:lpstr>'BTH mủ tạp'!Print_Area</vt:lpstr>
      <vt:lpstr>'CNKT '!Print_Area</vt:lpstr>
      <vt:lpstr>TONGHOPCONGDOI!Print_Area</vt:lpstr>
      <vt:lpstr>'Trạm cán '!Print_Area</vt:lpstr>
      <vt:lpstr>'Bảng CC TX, BV  '!Print_Titles</vt:lpstr>
      <vt:lpstr>'Bảng CC vn '!Print_Titles</vt:lpstr>
      <vt:lpstr>'Bảng CCBV thời vụ '!Print_Titles</vt:lpstr>
      <vt:lpstr>'Bảng ĐP - BV  '!Print_Titles</vt:lpstr>
      <vt:lpstr>'BTH mủ tạp'!Print_Titles</vt:lpstr>
      <vt:lpstr>'CC PCC'!Print_Titles</vt:lpstr>
      <vt:lpstr>'CNKT '!Print_Titles</vt:lpstr>
      <vt:lpstr>'CNKT Đ1'!Print_Titles</vt:lpstr>
      <vt:lpstr>'CNKT Đ2'!Print_Titles</vt:lpstr>
      <vt:lpstr>'CNKT Đ3'!Print_Titles</vt:lpstr>
      <vt:lpstr>'CNKTĐ4 '!Print_Titles</vt:lpstr>
      <vt:lpstr>'Chấm công KT'!Print_Titles</vt:lpstr>
      <vt:lpstr>'Khối lượng TC'!Print_Titles</vt:lpstr>
      <vt:lpstr>'LƯƠNG CN TRỰC TIẾP '!Print_Titles</vt:lpstr>
      <vt:lpstr>'PC xăng xe T2'!Print_Titles</vt:lpstr>
      <vt:lpstr>'Phân toán  '!Print_Titles</vt:lpstr>
      <vt:lpstr>'Phân Toán CVK'!Print_Titles</vt:lpstr>
      <vt:lpstr>'tiền TB '!Print_Titles</vt:lpstr>
      <vt:lpstr>TONGHOPCONGDOI!Print_Titles</vt:lpstr>
      <vt:lpstr>'Thanh toán BVTV'!Print_Titles</vt:lpstr>
      <vt:lpstr>'Thanh toán XX'!Print_Titles</vt:lpstr>
      <vt:lpstr>'Trạm cán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2025-03-04T13:40:55Z</cp:lastPrinted>
  <dcterms:created xsi:type="dcterms:W3CDTF">2016-08-22T04:16:23Z</dcterms:created>
  <dcterms:modified xsi:type="dcterms:W3CDTF">2025-07-10T02:21:52Z</dcterms:modified>
</cp:coreProperties>
</file>